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659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87" i="1" l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N2881" i="1"/>
  <c r="V2880" i="1"/>
  <c r="P2880" i="1"/>
  <c r="O2880" i="1"/>
  <c r="N2880" i="1"/>
  <c r="I2880" i="1"/>
  <c r="H2880" i="1"/>
  <c r="V2879" i="1"/>
  <c r="P2879" i="1"/>
  <c r="O2879" i="1"/>
  <c r="N2879" i="1"/>
  <c r="I2879" i="1"/>
  <c r="H2879" i="1"/>
  <c r="V2878" i="1"/>
  <c r="P2878" i="1"/>
  <c r="O2878" i="1"/>
  <c r="N2878" i="1"/>
  <c r="I2878" i="1"/>
  <c r="H2878" i="1"/>
  <c r="V2877" i="1"/>
  <c r="P2877" i="1"/>
  <c r="O2877" i="1"/>
  <c r="N2877" i="1"/>
  <c r="I2877" i="1"/>
  <c r="H2877" i="1"/>
  <c r="V2876" i="1"/>
  <c r="P2876" i="1"/>
  <c r="O2876" i="1"/>
  <c r="N2876" i="1"/>
  <c r="I2876" i="1"/>
  <c r="H2876" i="1"/>
  <c r="V2875" i="1"/>
  <c r="P2875" i="1"/>
  <c r="O2875" i="1"/>
  <c r="N2875" i="1"/>
  <c r="H2875" i="1"/>
  <c r="V2874" i="1"/>
  <c r="P2874" i="1"/>
  <c r="O2874" i="1"/>
  <c r="N2874" i="1"/>
  <c r="V2873" i="1"/>
  <c r="P2873" i="1"/>
  <c r="O2873" i="1"/>
  <c r="N2873" i="1"/>
  <c r="V2872" i="1"/>
  <c r="P2872" i="1"/>
  <c r="O2872" i="1"/>
  <c r="N2872" i="1"/>
  <c r="V2871" i="1"/>
  <c r="P2871" i="1"/>
  <c r="O2871" i="1"/>
  <c r="N2871" i="1"/>
  <c r="V2870" i="1"/>
  <c r="P2870" i="1"/>
  <c r="O2870" i="1"/>
  <c r="N2870" i="1"/>
  <c r="V2869" i="1"/>
  <c r="P2869" i="1"/>
  <c r="O2869" i="1"/>
  <c r="N2869" i="1"/>
  <c r="V2868" i="1"/>
  <c r="P2868" i="1"/>
  <c r="O2868" i="1"/>
  <c r="N2868" i="1"/>
  <c r="V2867" i="1"/>
  <c r="P2867" i="1"/>
  <c r="O2867" i="1"/>
  <c r="N2867" i="1"/>
  <c r="V2866" i="1"/>
  <c r="P2866" i="1"/>
  <c r="O2866" i="1"/>
  <c r="N2866" i="1"/>
  <c r="V2865" i="1"/>
  <c r="P2865" i="1"/>
  <c r="O2865" i="1"/>
  <c r="N2865" i="1"/>
  <c r="V2864" i="1"/>
  <c r="P2864" i="1"/>
  <c r="O2864" i="1"/>
  <c r="N2864" i="1"/>
  <c r="V2863" i="1"/>
  <c r="P2863" i="1"/>
  <c r="O2863" i="1"/>
  <c r="N2863" i="1"/>
  <c r="V2862" i="1"/>
  <c r="P2862" i="1"/>
  <c r="O2862" i="1"/>
  <c r="N2862" i="1"/>
  <c r="V2861" i="1"/>
  <c r="P2861" i="1"/>
  <c r="O2861" i="1"/>
  <c r="N2861" i="1"/>
  <c r="V2860" i="1"/>
  <c r="P2860" i="1"/>
  <c r="O2860" i="1"/>
  <c r="N2860" i="1"/>
  <c r="V2859" i="1"/>
  <c r="P2859" i="1"/>
  <c r="O2859" i="1"/>
  <c r="N2859" i="1"/>
  <c r="V2858" i="1"/>
  <c r="P2858" i="1"/>
  <c r="O2858" i="1"/>
  <c r="N2858" i="1"/>
  <c r="V2857" i="1"/>
  <c r="P2857" i="1"/>
  <c r="O2857" i="1"/>
  <c r="N2857" i="1"/>
  <c r="V2856" i="1"/>
  <c r="P2856" i="1"/>
  <c r="O2856" i="1"/>
  <c r="N2856" i="1"/>
  <c r="V2855" i="1"/>
  <c r="P2855" i="1"/>
  <c r="O2855" i="1"/>
  <c r="N2855" i="1"/>
  <c r="V2854" i="1"/>
  <c r="P2854" i="1"/>
  <c r="O2854" i="1"/>
  <c r="N2854" i="1"/>
  <c r="V2853" i="1"/>
  <c r="P2853" i="1"/>
  <c r="O2853" i="1"/>
  <c r="N2853" i="1"/>
  <c r="V2852" i="1"/>
  <c r="P2852" i="1"/>
  <c r="O2852" i="1"/>
  <c r="N2852" i="1"/>
  <c r="V2851" i="1"/>
  <c r="P2851" i="1"/>
  <c r="O2851" i="1"/>
  <c r="N2851" i="1"/>
  <c r="V2850" i="1"/>
  <c r="P2850" i="1"/>
  <c r="O2850" i="1"/>
  <c r="N2850" i="1"/>
  <c r="V2849" i="1"/>
  <c r="P2849" i="1"/>
  <c r="O2849" i="1"/>
  <c r="N2849" i="1"/>
  <c r="H2849" i="1"/>
  <c r="V2848" i="1"/>
  <c r="P2848" i="1"/>
  <c r="O2848" i="1"/>
  <c r="N2848" i="1"/>
  <c r="H2848" i="1"/>
  <c r="V2847" i="1"/>
  <c r="P2847" i="1"/>
  <c r="O2847" i="1"/>
  <c r="N2847" i="1"/>
  <c r="I2847" i="1"/>
  <c r="H2847" i="1"/>
  <c r="V2846" i="1"/>
  <c r="P2846" i="1"/>
  <c r="O2846" i="1"/>
  <c r="N2846" i="1"/>
  <c r="I2846" i="1"/>
  <c r="H2846" i="1"/>
  <c r="V2845" i="1"/>
  <c r="P2845" i="1"/>
  <c r="O2845" i="1"/>
  <c r="N2845" i="1"/>
  <c r="I2845" i="1"/>
  <c r="H2845" i="1"/>
  <c r="G2845" i="1"/>
  <c r="V2844" i="1"/>
  <c r="P2844" i="1"/>
  <c r="O2844" i="1"/>
  <c r="N2844" i="1"/>
  <c r="I2844" i="1"/>
  <c r="H2844" i="1"/>
  <c r="G2844" i="1"/>
  <c r="V2843" i="1"/>
  <c r="P2843" i="1"/>
  <c r="O2843" i="1"/>
  <c r="N2843" i="1"/>
  <c r="I2843" i="1"/>
  <c r="H2843" i="1"/>
  <c r="G2843" i="1"/>
  <c r="V2842" i="1"/>
  <c r="P2842" i="1"/>
  <c r="O2842" i="1"/>
  <c r="N2842" i="1"/>
  <c r="I2842" i="1"/>
  <c r="H2842" i="1"/>
  <c r="G2842" i="1"/>
  <c r="F2842" i="1"/>
  <c r="V2841" i="1"/>
  <c r="P2841" i="1"/>
  <c r="O2841" i="1"/>
  <c r="N2841" i="1"/>
  <c r="I2841" i="1"/>
  <c r="H2841" i="1"/>
  <c r="G2841" i="1"/>
  <c r="F2841" i="1"/>
  <c r="V2840" i="1"/>
  <c r="P2840" i="1"/>
  <c r="O2840" i="1"/>
  <c r="N2840" i="1"/>
  <c r="I2840" i="1"/>
  <c r="H2840" i="1"/>
  <c r="G2840" i="1"/>
  <c r="F2840" i="1"/>
  <c r="V2839" i="1"/>
  <c r="P2839" i="1"/>
  <c r="O2839" i="1"/>
  <c r="N2839" i="1"/>
  <c r="I2839" i="1"/>
  <c r="H2839" i="1"/>
  <c r="G2839" i="1"/>
  <c r="F2839" i="1"/>
  <c r="V2838" i="1"/>
  <c r="P2838" i="1"/>
  <c r="O2838" i="1"/>
  <c r="N2838" i="1"/>
  <c r="I2838" i="1"/>
  <c r="H2838" i="1"/>
  <c r="G2838" i="1"/>
  <c r="F2838" i="1"/>
  <c r="E2838" i="1"/>
  <c r="V2837" i="1"/>
  <c r="P2837" i="1"/>
  <c r="O2837" i="1"/>
  <c r="N2837" i="1"/>
  <c r="J2837" i="1"/>
  <c r="I2837" i="1"/>
  <c r="H2837" i="1"/>
  <c r="G2837" i="1"/>
  <c r="F2837" i="1"/>
  <c r="E2837" i="1"/>
  <c r="V2836" i="1"/>
  <c r="P2836" i="1"/>
  <c r="O2836" i="1"/>
  <c r="N2836" i="1"/>
  <c r="J2836" i="1"/>
  <c r="I2836" i="1"/>
  <c r="H2836" i="1"/>
  <c r="G2836" i="1"/>
  <c r="F2836" i="1"/>
  <c r="E2836" i="1"/>
  <c r="V2835" i="1"/>
  <c r="P2835" i="1"/>
  <c r="O2835" i="1"/>
  <c r="N2835" i="1"/>
  <c r="J2835" i="1"/>
  <c r="I2835" i="1"/>
  <c r="H2835" i="1"/>
  <c r="G2835" i="1"/>
  <c r="F2835" i="1"/>
  <c r="E2835" i="1"/>
  <c r="V2834" i="1"/>
  <c r="P2834" i="1"/>
  <c r="O2834" i="1"/>
  <c r="N2834" i="1"/>
  <c r="J2834" i="1"/>
  <c r="I2834" i="1"/>
  <c r="H2834" i="1"/>
  <c r="G2834" i="1"/>
  <c r="F2834" i="1"/>
  <c r="E2834" i="1"/>
  <c r="V2833" i="1"/>
  <c r="P2833" i="1"/>
  <c r="O2833" i="1"/>
  <c r="N2833" i="1"/>
  <c r="I2833" i="1"/>
  <c r="H2833" i="1"/>
  <c r="G2833" i="1"/>
  <c r="F2833" i="1"/>
  <c r="V2832" i="1"/>
  <c r="P2832" i="1"/>
  <c r="O2832" i="1"/>
  <c r="N2832" i="1"/>
  <c r="I2832" i="1"/>
  <c r="H2832" i="1"/>
  <c r="G2832" i="1"/>
  <c r="F2832" i="1"/>
  <c r="V2831" i="1"/>
  <c r="P2831" i="1"/>
  <c r="O2831" i="1"/>
  <c r="N2831" i="1"/>
  <c r="I2831" i="1"/>
  <c r="H2831" i="1"/>
  <c r="G2831" i="1"/>
  <c r="F2831" i="1"/>
  <c r="V2830" i="1"/>
  <c r="P2830" i="1"/>
  <c r="O2830" i="1"/>
  <c r="N2830" i="1"/>
  <c r="I2830" i="1"/>
  <c r="H2830" i="1"/>
  <c r="G2830" i="1"/>
  <c r="F2830" i="1"/>
  <c r="V2829" i="1"/>
  <c r="P2829" i="1"/>
  <c r="O2829" i="1"/>
  <c r="N2829" i="1"/>
  <c r="I2829" i="1"/>
  <c r="H2829" i="1"/>
  <c r="G2829" i="1"/>
  <c r="F2829" i="1"/>
  <c r="V2828" i="1"/>
  <c r="P2828" i="1"/>
  <c r="O2828" i="1"/>
  <c r="N2828" i="1"/>
  <c r="I2828" i="1"/>
  <c r="H2828" i="1"/>
  <c r="G2828" i="1"/>
  <c r="F2828" i="1"/>
  <c r="V2827" i="1"/>
  <c r="P2827" i="1"/>
  <c r="O2827" i="1"/>
  <c r="N2827" i="1"/>
  <c r="I2827" i="1"/>
  <c r="H2827" i="1"/>
  <c r="G2827" i="1"/>
  <c r="F2827" i="1"/>
  <c r="V2826" i="1"/>
  <c r="P2826" i="1"/>
  <c r="O2826" i="1"/>
  <c r="N2826" i="1"/>
  <c r="I2826" i="1"/>
  <c r="H2826" i="1"/>
  <c r="G2826" i="1"/>
  <c r="F2826" i="1"/>
  <c r="V2825" i="1"/>
  <c r="P2825" i="1"/>
  <c r="O2825" i="1"/>
  <c r="N2825" i="1"/>
  <c r="I2825" i="1"/>
  <c r="H2825" i="1"/>
  <c r="G2825" i="1"/>
  <c r="F2825" i="1"/>
  <c r="V2824" i="1"/>
  <c r="P2824" i="1"/>
  <c r="O2824" i="1"/>
  <c r="N2824" i="1"/>
  <c r="I2824" i="1"/>
  <c r="H2824" i="1"/>
  <c r="G2824" i="1"/>
  <c r="V2823" i="1"/>
  <c r="P2823" i="1"/>
  <c r="O2823" i="1"/>
  <c r="N2823" i="1"/>
  <c r="I2823" i="1"/>
  <c r="H2823" i="1"/>
  <c r="G2823" i="1"/>
  <c r="V2822" i="1"/>
  <c r="P2822" i="1"/>
  <c r="O2822" i="1"/>
  <c r="N2822" i="1"/>
  <c r="I2822" i="1"/>
  <c r="H2822" i="1"/>
  <c r="G2822" i="1"/>
  <c r="V2821" i="1"/>
  <c r="P2821" i="1"/>
  <c r="O2821" i="1"/>
  <c r="N2821" i="1"/>
  <c r="I2821" i="1"/>
  <c r="H2821" i="1"/>
  <c r="G2821" i="1"/>
  <c r="V2820" i="1"/>
  <c r="P2820" i="1"/>
  <c r="O2820" i="1"/>
  <c r="N2820" i="1"/>
  <c r="I2820" i="1"/>
  <c r="H2820" i="1"/>
  <c r="G2820" i="1"/>
  <c r="V2819" i="1"/>
  <c r="P2819" i="1"/>
  <c r="O2819" i="1"/>
  <c r="N2819" i="1"/>
  <c r="I2819" i="1"/>
  <c r="H2819" i="1"/>
  <c r="G2819" i="1"/>
  <c r="V2818" i="1"/>
  <c r="P2818" i="1"/>
  <c r="O2818" i="1"/>
  <c r="N2818" i="1"/>
  <c r="I2818" i="1"/>
  <c r="H2818" i="1"/>
  <c r="G2818" i="1"/>
  <c r="V2817" i="1"/>
  <c r="P2817" i="1"/>
  <c r="O2817" i="1"/>
  <c r="N2817" i="1"/>
  <c r="I2817" i="1"/>
  <c r="H2817" i="1"/>
  <c r="G2817" i="1"/>
  <c r="V2816" i="1"/>
  <c r="P2816" i="1"/>
  <c r="O2816" i="1"/>
  <c r="N2816" i="1"/>
  <c r="I2816" i="1"/>
  <c r="H2816" i="1"/>
  <c r="G2816" i="1"/>
  <c r="V2815" i="1"/>
  <c r="P2815" i="1"/>
  <c r="O2815" i="1"/>
  <c r="N2815" i="1"/>
  <c r="I2815" i="1"/>
  <c r="H2815" i="1"/>
  <c r="G2815" i="1"/>
  <c r="V2814" i="1"/>
  <c r="P2814" i="1"/>
  <c r="O2814" i="1"/>
  <c r="N2814" i="1"/>
  <c r="I2814" i="1"/>
  <c r="H2814" i="1"/>
  <c r="G2814" i="1"/>
  <c r="V2813" i="1"/>
  <c r="P2813" i="1"/>
  <c r="O2813" i="1"/>
  <c r="N2813" i="1"/>
  <c r="I2813" i="1"/>
  <c r="H2813" i="1"/>
  <c r="V2812" i="1"/>
  <c r="P2812" i="1"/>
  <c r="O2812" i="1"/>
  <c r="N2812" i="1"/>
  <c r="I2812" i="1"/>
  <c r="H2812" i="1"/>
  <c r="V2811" i="1"/>
  <c r="P2811" i="1"/>
  <c r="O2811" i="1"/>
  <c r="N2811" i="1"/>
  <c r="I2811" i="1"/>
  <c r="H2811" i="1"/>
  <c r="V2810" i="1"/>
  <c r="P2810" i="1"/>
  <c r="O2810" i="1"/>
  <c r="N2810" i="1"/>
  <c r="I2810" i="1"/>
  <c r="H2810" i="1"/>
  <c r="V2809" i="1"/>
  <c r="P2809" i="1"/>
  <c r="O2809" i="1"/>
  <c r="N2809" i="1"/>
  <c r="I2809" i="1"/>
  <c r="H2809" i="1"/>
  <c r="V2808" i="1"/>
  <c r="P2808" i="1"/>
  <c r="O2808" i="1"/>
  <c r="N2808" i="1"/>
  <c r="I2808" i="1"/>
  <c r="H2808" i="1"/>
  <c r="V2807" i="1"/>
  <c r="P2807" i="1"/>
  <c r="O2807" i="1"/>
  <c r="N2807" i="1"/>
  <c r="I2807" i="1"/>
  <c r="H2807" i="1"/>
  <c r="V2806" i="1"/>
  <c r="P2806" i="1"/>
  <c r="O2806" i="1"/>
  <c r="N2806" i="1"/>
  <c r="I2806" i="1"/>
  <c r="H2806" i="1"/>
  <c r="V2805" i="1"/>
  <c r="P2805" i="1"/>
  <c r="O2805" i="1"/>
  <c r="N2805" i="1"/>
  <c r="I2805" i="1"/>
  <c r="H2805" i="1"/>
  <c r="V2804" i="1"/>
  <c r="P2804" i="1"/>
  <c r="O2804" i="1"/>
  <c r="N2804" i="1"/>
  <c r="I2804" i="1"/>
  <c r="H2804" i="1"/>
  <c r="V2803" i="1"/>
  <c r="P2803" i="1"/>
  <c r="O2803" i="1"/>
  <c r="N2803" i="1"/>
  <c r="V2802" i="1"/>
  <c r="P2802" i="1"/>
  <c r="O2802" i="1"/>
  <c r="N2802" i="1"/>
  <c r="V2801" i="1"/>
  <c r="P2801" i="1"/>
  <c r="O2801" i="1"/>
  <c r="N2801" i="1"/>
  <c r="V2800" i="1"/>
  <c r="P2800" i="1"/>
  <c r="O2800" i="1"/>
  <c r="N2800" i="1"/>
  <c r="V2799" i="1"/>
  <c r="P2799" i="1"/>
  <c r="O2799" i="1"/>
  <c r="N2799" i="1"/>
  <c r="V2798" i="1"/>
  <c r="P2798" i="1"/>
  <c r="O2798" i="1"/>
  <c r="N2798" i="1"/>
  <c r="V2797" i="1"/>
  <c r="P2797" i="1"/>
  <c r="O2797" i="1"/>
  <c r="N2797" i="1"/>
  <c r="V2796" i="1"/>
  <c r="P2796" i="1"/>
  <c r="O2796" i="1"/>
  <c r="N2796" i="1"/>
  <c r="P2795" i="1"/>
  <c r="O2795" i="1"/>
  <c r="N2795" i="1"/>
  <c r="P2794" i="1"/>
  <c r="O2794" i="1"/>
  <c r="N2794" i="1"/>
  <c r="P2793" i="1"/>
  <c r="O2793" i="1"/>
  <c r="N2793" i="1"/>
  <c r="P2792" i="1"/>
  <c r="O2792" i="1"/>
  <c r="N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N2781" i="1"/>
  <c r="P2780" i="1"/>
  <c r="O2780" i="1"/>
  <c r="N2780" i="1"/>
  <c r="P2779" i="1"/>
  <c r="O2779" i="1"/>
  <c r="N2779" i="1"/>
  <c r="P2778" i="1"/>
  <c r="O2778" i="1"/>
  <c r="N2778" i="1"/>
  <c r="P2777" i="1"/>
  <c r="O2777" i="1"/>
  <c r="N2777" i="1"/>
  <c r="P2776" i="1"/>
  <c r="O2776" i="1"/>
  <c r="N2776" i="1"/>
  <c r="P2775" i="1"/>
  <c r="O2775" i="1"/>
  <c r="N2775" i="1"/>
  <c r="P2774" i="1"/>
  <c r="O2774" i="1"/>
  <c r="N2774" i="1"/>
  <c r="P2773" i="1"/>
  <c r="O2773" i="1"/>
  <c r="N2773" i="1"/>
  <c r="P2772" i="1"/>
  <c r="O2772" i="1"/>
  <c r="N2772" i="1"/>
  <c r="P2771" i="1"/>
  <c r="O2771" i="1"/>
  <c r="N2771" i="1"/>
  <c r="P2770" i="1"/>
  <c r="O2770" i="1"/>
  <c r="N2770" i="1"/>
  <c r="P2769" i="1"/>
  <c r="O2769" i="1"/>
  <c r="N2769" i="1"/>
  <c r="P2768" i="1"/>
  <c r="O2768" i="1"/>
  <c r="N2768" i="1"/>
  <c r="P2767" i="1"/>
  <c r="O2767" i="1"/>
  <c r="N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I2484" i="1"/>
  <c r="P2483" i="1"/>
  <c r="O2483" i="1"/>
  <c r="I2483" i="1"/>
  <c r="P2482" i="1"/>
  <c r="O2482" i="1"/>
  <c r="I2482" i="1"/>
  <c r="P2481" i="1"/>
  <c r="O2481" i="1"/>
  <c r="I2481" i="1"/>
  <c r="P2480" i="1"/>
  <c r="O2480" i="1"/>
  <c r="I2480" i="1"/>
  <c r="P2479" i="1"/>
  <c r="O2479" i="1"/>
  <c r="I2479" i="1"/>
  <c r="P2478" i="1"/>
  <c r="O2478" i="1"/>
  <c r="I2478" i="1"/>
  <c r="P2477" i="1"/>
  <c r="O2477" i="1"/>
  <c r="I2477" i="1"/>
  <c r="P2476" i="1"/>
  <c r="O2476" i="1"/>
  <c r="I2476" i="1"/>
  <c r="P2475" i="1"/>
  <c r="O2475" i="1"/>
  <c r="I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I2430" i="1"/>
  <c r="P2429" i="1"/>
  <c r="O2429" i="1"/>
  <c r="I2429" i="1"/>
  <c r="P2428" i="1"/>
  <c r="O2428" i="1"/>
  <c r="I2428" i="1"/>
  <c r="P2427" i="1"/>
  <c r="O2427" i="1"/>
  <c r="N2427" i="1"/>
  <c r="I2427" i="1"/>
  <c r="P2426" i="1"/>
  <c r="O2426" i="1"/>
  <c r="N2426" i="1"/>
  <c r="I2426" i="1"/>
  <c r="P2425" i="1"/>
  <c r="O2425" i="1"/>
  <c r="N2425" i="1"/>
  <c r="I2425" i="1"/>
  <c r="P2424" i="1"/>
  <c r="O2424" i="1"/>
  <c r="N2424" i="1"/>
  <c r="I2424" i="1"/>
  <c r="P2423" i="1"/>
  <c r="O2423" i="1"/>
  <c r="N2423" i="1"/>
  <c r="I2423" i="1"/>
  <c r="H2423" i="1"/>
  <c r="P2422" i="1"/>
  <c r="O2422" i="1"/>
  <c r="N2422" i="1"/>
  <c r="I2422" i="1"/>
  <c r="H2422" i="1"/>
  <c r="P2421" i="1"/>
  <c r="O2421" i="1"/>
  <c r="N2421" i="1"/>
  <c r="I2421" i="1"/>
  <c r="H2421" i="1"/>
  <c r="P2420" i="1"/>
  <c r="O2420" i="1"/>
  <c r="N2420" i="1"/>
  <c r="I2420" i="1"/>
  <c r="H2420" i="1"/>
  <c r="P2419" i="1"/>
  <c r="O2419" i="1"/>
  <c r="N2419" i="1"/>
  <c r="I2419" i="1"/>
  <c r="H2419" i="1"/>
  <c r="P2418" i="1"/>
  <c r="O2418" i="1"/>
  <c r="N2418" i="1"/>
  <c r="I2418" i="1"/>
  <c r="H2418" i="1"/>
  <c r="P2417" i="1"/>
  <c r="O2417" i="1"/>
  <c r="N2417" i="1"/>
  <c r="I2417" i="1"/>
  <c r="H2417" i="1"/>
  <c r="P2416" i="1"/>
  <c r="O2416" i="1"/>
  <c r="N2416" i="1"/>
  <c r="I2416" i="1"/>
  <c r="H2416" i="1"/>
  <c r="P2415" i="1"/>
  <c r="O2415" i="1"/>
  <c r="N2415" i="1"/>
  <c r="I2415" i="1"/>
  <c r="H2415" i="1"/>
  <c r="P2414" i="1"/>
  <c r="O2414" i="1"/>
  <c r="N2414" i="1"/>
  <c r="I2414" i="1"/>
  <c r="H2414" i="1"/>
  <c r="P2413" i="1"/>
  <c r="O2413" i="1"/>
  <c r="N2413" i="1"/>
  <c r="I2413" i="1"/>
  <c r="H2413" i="1"/>
  <c r="P2412" i="1"/>
  <c r="O2412" i="1"/>
  <c r="N2412" i="1"/>
  <c r="I2412" i="1"/>
  <c r="H2412" i="1"/>
  <c r="P2411" i="1"/>
  <c r="O2411" i="1"/>
  <c r="N2411" i="1"/>
  <c r="I2411" i="1"/>
  <c r="H2411" i="1"/>
  <c r="P2410" i="1"/>
  <c r="O2410" i="1"/>
  <c r="N2410" i="1"/>
  <c r="I2410" i="1"/>
  <c r="H2410" i="1"/>
  <c r="P2409" i="1"/>
  <c r="O2409" i="1"/>
  <c r="N2409" i="1"/>
  <c r="I2409" i="1"/>
  <c r="H2409" i="1"/>
  <c r="P2408" i="1"/>
  <c r="O2408" i="1"/>
  <c r="N2408" i="1"/>
  <c r="I2408" i="1"/>
  <c r="H2408" i="1"/>
  <c r="P2407" i="1"/>
  <c r="O2407" i="1"/>
  <c r="N2407" i="1"/>
  <c r="I2407" i="1"/>
  <c r="H2407" i="1"/>
  <c r="P2406" i="1"/>
  <c r="O2406" i="1"/>
  <c r="N2406" i="1"/>
  <c r="I2406" i="1"/>
  <c r="P2405" i="1"/>
  <c r="O2405" i="1"/>
  <c r="I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Q2001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Q1981" i="1"/>
  <c r="P1981" i="1"/>
  <c r="O1981" i="1"/>
  <c r="Q1980" i="1"/>
  <c r="P1980" i="1"/>
  <c r="O1980" i="1"/>
  <c r="Q1979" i="1"/>
  <c r="P1979" i="1"/>
  <c r="O1979" i="1"/>
  <c r="Q1978" i="1"/>
  <c r="P1978" i="1"/>
  <c r="O1978" i="1"/>
  <c r="Q1977" i="1"/>
  <c r="P1977" i="1"/>
  <c r="O1977" i="1"/>
  <c r="Q1976" i="1"/>
  <c r="P1976" i="1"/>
  <c r="O1976" i="1"/>
  <c r="Q1975" i="1"/>
  <c r="P1975" i="1"/>
  <c r="O1975" i="1"/>
  <c r="Q1974" i="1"/>
  <c r="P1974" i="1"/>
  <c r="O1974" i="1"/>
  <c r="Q1973" i="1"/>
  <c r="P1973" i="1"/>
  <c r="O1973" i="1"/>
  <c r="Q1972" i="1"/>
  <c r="P1972" i="1"/>
  <c r="O1972" i="1"/>
  <c r="Q1971" i="1"/>
  <c r="P1971" i="1"/>
  <c r="O1971" i="1"/>
  <c r="Q1970" i="1"/>
  <c r="P1970" i="1"/>
  <c r="O1970" i="1"/>
  <c r="Q1969" i="1"/>
  <c r="P1969" i="1"/>
  <c r="O1969" i="1"/>
  <c r="Q1968" i="1"/>
  <c r="P1968" i="1"/>
  <c r="O1968" i="1"/>
  <c r="Q1967" i="1"/>
  <c r="P1967" i="1"/>
  <c r="O1967" i="1"/>
  <c r="Q1966" i="1"/>
  <c r="P1966" i="1"/>
  <c r="O1966" i="1"/>
  <c r="Q1965" i="1"/>
  <c r="P1965" i="1"/>
  <c r="O1965" i="1"/>
  <c r="Q1964" i="1"/>
  <c r="P1964" i="1"/>
  <c r="O1964" i="1"/>
  <c r="Q1963" i="1"/>
  <c r="P1963" i="1"/>
  <c r="O1963" i="1"/>
  <c r="Q1962" i="1"/>
  <c r="P1962" i="1"/>
  <c r="O1962" i="1"/>
  <c r="Q1961" i="1"/>
  <c r="P1961" i="1"/>
  <c r="O1961" i="1"/>
  <c r="Q1960" i="1"/>
  <c r="P1960" i="1"/>
  <c r="O1960" i="1"/>
  <c r="Q1959" i="1"/>
  <c r="P1959" i="1"/>
  <c r="O1959" i="1"/>
  <c r="Q1958" i="1"/>
  <c r="P1958" i="1"/>
  <c r="O1958" i="1"/>
  <c r="Q1957" i="1"/>
  <c r="P1957" i="1"/>
  <c r="O1957" i="1"/>
  <c r="P1956" i="1"/>
  <c r="O1956" i="1"/>
  <c r="I1956" i="1"/>
  <c r="Q1955" i="1"/>
  <c r="P1955" i="1"/>
  <c r="O1955" i="1"/>
  <c r="I1955" i="1"/>
  <c r="Q1954" i="1"/>
  <c r="P1954" i="1"/>
  <c r="O1954" i="1"/>
  <c r="I1954" i="1"/>
  <c r="Q1953" i="1"/>
  <c r="P1953" i="1"/>
  <c r="O1953" i="1"/>
  <c r="I1953" i="1"/>
  <c r="Q1952" i="1"/>
  <c r="P1952" i="1"/>
  <c r="O1952" i="1"/>
  <c r="I1952" i="1"/>
  <c r="Q1951" i="1"/>
  <c r="P1951" i="1"/>
  <c r="O1951" i="1"/>
  <c r="I1951" i="1"/>
  <c r="Q1950" i="1"/>
  <c r="P1950" i="1"/>
  <c r="O1950" i="1"/>
  <c r="I1950" i="1"/>
  <c r="Q1949" i="1"/>
  <c r="P1949" i="1"/>
  <c r="O1949" i="1"/>
  <c r="I1949" i="1"/>
  <c r="Q1948" i="1"/>
  <c r="P1948" i="1"/>
  <c r="O1948" i="1"/>
  <c r="I1948" i="1"/>
  <c r="Q1947" i="1"/>
  <c r="P1947" i="1"/>
  <c r="O1947" i="1"/>
  <c r="I1947" i="1"/>
  <c r="Q1946" i="1"/>
  <c r="P1946" i="1"/>
  <c r="O1946" i="1"/>
  <c r="I1946" i="1"/>
  <c r="Q1945" i="1"/>
  <c r="P1945" i="1"/>
  <c r="O1945" i="1"/>
  <c r="I1945" i="1"/>
  <c r="Q1944" i="1"/>
  <c r="P1944" i="1"/>
  <c r="O1944" i="1"/>
  <c r="I1944" i="1"/>
  <c r="Q1943" i="1"/>
  <c r="P1943" i="1"/>
  <c r="O1943" i="1"/>
  <c r="I1943" i="1"/>
  <c r="Q1942" i="1"/>
  <c r="P1942" i="1"/>
  <c r="O1942" i="1"/>
  <c r="I1942" i="1"/>
  <c r="Q1941" i="1"/>
  <c r="P1941" i="1"/>
  <c r="O1941" i="1"/>
  <c r="I1941" i="1"/>
  <c r="Q1940" i="1"/>
  <c r="P1940" i="1"/>
  <c r="O1940" i="1"/>
  <c r="I1940" i="1"/>
  <c r="Q1939" i="1"/>
  <c r="P1939" i="1"/>
  <c r="O1939" i="1"/>
  <c r="I1939" i="1"/>
  <c r="Q1938" i="1"/>
  <c r="P1938" i="1"/>
  <c r="O1938" i="1"/>
  <c r="I1938" i="1"/>
  <c r="Q1937" i="1"/>
  <c r="P1937" i="1"/>
  <c r="O1937" i="1"/>
  <c r="I1937" i="1"/>
  <c r="Q1936" i="1"/>
  <c r="P1936" i="1"/>
  <c r="O1936" i="1"/>
  <c r="I1936" i="1"/>
  <c r="Q1935" i="1"/>
  <c r="P1935" i="1"/>
  <c r="O1935" i="1"/>
  <c r="I1935" i="1"/>
  <c r="Q1934" i="1"/>
  <c r="P1934" i="1"/>
  <c r="O1934" i="1"/>
  <c r="I1934" i="1"/>
  <c r="Q1933" i="1"/>
  <c r="P1933" i="1"/>
  <c r="O1933" i="1"/>
  <c r="I1933" i="1"/>
  <c r="Q1932" i="1"/>
  <c r="P1932" i="1"/>
  <c r="O1932" i="1"/>
  <c r="I1932" i="1"/>
  <c r="Q1931" i="1"/>
  <c r="P1931" i="1"/>
  <c r="O1931" i="1"/>
  <c r="I1931" i="1"/>
  <c r="Q1930" i="1"/>
  <c r="P1930" i="1"/>
  <c r="O1930" i="1"/>
  <c r="I1930" i="1"/>
  <c r="Q1929" i="1"/>
  <c r="P1929" i="1"/>
  <c r="O1929" i="1"/>
  <c r="Q1928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Q1919" i="1"/>
  <c r="P1919" i="1"/>
  <c r="O1919" i="1"/>
  <c r="Q1918" i="1"/>
  <c r="P1918" i="1"/>
  <c r="O1918" i="1"/>
  <c r="Q1917" i="1"/>
  <c r="P1917" i="1"/>
  <c r="O1917" i="1"/>
  <c r="P1916" i="1"/>
  <c r="O1916" i="1"/>
  <c r="P1915" i="1"/>
  <c r="O1915" i="1"/>
  <c r="I1915" i="1"/>
  <c r="P1914" i="1"/>
  <c r="O1914" i="1"/>
  <c r="I1914" i="1"/>
  <c r="P1913" i="1"/>
  <c r="O1913" i="1"/>
  <c r="I1913" i="1"/>
  <c r="P1912" i="1"/>
  <c r="O1912" i="1"/>
  <c r="I1912" i="1"/>
  <c r="P1911" i="1"/>
  <c r="O1911" i="1"/>
  <c r="I1911" i="1"/>
  <c r="Q1910" i="1"/>
  <c r="P1910" i="1"/>
  <c r="O1910" i="1"/>
  <c r="I1910" i="1"/>
  <c r="Q1909" i="1"/>
  <c r="P1909" i="1"/>
  <c r="O1909" i="1"/>
  <c r="I1909" i="1"/>
  <c r="Q1908" i="1"/>
  <c r="P1908" i="1"/>
  <c r="O1908" i="1"/>
  <c r="I1908" i="1"/>
  <c r="Q1907" i="1"/>
  <c r="P1907" i="1"/>
  <c r="O1907" i="1"/>
  <c r="Q1906" i="1"/>
  <c r="P1906" i="1"/>
  <c r="O1906" i="1"/>
  <c r="Q1905" i="1"/>
  <c r="P1905" i="1"/>
  <c r="O1905" i="1"/>
  <c r="Q1904" i="1"/>
  <c r="P1904" i="1"/>
  <c r="O1904" i="1"/>
  <c r="Q1903" i="1"/>
  <c r="P1903" i="1"/>
  <c r="O1903" i="1"/>
  <c r="Q1902" i="1"/>
  <c r="P1902" i="1"/>
  <c r="O1902" i="1"/>
  <c r="Q1901" i="1"/>
  <c r="P1901" i="1"/>
  <c r="O1901" i="1"/>
  <c r="Q1900" i="1"/>
  <c r="P1900" i="1"/>
  <c r="O1900" i="1"/>
  <c r="Q1899" i="1"/>
  <c r="P1899" i="1"/>
  <c r="O1899" i="1"/>
  <c r="Q1898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Q1884" i="1"/>
  <c r="P1884" i="1"/>
  <c r="O1884" i="1"/>
  <c r="Q1883" i="1"/>
  <c r="P1883" i="1"/>
  <c r="O1883" i="1"/>
  <c r="Q1882" i="1"/>
  <c r="P1882" i="1"/>
  <c r="O1882" i="1"/>
  <c r="Q1881" i="1"/>
  <c r="P1881" i="1"/>
  <c r="O1881" i="1"/>
  <c r="Q1880" i="1"/>
  <c r="P1880" i="1"/>
  <c r="O1880" i="1"/>
  <c r="Q1879" i="1"/>
  <c r="P1879" i="1"/>
  <c r="O1879" i="1"/>
  <c r="Q1878" i="1"/>
  <c r="P1878" i="1"/>
  <c r="O1878" i="1"/>
  <c r="Q1877" i="1"/>
  <c r="P1877" i="1"/>
  <c r="O1877" i="1"/>
  <c r="Q1876" i="1"/>
  <c r="P1876" i="1"/>
  <c r="O1876" i="1"/>
  <c r="Q1875" i="1"/>
  <c r="P1875" i="1"/>
  <c r="O1875" i="1"/>
  <c r="N1875" i="1"/>
  <c r="Q1874" i="1"/>
  <c r="P1874" i="1"/>
  <c r="O1874" i="1"/>
  <c r="N1874" i="1"/>
  <c r="Q1873" i="1"/>
  <c r="P1873" i="1"/>
  <c r="O1873" i="1"/>
  <c r="N1873" i="1"/>
  <c r="Q1872" i="1"/>
  <c r="P1872" i="1"/>
  <c r="O1872" i="1"/>
  <c r="N1872" i="1"/>
  <c r="Q1871" i="1"/>
  <c r="P1871" i="1"/>
  <c r="O1871" i="1"/>
  <c r="N1871" i="1"/>
  <c r="I1871" i="1"/>
  <c r="Q1870" i="1"/>
  <c r="P1870" i="1"/>
  <c r="O1870" i="1"/>
  <c r="N1870" i="1"/>
  <c r="I1870" i="1"/>
  <c r="Q1869" i="1"/>
  <c r="P1869" i="1"/>
  <c r="O1869" i="1"/>
  <c r="N1869" i="1"/>
  <c r="I1869" i="1"/>
  <c r="Q1868" i="1"/>
  <c r="P1868" i="1"/>
  <c r="O1868" i="1"/>
  <c r="N1868" i="1"/>
  <c r="I1868" i="1"/>
  <c r="Q1867" i="1"/>
  <c r="P1867" i="1"/>
  <c r="O1867" i="1"/>
  <c r="N1867" i="1"/>
  <c r="I1867" i="1"/>
  <c r="Q1866" i="1"/>
  <c r="P1866" i="1"/>
  <c r="O1866" i="1"/>
  <c r="N1866" i="1"/>
  <c r="I1866" i="1"/>
  <c r="Q1865" i="1"/>
  <c r="P1865" i="1"/>
  <c r="O1865" i="1"/>
  <c r="N1865" i="1"/>
  <c r="I1865" i="1"/>
  <c r="Q1864" i="1"/>
  <c r="P1864" i="1"/>
  <c r="O1864" i="1"/>
  <c r="N1864" i="1"/>
  <c r="I1864" i="1"/>
  <c r="Q1863" i="1"/>
  <c r="P1863" i="1"/>
  <c r="O1863" i="1"/>
  <c r="N1863" i="1"/>
  <c r="I1863" i="1"/>
  <c r="Q1862" i="1"/>
  <c r="P1862" i="1"/>
  <c r="O1862" i="1"/>
  <c r="N1862" i="1"/>
  <c r="Q1861" i="1"/>
  <c r="P1861" i="1"/>
  <c r="O1861" i="1"/>
  <c r="N1861" i="1"/>
  <c r="Q1860" i="1"/>
  <c r="P1860" i="1"/>
  <c r="O1860" i="1"/>
  <c r="N1860" i="1"/>
  <c r="Q1859" i="1"/>
  <c r="P1859" i="1"/>
  <c r="O1859" i="1"/>
  <c r="N1859" i="1"/>
  <c r="Q1858" i="1"/>
  <c r="P1858" i="1"/>
  <c r="O1858" i="1"/>
  <c r="N1858" i="1"/>
  <c r="Q1857" i="1"/>
  <c r="P1857" i="1"/>
  <c r="O1857" i="1"/>
  <c r="N1857" i="1"/>
  <c r="Q1856" i="1"/>
  <c r="P1856" i="1"/>
  <c r="O1856" i="1"/>
  <c r="N1856" i="1"/>
  <c r="Q1855" i="1"/>
  <c r="P1855" i="1"/>
  <c r="O1855" i="1"/>
  <c r="N1855" i="1"/>
  <c r="Q1854" i="1"/>
  <c r="P1854" i="1"/>
  <c r="O1854" i="1"/>
  <c r="N1854" i="1"/>
  <c r="Q1853" i="1"/>
  <c r="P1853" i="1"/>
  <c r="O1853" i="1"/>
  <c r="Q1852" i="1"/>
  <c r="P1852" i="1"/>
  <c r="O1852" i="1"/>
  <c r="Q1851" i="1"/>
  <c r="P1851" i="1"/>
  <c r="O1851" i="1"/>
  <c r="Q1850" i="1"/>
  <c r="P1850" i="1"/>
  <c r="O1850" i="1"/>
  <c r="Q1849" i="1"/>
  <c r="P1849" i="1"/>
  <c r="O1849" i="1"/>
  <c r="Q1848" i="1"/>
  <c r="P1848" i="1"/>
  <c r="O1848" i="1"/>
  <c r="Q1847" i="1"/>
  <c r="P1847" i="1"/>
  <c r="O1847" i="1"/>
  <c r="Q1846" i="1"/>
  <c r="P1846" i="1"/>
  <c r="O1846" i="1"/>
  <c r="Q1845" i="1"/>
  <c r="P1845" i="1"/>
  <c r="O1845" i="1"/>
  <c r="Q1844" i="1"/>
  <c r="P1844" i="1"/>
  <c r="O1844" i="1"/>
  <c r="Q1843" i="1"/>
  <c r="P1843" i="1"/>
  <c r="O1843" i="1"/>
  <c r="Q1842" i="1"/>
  <c r="P1842" i="1"/>
  <c r="O1842" i="1"/>
  <c r="Q1841" i="1"/>
  <c r="P1841" i="1"/>
  <c r="O1841" i="1"/>
  <c r="Q1840" i="1"/>
  <c r="P1840" i="1"/>
  <c r="O1840" i="1"/>
  <c r="Q1839" i="1"/>
  <c r="P1839" i="1"/>
  <c r="O1839" i="1"/>
  <c r="Q1838" i="1"/>
  <c r="P1838" i="1"/>
  <c r="O1838" i="1"/>
  <c r="Q1837" i="1"/>
  <c r="P1837" i="1"/>
  <c r="O1837" i="1"/>
  <c r="Q1836" i="1"/>
  <c r="P1836" i="1"/>
  <c r="O1836" i="1"/>
  <c r="Q1835" i="1"/>
  <c r="P1835" i="1"/>
  <c r="O1835" i="1"/>
  <c r="Q1834" i="1"/>
  <c r="P1834" i="1"/>
  <c r="O1834" i="1"/>
  <c r="Q1833" i="1"/>
  <c r="P1833" i="1"/>
  <c r="O1833" i="1"/>
  <c r="Q1832" i="1"/>
  <c r="P1832" i="1"/>
  <c r="O1832" i="1"/>
  <c r="Q1831" i="1"/>
  <c r="P1831" i="1"/>
  <c r="O1831" i="1"/>
  <c r="Q1830" i="1"/>
  <c r="P1830" i="1"/>
  <c r="O1830" i="1"/>
  <c r="Q1829" i="1"/>
  <c r="P1829" i="1"/>
  <c r="O1829" i="1"/>
  <c r="Q1828" i="1"/>
  <c r="P1828" i="1"/>
  <c r="O1828" i="1"/>
  <c r="Q1827" i="1"/>
  <c r="P1827" i="1"/>
  <c r="O1827" i="1"/>
  <c r="Q1826" i="1"/>
  <c r="P1826" i="1"/>
  <c r="O1826" i="1"/>
  <c r="Q1825" i="1"/>
  <c r="P1825" i="1"/>
  <c r="O1825" i="1"/>
  <c r="Q1824" i="1"/>
  <c r="P1824" i="1"/>
  <c r="O1824" i="1"/>
  <c r="Q1823" i="1"/>
  <c r="P1823" i="1"/>
  <c r="O1823" i="1"/>
  <c r="Q1822" i="1"/>
  <c r="P1822" i="1"/>
  <c r="O1822" i="1"/>
  <c r="Q1821" i="1"/>
  <c r="P1821" i="1"/>
  <c r="O1821" i="1"/>
  <c r="Q1820" i="1"/>
  <c r="P1820" i="1"/>
  <c r="O1820" i="1"/>
  <c r="Q1819" i="1"/>
  <c r="P1819" i="1"/>
  <c r="O1819" i="1"/>
  <c r="Q1818" i="1"/>
  <c r="P1818" i="1"/>
  <c r="O1818" i="1"/>
  <c r="Q1817" i="1"/>
  <c r="P1817" i="1"/>
  <c r="O1817" i="1"/>
  <c r="Q1816" i="1"/>
  <c r="P1816" i="1"/>
  <c r="O1816" i="1"/>
  <c r="Q1815" i="1"/>
  <c r="P1815" i="1"/>
  <c r="O1815" i="1"/>
  <c r="Q1814" i="1"/>
  <c r="P1814" i="1"/>
  <c r="O1814" i="1"/>
  <c r="Q1813" i="1"/>
  <c r="P1813" i="1"/>
  <c r="O1813" i="1"/>
  <c r="Q1812" i="1"/>
  <c r="P1812" i="1"/>
  <c r="O1812" i="1"/>
  <c r="Q1811" i="1"/>
  <c r="P1811" i="1"/>
  <c r="O1811" i="1"/>
  <c r="Q1810" i="1"/>
  <c r="P1810" i="1"/>
  <c r="O1810" i="1"/>
  <c r="Q1809" i="1"/>
  <c r="P1809" i="1"/>
  <c r="O1809" i="1"/>
  <c r="Q1808" i="1"/>
  <c r="P1808" i="1"/>
  <c r="O1808" i="1"/>
  <c r="Q1807" i="1"/>
  <c r="P1807" i="1"/>
  <c r="O1807" i="1"/>
  <c r="Q1806" i="1"/>
  <c r="P1806" i="1"/>
  <c r="O1806" i="1"/>
  <c r="Q1805" i="1"/>
  <c r="P1805" i="1"/>
  <c r="O1805" i="1"/>
  <c r="Q1804" i="1"/>
  <c r="P1804" i="1"/>
  <c r="O1804" i="1"/>
  <c r="Q1803" i="1"/>
  <c r="P1803" i="1"/>
  <c r="O1803" i="1"/>
  <c r="Q1802" i="1"/>
  <c r="P1802" i="1"/>
  <c r="O1802" i="1"/>
  <c r="Q1801" i="1"/>
  <c r="P1801" i="1"/>
  <c r="O1801" i="1"/>
  <c r="Q1800" i="1"/>
  <c r="P1800" i="1"/>
  <c r="O1800" i="1"/>
  <c r="Q1799" i="1"/>
  <c r="P1799" i="1"/>
  <c r="O1799" i="1"/>
  <c r="Q1798" i="1"/>
  <c r="P1798" i="1"/>
  <c r="O1798" i="1"/>
  <c r="Q1797" i="1"/>
  <c r="P1797" i="1"/>
  <c r="O1797" i="1"/>
  <c r="Q1796" i="1"/>
  <c r="P1796" i="1"/>
  <c r="O1796" i="1"/>
  <c r="Q1795" i="1"/>
  <c r="P1795" i="1"/>
  <c r="O1795" i="1"/>
  <c r="Q1794" i="1"/>
  <c r="P1794" i="1"/>
  <c r="O1794" i="1"/>
  <c r="Q1793" i="1"/>
  <c r="P1793" i="1"/>
  <c r="O1793" i="1"/>
  <c r="Q1792" i="1"/>
  <c r="P1792" i="1"/>
  <c r="O1792" i="1"/>
  <c r="Q1791" i="1"/>
  <c r="P1791" i="1"/>
  <c r="O1791" i="1"/>
  <c r="Q1790" i="1"/>
  <c r="P1790" i="1"/>
  <c r="O1790" i="1"/>
  <c r="Q1789" i="1"/>
  <c r="P1789" i="1"/>
  <c r="O1789" i="1"/>
  <c r="Q1788" i="1"/>
  <c r="P1788" i="1"/>
  <c r="O1788" i="1"/>
  <c r="Q1787" i="1"/>
  <c r="P1787" i="1"/>
  <c r="O1787" i="1"/>
  <c r="Q1786" i="1"/>
  <c r="P1786" i="1"/>
  <c r="O1786" i="1"/>
  <c r="Q1785" i="1"/>
  <c r="P1785" i="1"/>
  <c r="O1785" i="1"/>
  <c r="Q1784" i="1"/>
  <c r="P1784" i="1"/>
  <c r="O1784" i="1"/>
  <c r="Q1783" i="1"/>
  <c r="P1783" i="1"/>
  <c r="O1783" i="1"/>
  <c r="Q1782" i="1"/>
  <c r="P1782" i="1"/>
  <c r="O1782" i="1"/>
  <c r="Q1781" i="1"/>
  <c r="P1781" i="1"/>
  <c r="O1781" i="1"/>
  <c r="Q1780" i="1"/>
  <c r="P1780" i="1"/>
  <c r="O1780" i="1"/>
  <c r="Q1779" i="1"/>
  <c r="P1779" i="1"/>
  <c r="O1779" i="1"/>
  <c r="Q1778" i="1"/>
  <c r="P1778" i="1"/>
  <c r="O1778" i="1"/>
  <c r="Q1777" i="1"/>
  <c r="P1777" i="1"/>
  <c r="O1777" i="1"/>
  <c r="Q1776" i="1"/>
  <c r="P1776" i="1"/>
  <c r="O1776" i="1"/>
  <c r="Q1775" i="1"/>
  <c r="P1775" i="1"/>
  <c r="O1775" i="1"/>
  <c r="Q1774" i="1"/>
  <c r="P1774" i="1"/>
  <c r="O1774" i="1"/>
  <c r="Q1773" i="1"/>
  <c r="P1773" i="1"/>
  <c r="O1773" i="1"/>
  <c r="Q1772" i="1"/>
  <c r="P1772" i="1"/>
  <c r="O1772" i="1"/>
  <c r="Q1771" i="1"/>
  <c r="P1771" i="1"/>
  <c r="O1771" i="1"/>
  <c r="Q1770" i="1"/>
  <c r="P1770" i="1"/>
  <c r="O1770" i="1"/>
  <c r="Q1769" i="1"/>
  <c r="P1769" i="1"/>
  <c r="O1769" i="1"/>
  <c r="Q1768" i="1"/>
  <c r="P1768" i="1"/>
  <c r="O1768" i="1"/>
  <c r="Q1767" i="1"/>
  <c r="P1767" i="1"/>
  <c r="O1767" i="1"/>
  <c r="Q1766" i="1"/>
  <c r="P1766" i="1"/>
  <c r="O1766" i="1"/>
  <c r="Q1765" i="1"/>
  <c r="P1765" i="1"/>
  <c r="O1765" i="1"/>
  <c r="Q1764" i="1"/>
  <c r="P1764" i="1"/>
  <c r="O1764" i="1"/>
  <c r="Q1763" i="1"/>
  <c r="P1763" i="1"/>
  <c r="O1763" i="1"/>
  <c r="Q1762" i="1"/>
  <c r="P1762" i="1"/>
  <c r="O1762" i="1"/>
  <c r="Q1761" i="1"/>
  <c r="P1761" i="1"/>
  <c r="O1761" i="1"/>
  <c r="Q1760" i="1"/>
  <c r="P1760" i="1"/>
  <c r="O1760" i="1"/>
  <c r="Q1759" i="1"/>
  <c r="P1759" i="1"/>
  <c r="O1759" i="1"/>
  <c r="Q1758" i="1"/>
  <c r="P1758" i="1"/>
  <c r="O1758" i="1"/>
  <c r="Q1757" i="1"/>
  <c r="P1757" i="1"/>
  <c r="O1757" i="1"/>
  <c r="Q1756" i="1"/>
  <c r="P1756" i="1"/>
  <c r="O1756" i="1"/>
  <c r="Q1755" i="1"/>
  <c r="P1755" i="1"/>
  <c r="O1755" i="1"/>
  <c r="Q1754" i="1"/>
  <c r="P1754" i="1"/>
  <c r="O1754" i="1"/>
  <c r="Q1753" i="1"/>
  <c r="P1753" i="1"/>
  <c r="O1753" i="1"/>
  <c r="Q1752" i="1"/>
  <c r="P1752" i="1"/>
  <c r="O1752" i="1"/>
  <c r="Q1751" i="1"/>
  <c r="P1751" i="1"/>
  <c r="O1751" i="1"/>
  <c r="Q1750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O1742" i="1"/>
  <c r="O1741" i="1"/>
  <c r="O1740" i="1"/>
  <c r="O1739" i="1"/>
  <c r="O1738" i="1"/>
  <c r="O1737" i="1"/>
  <c r="O1736" i="1"/>
  <c r="O1735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Q1574" i="1"/>
  <c r="P1574" i="1"/>
  <c r="O1574" i="1"/>
  <c r="Q1573" i="1"/>
  <c r="P1573" i="1"/>
  <c r="O1573" i="1"/>
  <c r="Q1572" i="1"/>
  <c r="P1572" i="1"/>
  <c r="O1572" i="1"/>
  <c r="Q1571" i="1"/>
  <c r="P1571" i="1"/>
  <c r="O1571" i="1"/>
  <c r="Q1570" i="1"/>
  <c r="P1570" i="1"/>
  <c r="O1570" i="1"/>
  <c r="Q1569" i="1"/>
  <c r="P1569" i="1"/>
  <c r="O1569" i="1"/>
  <c r="Q1568" i="1"/>
  <c r="P1568" i="1"/>
  <c r="O1568" i="1"/>
  <c r="Q1567" i="1"/>
  <c r="P1567" i="1"/>
  <c r="O1567" i="1"/>
  <c r="Q1566" i="1"/>
  <c r="P1566" i="1"/>
  <c r="O1566" i="1"/>
  <c r="V1565" i="1"/>
  <c r="Q1565" i="1"/>
  <c r="P1565" i="1"/>
  <c r="O1565" i="1"/>
  <c r="V1564" i="1"/>
  <c r="Q1564" i="1"/>
  <c r="P1564" i="1"/>
  <c r="O1564" i="1"/>
  <c r="V1563" i="1"/>
  <c r="Q1563" i="1"/>
  <c r="P1563" i="1"/>
  <c r="O1563" i="1"/>
  <c r="V1562" i="1"/>
  <c r="Q1562" i="1"/>
  <c r="P1562" i="1"/>
  <c r="O1562" i="1"/>
  <c r="V1561" i="1"/>
  <c r="Q1561" i="1"/>
  <c r="P1561" i="1"/>
  <c r="O1561" i="1"/>
  <c r="V1560" i="1"/>
  <c r="Q1560" i="1"/>
  <c r="P1560" i="1"/>
  <c r="O1560" i="1"/>
  <c r="V1559" i="1"/>
  <c r="Q1559" i="1"/>
  <c r="P1559" i="1"/>
  <c r="O1559" i="1"/>
  <c r="V1558" i="1"/>
  <c r="Q1558" i="1"/>
  <c r="P1558" i="1"/>
  <c r="O1558" i="1"/>
  <c r="V1557" i="1"/>
  <c r="Q1557" i="1"/>
  <c r="P1557" i="1"/>
  <c r="O1557" i="1"/>
  <c r="V1556" i="1"/>
  <c r="Q1556" i="1"/>
  <c r="P1556" i="1"/>
  <c r="O1556" i="1"/>
  <c r="V1555" i="1"/>
  <c r="Q1555" i="1"/>
  <c r="P1555" i="1"/>
  <c r="O1555" i="1"/>
  <c r="V1554" i="1"/>
  <c r="Q1554" i="1"/>
  <c r="P1554" i="1"/>
  <c r="O1554" i="1"/>
  <c r="N1554" i="1"/>
  <c r="V1553" i="1"/>
  <c r="Q1553" i="1"/>
  <c r="P1553" i="1"/>
  <c r="O1553" i="1"/>
  <c r="N1553" i="1"/>
  <c r="V1552" i="1"/>
  <c r="Q1552" i="1"/>
  <c r="P1552" i="1"/>
  <c r="O1552" i="1"/>
  <c r="N1552" i="1"/>
  <c r="V1551" i="1"/>
  <c r="Q1551" i="1"/>
  <c r="P1551" i="1"/>
  <c r="O1551" i="1"/>
  <c r="N1551" i="1"/>
  <c r="I1551" i="1"/>
  <c r="V1550" i="1"/>
  <c r="Q1550" i="1"/>
  <c r="P1550" i="1"/>
  <c r="O1550" i="1"/>
  <c r="N1550" i="1"/>
  <c r="I1550" i="1"/>
  <c r="H1550" i="1"/>
  <c r="V1549" i="1"/>
  <c r="Q1549" i="1"/>
  <c r="P1549" i="1"/>
  <c r="O1549" i="1"/>
  <c r="N1549" i="1"/>
  <c r="I1549" i="1"/>
  <c r="H1549" i="1"/>
  <c r="V1548" i="1"/>
  <c r="Q1548" i="1"/>
  <c r="P1548" i="1"/>
  <c r="O1548" i="1"/>
  <c r="N1548" i="1"/>
  <c r="I1548" i="1"/>
  <c r="H1548" i="1"/>
  <c r="V1547" i="1"/>
  <c r="Q1547" i="1"/>
  <c r="P1547" i="1"/>
  <c r="O1547" i="1"/>
  <c r="N1547" i="1"/>
  <c r="I1547" i="1"/>
  <c r="H1547" i="1"/>
  <c r="V1546" i="1"/>
  <c r="Q1546" i="1"/>
  <c r="P1546" i="1"/>
  <c r="O1546" i="1"/>
  <c r="N1546" i="1"/>
  <c r="I1546" i="1"/>
  <c r="H1546" i="1"/>
  <c r="G1546" i="1"/>
  <c r="V1545" i="1"/>
  <c r="Q1545" i="1"/>
  <c r="P1545" i="1"/>
  <c r="O1545" i="1"/>
  <c r="N1545" i="1"/>
  <c r="I1545" i="1"/>
  <c r="H1545" i="1"/>
  <c r="G1545" i="1"/>
  <c r="V1544" i="1"/>
  <c r="Q1544" i="1"/>
  <c r="P1544" i="1"/>
  <c r="O1544" i="1"/>
  <c r="N1544" i="1"/>
  <c r="I1544" i="1"/>
  <c r="H1544" i="1"/>
  <c r="V1543" i="1"/>
  <c r="Q1543" i="1"/>
  <c r="P1543" i="1"/>
  <c r="O1543" i="1"/>
  <c r="N1543" i="1"/>
  <c r="I1543" i="1"/>
  <c r="H1543" i="1"/>
  <c r="V1542" i="1"/>
  <c r="Q1542" i="1"/>
  <c r="P1542" i="1"/>
  <c r="O1542" i="1"/>
  <c r="N1542" i="1"/>
  <c r="I1542" i="1"/>
  <c r="H1542" i="1"/>
  <c r="V1541" i="1"/>
  <c r="Q1541" i="1"/>
  <c r="P1541" i="1"/>
  <c r="O1541" i="1"/>
  <c r="N1541" i="1"/>
  <c r="V1540" i="1"/>
  <c r="Q1540" i="1"/>
  <c r="P1540" i="1"/>
  <c r="O1540" i="1"/>
  <c r="N1540" i="1"/>
  <c r="V1539" i="1"/>
  <c r="Q1539" i="1"/>
  <c r="P1539" i="1"/>
  <c r="O1539" i="1"/>
  <c r="N1539" i="1"/>
  <c r="V1538" i="1"/>
  <c r="Q1538" i="1"/>
  <c r="P1538" i="1"/>
  <c r="O1538" i="1"/>
  <c r="N1538" i="1"/>
  <c r="V1537" i="1"/>
  <c r="Q1537" i="1"/>
  <c r="P1537" i="1"/>
  <c r="O1537" i="1"/>
  <c r="N1537" i="1"/>
  <c r="V1536" i="1"/>
  <c r="Q1536" i="1"/>
  <c r="P1536" i="1"/>
  <c r="O1536" i="1"/>
  <c r="N1536" i="1"/>
  <c r="Q1535" i="1"/>
  <c r="P1535" i="1"/>
  <c r="O1535" i="1"/>
  <c r="N1535" i="1"/>
  <c r="Q1534" i="1"/>
  <c r="P1534" i="1"/>
  <c r="O1534" i="1"/>
  <c r="N1534" i="1"/>
  <c r="Q1533" i="1"/>
  <c r="P1533" i="1"/>
  <c r="O1533" i="1"/>
  <c r="N1533" i="1"/>
  <c r="Q1532" i="1"/>
  <c r="P1532" i="1"/>
  <c r="O1532" i="1"/>
  <c r="N1532" i="1"/>
  <c r="Q1531" i="1"/>
  <c r="P1531" i="1"/>
  <c r="O1531" i="1"/>
  <c r="Q1530" i="1"/>
  <c r="P1530" i="1"/>
  <c r="O1530" i="1"/>
  <c r="Q1529" i="1"/>
  <c r="P1529" i="1"/>
  <c r="O1529" i="1"/>
  <c r="Q1528" i="1"/>
  <c r="P1528" i="1"/>
  <c r="O1528" i="1"/>
  <c r="Q1527" i="1"/>
  <c r="P1527" i="1"/>
  <c r="O1527" i="1"/>
  <c r="Q1526" i="1"/>
  <c r="P1526" i="1"/>
  <c r="O1526" i="1"/>
  <c r="Q1525" i="1"/>
  <c r="P1525" i="1"/>
  <c r="O1525" i="1"/>
  <c r="Q1524" i="1"/>
  <c r="P1524" i="1"/>
  <c r="O1524" i="1"/>
  <c r="Q1523" i="1"/>
  <c r="P1523" i="1"/>
  <c r="O1523" i="1"/>
  <c r="Q1522" i="1"/>
  <c r="P1522" i="1"/>
  <c r="O1522" i="1"/>
  <c r="Q1521" i="1"/>
  <c r="P1521" i="1"/>
  <c r="O1521" i="1"/>
  <c r="Q1520" i="1"/>
  <c r="P1520" i="1"/>
  <c r="O1520" i="1"/>
  <c r="Q1519" i="1"/>
  <c r="P1519" i="1"/>
  <c r="O1519" i="1"/>
  <c r="Q1518" i="1"/>
  <c r="P1518" i="1"/>
  <c r="O1518" i="1"/>
  <c r="Q1517" i="1"/>
  <c r="P1517" i="1"/>
  <c r="O1517" i="1"/>
  <c r="Q1516" i="1"/>
  <c r="P1516" i="1"/>
  <c r="O1516" i="1"/>
  <c r="Q1515" i="1"/>
  <c r="P1515" i="1"/>
  <c r="O1515" i="1"/>
  <c r="Q1514" i="1"/>
  <c r="P1514" i="1"/>
  <c r="O1514" i="1"/>
  <c r="Q1513" i="1"/>
  <c r="P1513" i="1"/>
  <c r="O1513" i="1"/>
  <c r="Q1512" i="1"/>
  <c r="P1512" i="1"/>
  <c r="O1512" i="1"/>
  <c r="Q1511" i="1"/>
  <c r="P1511" i="1"/>
  <c r="O1511" i="1"/>
  <c r="Q1510" i="1"/>
  <c r="P1510" i="1"/>
  <c r="O1510" i="1"/>
  <c r="Q1509" i="1"/>
  <c r="P1509" i="1"/>
  <c r="O1509" i="1"/>
  <c r="Q1508" i="1"/>
  <c r="P1508" i="1"/>
  <c r="O1508" i="1"/>
  <c r="Q1507" i="1"/>
  <c r="P1507" i="1"/>
  <c r="O1507" i="1"/>
  <c r="Q1506" i="1"/>
  <c r="P1506" i="1"/>
  <c r="O1506" i="1"/>
  <c r="Q1505" i="1"/>
  <c r="P1505" i="1"/>
  <c r="O1505" i="1"/>
  <c r="Q1504" i="1"/>
  <c r="P1504" i="1"/>
  <c r="O1504" i="1"/>
  <c r="Q1503" i="1"/>
  <c r="P1503" i="1"/>
  <c r="O1503" i="1"/>
  <c r="Q1502" i="1"/>
  <c r="P1502" i="1"/>
  <c r="O1502" i="1"/>
  <c r="Q1501" i="1"/>
  <c r="P1501" i="1"/>
  <c r="O1501" i="1"/>
  <c r="Q1500" i="1"/>
  <c r="P1500" i="1"/>
  <c r="O1500" i="1"/>
  <c r="Q1499" i="1"/>
  <c r="P1499" i="1"/>
  <c r="O1499" i="1"/>
  <c r="Q1498" i="1"/>
  <c r="P1498" i="1"/>
  <c r="O1498" i="1"/>
  <c r="Q1497" i="1"/>
  <c r="P1497" i="1"/>
  <c r="O1497" i="1"/>
  <c r="Q1496" i="1"/>
  <c r="P1496" i="1"/>
  <c r="O1496" i="1"/>
  <c r="Q1495" i="1"/>
  <c r="P1495" i="1"/>
  <c r="O1495" i="1"/>
  <c r="Q1494" i="1"/>
  <c r="P1494" i="1"/>
  <c r="O1494" i="1"/>
  <c r="Q1493" i="1"/>
  <c r="P1493" i="1"/>
  <c r="O1493" i="1"/>
  <c r="Q1492" i="1"/>
  <c r="P1492" i="1"/>
  <c r="O1492" i="1"/>
  <c r="Q1491" i="1"/>
  <c r="P1491" i="1"/>
  <c r="O1491" i="1"/>
  <c r="Q1490" i="1"/>
  <c r="P1490" i="1"/>
  <c r="O1490" i="1"/>
  <c r="Q1489" i="1"/>
  <c r="P1489" i="1"/>
  <c r="O1489" i="1"/>
  <c r="Q1488" i="1"/>
  <c r="P1488" i="1"/>
  <c r="O1488" i="1"/>
  <c r="Q1487" i="1"/>
  <c r="P1487" i="1"/>
  <c r="O1487" i="1"/>
  <c r="Q1486" i="1"/>
  <c r="P1486" i="1"/>
  <c r="O1486" i="1"/>
  <c r="Q1485" i="1"/>
  <c r="P1485" i="1"/>
  <c r="O1485" i="1"/>
  <c r="Q1484" i="1"/>
  <c r="P1484" i="1"/>
  <c r="O1484" i="1"/>
  <c r="Q1483" i="1"/>
  <c r="P1483" i="1"/>
  <c r="O1483" i="1"/>
  <c r="Q1482" i="1"/>
  <c r="P1482" i="1"/>
  <c r="O1482" i="1"/>
  <c r="Q1481" i="1"/>
  <c r="P1481" i="1"/>
  <c r="O1481" i="1"/>
  <c r="Q1480" i="1"/>
  <c r="P1480" i="1"/>
  <c r="O1480" i="1"/>
  <c r="Q1479" i="1"/>
  <c r="P1479" i="1"/>
  <c r="O1479" i="1"/>
  <c r="Q1478" i="1"/>
  <c r="P1478" i="1"/>
  <c r="O1478" i="1"/>
  <c r="Q1477" i="1"/>
  <c r="P1477" i="1"/>
  <c r="O1477" i="1"/>
  <c r="Q1476" i="1"/>
  <c r="P1476" i="1"/>
  <c r="O1476" i="1"/>
  <c r="Q1475" i="1"/>
  <c r="P1475" i="1"/>
  <c r="O1475" i="1"/>
  <c r="Q1474" i="1"/>
  <c r="P1474" i="1"/>
  <c r="O1474" i="1"/>
  <c r="Q1473" i="1"/>
  <c r="P1473" i="1"/>
  <c r="O1473" i="1"/>
  <c r="Q1472" i="1"/>
  <c r="P1472" i="1"/>
  <c r="O1472" i="1"/>
  <c r="Q1471" i="1"/>
  <c r="P1471" i="1"/>
  <c r="O1471" i="1"/>
  <c r="Q1470" i="1"/>
  <c r="P1470" i="1"/>
  <c r="O1470" i="1"/>
  <c r="Q1469" i="1"/>
  <c r="P1469" i="1"/>
  <c r="O1469" i="1"/>
  <c r="Q1468" i="1"/>
  <c r="P1468" i="1"/>
  <c r="O1468" i="1"/>
  <c r="Q1467" i="1"/>
  <c r="P1467" i="1"/>
  <c r="O1467" i="1"/>
  <c r="Q1466" i="1"/>
  <c r="P1466" i="1"/>
  <c r="O1466" i="1"/>
  <c r="Q1465" i="1"/>
  <c r="P1465" i="1"/>
  <c r="O1465" i="1"/>
  <c r="Q1464" i="1"/>
  <c r="P1464" i="1"/>
  <c r="O1464" i="1"/>
  <c r="Q1463" i="1"/>
  <c r="P1463" i="1"/>
  <c r="O1463" i="1"/>
  <c r="Q1462" i="1"/>
  <c r="P1462" i="1"/>
  <c r="O1462" i="1"/>
  <c r="Q1461" i="1"/>
  <c r="P1461" i="1"/>
  <c r="O1461" i="1"/>
  <c r="Q1460" i="1"/>
  <c r="P1460" i="1"/>
  <c r="O1460" i="1"/>
  <c r="Q1459" i="1"/>
  <c r="P1459" i="1"/>
  <c r="O1459" i="1"/>
  <c r="Q1458" i="1"/>
  <c r="P1458" i="1"/>
  <c r="O1458" i="1"/>
  <c r="Q1457" i="1"/>
  <c r="P1457" i="1"/>
  <c r="O1457" i="1"/>
  <c r="Q1456" i="1"/>
  <c r="P1456" i="1"/>
  <c r="O1456" i="1"/>
  <c r="Q1455" i="1"/>
  <c r="P1455" i="1"/>
  <c r="O1455" i="1"/>
  <c r="Q1454" i="1"/>
  <c r="P1454" i="1"/>
  <c r="O1454" i="1"/>
  <c r="Q1453" i="1"/>
  <c r="P1453" i="1"/>
  <c r="O1453" i="1"/>
  <c r="Q1452" i="1"/>
  <c r="P1452" i="1"/>
  <c r="O1452" i="1"/>
  <c r="Q1451" i="1"/>
  <c r="P1451" i="1"/>
  <c r="O1451" i="1"/>
  <c r="Q1450" i="1"/>
  <c r="P1450" i="1"/>
  <c r="O1450" i="1"/>
  <c r="Q1449" i="1"/>
  <c r="P1449" i="1"/>
  <c r="O1449" i="1"/>
  <c r="Q1448" i="1"/>
  <c r="P1448" i="1"/>
  <c r="O1448" i="1"/>
  <c r="Q1447" i="1"/>
  <c r="P1447" i="1"/>
  <c r="O1447" i="1"/>
  <c r="Q1446" i="1"/>
  <c r="P1446" i="1"/>
  <c r="O1446" i="1"/>
  <c r="Q1445" i="1"/>
  <c r="P1445" i="1"/>
  <c r="O1445" i="1"/>
  <c r="Q1444" i="1"/>
  <c r="P1444" i="1"/>
  <c r="O1444" i="1"/>
  <c r="Q1443" i="1"/>
  <c r="P1443" i="1"/>
  <c r="O1443" i="1"/>
  <c r="Q1442" i="1"/>
  <c r="P1442" i="1"/>
  <c r="O1442" i="1"/>
  <c r="Q1441" i="1"/>
  <c r="P1441" i="1"/>
  <c r="O1441" i="1"/>
  <c r="Q1440" i="1"/>
  <c r="P1440" i="1"/>
  <c r="O1440" i="1"/>
  <c r="Q1439" i="1"/>
  <c r="P1439" i="1"/>
  <c r="O1439" i="1"/>
  <c r="Q1438" i="1"/>
  <c r="P1438" i="1"/>
  <c r="O1438" i="1"/>
  <c r="Q1437" i="1"/>
  <c r="P1437" i="1"/>
  <c r="O1437" i="1"/>
  <c r="Q1436" i="1"/>
  <c r="P1436" i="1"/>
  <c r="O1436" i="1"/>
  <c r="Q1435" i="1"/>
  <c r="P1435" i="1"/>
  <c r="O1435" i="1"/>
  <c r="Q1434" i="1"/>
  <c r="P1434" i="1"/>
  <c r="O1434" i="1"/>
  <c r="Q1433" i="1"/>
  <c r="P1433" i="1"/>
  <c r="O1433" i="1"/>
  <c r="Q1432" i="1"/>
  <c r="P1432" i="1"/>
  <c r="O1432" i="1"/>
  <c r="Q1431" i="1"/>
  <c r="P1431" i="1"/>
  <c r="O1431" i="1"/>
  <c r="Q1430" i="1"/>
  <c r="P1430" i="1"/>
  <c r="O1430" i="1"/>
  <c r="Q1429" i="1"/>
  <c r="P1429" i="1"/>
  <c r="O1429" i="1"/>
  <c r="Q1428" i="1"/>
  <c r="P1428" i="1"/>
  <c r="O1428" i="1"/>
  <c r="Q1427" i="1"/>
  <c r="P1427" i="1"/>
  <c r="O1427" i="1"/>
  <c r="Q1426" i="1"/>
  <c r="P1426" i="1"/>
  <c r="O1426" i="1"/>
  <c r="Q1425" i="1"/>
  <c r="P1425" i="1"/>
  <c r="O1425" i="1"/>
  <c r="Q1424" i="1"/>
  <c r="P1424" i="1"/>
  <c r="O1424" i="1"/>
  <c r="Q1423" i="1"/>
  <c r="P1423" i="1"/>
  <c r="O1423" i="1"/>
  <c r="Q1422" i="1"/>
  <c r="P1422" i="1"/>
  <c r="O1422" i="1"/>
  <c r="Q1421" i="1"/>
  <c r="P1421" i="1"/>
  <c r="O1421" i="1"/>
  <c r="Q1420" i="1"/>
  <c r="P1420" i="1"/>
  <c r="O1420" i="1"/>
  <c r="Q1419" i="1"/>
  <c r="P1419" i="1"/>
  <c r="O1419" i="1"/>
  <c r="Q1418" i="1"/>
  <c r="P1418" i="1"/>
  <c r="O1418" i="1"/>
  <c r="Q1417" i="1"/>
  <c r="P1417" i="1"/>
  <c r="O1417" i="1"/>
  <c r="Q1416" i="1"/>
  <c r="P1416" i="1"/>
  <c r="O1416" i="1"/>
  <c r="Q1415" i="1"/>
  <c r="P1415" i="1"/>
  <c r="O1415" i="1"/>
  <c r="Q1414" i="1"/>
  <c r="P1414" i="1"/>
  <c r="O1414" i="1"/>
  <c r="Q1413" i="1"/>
  <c r="P1413" i="1"/>
  <c r="O1413" i="1"/>
  <c r="Q1412" i="1"/>
  <c r="P1412" i="1"/>
  <c r="O1412" i="1"/>
  <c r="Q1411" i="1"/>
  <c r="P1411" i="1"/>
  <c r="O1411" i="1"/>
  <c r="Q1410" i="1"/>
  <c r="P1410" i="1"/>
  <c r="O1410" i="1"/>
  <c r="Q1409" i="1"/>
  <c r="P1409" i="1"/>
  <c r="O1409" i="1"/>
  <c r="Q1408" i="1"/>
  <c r="P1408" i="1"/>
  <c r="O1408" i="1"/>
  <c r="Q1407" i="1"/>
  <c r="P1407" i="1"/>
  <c r="O1407" i="1"/>
  <c r="Q1406" i="1"/>
  <c r="P1406" i="1"/>
  <c r="O1406" i="1"/>
  <c r="Q1405" i="1"/>
  <c r="P1405" i="1"/>
  <c r="O1405" i="1"/>
  <c r="Q1404" i="1"/>
  <c r="P1404" i="1"/>
  <c r="O1404" i="1"/>
  <c r="Q1403" i="1"/>
  <c r="P1403" i="1"/>
  <c r="O1403" i="1"/>
  <c r="Q1402" i="1"/>
  <c r="P1402" i="1"/>
  <c r="O1402" i="1"/>
  <c r="Q1401" i="1"/>
  <c r="P1401" i="1"/>
  <c r="O1401" i="1"/>
  <c r="Q1400" i="1"/>
  <c r="P1400" i="1"/>
  <c r="O1400" i="1"/>
  <c r="Q1399" i="1"/>
  <c r="P1399" i="1"/>
  <c r="O1399" i="1"/>
  <c r="Q1398" i="1"/>
  <c r="P1398" i="1"/>
  <c r="O1398" i="1"/>
  <c r="Q1397" i="1"/>
  <c r="P1397" i="1"/>
  <c r="O1397" i="1"/>
  <c r="Q1396" i="1"/>
  <c r="P1396" i="1"/>
  <c r="O1396" i="1"/>
  <c r="Q1395" i="1"/>
  <c r="P1395" i="1"/>
  <c r="O1395" i="1"/>
  <c r="Q1394" i="1"/>
  <c r="P1394" i="1"/>
  <c r="O1394" i="1"/>
  <c r="Q1393" i="1"/>
  <c r="P1393" i="1"/>
  <c r="O1393" i="1"/>
  <c r="Q1392" i="1"/>
  <c r="P1392" i="1"/>
  <c r="O1392" i="1"/>
  <c r="Q1391" i="1"/>
  <c r="P1391" i="1"/>
  <c r="O1391" i="1"/>
  <c r="Q1390" i="1"/>
  <c r="P1390" i="1"/>
  <c r="O1390" i="1"/>
  <c r="Q1389" i="1"/>
  <c r="P1389" i="1"/>
  <c r="O1389" i="1"/>
  <c r="Q1388" i="1"/>
  <c r="P1388" i="1"/>
  <c r="O1388" i="1"/>
  <c r="Q1387" i="1"/>
  <c r="P1387" i="1"/>
  <c r="O1387" i="1"/>
  <c r="Q1386" i="1"/>
  <c r="P1386" i="1"/>
  <c r="O1386" i="1"/>
  <c r="Q1385" i="1"/>
  <c r="P1385" i="1"/>
  <c r="O1385" i="1"/>
  <c r="Q1384" i="1"/>
  <c r="P1384" i="1"/>
  <c r="O1384" i="1"/>
  <c r="Q1383" i="1"/>
  <c r="P1383" i="1"/>
  <c r="O1383" i="1"/>
  <c r="Q1382" i="1"/>
  <c r="P1382" i="1"/>
  <c r="O1382" i="1"/>
  <c r="Q1381" i="1"/>
  <c r="P1381" i="1"/>
  <c r="O1381" i="1"/>
  <c r="Q1380" i="1"/>
  <c r="P1380" i="1"/>
  <c r="O1380" i="1"/>
  <c r="Q1379" i="1"/>
  <c r="P1379" i="1"/>
  <c r="O1379" i="1"/>
  <c r="Q1378" i="1"/>
  <c r="P1378" i="1"/>
  <c r="O1378" i="1"/>
  <c r="Q1377" i="1"/>
  <c r="P1377" i="1"/>
  <c r="O1377" i="1"/>
  <c r="Q1376" i="1"/>
  <c r="P1376" i="1"/>
  <c r="O1376" i="1"/>
  <c r="Q1375" i="1"/>
  <c r="P1375" i="1"/>
  <c r="O1375" i="1"/>
  <c r="Q1374" i="1"/>
  <c r="P1374" i="1"/>
  <c r="O1374" i="1"/>
  <c r="Q1373" i="1"/>
  <c r="P1373" i="1"/>
  <c r="O1373" i="1"/>
  <c r="Q1372" i="1"/>
  <c r="P1372" i="1"/>
  <c r="O1372" i="1"/>
  <c r="Q1371" i="1"/>
  <c r="P1371" i="1"/>
  <c r="O1371" i="1"/>
  <c r="Q1370" i="1"/>
  <c r="P1370" i="1"/>
  <c r="O1370" i="1"/>
  <c r="Q1369" i="1"/>
  <c r="P1369" i="1"/>
  <c r="O1369" i="1"/>
  <c r="Q1368" i="1"/>
  <c r="P1368" i="1"/>
  <c r="O1368" i="1"/>
  <c r="Q1367" i="1"/>
  <c r="P1367" i="1"/>
  <c r="O1367" i="1"/>
  <c r="Q1366" i="1"/>
  <c r="P1366" i="1"/>
  <c r="O1366" i="1"/>
  <c r="Q1365" i="1"/>
  <c r="P1365" i="1"/>
  <c r="O1365" i="1"/>
  <c r="Q1364" i="1"/>
  <c r="P1364" i="1"/>
  <c r="O1364" i="1"/>
  <c r="Q1363" i="1"/>
  <c r="P1363" i="1"/>
  <c r="O1363" i="1"/>
  <c r="Q1362" i="1"/>
  <c r="P1362" i="1"/>
  <c r="O1362" i="1"/>
  <c r="Q1361" i="1"/>
  <c r="P1361" i="1"/>
  <c r="O1361" i="1"/>
  <c r="Q1360" i="1"/>
  <c r="P1360" i="1"/>
  <c r="O1360" i="1"/>
  <c r="Q1359" i="1"/>
  <c r="P1359" i="1"/>
  <c r="O1359" i="1"/>
  <c r="Q1358" i="1"/>
  <c r="P1358" i="1"/>
  <c r="O1358" i="1"/>
  <c r="Q1357" i="1"/>
  <c r="P1357" i="1"/>
  <c r="O1357" i="1"/>
  <c r="Q1356" i="1"/>
  <c r="P1356" i="1"/>
  <c r="O1356" i="1"/>
  <c r="Q1355" i="1"/>
  <c r="P1355" i="1"/>
  <c r="O1355" i="1"/>
  <c r="Q1354" i="1"/>
  <c r="P1354" i="1"/>
  <c r="O1354" i="1"/>
  <c r="Q1353" i="1"/>
  <c r="P1353" i="1"/>
  <c r="O1353" i="1"/>
  <c r="Q1352" i="1"/>
  <c r="P1352" i="1"/>
  <c r="O1352" i="1"/>
  <c r="Q1351" i="1"/>
  <c r="P1351" i="1"/>
  <c r="O1351" i="1"/>
  <c r="Q1350" i="1"/>
  <c r="P1350" i="1"/>
  <c r="O1350" i="1"/>
  <c r="Q1349" i="1"/>
  <c r="P1349" i="1"/>
  <c r="O1349" i="1"/>
  <c r="Q1348" i="1"/>
  <c r="P1348" i="1"/>
  <c r="O1348" i="1"/>
  <c r="Q1347" i="1"/>
  <c r="P1347" i="1"/>
  <c r="O1347" i="1"/>
  <c r="Q1346" i="1"/>
  <c r="P1346" i="1"/>
  <c r="O1346" i="1"/>
  <c r="Q1345" i="1"/>
  <c r="P1345" i="1"/>
  <c r="O1345" i="1"/>
  <c r="Q1344" i="1"/>
  <c r="P1344" i="1"/>
  <c r="O1344" i="1"/>
  <c r="Q1343" i="1"/>
  <c r="P1343" i="1"/>
  <c r="O1343" i="1"/>
  <c r="Q1342" i="1"/>
  <c r="P1342" i="1"/>
  <c r="O1342" i="1"/>
  <c r="Q1341" i="1"/>
  <c r="P1341" i="1"/>
  <c r="O1341" i="1"/>
  <c r="Q1340" i="1"/>
  <c r="P1340" i="1"/>
  <c r="O1340" i="1"/>
  <c r="Q1339" i="1"/>
  <c r="P1339" i="1"/>
  <c r="O1339" i="1"/>
  <c r="Q1338" i="1"/>
  <c r="P1338" i="1"/>
  <c r="O1338" i="1"/>
  <c r="Q1337" i="1"/>
  <c r="P1337" i="1"/>
  <c r="O1337" i="1"/>
  <c r="Q1336" i="1"/>
  <c r="P1336" i="1"/>
  <c r="O1336" i="1"/>
  <c r="Q1335" i="1"/>
  <c r="P1335" i="1"/>
  <c r="O1335" i="1"/>
  <c r="Q1334" i="1"/>
  <c r="P1334" i="1"/>
  <c r="O1334" i="1"/>
  <c r="Q1333" i="1"/>
  <c r="P1333" i="1"/>
  <c r="O1333" i="1"/>
  <c r="Q1332" i="1"/>
  <c r="P1332" i="1"/>
  <c r="O1332" i="1"/>
  <c r="Q1331" i="1"/>
  <c r="P1331" i="1"/>
  <c r="O1331" i="1"/>
  <c r="Q1330" i="1"/>
  <c r="P1330" i="1"/>
  <c r="O1330" i="1"/>
  <c r="Q1329" i="1"/>
  <c r="P1329" i="1"/>
  <c r="O1329" i="1"/>
  <c r="Q1328" i="1"/>
  <c r="P1328" i="1"/>
  <c r="O1328" i="1"/>
  <c r="Q1327" i="1"/>
  <c r="P1327" i="1"/>
  <c r="O1327" i="1"/>
  <c r="Q1326" i="1"/>
  <c r="P1326" i="1"/>
  <c r="O1326" i="1"/>
  <c r="Q1325" i="1"/>
  <c r="P1325" i="1"/>
  <c r="O1325" i="1"/>
  <c r="Q1324" i="1"/>
  <c r="P1324" i="1"/>
  <c r="O1324" i="1"/>
  <c r="Q1323" i="1"/>
  <c r="P1323" i="1"/>
  <c r="O1323" i="1"/>
  <c r="Q1322" i="1"/>
  <c r="P1322" i="1"/>
  <c r="O1322" i="1"/>
  <c r="Q1321" i="1"/>
  <c r="P1321" i="1"/>
  <c r="O1321" i="1"/>
  <c r="Q1320" i="1"/>
  <c r="P1320" i="1"/>
  <c r="O1320" i="1"/>
  <c r="Q1319" i="1"/>
  <c r="P1319" i="1"/>
  <c r="O1319" i="1"/>
  <c r="Q1318" i="1"/>
  <c r="P1318" i="1"/>
  <c r="O1318" i="1"/>
  <c r="Q1317" i="1"/>
  <c r="P1317" i="1"/>
  <c r="O1317" i="1"/>
  <c r="Q1316" i="1"/>
  <c r="P1316" i="1"/>
  <c r="O1316" i="1"/>
  <c r="Q1315" i="1"/>
  <c r="P1315" i="1"/>
  <c r="O1315" i="1"/>
  <c r="Q1314" i="1"/>
  <c r="P1314" i="1"/>
  <c r="O1314" i="1"/>
  <c r="Q1313" i="1"/>
  <c r="P1313" i="1"/>
  <c r="O1313" i="1"/>
  <c r="Q1312" i="1"/>
  <c r="P1312" i="1"/>
  <c r="O1312" i="1"/>
  <c r="Q1311" i="1"/>
  <c r="P1311" i="1"/>
  <c r="O1311" i="1"/>
  <c r="Q1310" i="1"/>
  <c r="P1310" i="1"/>
  <c r="O1310" i="1"/>
  <c r="Q1309" i="1"/>
  <c r="P1309" i="1"/>
  <c r="O1309" i="1"/>
  <c r="Q1308" i="1"/>
  <c r="P1308" i="1"/>
  <c r="O1308" i="1"/>
  <c r="Q1307" i="1"/>
  <c r="P1307" i="1"/>
  <c r="O1307" i="1"/>
  <c r="Q1306" i="1"/>
  <c r="P1306" i="1"/>
  <c r="O1306" i="1"/>
  <c r="Q1305" i="1"/>
  <c r="P1305" i="1"/>
  <c r="O1305" i="1"/>
  <c r="Q1304" i="1"/>
  <c r="P1304" i="1"/>
  <c r="O1304" i="1"/>
  <c r="Q1303" i="1"/>
  <c r="P1303" i="1"/>
  <c r="O1303" i="1"/>
  <c r="Q1302" i="1"/>
  <c r="P1302" i="1"/>
  <c r="O1302" i="1"/>
  <c r="Q1301" i="1"/>
  <c r="P1301" i="1"/>
  <c r="O1301" i="1"/>
  <c r="Q1300" i="1"/>
  <c r="P1300" i="1"/>
  <c r="O1300" i="1"/>
  <c r="Q1299" i="1"/>
  <c r="P1299" i="1"/>
  <c r="O1299" i="1"/>
  <c r="Q1298" i="1"/>
  <c r="P1298" i="1"/>
  <c r="O1298" i="1"/>
  <c r="Q1297" i="1"/>
  <c r="P1297" i="1"/>
  <c r="O1297" i="1"/>
  <c r="Q1296" i="1"/>
  <c r="P1296" i="1"/>
  <c r="O1296" i="1"/>
  <c r="Q1295" i="1"/>
  <c r="P1295" i="1"/>
  <c r="O1295" i="1"/>
  <c r="Q1294" i="1"/>
  <c r="P1294" i="1"/>
  <c r="O1294" i="1"/>
  <c r="Q1293" i="1"/>
  <c r="P1293" i="1"/>
  <c r="O1293" i="1"/>
  <c r="Q1292" i="1"/>
  <c r="P1292" i="1"/>
  <c r="O1292" i="1"/>
  <c r="Q1291" i="1"/>
  <c r="P1291" i="1"/>
  <c r="O1291" i="1"/>
  <c r="Q1290" i="1"/>
  <c r="P1290" i="1"/>
  <c r="O1290" i="1"/>
  <c r="Q1289" i="1"/>
  <c r="P1289" i="1"/>
  <c r="O1289" i="1"/>
  <c r="Q1288" i="1"/>
  <c r="P1288" i="1"/>
  <c r="O1288" i="1"/>
  <c r="Q1287" i="1"/>
  <c r="P1287" i="1"/>
  <c r="O1287" i="1"/>
  <c r="Q1286" i="1"/>
  <c r="P1286" i="1"/>
  <c r="O1286" i="1"/>
  <c r="Q1285" i="1"/>
  <c r="P1285" i="1"/>
  <c r="O1285" i="1"/>
  <c r="Q1284" i="1"/>
  <c r="P1284" i="1"/>
  <c r="O1284" i="1"/>
  <c r="Q1283" i="1"/>
  <c r="P1283" i="1"/>
  <c r="O1283" i="1"/>
  <c r="Q1282" i="1"/>
  <c r="P1282" i="1"/>
  <c r="O1282" i="1"/>
  <c r="Q1281" i="1"/>
  <c r="P1281" i="1"/>
  <c r="O1281" i="1"/>
  <c r="Q1280" i="1"/>
  <c r="P1280" i="1"/>
  <c r="O1280" i="1"/>
  <c r="Q1279" i="1"/>
  <c r="P1279" i="1"/>
  <c r="O1279" i="1"/>
  <c r="Q1278" i="1"/>
  <c r="P1278" i="1"/>
  <c r="O1278" i="1"/>
  <c r="Q1277" i="1"/>
  <c r="P1277" i="1"/>
  <c r="O1277" i="1"/>
  <c r="Q1276" i="1"/>
  <c r="P1276" i="1"/>
  <c r="O1276" i="1"/>
  <c r="Q1275" i="1"/>
  <c r="P1275" i="1"/>
  <c r="O1275" i="1"/>
  <c r="Q1274" i="1"/>
  <c r="P1274" i="1"/>
  <c r="O1274" i="1"/>
  <c r="Q1273" i="1"/>
  <c r="P1273" i="1"/>
  <c r="O1273" i="1"/>
  <c r="Q1272" i="1"/>
  <c r="P1272" i="1"/>
  <c r="O1272" i="1"/>
  <c r="Q1271" i="1"/>
  <c r="P1271" i="1"/>
  <c r="O1271" i="1"/>
  <c r="Q1270" i="1"/>
  <c r="P1270" i="1"/>
  <c r="O1270" i="1"/>
  <c r="Q1269" i="1"/>
  <c r="P1269" i="1"/>
  <c r="O1269" i="1"/>
  <c r="Q1268" i="1"/>
  <c r="P1268" i="1"/>
  <c r="O1268" i="1"/>
  <c r="Q1267" i="1"/>
  <c r="P1267" i="1"/>
  <c r="O1267" i="1"/>
  <c r="Q1266" i="1"/>
  <c r="P1266" i="1"/>
  <c r="O1266" i="1"/>
  <c r="Q1265" i="1"/>
  <c r="P1265" i="1"/>
  <c r="O1265" i="1"/>
  <c r="Q1264" i="1"/>
  <c r="P1264" i="1"/>
  <c r="O1264" i="1"/>
  <c r="Q1263" i="1"/>
  <c r="P1263" i="1"/>
  <c r="O1263" i="1"/>
  <c r="Q1262" i="1"/>
  <c r="P1262" i="1"/>
  <c r="O1262" i="1"/>
  <c r="Q1261" i="1"/>
  <c r="P1261" i="1"/>
  <c r="O1261" i="1"/>
  <c r="Q1260" i="1"/>
  <c r="P1260" i="1"/>
  <c r="O1260" i="1"/>
  <c r="Q1259" i="1"/>
  <c r="P1259" i="1"/>
  <c r="O1259" i="1"/>
  <c r="Q1258" i="1"/>
  <c r="P1258" i="1"/>
  <c r="O1258" i="1"/>
  <c r="Q1257" i="1"/>
  <c r="P1257" i="1"/>
  <c r="O1257" i="1"/>
  <c r="Q1256" i="1"/>
  <c r="P1256" i="1"/>
  <c r="O1256" i="1"/>
  <c r="Q1255" i="1"/>
  <c r="P1255" i="1"/>
  <c r="O1255" i="1"/>
  <c r="Q1254" i="1"/>
  <c r="P1254" i="1"/>
  <c r="O1254" i="1"/>
  <c r="Q1253" i="1"/>
  <c r="P1253" i="1"/>
  <c r="O1253" i="1"/>
  <c r="Q1252" i="1"/>
  <c r="P1252" i="1"/>
  <c r="O1252" i="1"/>
  <c r="Q1251" i="1"/>
  <c r="P1251" i="1"/>
  <c r="O1251" i="1"/>
  <c r="Q1250" i="1"/>
  <c r="P1250" i="1"/>
  <c r="O1250" i="1"/>
  <c r="Q1249" i="1"/>
  <c r="P1249" i="1"/>
  <c r="O1249" i="1"/>
  <c r="Q1248" i="1"/>
  <c r="P1248" i="1"/>
  <c r="O1248" i="1"/>
  <c r="Q1247" i="1"/>
  <c r="P1247" i="1"/>
  <c r="O1247" i="1"/>
  <c r="Q1246" i="1"/>
  <c r="P1246" i="1"/>
  <c r="O1246" i="1"/>
  <c r="Q1245" i="1"/>
  <c r="P1245" i="1"/>
  <c r="O1245" i="1"/>
  <c r="Q1244" i="1"/>
  <c r="P1244" i="1"/>
  <c r="O1244" i="1"/>
  <c r="Q1243" i="1"/>
  <c r="P1243" i="1"/>
  <c r="O1243" i="1"/>
  <c r="Q1242" i="1"/>
  <c r="P1242" i="1"/>
  <c r="O1242" i="1"/>
  <c r="Q1241" i="1"/>
  <c r="P1241" i="1"/>
  <c r="O1241" i="1"/>
  <c r="Q1240" i="1"/>
  <c r="P1240" i="1"/>
  <c r="O1240" i="1"/>
  <c r="Q1239" i="1"/>
  <c r="P1239" i="1"/>
  <c r="O1239" i="1"/>
  <c r="Q1238" i="1"/>
  <c r="P1238" i="1"/>
  <c r="O1238" i="1"/>
  <c r="Q1237" i="1"/>
  <c r="P1237" i="1"/>
  <c r="O1237" i="1"/>
  <c r="Q1236" i="1"/>
  <c r="P1236" i="1"/>
  <c r="O1236" i="1"/>
  <c r="Q1235" i="1"/>
  <c r="P1235" i="1"/>
  <c r="O1235" i="1"/>
  <c r="Q1234" i="1"/>
  <c r="P1234" i="1"/>
  <c r="O1234" i="1"/>
  <c r="Q1233" i="1"/>
  <c r="P1233" i="1"/>
  <c r="O1233" i="1"/>
  <c r="Q1232" i="1"/>
  <c r="P1232" i="1"/>
  <c r="O1232" i="1"/>
  <c r="Q1231" i="1"/>
  <c r="P1231" i="1"/>
  <c r="O1231" i="1"/>
  <c r="Q1230" i="1"/>
  <c r="P1230" i="1"/>
  <c r="O1230" i="1"/>
  <c r="Q1229" i="1"/>
  <c r="P1229" i="1"/>
  <c r="O1229" i="1"/>
  <c r="Q1228" i="1"/>
  <c r="P1228" i="1"/>
  <c r="O1228" i="1"/>
  <c r="Q1227" i="1"/>
  <c r="P1227" i="1"/>
  <c r="O1227" i="1"/>
  <c r="Q1226" i="1"/>
  <c r="P1226" i="1"/>
  <c r="O1226" i="1"/>
  <c r="Q1225" i="1"/>
  <c r="P1225" i="1"/>
  <c r="O1225" i="1"/>
  <c r="Q1224" i="1"/>
  <c r="P1224" i="1"/>
  <c r="O1224" i="1"/>
  <c r="Q1223" i="1"/>
  <c r="P1223" i="1"/>
  <c r="O1223" i="1"/>
  <c r="Q1222" i="1"/>
  <c r="P1222" i="1"/>
  <c r="O1222" i="1"/>
  <c r="Q1221" i="1"/>
  <c r="P1221" i="1"/>
  <c r="O1221" i="1"/>
  <c r="Q1220" i="1"/>
  <c r="P1220" i="1"/>
  <c r="O1220" i="1"/>
  <c r="Q1219" i="1"/>
  <c r="P1219" i="1"/>
  <c r="O1219" i="1"/>
  <c r="Q1218" i="1"/>
  <c r="P1218" i="1"/>
  <c r="O1218" i="1"/>
  <c r="Q1217" i="1"/>
  <c r="P1217" i="1"/>
  <c r="O1217" i="1"/>
  <c r="Q1216" i="1"/>
  <c r="P1216" i="1"/>
  <c r="O1216" i="1"/>
  <c r="Q1215" i="1"/>
  <c r="P1215" i="1"/>
  <c r="O1215" i="1"/>
  <c r="Q1214" i="1"/>
  <c r="P1214" i="1"/>
  <c r="O1214" i="1"/>
  <c r="Q1213" i="1"/>
  <c r="P1213" i="1"/>
  <c r="O1213" i="1"/>
  <c r="Q1212" i="1"/>
  <c r="P1212" i="1"/>
  <c r="O1212" i="1"/>
  <c r="Q1211" i="1"/>
  <c r="P1211" i="1"/>
  <c r="O1211" i="1"/>
  <c r="Q1210" i="1"/>
  <c r="P1210" i="1"/>
  <c r="O1210" i="1"/>
  <c r="Q1209" i="1"/>
  <c r="P1209" i="1"/>
  <c r="O1209" i="1"/>
  <c r="Q1208" i="1"/>
  <c r="P1208" i="1"/>
  <c r="O1208" i="1"/>
  <c r="Q1207" i="1"/>
  <c r="P1207" i="1"/>
  <c r="O1207" i="1"/>
  <c r="Q1206" i="1"/>
  <c r="P1206" i="1"/>
  <c r="O1206" i="1"/>
  <c r="Q1205" i="1"/>
  <c r="P1205" i="1"/>
  <c r="O1205" i="1"/>
  <c r="Q1204" i="1"/>
  <c r="P1204" i="1"/>
  <c r="O1204" i="1"/>
  <c r="Q1203" i="1"/>
  <c r="P1203" i="1"/>
  <c r="O1203" i="1"/>
  <c r="Q1202" i="1"/>
  <c r="P1202" i="1"/>
  <c r="O1202" i="1"/>
  <c r="Q1201" i="1"/>
  <c r="P1201" i="1"/>
  <c r="O1201" i="1"/>
  <c r="Q1200" i="1"/>
  <c r="P1200" i="1"/>
  <c r="O1200" i="1"/>
  <c r="Q1199" i="1"/>
  <c r="P1199" i="1"/>
  <c r="O1199" i="1"/>
  <c r="Q1198" i="1"/>
  <c r="P1198" i="1"/>
  <c r="O1198" i="1"/>
  <c r="Q1197" i="1"/>
  <c r="P1197" i="1"/>
  <c r="O1197" i="1"/>
  <c r="Q1196" i="1"/>
  <c r="P1196" i="1"/>
  <c r="O1196" i="1"/>
  <c r="Q1195" i="1"/>
  <c r="P1195" i="1"/>
  <c r="O1195" i="1"/>
  <c r="Q1194" i="1"/>
  <c r="P1194" i="1"/>
  <c r="O1194" i="1"/>
  <c r="Q1193" i="1"/>
  <c r="P1193" i="1"/>
  <c r="O1193" i="1"/>
  <c r="Q1192" i="1"/>
  <c r="P1192" i="1"/>
  <c r="O1192" i="1"/>
  <c r="Q1191" i="1"/>
  <c r="P1191" i="1"/>
  <c r="O1191" i="1"/>
  <c r="Q1190" i="1"/>
  <c r="P1190" i="1"/>
  <c r="O1190" i="1"/>
  <c r="Q1189" i="1"/>
  <c r="P1189" i="1"/>
  <c r="O1189" i="1"/>
  <c r="Q1188" i="1"/>
  <c r="P1188" i="1"/>
  <c r="O1188" i="1"/>
  <c r="Q1187" i="1"/>
  <c r="P1187" i="1"/>
  <c r="O1187" i="1"/>
  <c r="Q1186" i="1"/>
  <c r="P1186" i="1"/>
  <c r="O1186" i="1"/>
  <c r="Q1185" i="1"/>
  <c r="P1185" i="1"/>
  <c r="O1185" i="1"/>
  <c r="Q1184" i="1"/>
  <c r="P1184" i="1"/>
  <c r="O1184" i="1"/>
  <c r="Q1183" i="1"/>
  <c r="P1183" i="1"/>
  <c r="O1183" i="1"/>
  <c r="Q1182" i="1"/>
  <c r="P1182" i="1"/>
  <c r="O1182" i="1"/>
  <c r="Q1181" i="1"/>
  <c r="P1181" i="1"/>
  <c r="O1181" i="1"/>
  <c r="Q1180" i="1"/>
  <c r="P1180" i="1"/>
  <c r="O1180" i="1"/>
  <c r="Q1179" i="1"/>
  <c r="P1179" i="1"/>
  <c r="O1179" i="1"/>
  <c r="Q1178" i="1"/>
  <c r="P1178" i="1"/>
  <c r="O1178" i="1"/>
  <c r="Q1177" i="1"/>
  <c r="P1177" i="1"/>
  <c r="O1177" i="1"/>
  <c r="Q1176" i="1"/>
  <c r="P1176" i="1"/>
  <c r="O1176" i="1"/>
  <c r="Q1175" i="1"/>
  <c r="P1175" i="1"/>
  <c r="O1175" i="1"/>
  <c r="Q1174" i="1"/>
  <c r="P1174" i="1"/>
  <c r="O1174" i="1"/>
  <c r="Q1173" i="1"/>
  <c r="P1173" i="1"/>
  <c r="O1173" i="1"/>
  <c r="Q1172" i="1"/>
  <c r="P1172" i="1"/>
  <c r="O1172" i="1"/>
  <c r="Q1171" i="1"/>
  <c r="P1171" i="1"/>
  <c r="O1171" i="1"/>
  <c r="Q1170" i="1"/>
  <c r="P1170" i="1"/>
  <c r="O1170" i="1"/>
  <c r="Q1169" i="1"/>
  <c r="P1169" i="1"/>
  <c r="O1169" i="1"/>
  <c r="Q1168" i="1"/>
  <c r="P1168" i="1"/>
  <c r="O1168" i="1"/>
  <c r="Q1167" i="1"/>
  <c r="P1167" i="1"/>
  <c r="O1167" i="1"/>
  <c r="Q1166" i="1"/>
  <c r="P1166" i="1"/>
  <c r="O1166" i="1"/>
  <c r="Q1165" i="1"/>
  <c r="P1165" i="1"/>
  <c r="O1165" i="1"/>
  <c r="Q1164" i="1"/>
  <c r="P1164" i="1"/>
  <c r="O1164" i="1"/>
  <c r="Q1163" i="1"/>
  <c r="P1163" i="1"/>
  <c r="O1163" i="1"/>
  <c r="Q1162" i="1"/>
  <c r="P1162" i="1"/>
  <c r="O1162" i="1"/>
  <c r="Q1161" i="1"/>
  <c r="P1161" i="1"/>
  <c r="O1161" i="1"/>
  <c r="Q1160" i="1"/>
  <c r="P1160" i="1"/>
  <c r="O1160" i="1"/>
  <c r="Q1159" i="1"/>
  <c r="P1159" i="1"/>
  <c r="O1159" i="1"/>
  <c r="Q1158" i="1"/>
  <c r="P1158" i="1"/>
  <c r="O1158" i="1"/>
  <c r="Q1157" i="1"/>
  <c r="P1157" i="1"/>
  <c r="O1157" i="1"/>
  <c r="Q1156" i="1"/>
  <c r="P1156" i="1"/>
  <c r="O1156" i="1"/>
  <c r="Q1155" i="1"/>
  <c r="P1155" i="1"/>
  <c r="O1155" i="1"/>
  <c r="Q1154" i="1"/>
  <c r="P1154" i="1"/>
  <c r="O1154" i="1"/>
  <c r="Q1153" i="1"/>
  <c r="P1153" i="1"/>
  <c r="O1153" i="1"/>
  <c r="Q1152" i="1"/>
  <c r="P1152" i="1"/>
  <c r="O1152" i="1"/>
  <c r="Q1151" i="1"/>
  <c r="P1151" i="1"/>
  <c r="O1151" i="1"/>
  <c r="Q1150" i="1"/>
  <c r="P1150" i="1"/>
  <c r="O1150" i="1"/>
  <c r="Q1149" i="1"/>
  <c r="P1149" i="1"/>
  <c r="O1149" i="1"/>
  <c r="Q1148" i="1"/>
  <c r="P1148" i="1"/>
  <c r="O1148" i="1"/>
  <c r="Q1147" i="1"/>
  <c r="P1147" i="1"/>
  <c r="O1147" i="1"/>
  <c r="Q1146" i="1"/>
  <c r="P1146" i="1"/>
  <c r="O1146" i="1"/>
  <c r="Q1145" i="1"/>
  <c r="P1145" i="1"/>
  <c r="O1145" i="1"/>
  <c r="Q1144" i="1"/>
  <c r="P1144" i="1"/>
  <c r="O1144" i="1"/>
  <c r="Q1143" i="1"/>
  <c r="P1143" i="1"/>
  <c r="O1143" i="1"/>
  <c r="Q1142" i="1"/>
  <c r="P1142" i="1"/>
  <c r="O1142" i="1"/>
  <c r="Q1141" i="1"/>
  <c r="P1141" i="1"/>
  <c r="O1141" i="1"/>
  <c r="Q1140" i="1"/>
  <c r="P1140" i="1"/>
  <c r="O1140" i="1"/>
  <c r="Q1139" i="1"/>
  <c r="P1139" i="1"/>
  <c r="O1139" i="1"/>
  <c r="Q1138" i="1"/>
  <c r="P1138" i="1"/>
  <c r="O1138" i="1"/>
  <c r="Q1137" i="1"/>
  <c r="P1137" i="1"/>
  <c r="O1137" i="1"/>
  <c r="Q1136" i="1"/>
  <c r="P1136" i="1"/>
  <c r="O1136" i="1"/>
  <c r="Q1135" i="1"/>
  <c r="P1135" i="1"/>
  <c r="O1135" i="1"/>
  <c r="Q1134" i="1"/>
  <c r="P1134" i="1"/>
  <c r="O1134" i="1"/>
  <c r="Q1133" i="1"/>
  <c r="P1133" i="1"/>
  <c r="O1133" i="1"/>
  <c r="Q1132" i="1"/>
  <c r="P1132" i="1"/>
  <c r="O1132" i="1"/>
  <c r="Q1131" i="1"/>
  <c r="P1131" i="1"/>
  <c r="O1131" i="1"/>
  <c r="Q1130" i="1"/>
  <c r="P1130" i="1"/>
  <c r="O1130" i="1"/>
  <c r="Q1129" i="1"/>
  <c r="P1129" i="1"/>
  <c r="O1129" i="1"/>
  <c r="Q1128" i="1"/>
  <c r="P1128" i="1"/>
  <c r="O1128" i="1"/>
  <c r="Q1127" i="1"/>
  <c r="P1127" i="1"/>
  <c r="O1127" i="1"/>
  <c r="Q1126" i="1"/>
  <c r="P1126" i="1"/>
  <c r="O1126" i="1"/>
  <c r="Q1125" i="1"/>
  <c r="P1125" i="1"/>
  <c r="O1125" i="1"/>
  <c r="Q1124" i="1"/>
  <c r="P1124" i="1"/>
  <c r="O1124" i="1"/>
  <c r="Q1123" i="1"/>
  <c r="P1123" i="1"/>
  <c r="O1123" i="1"/>
  <c r="Q1122" i="1"/>
  <c r="P1122" i="1"/>
  <c r="O1122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P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Q1064" i="1"/>
  <c r="P1064" i="1"/>
  <c r="O1064" i="1"/>
  <c r="Q1063" i="1"/>
  <c r="P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P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Q1046" i="1"/>
  <c r="P1046" i="1"/>
  <c r="O1046" i="1"/>
  <c r="Q1045" i="1"/>
  <c r="P1045" i="1"/>
  <c r="O1045" i="1"/>
  <c r="Q1044" i="1"/>
  <c r="P1044" i="1"/>
  <c r="O1044" i="1"/>
  <c r="Q1043" i="1"/>
  <c r="P1043" i="1"/>
  <c r="O1043" i="1"/>
  <c r="Q1042" i="1"/>
  <c r="P1042" i="1"/>
  <c r="O1042" i="1"/>
  <c r="Q1041" i="1"/>
  <c r="P1041" i="1"/>
  <c r="O1041" i="1"/>
  <c r="Q1040" i="1"/>
  <c r="P1040" i="1"/>
  <c r="O1040" i="1"/>
  <c r="Q1039" i="1"/>
  <c r="P1039" i="1"/>
  <c r="O1039" i="1"/>
  <c r="Q1038" i="1"/>
  <c r="P1038" i="1"/>
  <c r="O1038" i="1"/>
  <c r="Q1037" i="1"/>
  <c r="P1037" i="1"/>
  <c r="O1037" i="1"/>
  <c r="Q1036" i="1"/>
  <c r="P1036" i="1"/>
  <c r="O1036" i="1"/>
  <c r="Q1035" i="1"/>
  <c r="P1035" i="1"/>
  <c r="O1035" i="1"/>
  <c r="Q1034" i="1"/>
  <c r="P1034" i="1"/>
  <c r="O1034" i="1"/>
  <c r="Q1033" i="1"/>
  <c r="P1033" i="1"/>
  <c r="O1033" i="1"/>
  <c r="Q1032" i="1"/>
  <c r="P1032" i="1"/>
  <c r="O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Q1026" i="1"/>
  <c r="P1026" i="1"/>
  <c r="O1026" i="1"/>
  <c r="Q1025" i="1"/>
  <c r="P1025" i="1"/>
  <c r="O1025" i="1"/>
  <c r="Q1024" i="1"/>
  <c r="P1024" i="1"/>
  <c r="O1024" i="1"/>
  <c r="Q1023" i="1"/>
  <c r="P1023" i="1"/>
  <c r="O1023" i="1"/>
  <c r="Q1022" i="1"/>
  <c r="P1022" i="1"/>
  <c r="O1022" i="1"/>
  <c r="Q1021" i="1"/>
  <c r="P1021" i="1"/>
  <c r="O1021" i="1"/>
  <c r="Q1020" i="1"/>
  <c r="P1020" i="1"/>
  <c r="O1020" i="1"/>
  <c r="Q1019" i="1"/>
  <c r="P1019" i="1"/>
  <c r="O1019" i="1"/>
  <c r="Q1018" i="1"/>
  <c r="P1018" i="1"/>
  <c r="O1018" i="1"/>
  <c r="Q1017" i="1"/>
  <c r="P1017" i="1"/>
  <c r="O1017" i="1"/>
  <c r="Q1016" i="1"/>
  <c r="P1016" i="1"/>
  <c r="O1016" i="1"/>
  <c r="Q1015" i="1"/>
  <c r="P1015" i="1"/>
  <c r="O1015" i="1"/>
  <c r="Q1014" i="1"/>
  <c r="P1014" i="1"/>
  <c r="O1014" i="1"/>
  <c r="Q1013" i="1"/>
  <c r="P1013" i="1"/>
  <c r="O1013" i="1"/>
  <c r="Q1012" i="1"/>
  <c r="P1012" i="1"/>
  <c r="O1012" i="1"/>
  <c r="Q1011" i="1"/>
  <c r="P1011" i="1"/>
  <c r="O1011" i="1"/>
  <c r="Q1010" i="1"/>
  <c r="P1010" i="1"/>
  <c r="O1010" i="1"/>
  <c r="Q1009" i="1"/>
  <c r="P1009" i="1"/>
  <c r="O1009" i="1"/>
  <c r="Q1008" i="1"/>
  <c r="P1008" i="1"/>
  <c r="O1008" i="1"/>
  <c r="Q1007" i="1"/>
  <c r="P1007" i="1"/>
  <c r="O1007" i="1"/>
  <c r="Q1006" i="1"/>
  <c r="P1006" i="1"/>
  <c r="O1006" i="1"/>
  <c r="Q1005" i="1"/>
  <c r="P1005" i="1"/>
  <c r="O1005" i="1"/>
  <c r="Q1004" i="1"/>
  <c r="P1004" i="1"/>
  <c r="O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V998" i="1"/>
  <c r="Q998" i="1"/>
  <c r="P998" i="1"/>
  <c r="O998" i="1"/>
  <c r="V997" i="1"/>
  <c r="Q997" i="1"/>
  <c r="P997" i="1"/>
  <c r="O997" i="1"/>
  <c r="V996" i="1"/>
  <c r="Q996" i="1"/>
  <c r="P996" i="1"/>
  <c r="O996" i="1"/>
  <c r="V995" i="1"/>
  <c r="Q995" i="1"/>
  <c r="P995" i="1"/>
  <c r="O995" i="1"/>
  <c r="V994" i="1"/>
  <c r="Q994" i="1"/>
  <c r="P994" i="1"/>
  <c r="O994" i="1"/>
  <c r="V993" i="1"/>
  <c r="Q993" i="1"/>
  <c r="P993" i="1"/>
  <c r="O993" i="1"/>
  <c r="V992" i="1"/>
  <c r="Q992" i="1"/>
  <c r="P992" i="1"/>
  <c r="O992" i="1"/>
  <c r="V991" i="1"/>
  <c r="Q991" i="1"/>
  <c r="P991" i="1"/>
  <c r="O991" i="1"/>
  <c r="V990" i="1"/>
  <c r="Q990" i="1"/>
  <c r="P990" i="1"/>
  <c r="O990" i="1"/>
  <c r="V989" i="1"/>
  <c r="Q989" i="1"/>
  <c r="P989" i="1"/>
  <c r="O989" i="1"/>
  <c r="N989" i="1"/>
  <c r="V988" i="1"/>
  <c r="Q988" i="1"/>
  <c r="P988" i="1"/>
  <c r="O988" i="1"/>
  <c r="N988" i="1"/>
  <c r="V987" i="1"/>
  <c r="Q987" i="1"/>
  <c r="P987" i="1"/>
  <c r="O987" i="1"/>
  <c r="N987" i="1"/>
  <c r="V986" i="1"/>
  <c r="Q986" i="1"/>
  <c r="P986" i="1"/>
  <c r="O986" i="1"/>
  <c r="N986" i="1"/>
  <c r="V985" i="1"/>
  <c r="Q985" i="1"/>
  <c r="P985" i="1"/>
  <c r="O985" i="1"/>
  <c r="N985" i="1"/>
  <c r="V984" i="1"/>
  <c r="Q984" i="1"/>
  <c r="P984" i="1"/>
  <c r="O984" i="1"/>
  <c r="V983" i="1"/>
  <c r="Q983" i="1"/>
  <c r="P983" i="1"/>
  <c r="O983" i="1"/>
  <c r="V982" i="1"/>
  <c r="Q982" i="1"/>
  <c r="P982" i="1"/>
  <c r="O982" i="1"/>
  <c r="V981" i="1"/>
  <c r="Q981" i="1"/>
  <c r="P981" i="1"/>
  <c r="O981" i="1"/>
  <c r="V980" i="1"/>
  <c r="Q980" i="1"/>
  <c r="P980" i="1"/>
  <c r="O980" i="1"/>
  <c r="V979" i="1"/>
  <c r="Q979" i="1"/>
  <c r="P979" i="1"/>
  <c r="O979" i="1"/>
  <c r="V978" i="1"/>
  <c r="Q978" i="1"/>
  <c r="P978" i="1"/>
  <c r="O978" i="1"/>
  <c r="V977" i="1"/>
  <c r="Q977" i="1"/>
  <c r="P977" i="1"/>
  <c r="O977" i="1"/>
  <c r="V976" i="1"/>
  <c r="Q976" i="1"/>
  <c r="P976" i="1"/>
  <c r="O976" i="1"/>
  <c r="V975" i="1"/>
  <c r="Q975" i="1"/>
  <c r="P975" i="1"/>
  <c r="O975" i="1"/>
  <c r="V974" i="1"/>
  <c r="Q974" i="1"/>
  <c r="P974" i="1"/>
  <c r="O974" i="1"/>
  <c r="V973" i="1"/>
  <c r="Q973" i="1"/>
  <c r="P973" i="1"/>
  <c r="O973" i="1"/>
  <c r="V972" i="1"/>
  <c r="Q972" i="1"/>
  <c r="P972" i="1"/>
  <c r="O972" i="1"/>
  <c r="V971" i="1"/>
  <c r="Q971" i="1"/>
  <c r="P971" i="1"/>
  <c r="O971" i="1"/>
  <c r="V970" i="1"/>
  <c r="Q970" i="1"/>
  <c r="P970" i="1"/>
  <c r="O970" i="1"/>
  <c r="V969" i="1"/>
  <c r="Q969" i="1"/>
  <c r="P969" i="1"/>
  <c r="O969" i="1"/>
  <c r="V968" i="1"/>
  <c r="Q968" i="1"/>
  <c r="P968" i="1"/>
  <c r="O968" i="1"/>
  <c r="V967" i="1"/>
  <c r="Q967" i="1"/>
  <c r="P967" i="1"/>
  <c r="O967" i="1"/>
  <c r="V966" i="1"/>
  <c r="Q966" i="1"/>
  <c r="P966" i="1"/>
  <c r="O966" i="1"/>
  <c r="V965" i="1"/>
  <c r="Q965" i="1"/>
  <c r="P965" i="1"/>
  <c r="O965" i="1"/>
  <c r="V964" i="1"/>
  <c r="Q964" i="1"/>
  <c r="P964" i="1"/>
  <c r="O964" i="1"/>
  <c r="V963" i="1"/>
  <c r="Q963" i="1"/>
  <c r="P963" i="1"/>
  <c r="O963" i="1"/>
  <c r="V962" i="1"/>
  <c r="Q962" i="1"/>
  <c r="P962" i="1"/>
  <c r="O962" i="1"/>
  <c r="V961" i="1"/>
  <c r="Q961" i="1"/>
  <c r="P961" i="1"/>
  <c r="O961" i="1"/>
  <c r="V960" i="1"/>
  <c r="Q960" i="1"/>
  <c r="P960" i="1"/>
  <c r="O960" i="1"/>
  <c r="V959" i="1"/>
  <c r="Q959" i="1"/>
  <c r="P959" i="1"/>
  <c r="O959" i="1"/>
  <c r="V958" i="1"/>
  <c r="Q958" i="1"/>
  <c r="P958" i="1"/>
  <c r="O958" i="1"/>
  <c r="V957" i="1"/>
  <c r="Q957" i="1"/>
  <c r="P957" i="1"/>
  <c r="O957" i="1"/>
  <c r="V956" i="1"/>
  <c r="Q956" i="1"/>
  <c r="P956" i="1"/>
  <c r="O956" i="1"/>
  <c r="V955" i="1"/>
  <c r="Q955" i="1"/>
  <c r="P955" i="1"/>
  <c r="O955" i="1"/>
  <c r="V954" i="1"/>
  <c r="Q954" i="1"/>
  <c r="P954" i="1"/>
  <c r="O954" i="1"/>
  <c r="V953" i="1"/>
  <c r="Q953" i="1"/>
  <c r="P953" i="1"/>
  <c r="O953" i="1"/>
  <c r="V952" i="1"/>
  <c r="Q952" i="1"/>
  <c r="P952" i="1"/>
  <c r="O952" i="1"/>
  <c r="V951" i="1"/>
  <c r="Q951" i="1"/>
  <c r="P951" i="1"/>
  <c r="O951" i="1"/>
  <c r="V950" i="1"/>
  <c r="Q950" i="1"/>
  <c r="P950" i="1"/>
  <c r="O950" i="1"/>
  <c r="V949" i="1"/>
  <c r="Q949" i="1"/>
  <c r="P949" i="1"/>
  <c r="O949" i="1"/>
  <c r="V948" i="1"/>
  <c r="Q948" i="1"/>
  <c r="P948" i="1"/>
  <c r="O948" i="1"/>
  <c r="V947" i="1"/>
  <c r="Q947" i="1"/>
  <c r="P947" i="1"/>
  <c r="O947" i="1"/>
  <c r="V946" i="1"/>
  <c r="Q946" i="1"/>
  <c r="P946" i="1"/>
  <c r="O946" i="1"/>
  <c r="V945" i="1"/>
  <c r="Q945" i="1"/>
  <c r="P945" i="1"/>
  <c r="O945" i="1"/>
  <c r="V944" i="1"/>
  <c r="Q944" i="1"/>
  <c r="P944" i="1"/>
  <c r="O944" i="1"/>
  <c r="V943" i="1"/>
  <c r="Q943" i="1"/>
  <c r="P943" i="1"/>
  <c r="O943" i="1"/>
  <c r="V942" i="1"/>
  <c r="Q942" i="1"/>
  <c r="P942" i="1"/>
  <c r="O942" i="1"/>
  <c r="V941" i="1"/>
  <c r="Q941" i="1"/>
  <c r="P941" i="1"/>
  <c r="O941" i="1"/>
  <c r="V940" i="1"/>
  <c r="Q940" i="1"/>
  <c r="P940" i="1"/>
  <c r="O940" i="1"/>
  <c r="V939" i="1"/>
  <c r="Q939" i="1"/>
  <c r="P939" i="1"/>
  <c r="O939" i="1"/>
  <c r="V938" i="1"/>
  <c r="Q938" i="1"/>
  <c r="P938" i="1"/>
  <c r="O938" i="1"/>
  <c r="V937" i="1"/>
  <c r="Q937" i="1"/>
  <c r="P937" i="1"/>
  <c r="O937" i="1"/>
  <c r="V936" i="1"/>
  <c r="Q936" i="1"/>
  <c r="P936" i="1"/>
  <c r="O936" i="1"/>
  <c r="V935" i="1"/>
  <c r="Q935" i="1"/>
  <c r="P935" i="1"/>
  <c r="O935" i="1"/>
  <c r="V934" i="1"/>
  <c r="Q934" i="1"/>
  <c r="P934" i="1"/>
  <c r="O934" i="1"/>
  <c r="V933" i="1"/>
  <c r="Q933" i="1"/>
  <c r="P933" i="1"/>
  <c r="O933" i="1"/>
  <c r="V932" i="1"/>
  <c r="Q932" i="1"/>
  <c r="P932" i="1"/>
  <c r="O932" i="1"/>
  <c r="V931" i="1"/>
  <c r="Q931" i="1"/>
  <c r="P931" i="1"/>
  <c r="O931" i="1"/>
  <c r="V930" i="1"/>
  <c r="Q930" i="1"/>
  <c r="P930" i="1"/>
  <c r="O930" i="1"/>
  <c r="V929" i="1"/>
  <c r="Q929" i="1"/>
  <c r="P929" i="1"/>
  <c r="O929" i="1"/>
  <c r="V928" i="1"/>
  <c r="Q928" i="1"/>
  <c r="P928" i="1"/>
  <c r="O928" i="1"/>
  <c r="V927" i="1"/>
  <c r="Q927" i="1"/>
  <c r="P927" i="1"/>
  <c r="O927" i="1"/>
  <c r="V926" i="1"/>
  <c r="Q926" i="1"/>
  <c r="P926" i="1"/>
  <c r="O926" i="1"/>
  <c r="V925" i="1"/>
  <c r="Q925" i="1"/>
  <c r="P925" i="1"/>
  <c r="O925" i="1"/>
  <c r="V924" i="1"/>
  <c r="Q924" i="1"/>
  <c r="P924" i="1"/>
  <c r="O924" i="1"/>
  <c r="V923" i="1"/>
  <c r="Q923" i="1"/>
  <c r="P923" i="1"/>
  <c r="O923" i="1"/>
  <c r="V922" i="1"/>
  <c r="Q922" i="1"/>
  <c r="P922" i="1"/>
  <c r="O922" i="1"/>
  <c r="V921" i="1"/>
  <c r="Q921" i="1"/>
  <c r="P921" i="1"/>
  <c r="O921" i="1"/>
  <c r="V920" i="1"/>
  <c r="Q920" i="1"/>
  <c r="P920" i="1"/>
  <c r="O920" i="1"/>
  <c r="V919" i="1"/>
  <c r="Q919" i="1"/>
  <c r="P919" i="1"/>
  <c r="O919" i="1"/>
  <c r="V918" i="1"/>
  <c r="Q918" i="1"/>
  <c r="P918" i="1"/>
  <c r="O918" i="1"/>
  <c r="V917" i="1"/>
  <c r="Q917" i="1"/>
  <c r="P917" i="1"/>
  <c r="O917" i="1"/>
  <c r="V916" i="1"/>
  <c r="Q916" i="1"/>
  <c r="P916" i="1"/>
  <c r="O916" i="1"/>
  <c r="V915" i="1"/>
  <c r="Q915" i="1"/>
  <c r="P915" i="1"/>
  <c r="O915" i="1"/>
  <c r="V914" i="1"/>
  <c r="Q914" i="1"/>
  <c r="P914" i="1"/>
  <c r="O914" i="1"/>
  <c r="V913" i="1"/>
  <c r="Q913" i="1"/>
  <c r="P913" i="1"/>
  <c r="O913" i="1"/>
  <c r="V912" i="1"/>
  <c r="Q912" i="1"/>
  <c r="P912" i="1"/>
  <c r="O912" i="1"/>
  <c r="V911" i="1"/>
  <c r="Q911" i="1"/>
  <c r="P911" i="1"/>
  <c r="O911" i="1"/>
  <c r="V910" i="1"/>
  <c r="Q910" i="1"/>
  <c r="P910" i="1"/>
  <c r="O910" i="1"/>
  <c r="V909" i="1"/>
  <c r="Q909" i="1"/>
  <c r="P909" i="1"/>
  <c r="O909" i="1"/>
  <c r="V908" i="1"/>
  <c r="Q908" i="1"/>
  <c r="P908" i="1"/>
  <c r="O908" i="1"/>
  <c r="V907" i="1"/>
  <c r="Q907" i="1"/>
  <c r="P907" i="1"/>
  <c r="O907" i="1"/>
  <c r="V906" i="1"/>
  <c r="Q906" i="1"/>
  <c r="P906" i="1"/>
  <c r="O906" i="1"/>
  <c r="V905" i="1"/>
  <c r="Q905" i="1"/>
  <c r="P905" i="1"/>
  <c r="O905" i="1"/>
  <c r="V904" i="1"/>
  <c r="Q904" i="1"/>
  <c r="P904" i="1"/>
  <c r="O904" i="1"/>
  <c r="V903" i="1"/>
  <c r="Q903" i="1"/>
  <c r="P903" i="1"/>
  <c r="O903" i="1"/>
  <c r="V902" i="1"/>
  <c r="Q902" i="1"/>
  <c r="P902" i="1"/>
  <c r="O902" i="1"/>
  <c r="V901" i="1"/>
  <c r="Q901" i="1"/>
  <c r="P901" i="1"/>
  <c r="O901" i="1"/>
  <c r="V900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V891" i="1"/>
  <c r="Q891" i="1"/>
  <c r="P891" i="1"/>
  <c r="O891" i="1"/>
  <c r="V890" i="1"/>
  <c r="Q890" i="1"/>
  <c r="P890" i="1"/>
  <c r="O890" i="1"/>
  <c r="V889" i="1"/>
  <c r="Q889" i="1"/>
  <c r="P889" i="1"/>
  <c r="O889" i="1"/>
  <c r="V888" i="1"/>
  <c r="Q888" i="1"/>
  <c r="P888" i="1"/>
  <c r="O888" i="1"/>
  <c r="N888" i="1"/>
  <c r="V887" i="1"/>
  <c r="Q887" i="1"/>
  <c r="P887" i="1"/>
  <c r="O887" i="1"/>
  <c r="N887" i="1"/>
  <c r="I887" i="1"/>
  <c r="H887" i="1"/>
  <c r="V886" i="1"/>
  <c r="Q886" i="1"/>
  <c r="P886" i="1"/>
  <c r="O886" i="1"/>
  <c r="N886" i="1"/>
  <c r="I886" i="1"/>
  <c r="H886" i="1"/>
  <c r="V885" i="1"/>
  <c r="Q885" i="1"/>
  <c r="P885" i="1"/>
  <c r="O885" i="1"/>
  <c r="N885" i="1"/>
  <c r="I885" i="1"/>
  <c r="H885" i="1"/>
  <c r="V884" i="1"/>
  <c r="Q884" i="1"/>
  <c r="P884" i="1"/>
  <c r="O884" i="1"/>
  <c r="N884" i="1"/>
  <c r="I884" i="1"/>
  <c r="H884" i="1"/>
  <c r="V883" i="1"/>
  <c r="Q883" i="1"/>
  <c r="P883" i="1"/>
  <c r="O883" i="1"/>
  <c r="N883" i="1"/>
  <c r="I883" i="1"/>
  <c r="H883" i="1"/>
  <c r="G883" i="1"/>
  <c r="V882" i="1"/>
  <c r="Q882" i="1"/>
  <c r="P882" i="1"/>
  <c r="O882" i="1"/>
  <c r="N882" i="1"/>
  <c r="I882" i="1"/>
  <c r="H882" i="1"/>
  <c r="V881" i="1"/>
  <c r="Q881" i="1"/>
  <c r="P881" i="1"/>
  <c r="O881" i="1"/>
  <c r="N881" i="1"/>
  <c r="V880" i="1"/>
  <c r="Q880" i="1"/>
  <c r="P880" i="1"/>
  <c r="O880" i="1"/>
  <c r="N880" i="1"/>
  <c r="V879" i="1"/>
  <c r="Q879" i="1"/>
  <c r="P879" i="1"/>
  <c r="O879" i="1"/>
  <c r="V878" i="1"/>
  <c r="Q878" i="1"/>
  <c r="P878" i="1"/>
  <c r="O878" i="1"/>
  <c r="V877" i="1"/>
  <c r="Q877" i="1"/>
  <c r="P877" i="1"/>
  <c r="O877" i="1"/>
  <c r="V876" i="1"/>
  <c r="Q876" i="1"/>
  <c r="P876" i="1"/>
  <c r="O876" i="1"/>
  <c r="V875" i="1"/>
  <c r="Q875" i="1"/>
  <c r="P875" i="1"/>
  <c r="O875" i="1"/>
  <c r="V874" i="1"/>
  <c r="Q874" i="1"/>
  <c r="P874" i="1"/>
  <c r="O874" i="1"/>
  <c r="V873" i="1"/>
  <c r="Q873" i="1"/>
  <c r="P873" i="1"/>
  <c r="O873" i="1"/>
  <c r="V872" i="1"/>
  <c r="Q872" i="1"/>
  <c r="P872" i="1"/>
  <c r="O872" i="1"/>
  <c r="V871" i="1"/>
  <c r="Q871" i="1"/>
  <c r="P871" i="1"/>
  <c r="O871" i="1"/>
  <c r="V870" i="1"/>
  <c r="Q870" i="1"/>
  <c r="P870" i="1"/>
  <c r="O870" i="1"/>
  <c r="V869" i="1"/>
  <c r="Q869" i="1"/>
  <c r="P869" i="1"/>
  <c r="O869" i="1"/>
  <c r="V868" i="1"/>
  <c r="Q868" i="1"/>
  <c r="P868" i="1"/>
  <c r="O868" i="1"/>
  <c r="V867" i="1"/>
  <c r="Q867" i="1"/>
  <c r="P867" i="1"/>
  <c r="O867" i="1"/>
  <c r="V866" i="1"/>
  <c r="Q866" i="1"/>
  <c r="P866" i="1"/>
  <c r="O866" i="1"/>
  <c r="V865" i="1"/>
  <c r="Q865" i="1"/>
  <c r="P865" i="1"/>
  <c r="O865" i="1"/>
  <c r="V864" i="1"/>
  <c r="Q864" i="1"/>
  <c r="P864" i="1"/>
  <c r="O864" i="1"/>
  <c r="V863" i="1"/>
  <c r="Q863" i="1"/>
  <c r="P863" i="1"/>
  <c r="O863" i="1"/>
  <c r="V862" i="1"/>
  <c r="Q862" i="1"/>
  <c r="P862" i="1"/>
  <c r="O862" i="1"/>
  <c r="V861" i="1"/>
  <c r="Q861" i="1"/>
  <c r="P861" i="1"/>
  <c r="O861" i="1"/>
  <c r="N861" i="1"/>
  <c r="I861" i="1"/>
  <c r="H861" i="1"/>
  <c r="V860" i="1"/>
  <c r="Q860" i="1"/>
  <c r="P860" i="1"/>
  <c r="O860" i="1"/>
  <c r="N860" i="1"/>
  <c r="J860" i="1"/>
  <c r="I860" i="1"/>
  <c r="H860" i="1"/>
  <c r="G860" i="1"/>
  <c r="V859" i="1"/>
  <c r="Q859" i="1"/>
  <c r="P859" i="1"/>
  <c r="O859" i="1"/>
  <c r="N859" i="1"/>
  <c r="J859" i="1"/>
  <c r="I859" i="1"/>
  <c r="H859" i="1"/>
  <c r="G859" i="1"/>
  <c r="V858" i="1"/>
  <c r="Q858" i="1"/>
  <c r="P858" i="1"/>
  <c r="O858" i="1"/>
  <c r="N858" i="1"/>
  <c r="J858" i="1"/>
  <c r="I858" i="1"/>
  <c r="H858" i="1"/>
  <c r="G858" i="1"/>
  <c r="F858" i="1"/>
  <c r="V857" i="1"/>
  <c r="Q857" i="1"/>
  <c r="P857" i="1"/>
  <c r="O857" i="1"/>
  <c r="N857" i="1"/>
  <c r="J857" i="1"/>
  <c r="I857" i="1"/>
  <c r="H857" i="1"/>
  <c r="G857" i="1"/>
  <c r="F857" i="1"/>
  <c r="V856" i="1"/>
  <c r="Q856" i="1"/>
  <c r="P856" i="1"/>
  <c r="O856" i="1"/>
  <c r="N856" i="1"/>
  <c r="J856" i="1"/>
  <c r="I856" i="1"/>
  <c r="H856" i="1"/>
  <c r="G856" i="1"/>
  <c r="F856" i="1"/>
  <c r="V855" i="1"/>
  <c r="Q855" i="1"/>
  <c r="P855" i="1"/>
  <c r="O855" i="1"/>
  <c r="N855" i="1"/>
  <c r="J855" i="1"/>
  <c r="I855" i="1"/>
  <c r="H855" i="1"/>
  <c r="G855" i="1"/>
  <c r="F855" i="1"/>
  <c r="V854" i="1"/>
  <c r="Q854" i="1"/>
  <c r="P854" i="1"/>
  <c r="O854" i="1"/>
  <c r="N854" i="1"/>
  <c r="J854" i="1"/>
  <c r="I854" i="1"/>
  <c r="H854" i="1"/>
  <c r="G854" i="1"/>
  <c r="F854" i="1"/>
  <c r="V853" i="1"/>
  <c r="Q853" i="1"/>
  <c r="P853" i="1"/>
  <c r="O853" i="1"/>
  <c r="N853" i="1"/>
  <c r="J853" i="1"/>
  <c r="I853" i="1"/>
  <c r="H853" i="1"/>
  <c r="G853" i="1"/>
  <c r="V852" i="1"/>
  <c r="Q852" i="1"/>
  <c r="P852" i="1"/>
  <c r="O852" i="1"/>
  <c r="N852" i="1"/>
  <c r="J852" i="1"/>
  <c r="I852" i="1"/>
  <c r="H852" i="1"/>
  <c r="G852" i="1"/>
  <c r="Q851" i="1"/>
  <c r="P851" i="1"/>
  <c r="O851" i="1"/>
  <c r="N851" i="1"/>
  <c r="I851" i="1"/>
  <c r="H851" i="1"/>
  <c r="Q850" i="1"/>
  <c r="P850" i="1"/>
  <c r="O850" i="1"/>
  <c r="N850" i="1"/>
  <c r="I850" i="1"/>
  <c r="H850" i="1"/>
  <c r="Q849" i="1"/>
  <c r="P849" i="1"/>
  <c r="O849" i="1"/>
  <c r="Q848" i="1"/>
  <c r="P848" i="1"/>
  <c r="O848" i="1"/>
  <c r="Q847" i="1"/>
  <c r="O847" i="1"/>
  <c r="Q846" i="1"/>
  <c r="P739" i="1"/>
  <c r="P738" i="1"/>
  <c r="O738" i="1"/>
  <c r="V737" i="1"/>
  <c r="P737" i="1"/>
  <c r="O737" i="1"/>
  <c r="F737" i="1"/>
  <c r="E737" i="1"/>
  <c r="D737" i="1"/>
  <c r="V736" i="1"/>
  <c r="P736" i="1"/>
  <c r="O736" i="1"/>
  <c r="N736" i="1"/>
  <c r="G736" i="1"/>
  <c r="F736" i="1"/>
  <c r="E736" i="1"/>
  <c r="D736" i="1"/>
  <c r="C736" i="1"/>
  <c r="V735" i="1"/>
  <c r="R735" i="1"/>
  <c r="Q735" i="1"/>
  <c r="P735" i="1"/>
  <c r="O735" i="1"/>
  <c r="N735" i="1"/>
  <c r="J735" i="1"/>
  <c r="I735" i="1"/>
  <c r="H735" i="1"/>
  <c r="G735" i="1"/>
  <c r="F735" i="1"/>
  <c r="E735" i="1"/>
  <c r="D735" i="1"/>
  <c r="C735" i="1"/>
  <c r="V734" i="1"/>
  <c r="R734" i="1"/>
  <c r="Q734" i="1"/>
  <c r="P734" i="1"/>
  <c r="O734" i="1"/>
  <c r="N734" i="1"/>
  <c r="K734" i="1"/>
  <c r="J734" i="1"/>
  <c r="I734" i="1"/>
  <c r="H734" i="1"/>
  <c r="G734" i="1"/>
  <c r="F734" i="1"/>
  <c r="E734" i="1"/>
  <c r="D734" i="1"/>
  <c r="C734" i="1"/>
  <c r="V733" i="1"/>
  <c r="R733" i="1"/>
  <c r="Q733" i="1"/>
  <c r="P733" i="1"/>
  <c r="O733" i="1"/>
  <c r="N733" i="1"/>
  <c r="L733" i="1"/>
  <c r="K733" i="1"/>
  <c r="J733" i="1"/>
  <c r="I733" i="1"/>
  <c r="H733" i="1"/>
  <c r="G733" i="1"/>
  <c r="F733" i="1"/>
  <c r="E733" i="1"/>
  <c r="D733" i="1"/>
  <c r="C733" i="1"/>
  <c r="V732" i="1"/>
  <c r="R732" i="1"/>
  <c r="Q732" i="1"/>
  <c r="P732" i="1"/>
  <c r="O732" i="1"/>
  <c r="N732" i="1"/>
  <c r="L732" i="1"/>
  <c r="K732" i="1"/>
  <c r="J732" i="1"/>
  <c r="I732" i="1"/>
  <c r="H732" i="1"/>
  <c r="G732" i="1"/>
  <c r="F732" i="1"/>
  <c r="E732" i="1"/>
  <c r="D732" i="1"/>
  <c r="C732" i="1"/>
  <c r="V731" i="1"/>
  <c r="R731" i="1"/>
  <c r="Q731" i="1"/>
  <c r="P731" i="1"/>
  <c r="O731" i="1"/>
  <c r="N731" i="1"/>
  <c r="L731" i="1"/>
  <c r="K731" i="1"/>
  <c r="J731" i="1"/>
  <c r="I731" i="1"/>
  <c r="H731" i="1"/>
  <c r="G731" i="1"/>
  <c r="F731" i="1"/>
  <c r="E731" i="1"/>
  <c r="D731" i="1"/>
  <c r="C731" i="1"/>
  <c r="V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V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V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V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V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V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V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V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V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V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V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V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V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V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V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V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V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V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V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V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V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V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V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V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V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V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V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V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V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V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V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V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V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V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V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V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V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V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V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V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V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V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V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V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V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V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V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V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V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V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V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V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V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V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V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V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V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V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V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V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V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V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V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V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V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V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V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V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V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V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V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V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V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V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V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V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V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V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V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V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V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V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V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V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V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V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V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V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V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V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V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V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V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V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V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V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V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V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V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V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V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V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V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V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V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V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V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V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V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V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V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V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V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V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V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V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V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V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V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V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V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V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V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V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V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V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V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V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V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V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V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V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V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V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V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V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V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V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V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V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V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V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V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V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V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V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V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V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V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V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V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V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V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V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V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V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V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V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V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V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V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V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V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V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V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V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V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V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V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V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V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V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V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V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V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V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V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V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V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V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V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V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V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V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V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V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V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V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V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V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V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V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V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V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V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V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V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V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V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V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V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V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V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V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V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V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V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V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V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V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V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V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V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V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V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V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V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V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V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V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V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V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V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V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V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V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V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V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V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V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V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V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V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V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V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V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V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V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V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V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V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V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V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V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V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V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V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V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V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V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V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V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V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V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V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V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V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V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V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V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V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V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V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V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V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V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V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V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V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V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V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V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V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V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V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V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V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V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V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V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V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V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V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V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V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V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V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V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V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V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V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V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V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V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V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V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V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V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V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V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V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V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V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V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V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V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V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V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V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V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V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V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V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V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V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V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V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V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V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V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V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V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V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V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V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V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V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V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V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V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V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V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V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V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V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R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M393" i="1"/>
  <c r="L393" i="1"/>
  <c r="K393" i="1"/>
  <c r="I393" i="1"/>
  <c r="M392" i="1"/>
  <c r="L392" i="1"/>
  <c r="M391" i="1"/>
  <c r="L391" i="1"/>
  <c r="M390" i="1"/>
  <c r="M389" i="1"/>
  <c r="M388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O64" i="1"/>
  <c r="Q63" i="1"/>
  <c r="O63" i="1"/>
  <c r="Q62" i="1"/>
  <c r="O62" i="1"/>
  <c r="Q61" i="1"/>
  <c r="O61" i="1"/>
  <c r="Q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I54" i="1"/>
  <c r="Q53" i="1"/>
  <c r="P53" i="1"/>
  <c r="O53" i="1"/>
  <c r="I53" i="1"/>
  <c r="Q52" i="1"/>
  <c r="P52" i="1"/>
  <c r="O52" i="1"/>
  <c r="I52" i="1"/>
  <c r="Q51" i="1"/>
  <c r="P51" i="1"/>
  <c r="O51" i="1"/>
  <c r="I51" i="1"/>
  <c r="Q50" i="1"/>
  <c r="P50" i="1"/>
  <c r="O50" i="1"/>
  <c r="I50" i="1"/>
  <c r="Q49" i="1"/>
  <c r="P49" i="1"/>
  <c r="O49" i="1"/>
  <c r="I49" i="1"/>
  <c r="Q48" i="1"/>
  <c r="P48" i="1"/>
  <c r="O48" i="1"/>
  <c r="I48" i="1"/>
  <c r="V47" i="1"/>
  <c r="Q47" i="1"/>
  <c r="P47" i="1"/>
  <c r="O47" i="1"/>
  <c r="N47" i="1"/>
  <c r="I47" i="1"/>
  <c r="V46" i="1"/>
  <c r="Q46" i="1"/>
  <c r="P46" i="1"/>
  <c r="O46" i="1"/>
  <c r="N46" i="1"/>
  <c r="I46" i="1"/>
  <c r="V45" i="1"/>
  <c r="Q45" i="1"/>
  <c r="P45" i="1"/>
  <c r="O45" i="1"/>
  <c r="N45" i="1"/>
  <c r="I45" i="1"/>
  <c r="V44" i="1"/>
  <c r="Q44" i="1"/>
  <c r="P44" i="1"/>
  <c r="O44" i="1"/>
  <c r="N44" i="1"/>
  <c r="I44" i="1"/>
  <c r="V43" i="1"/>
  <c r="Q43" i="1"/>
  <c r="P43" i="1"/>
  <c r="O43" i="1"/>
  <c r="N43" i="1"/>
  <c r="I43" i="1"/>
  <c r="V42" i="1"/>
  <c r="Q42" i="1"/>
  <c r="P42" i="1"/>
  <c r="O42" i="1"/>
  <c r="N42" i="1"/>
  <c r="I42" i="1"/>
  <c r="V41" i="1"/>
  <c r="Q41" i="1"/>
  <c r="P41" i="1"/>
  <c r="O41" i="1"/>
  <c r="N41" i="1"/>
  <c r="I41" i="1"/>
  <c r="V40" i="1"/>
  <c r="Q40" i="1"/>
  <c r="P40" i="1"/>
  <c r="O40" i="1"/>
  <c r="N40" i="1"/>
  <c r="I40" i="1"/>
  <c r="V39" i="1"/>
  <c r="Q39" i="1"/>
  <c r="P39" i="1"/>
  <c r="O39" i="1"/>
  <c r="N39" i="1"/>
  <c r="I39" i="1"/>
  <c r="H39" i="1"/>
  <c r="V38" i="1"/>
  <c r="Q38" i="1"/>
  <c r="P38" i="1"/>
  <c r="O38" i="1"/>
  <c r="N38" i="1"/>
  <c r="I38" i="1"/>
  <c r="H38" i="1"/>
  <c r="V37" i="1"/>
  <c r="Q37" i="1"/>
  <c r="P37" i="1"/>
  <c r="O37" i="1"/>
  <c r="N37" i="1"/>
  <c r="I37" i="1"/>
  <c r="H37" i="1"/>
  <c r="G37" i="1"/>
  <c r="V36" i="1"/>
  <c r="Q36" i="1"/>
  <c r="P36" i="1"/>
  <c r="O36" i="1"/>
  <c r="N36" i="1"/>
  <c r="I36" i="1"/>
  <c r="H36" i="1"/>
  <c r="G36" i="1"/>
  <c r="V35" i="1"/>
  <c r="Q35" i="1"/>
  <c r="P35" i="1"/>
  <c r="O35" i="1"/>
  <c r="N35" i="1"/>
  <c r="I35" i="1"/>
  <c r="H35" i="1"/>
  <c r="G35" i="1"/>
  <c r="F35" i="1"/>
  <c r="V34" i="1"/>
  <c r="Q34" i="1"/>
  <c r="P34" i="1"/>
  <c r="O34" i="1"/>
  <c r="N34" i="1"/>
  <c r="I34" i="1"/>
  <c r="H34" i="1"/>
  <c r="G34" i="1"/>
  <c r="F34" i="1"/>
  <c r="V33" i="1"/>
  <c r="Q33" i="1"/>
  <c r="P33" i="1"/>
  <c r="O33" i="1"/>
  <c r="N33" i="1"/>
  <c r="I33" i="1"/>
  <c r="H33" i="1"/>
  <c r="G33" i="1"/>
  <c r="F33" i="1"/>
  <c r="E33" i="1"/>
  <c r="V32" i="1"/>
  <c r="Q32" i="1"/>
  <c r="P32" i="1"/>
  <c r="O32" i="1"/>
  <c r="N32" i="1"/>
  <c r="I32" i="1"/>
  <c r="H32" i="1"/>
  <c r="G32" i="1"/>
  <c r="F32" i="1"/>
  <c r="E32" i="1"/>
  <c r="V31" i="1"/>
  <c r="Q31" i="1"/>
  <c r="P31" i="1"/>
  <c r="O31" i="1"/>
  <c r="N31" i="1"/>
  <c r="I31" i="1"/>
  <c r="H31" i="1"/>
  <c r="G31" i="1"/>
  <c r="F31" i="1"/>
  <c r="E31" i="1"/>
  <c r="V30" i="1"/>
  <c r="Q30" i="1"/>
  <c r="P30" i="1"/>
  <c r="O30" i="1"/>
  <c r="N30" i="1"/>
  <c r="I30" i="1"/>
  <c r="H30" i="1"/>
  <c r="G30" i="1"/>
  <c r="F30" i="1"/>
  <c r="E30" i="1"/>
  <c r="V29" i="1"/>
  <c r="Q29" i="1"/>
  <c r="P29" i="1"/>
  <c r="O29" i="1"/>
  <c r="N29" i="1"/>
  <c r="I29" i="1"/>
  <c r="H29" i="1"/>
  <c r="G29" i="1"/>
  <c r="F29" i="1"/>
  <c r="E29" i="1"/>
  <c r="D29" i="1"/>
  <c r="V28" i="1"/>
  <c r="Q28" i="1"/>
  <c r="P28" i="1"/>
  <c r="O28" i="1"/>
  <c r="N28" i="1"/>
  <c r="I28" i="1"/>
  <c r="H28" i="1"/>
  <c r="G28" i="1"/>
  <c r="F28" i="1"/>
  <c r="E28" i="1"/>
  <c r="D28" i="1"/>
  <c r="V27" i="1"/>
  <c r="Q27" i="1"/>
  <c r="P27" i="1"/>
  <c r="O27" i="1"/>
  <c r="N27" i="1"/>
  <c r="J27" i="1"/>
  <c r="I27" i="1"/>
  <c r="H27" i="1"/>
  <c r="G27" i="1"/>
  <c r="F27" i="1"/>
  <c r="E27" i="1"/>
  <c r="D27" i="1"/>
  <c r="V26" i="1"/>
  <c r="Q26" i="1"/>
  <c r="P26" i="1"/>
  <c r="O26" i="1"/>
  <c r="N26" i="1"/>
  <c r="J26" i="1"/>
  <c r="I26" i="1"/>
  <c r="H26" i="1"/>
  <c r="G26" i="1"/>
  <c r="F26" i="1"/>
  <c r="E26" i="1"/>
  <c r="D26" i="1"/>
  <c r="V25" i="1"/>
  <c r="Q25" i="1"/>
  <c r="P25" i="1"/>
  <c r="O25" i="1"/>
  <c r="N25" i="1"/>
  <c r="J25" i="1"/>
  <c r="I25" i="1"/>
  <c r="H25" i="1"/>
  <c r="G25" i="1"/>
  <c r="F25" i="1"/>
  <c r="E25" i="1"/>
  <c r="D25" i="1"/>
  <c r="V24" i="1"/>
  <c r="Q24" i="1"/>
  <c r="P24" i="1"/>
  <c r="O24" i="1"/>
  <c r="N24" i="1"/>
  <c r="J24" i="1"/>
  <c r="I24" i="1"/>
  <c r="H24" i="1"/>
  <c r="G24" i="1"/>
  <c r="F24" i="1"/>
  <c r="E24" i="1"/>
  <c r="D24" i="1"/>
  <c r="V23" i="1"/>
  <c r="Q23" i="1"/>
  <c r="P23" i="1"/>
  <c r="O23" i="1"/>
  <c r="N23" i="1"/>
  <c r="J23" i="1"/>
  <c r="I23" i="1"/>
  <c r="H23" i="1"/>
  <c r="G23" i="1"/>
  <c r="F23" i="1"/>
  <c r="E23" i="1"/>
  <c r="D23" i="1"/>
  <c r="V22" i="1"/>
  <c r="Q22" i="1"/>
  <c r="P22" i="1"/>
  <c r="O22" i="1"/>
  <c r="N22" i="1"/>
  <c r="J22" i="1"/>
  <c r="I22" i="1"/>
  <c r="H22" i="1"/>
  <c r="G22" i="1"/>
  <c r="F22" i="1"/>
  <c r="E22" i="1"/>
  <c r="D22" i="1"/>
  <c r="V21" i="1"/>
  <c r="Q21" i="1"/>
  <c r="P21" i="1"/>
  <c r="O21" i="1"/>
  <c r="N21" i="1"/>
  <c r="J21" i="1"/>
  <c r="I21" i="1"/>
  <c r="H21" i="1"/>
  <c r="G21" i="1"/>
  <c r="F21" i="1"/>
  <c r="E21" i="1"/>
  <c r="D21" i="1"/>
  <c r="V20" i="1"/>
  <c r="Q20" i="1"/>
  <c r="P20" i="1"/>
  <c r="O20" i="1"/>
  <c r="N20" i="1"/>
  <c r="J20" i="1"/>
  <c r="I20" i="1"/>
  <c r="H20" i="1"/>
  <c r="G20" i="1"/>
  <c r="F20" i="1"/>
  <c r="E20" i="1"/>
  <c r="D20" i="1"/>
  <c r="C20" i="1"/>
  <c r="V19" i="1"/>
  <c r="Q19" i="1"/>
  <c r="P19" i="1"/>
  <c r="O19" i="1"/>
  <c r="N19" i="1"/>
  <c r="J19" i="1"/>
  <c r="I19" i="1"/>
  <c r="H19" i="1"/>
  <c r="G19" i="1"/>
  <c r="F19" i="1"/>
  <c r="E19" i="1"/>
  <c r="D19" i="1"/>
  <c r="C19" i="1"/>
  <c r="V18" i="1"/>
  <c r="Q18" i="1"/>
  <c r="P18" i="1"/>
  <c r="O18" i="1"/>
  <c r="N18" i="1"/>
  <c r="J18" i="1"/>
  <c r="I18" i="1"/>
  <c r="H18" i="1"/>
  <c r="G18" i="1"/>
  <c r="F18" i="1"/>
  <c r="E18" i="1"/>
  <c r="D18" i="1"/>
  <c r="C18" i="1"/>
  <c r="V17" i="1"/>
  <c r="Q17" i="1"/>
  <c r="P17" i="1"/>
  <c r="O17" i="1"/>
  <c r="N17" i="1"/>
  <c r="J17" i="1"/>
  <c r="I17" i="1"/>
  <c r="H17" i="1"/>
  <c r="G17" i="1"/>
  <c r="F17" i="1"/>
  <c r="E17" i="1"/>
  <c r="D17" i="1"/>
  <c r="C17" i="1"/>
  <c r="V16" i="1"/>
  <c r="Q16" i="1"/>
  <c r="P16" i="1"/>
  <c r="O16" i="1"/>
  <c r="N16" i="1"/>
  <c r="J16" i="1"/>
  <c r="I16" i="1"/>
  <c r="H16" i="1"/>
  <c r="G16" i="1"/>
  <c r="F16" i="1"/>
  <c r="E16" i="1"/>
  <c r="D16" i="1"/>
  <c r="C16" i="1"/>
  <c r="V15" i="1"/>
  <c r="Q15" i="1"/>
  <c r="P15" i="1"/>
  <c r="O15" i="1"/>
  <c r="N15" i="1"/>
  <c r="J15" i="1"/>
  <c r="I15" i="1"/>
  <c r="H15" i="1"/>
  <c r="G15" i="1"/>
  <c r="F15" i="1"/>
  <c r="E15" i="1"/>
  <c r="D15" i="1"/>
  <c r="C15" i="1"/>
  <c r="V14" i="1"/>
  <c r="Q14" i="1"/>
  <c r="P14" i="1"/>
  <c r="O14" i="1"/>
  <c r="N14" i="1"/>
  <c r="J14" i="1"/>
  <c r="I14" i="1"/>
  <c r="H14" i="1"/>
  <c r="G14" i="1"/>
  <c r="F14" i="1"/>
  <c r="E14" i="1"/>
  <c r="D14" i="1"/>
  <c r="C14" i="1"/>
  <c r="V13" i="1"/>
  <c r="Q13" i="1"/>
  <c r="P13" i="1"/>
  <c r="O13" i="1"/>
  <c r="N13" i="1"/>
  <c r="J13" i="1"/>
  <c r="I13" i="1"/>
  <c r="H13" i="1"/>
  <c r="G13" i="1"/>
  <c r="F13" i="1"/>
  <c r="E13" i="1"/>
  <c r="D13" i="1"/>
  <c r="C13" i="1"/>
  <c r="V12" i="1"/>
  <c r="Q12" i="1"/>
  <c r="P12" i="1"/>
  <c r="O12" i="1"/>
  <c r="N12" i="1"/>
  <c r="J12" i="1"/>
  <c r="I12" i="1"/>
  <c r="H12" i="1"/>
  <c r="G12" i="1"/>
  <c r="F12" i="1"/>
  <c r="E12" i="1"/>
  <c r="D12" i="1"/>
  <c r="C12" i="1"/>
  <c r="V11" i="1"/>
  <c r="Q11" i="1"/>
  <c r="P11" i="1"/>
  <c r="O11" i="1"/>
  <c r="N11" i="1"/>
  <c r="J11" i="1"/>
  <c r="I11" i="1"/>
  <c r="H11" i="1"/>
  <c r="G11" i="1"/>
  <c r="F11" i="1"/>
  <c r="E11" i="1"/>
  <c r="D11" i="1"/>
  <c r="C11" i="1"/>
  <c r="V10" i="1"/>
  <c r="Q10" i="1"/>
  <c r="P10" i="1"/>
  <c r="O10" i="1"/>
  <c r="N10" i="1"/>
  <c r="J10" i="1"/>
  <c r="I10" i="1"/>
  <c r="H10" i="1"/>
  <c r="G10" i="1"/>
  <c r="F10" i="1"/>
  <c r="E10" i="1"/>
  <c r="D10" i="1"/>
  <c r="C10" i="1"/>
  <c r="V9" i="1"/>
  <c r="Q9" i="1"/>
  <c r="P9" i="1"/>
  <c r="O9" i="1"/>
  <c r="N9" i="1"/>
  <c r="J9" i="1"/>
  <c r="I9" i="1"/>
  <c r="H9" i="1"/>
  <c r="G9" i="1"/>
  <c r="F9" i="1"/>
  <c r="E9" i="1"/>
  <c r="D9" i="1"/>
  <c r="C9" i="1"/>
  <c r="V8" i="1"/>
  <c r="Q8" i="1"/>
  <c r="P8" i="1"/>
  <c r="O8" i="1"/>
  <c r="N8" i="1"/>
  <c r="J8" i="1"/>
  <c r="I8" i="1"/>
  <c r="H8" i="1"/>
  <c r="G8" i="1"/>
  <c r="F8" i="1"/>
  <c r="E8" i="1"/>
  <c r="D8" i="1"/>
  <c r="C8" i="1"/>
  <c r="V7" i="1"/>
  <c r="Q7" i="1"/>
  <c r="P7" i="1"/>
  <c r="O7" i="1"/>
  <c r="N7" i="1"/>
  <c r="J7" i="1"/>
  <c r="I7" i="1"/>
  <c r="H7" i="1"/>
  <c r="G7" i="1"/>
  <c r="F7" i="1"/>
  <c r="E7" i="1"/>
  <c r="D7" i="1"/>
  <c r="C7" i="1"/>
  <c r="V6" i="1"/>
  <c r="Q6" i="1"/>
  <c r="P6" i="1"/>
  <c r="O6" i="1"/>
  <c r="N6" i="1"/>
  <c r="J6" i="1"/>
  <c r="I6" i="1"/>
  <c r="H6" i="1"/>
  <c r="G6" i="1"/>
  <c r="F6" i="1"/>
  <c r="E6" i="1"/>
  <c r="D6" i="1"/>
  <c r="C6" i="1"/>
  <c r="V5" i="1"/>
  <c r="Q5" i="1"/>
  <c r="P5" i="1"/>
  <c r="O5" i="1"/>
  <c r="N5" i="1"/>
  <c r="J5" i="1"/>
  <c r="I5" i="1"/>
  <c r="H5" i="1"/>
  <c r="G5" i="1"/>
  <c r="F5" i="1"/>
  <c r="E5" i="1"/>
  <c r="D5" i="1"/>
  <c r="C5" i="1"/>
  <c r="V4" i="1"/>
  <c r="Q4" i="1"/>
  <c r="P4" i="1"/>
  <c r="O4" i="1"/>
  <c r="N4" i="1"/>
  <c r="J4" i="1"/>
  <c r="I4" i="1"/>
  <c r="H4" i="1"/>
  <c r="G4" i="1"/>
  <c r="F4" i="1"/>
  <c r="E4" i="1"/>
  <c r="D4" i="1"/>
  <c r="C4" i="1"/>
  <c r="V3" i="1"/>
  <c r="Q3" i="1"/>
  <c r="P3" i="1"/>
  <c r="O3" i="1"/>
  <c r="N3" i="1"/>
  <c r="J3" i="1"/>
  <c r="I3" i="1"/>
  <c r="H3" i="1"/>
  <c r="G3" i="1"/>
  <c r="F3" i="1"/>
  <c r="E3" i="1"/>
  <c r="D3" i="1"/>
  <c r="C3" i="1"/>
  <c r="V2" i="1"/>
  <c r="Q2" i="1"/>
  <c r="P2" i="1"/>
  <c r="O2" i="1"/>
  <c r="N2" i="1"/>
  <c r="J2" i="1"/>
  <c r="I2" i="1"/>
  <c r="H2" i="1"/>
  <c r="G2" i="1"/>
  <c r="F2" i="1"/>
  <c r="E2" i="1"/>
  <c r="D2" i="1"/>
  <c r="C2" i="1"/>
  <c r="V1" i="1"/>
  <c r="Q1" i="1"/>
  <c r="P1" i="1"/>
  <c r="O1" i="1"/>
  <c r="N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<sst xmlns="http://schemas.openxmlformats.org/spreadsheetml/2006/main" count="57905" uniqueCount="57822">
  <si>
    <t>9763-20170724T165954.830391600.bin</t>
  </si>
  <si>
    <t>-553.124300899955 132.202062192307 -767.45136729859</t>
  </si>
  <si>
    <t>-575.820401354429 197.888424715259 -458.653213195116</t>
  </si>
  <si>
    <t>-365.683397639654 108.279977231912 -334.335817047407</t>
  </si>
  <si>
    <t>-573.091601201795 97.4564654926428 -251.877456480885</t>
  </si>
  <si>
    <t>-593.184474712922 81.8606981472058 203.106904661961</t>
  </si>
  <si>
    <t>-599.573485796653 31.6129782666678 669.597636287115</t>
  </si>
  <si>
    <t>-449.34885024593 2.14191231559175 756.243571471205</t>
  </si>
  <si>
    <t>-406.246811198077 -83.4139531912208 185.35469070709</t>
  </si>
  <si>
    <t>-533.190970588979 -49.6255599193437 637.117981487851</t>
  </si>
  <si>
    <t>-419.984938910455 -154.021348572057 722.14402966073</t>
  </si>
  <si>
    <t>9763-20170724T165954.863479400.bin</t>
  </si>
  <si>
    <t>-553.066848356515 132.197273324577 -767.727798990136</t>
  </si>
  <si>
    <t>-575.168973401402 198.202152858647 -458.954265765088</t>
  </si>
  <si>
    <t>-365.151090963597 108.256452172681 -334.679211289447</t>
  </si>
  <si>
    <t>-572.390230696529 97.1883474152407 -251.997562199654</t>
  </si>
  <si>
    <t>-592.57822515569 81.8234320200763 202.990412885772</t>
  </si>
  <si>
    <t>-599.594253887467 31.4286170399942 669.593347782092</t>
  </si>
  <si>
    <t>-449.44346069966 1.93224948513739 756.358677060514</t>
  </si>
  <si>
    <t>-406.084357672253 -82.536499080139 185.4690793702</t>
  </si>
  <si>
    <t>-533.009662864891 -48.1893349707102 637.230380261743</t>
  </si>
  <si>
    <t>-419.76002891469 -153.634409560285 720.89261100862</t>
  </si>
  <si>
    <t>9763-20170724T165954.898083100.bin</t>
  </si>
  <si>
    <t>-552.892902908851 132.200441951635 -767.802864601948</t>
  </si>
  <si>
    <t>-574.788779620421 198.392597943032 -459.054794325956</t>
  </si>
  <si>
    <t>-364.825746442248 108.236366323448 -334.83951685076</t>
  </si>
  <si>
    <t>-571.99792125728 97.0861101347798 -251.99814486531</t>
  </si>
  <si>
    <t>-592.315646808902 81.8575472302525 202.988713238919</t>
  </si>
  <si>
    <t>-599.626441637643 31.3370509418664 669.593958756186</t>
  </si>
  <si>
    <t>-449.492929182276 1.83462562704835 756.387047512871</t>
  </si>
  <si>
    <t>-405.788949785978 -81.9805209094161 185.55936272621</t>
  </si>
  <si>
    <t>-532.940166421467 -47.54505578469 637.240768181091</t>
  </si>
  <si>
    <t>-419.761709051208 -153.617651165036 720.203124507517</t>
  </si>
  <si>
    <t>9763-20170724T165954.962788000.bin</t>
  </si>
  <si>
    <t>-552.327548928463 131.80917154449 -767.963106160582</t>
  </si>
  <si>
    <t>-573.912294714673 198.455041703611 -459.290743443618</t>
  </si>
  <si>
    <t>-363.939042198439 108.120268399023 -335.222602554699</t>
  </si>
  <si>
    <t>-571.128358051883 96.8537400487946 -252.061221776174</t>
  </si>
  <si>
    <t>-591.720315974303 81.8967315172424 202.92217493464</t>
  </si>
  <si>
    <t>-599.644673611539 31.1789725409494 669.533660673112</t>
  </si>
  <si>
    <t>-449.595438629782 1.65272570508023 756.464342924246</t>
  </si>
  <si>
    <t>-405.028927001156 -81.2990814629238 185.614342768017</t>
  </si>
  <si>
    <t>-532.766650298565 -46.7118994461844 636.996700179286</t>
  </si>
  <si>
    <t>-419.668997944145 -153.51083825585 719.133354426268</t>
  </si>
  <si>
    <t>9763-20170724T165954.995848700.bin</t>
  </si>
  <si>
    <t>-551.833962534157 131.313494124076 -768.054879154947</t>
  </si>
  <si>
    <t>-573.229200846198 198.064125519027 -459.391940113898</t>
  </si>
  <si>
    <t>-363.245861576517 107.699385402457 -335.362640277183</t>
  </si>
  <si>
    <t>-570.718456419729 96.6117086629224 -252.068170061123</t>
  </si>
  <si>
    <t>-591.511307416667 81.8144480978676 202.91126004413</t>
  </si>
  <si>
    <t>-599.722688227465 31.0633454130041 669.567998345916</t>
  </si>
  <si>
    <t>-449.649461767645 1.58062167114645 756.472015186982</t>
  </si>
  <si>
    <t>-404.640218110163 -81.1261737846057 185.633560149465</t>
  </si>
  <si>
    <t>-532.674537084747 -46.4553572376362 636.868489212992</t>
  </si>
  <si>
    <t>-419.786943492115 -153.626765905779 718.808645029692</t>
  </si>
  <si>
    <t>9763-20170724T165955.064030300.bin</t>
  </si>
  <si>
    <t>-550.764515294695 130.200163160033 -768.185906593495</t>
  </si>
  <si>
    <t>-571.497544519259 197.421045611855 -459.579823615403</t>
  </si>
  <si>
    <t>-361.437937713827 106.995319755668 -335.724219755389</t>
  </si>
  <si>
    <t>-569.93154379882 96.1314974192601 -252.113389381846</t>
  </si>
  <si>
    <t>-591.047177449913 81.6064663334475 202.860044066389</t>
  </si>
  <si>
    <t>-599.827912278754 30.9900057328373 669.532733374516</t>
  </si>
  <si>
    <t>-449.759786326662 1.48568017990829 756.438244238106</t>
  </si>
  <si>
    <t>-403.845743605969 -81.1707628710444 185.685144791734</t>
  </si>
  <si>
    <t>-532.516408344503 -46.1338683979018 636.66086278123</t>
  </si>
  <si>
    <t>-419.535349071793 -153.380457666635 718.373552855698</t>
  </si>
  <si>
    <t>9763-20170724T165955.097652400.bin</t>
  </si>
  <si>
    <t>-550.170626822306 129.702570134195 -768.304107684755</t>
  </si>
  <si>
    <t>-570.845375122378 196.947323672159 -459.699422120865</t>
  </si>
  <si>
    <t>-360.612312676692 106.66585991439 -336.033007290407</t>
  </si>
  <si>
    <t>-569.57889516603 95.9552293271304 -252.194961763752</t>
  </si>
  <si>
    <t>-590.807530197565 81.5272903120731 202.776323475804</t>
  </si>
  <si>
    <t>-599.826014810061 30.9933016082819 669.466364424526</t>
  </si>
  <si>
    <t>-449.794480470305 1.44716468676324 756.420832527524</t>
  </si>
  <si>
    <t>-403.471387063065 -81.1444534542106 185.670321945104</t>
  </si>
  <si>
    <t>-532.418414044392 -46.0226988813461 636.538958076357</t>
  </si>
  <si>
    <t>-419.440523185008 -153.287712491541 718.231918933144</t>
  </si>
  <si>
    <t>9763-20170724T165955.163329400.bin</t>
  </si>
  <si>
    <t>-548.757673482412 128.79227550072 -768.609097431577</t>
  </si>
  <si>
    <t>-569.362684336258 195.907840333851 -459.971561240852</t>
  </si>
  <si>
    <t>-358.796388628729 106.021532220094 -336.584727997168</t>
  </si>
  <si>
    <t>-568.808809683432 95.578420744371 -252.440173048216</t>
  </si>
  <si>
    <t>-590.305493643993 81.3294697667804 202.52413523883</t>
  </si>
  <si>
    <t>-599.701604581215 30.9677242278503 669.238859194185</t>
  </si>
  <si>
    <t>-449.818121004773 1.37951418174089 756.434020026633</t>
  </si>
  <si>
    <t>-402.751704504289 -80.9287151028534 185.565560568843</t>
  </si>
  <si>
    <t>-532.24132294057 -45.9052453822053 636.276850322568</t>
  </si>
  <si>
    <t>-419.436677057412 -153.315712555003 718.01791796813</t>
  </si>
  <si>
    <t>9763-20170724T165955.194920400.bin</t>
  </si>
  <si>
    <t>-548.163670018014 128.643649140069 -768.708819550797</t>
  </si>
  <si>
    <t>-568.947639242734 195.647195935084 -460.058996612445</t>
  </si>
  <si>
    <t>-358.189440834064 106.104314450009 -336.750176023017</t>
  </si>
  <si>
    <t>-568.45172861419 95.4099567549731 -252.561677521291</t>
  </si>
  <si>
    <t>-590.048510578473 81.2152086737397 202.399490345395</t>
  </si>
  <si>
    <t>-599.703929077156 30.911180737578 669.189539224961</t>
  </si>
  <si>
    <t>-449.843615542523 1.35621359880702 756.435754595189</t>
  </si>
  <si>
    <t>-402.437935247899 -80.7388597036943 185.510802842991</t>
  </si>
  <si>
    <t>-532.132972757382 -45.8075767108837 636.166383099182</t>
  </si>
  <si>
    <t>-419.310881917496 -153.187338544971 717.923769676117</t>
  </si>
  <si>
    <t>9763-20170724T165955.262599600.bin</t>
  </si>
  <si>
    <t>-546.599951681016 128.368951949637 -768.817722178581</t>
  </si>
  <si>
    <t>-567.847163598485 195.019257142238 -460.123051275885</t>
  </si>
  <si>
    <t>-356.736564422482 106.491006006807 -336.68416998184</t>
  </si>
  <si>
    <t>-567.719370695108 95.1557347085034 -252.751260155379</t>
  </si>
  <si>
    <t>-589.496989280153 81.0506223083241 202.204202803</t>
  </si>
  <si>
    <t>-599.65788599722 30.7815957964519 668.999796306593</t>
  </si>
  <si>
    <t>-449.883273089636 1.32735205859422 756.427052869336</t>
  </si>
  <si>
    <t>-401.688290446596 -80.1291974722183 185.476322978768</t>
  </si>
  <si>
    <t>-532.007906674109 -45.821763461875 635.962364025654</t>
  </si>
  <si>
    <t>-419.149014921536 -153.110124114162 717.78893880895</t>
  </si>
  <si>
    <t>9763-20170724T165955.302208300.bin</t>
  </si>
  <si>
    <t>-545.838130202468 128.19309021772 -768.822577030437</t>
  </si>
  <si>
    <t>-567.599221508897 194.603046117271 -460.111779865094</t>
  </si>
  <si>
    <t>-356.296032667266 106.572125376046 -336.646928577731</t>
  </si>
  <si>
    <t>-567.314253288267 95.0505955661406 -252.855706963932</t>
  </si>
  <si>
    <t>-589.093449994948 80.9936200254856 202.101262905934</t>
  </si>
  <si>
    <t>-599.619995589558 30.7338444491083 668.940021268324</t>
  </si>
  <si>
    <t>-449.881597312465 1.30623385825675 756.438259888283</t>
  </si>
  <si>
    <t>-401.183346729327 -79.7364872272981 185.44078375193</t>
  </si>
  <si>
    <t>-531.850440268526 -45.7361639303278 635.814737205075</t>
  </si>
  <si>
    <t>-419.063857762369 -153.023502650708 717.742368082345</t>
  </si>
  <si>
    <t>9763-20170724T165955.362871100.bin</t>
  </si>
  <si>
    <t>-544.042780869029 127.493457623035 -768.944228091337</t>
  </si>
  <si>
    <t>-566.676364699423 193.510926723299 -460.211933942788</t>
  </si>
  <si>
    <t>-355.217502178354 106.563329966611 -336.246991841402</t>
  </si>
  <si>
    <t>-566.482694450408 94.9171020102788 -252.958723310739</t>
  </si>
  <si>
    <t>-588.398700978839 80.8927180744849 201.992517998235</t>
  </si>
  <si>
    <t>-599.628770946191 30.6426045518604 668.861411705984</t>
  </si>
  <si>
    <t>-449.916318948753 1.26775655314486 756.421745473994</t>
  </si>
  <si>
    <t>-400.20006007013 -78.5711905985556 185.47584492678</t>
  </si>
  <si>
    <t>-531.519002093189 -45.480199495325 635.60845811246</t>
  </si>
  <si>
    <t>-419.036830697211 -152.951504777456 717.713190932951</t>
  </si>
  <si>
    <t>9763-20170724T165955.399479100.bin</t>
  </si>
  <si>
    <t>-543.329076976389 127.038489676552 -769.036500206969</t>
  </si>
  <si>
    <t>-566.370992413079 192.989333316572 -460.320322929412</t>
  </si>
  <si>
    <t>-354.907178388404 106.535026603643 -336.019257659677</t>
  </si>
  <si>
    <t>-566.123865660773 94.8785610788605 -253.001965728889</t>
  </si>
  <si>
    <t>-588.126348844908 80.8746905337537 201.945748544255</t>
  </si>
  <si>
    <t>-599.637845929812 30.6255867226309 668.83127823587</t>
  </si>
  <si>
    <t>-449.936869578016 1.24719227518722 756.410046834812</t>
  </si>
  <si>
    <t>-399.740469200428 -77.9160351976109 185.510747169621</t>
  </si>
  <si>
    <t>-531.494664584686 -45.5724517992162 635.560758228565</t>
  </si>
  <si>
    <t>-418.993844831662 -152.983883966399 717.718221862173</t>
  </si>
  <si>
    <t>9763-20170724T165955.462157200.bin</t>
  </si>
  <si>
    <t>-541.712173117614 126.267629371265 -769.130994673307</t>
  </si>
  <si>
    <t>-565.35240190318 192.764247881031 -460.577188405064</t>
  </si>
  <si>
    <t>-354.03891446006 107.063929385414 -335.500719667658</t>
  </si>
  <si>
    <t>-565.681271760046 94.9751038969164 -253.016000263776</t>
  </si>
  <si>
    <t>-587.807524831111 80.9649705163542 201.925500874154</t>
  </si>
  <si>
    <t>-599.685249416562 30.5470773549637 668.812583701778</t>
  </si>
  <si>
    <t>-449.975655009353 1.21024424640768 756.390536739676</t>
  </si>
  <si>
    <t>-398.833197594575 -76.6837322737856 185.585865607637</t>
  </si>
  <si>
    <t>-531.260106135081 -45.4495912777766 635.444212174471</t>
  </si>
  <si>
    <t>-418.927525782089 -152.93553145625 717.734433467016</t>
  </si>
  <si>
    <t>9763-20170724T165955.500764500.bin</t>
  </si>
  <si>
    <t>-540.772757637047 126.149497562921 -769.205288080877</t>
  </si>
  <si>
    <t>-565.00077136443 192.91686452183 -460.755335354189</t>
  </si>
  <si>
    <t>-353.820253876125 107.398149344549 -335.330437351627</t>
  </si>
  <si>
    <t>-565.547715359177 95.0712833939624 -253.013851422127</t>
  </si>
  <si>
    <t>-587.760172793194 81.0295757162864 201.9225134835</t>
  </si>
  <si>
    <t>-599.704705051221 30.5370681848806 668.807139182874</t>
  </si>
  <si>
    <t>-449.989007714327 1.20624175426201 756.376632104008</t>
  </si>
  <si>
    <t>-398.48817929665 -76.0838618623061 185.604311591719</t>
  </si>
  <si>
    <t>-531.201628130065 -45.4855390917894 635.403383314768</t>
  </si>
  <si>
    <t>-418.841409304871 -152.889578794546 717.762879089571</t>
  </si>
  <si>
    <t>9763-20170724T165955.564464100.bin</t>
  </si>
  <si>
    <t>-539.57261146589 126.041663072851 -769.24031534389</t>
  </si>
  <si>
    <t>-564.066505507664 193.389545921515 -460.93782918587</t>
  </si>
  <si>
    <t>-353.166647194349 108.251370012239 -334.783969989506</t>
  </si>
  <si>
    <t>-565.414503852308 95.39134645171 -252.989665259781</t>
  </si>
  <si>
    <t>-587.807510463232 81.2121033481847 201.93357923846</t>
  </si>
  <si>
    <t>-599.765099253874 30.5216648137612 668.820453841452</t>
  </si>
  <si>
    <t>-450.028576124318 1.18288514418259 756.351697417387</t>
  </si>
  <si>
    <t>-398.183980303861 -75.0476702761946 185.637296576667</t>
  </si>
  <si>
    <t>-531.039984876417 -45.3708561367739 635.403075754752</t>
  </si>
  <si>
    <t>-418.646015038179 -152.684465462389 717.834287811695</t>
  </si>
  <si>
    <t>9763-20170724T165955.597052900.bin</t>
  </si>
  <si>
    <t>-539.396682565327 126.544149906219 -769.116510678535</t>
  </si>
  <si>
    <t>-563.726017535867 194.116463366103 -460.850056243749</t>
  </si>
  <si>
    <t>-352.835430633683 109.169005649104 -334.552201006079</t>
  </si>
  <si>
    <t>-565.418921263984 95.6524184555597 -252.969248755257</t>
  </si>
  <si>
    <t>-587.850115266727 81.3603812797987 201.948614617351</t>
  </si>
  <si>
    <t>-599.79620073549 30.5244594583796 668.832140323293</t>
  </si>
  <si>
    <t>-450.049354846086 1.17718234045969 756.342879838589</t>
  </si>
  <si>
    <t>-398.099919957709 -74.5042836207733 185.646385533007</t>
  </si>
  <si>
    <t>-530.948269638046 -45.2602195301622 635.430220116947</t>
  </si>
  <si>
    <t>-418.737293383488 -152.73792740796 717.896841386747</t>
  </si>
  <si>
    <t>9763-20170724T165955.666403500.bin</t>
  </si>
  <si>
    <t>-539.815466459249 127.356140606902 -769.015890931782</t>
  </si>
  <si>
    <t>-564.082229833911 194.245752973091 -460.595547961806</t>
  </si>
  <si>
    <t>-352.796337218271 110.492122776845 -334.16116552579</t>
  </si>
  <si>
    <t>-565.659920109286 96.2996028587056 -252.918102081962</t>
  </si>
  <si>
    <t>-588.302467534912 81.7242408786267 201.980341086509</t>
  </si>
  <si>
    <t>-599.807498101609 30.6539601816805 668.818125380034</t>
  </si>
  <si>
    <t>-450.074474967377 1.2235559391886 756.324613340511</t>
  </si>
  <si>
    <t>-398.03094123097 -73.847726324296 185.62984104161</t>
  </si>
  <si>
    <t>-530.93834995543 -45.3637202580214 635.470856699478</t>
  </si>
  <si>
    <t>-418.48354636537 -152.549920218868 717.984711529334</t>
  </si>
  <si>
    <t>9763-20170724T165955.699999100.bin</t>
  </si>
  <si>
    <t>-539.808337647279 127.96600653703 -768.952465717419</t>
  </si>
  <si>
    <t>-564.545478936119 194.242469516688 -460.437184045936</t>
  </si>
  <si>
    <t>-352.955385783649 111.273404668835 -333.994341398368</t>
  </si>
  <si>
    <t>-565.790366087142 96.7830151554258 -252.863032745557</t>
  </si>
  <si>
    <t>-588.627771174507 82.0387737729784 202.020134092595</t>
  </si>
  <si>
    <t>-599.828619893883 30.7748289804379 668.831750486559</t>
  </si>
  <si>
    <t>-450.10173460406 1.27137948018731 756.324083383353</t>
  </si>
  <si>
    <t>-397.91890642596 -73.4352755456687 185.61237527165</t>
  </si>
  <si>
    <t>-530.894986119504 -45.3450305665817 635.47519280533</t>
  </si>
  <si>
    <t>-418.455277311826 -152.522941231826 718.020475465572</t>
  </si>
  <si>
    <t>9763-20170724T165955.731588700.bin</t>
  </si>
  <si>
    <t>-539.709970467619 128.568473983732 -768.937988100184</t>
  </si>
  <si>
    <t>-565.293379769576 194.234923448383 -460.361260770733</t>
  </si>
  <si>
    <t>-353.529848165776 112.132185395453 -333.643473434245</t>
  </si>
  <si>
    <t>-565.899894401047 97.3607890324297 -252.803178304294</t>
  </si>
  <si>
    <t>-588.910736208118 82.3977499039138 202.06420487034</t>
  </si>
  <si>
    <t>-599.856497488143 30.9164556270434 668.841844203019</t>
  </si>
  <si>
    <t>-450.137898350604 1.3290246616657 756.320062445538</t>
  </si>
  <si>
    <t>-397.791185837892 -72.9894011271206 185.572591388031</t>
  </si>
  <si>
    <t>-530.912596094753 -45.4717910002885 635.453901323627</t>
  </si>
  <si>
    <t>-418.213814936724 -152.351613123407 718.032345360851</t>
  </si>
  <si>
    <t>9763-20170724T165955.800780600.bin</t>
  </si>
  <si>
    <t>-574.821506503571 0.963965622569958 -241.576820008378</t>
  </si>
  <si>
    <t>-538.838740482172 130.32030403628 -768.878019607066</t>
  </si>
  <si>
    <t>-566.42578819945 195.801490739162 -460.434587664859</t>
  </si>
  <si>
    <t>-354.961167170173 114.625654017136 -332.625198768204</t>
  </si>
  <si>
    <t>-566.070457855745 98.5786567659588 -252.66615882686</t>
  </si>
  <si>
    <t>-589.037002306643 83.0585123207602 202.184747357297</t>
  </si>
  <si>
    <t>-600.011702490662 31.0060368312236 668.968277365467</t>
  </si>
  <si>
    <t>-450.183738647962 1.55908994111178 756.306557778517</t>
  </si>
  <si>
    <t>-397.426638192305 -71.4802511747405 185.449091909825</t>
  </si>
  <si>
    <t>-530.711488810007 -45.3664799240187 635.368871668088</t>
  </si>
  <si>
    <t>-418.289896284857 -152.423847479295 718.095078189742</t>
  </si>
  <si>
    <t>9763-20170724T165955.865960800.bin</t>
  </si>
  <si>
    <t>-575.355601870059 2.39010065825983 -241.414954545864</t>
  </si>
  <si>
    <t>-538.857489545256 133.045825427559 -768.672291740605</t>
  </si>
  <si>
    <t>-567.628316222714 199.046947587472 -460.447971789589</t>
  </si>
  <si>
    <t>-356.744276715359 118.60166378203 -331.225060139269</t>
  </si>
  <si>
    <t>-567.13448759801 100.014274821182 -252.230160298631</t>
  </si>
  <si>
    <t>-589.66197683322 83.7731173317752 202.617446484208</t>
  </si>
  <si>
    <t>-600.508441045169 31.0172176598724 669.409292132742</t>
  </si>
  <si>
    <t>-450.263804035847 1.85666278638746 756.12563854963</t>
  </si>
  <si>
    <t>-397.785508126537 -69.7187666276313 185.476604951632</t>
  </si>
  <si>
    <t>-530.751393087751 -45.5041536301239 635.571438237575</t>
  </si>
  <si>
    <t>-417.838995862806 -152.077740171898 718.253824381726</t>
  </si>
  <si>
    <t>9763-20170724T165955.911630300.bin</t>
  </si>
  <si>
    <t>-575.770304111475 3.0717616713282 -241.368354388257</t>
  </si>
  <si>
    <t>-539.112464973896 134.591584427877 -768.486567538708</t>
  </si>
  <si>
    <t>-568.177820489192 200.539071512299 -460.278381792809</t>
  </si>
  <si>
    <t>-357.25433659737 120.763930416746 -330.704954075616</t>
  </si>
  <si>
    <t>-567.701005003166 100.733147255782 -252.093759125765</t>
  </si>
  <si>
    <t>-590.105506940073 84.1012063782732 202.745833404767</t>
  </si>
  <si>
    <t>-600.66765811718 31.1130552045429 669.489650458851</t>
  </si>
  <si>
    <t>-450.309542070947 2.02611747747915 756.033829468833</t>
  </si>
  <si>
    <t>-398.113087296687 -69.1266424778607 185.417942805234</t>
  </si>
  <si>
    <t>-530.760086130971 -45.8371364054983 635.528417297466</t>
  </si>
  <si>
    <t>-417.773711014091 -152.008211928445 718.626408161393</t>
  </si>
  <si>
    <t>9763-20170724T165955.966801800.bin</t>
  </si>
  <si>
    <t>-576.75575278799 4.29120802187799 -241.275352766566</t>
  </si>
  <si>
    <t>-539.459080539832 137.242296828116 -768.047386503275</t>
  </si>
  <si>
    <t>-568.695056365784 202.680900987039 -459.746896305144</t>
  </si>
  <si>
    <t>-356.812499999765 124.849068861957 -330.556819783392</t>
  </si>
  <si>
    <t>-568.993777932346 102.377651346844 -251.82555419162</t>
  </si>
  <si>
    <t>-591.065592814771 84.8479763758119 202.99671615614</t>
  </si>
  <si>
    <t>-600.897714617688 31.5357795927753 669.643662179652</t>
  </si>
  <si>
    <t>-450.33274298143 2.54478778708813 755.859817154866</t>
  </si>
  <si>
    <t>-398.851623631032 -69.0795060392461 185.359820655323</t>
  </si>
  <si>
    <t>-531.036995077617 -46.8031336154036 635.869113645944</t>
  </si>
  <si>
    <t>-417.433091519198 -151.847649866802 719.555054392979</t>
  </si>
  <si>
    <t>9763-20170724T165955.998902700.bin</t>
  </si>
  <si>
    <t>-577.392735081858 5.24148991485481 -241.115869641974</t>
  </si>
  <si>
    <t>-539.852495991976 138.97422462477 -767.743464836446</t>
  </si>
  <si>
    <t>-569.244672487106 204.136417792354 -459.399246058895</t>
  </si>
  <si>
    <t>-356.766395599705 127.334314266094 -330.572061360971</t>
  </si>
  <si>
    <t>-569.850237807398 103.451344687945 -251.593115454251</t>
  </si>
  <si>
    <t>-591.716217163857 85.4844141892913 203.221823829423</t>
  </si>
  <si>
    <t>-601.0834048764 31.8520847155814 669.816682193371</t>
  </si>
  <si>
    <t>-450.410643664855 2.69352388093239 755.787646060739</t>
  </si>
  <si>
    <t>-399.126093595177 -68.9496114849194 185.466551034957</t>
  </si>
  <si>
    <t>-531.062159593829 -46.548847293559 636.20244089381</t>
  </si>
  <si>
    <t>-417.522298430313 -151.829807972242 719.677794204819</t>
  </si>
  <si>
    <t>9763-20170724T165956.064596600.bin</t>
  </si>
  <si>
    <t>-578.983264165705 7.64111300457694 -240.633691324376</t>
  </si>
  <si>
    <t>-541.145755407159 142.438249447552 -767.159593542093</t>
  </si>
  <si>
    <t>-570.881959829363 207.042957293337 -458.731097173645</t>
  </si>
  <si>
    <t>-357.785314398719 132.294307409019 -329.717480348681</t>
  </si>
  <si>
    <t>-571.81392322447 105.904762821077 -250.978129856801</t>
  </si>
  <si>
    <t>-593.303019045725 87.0189359886353 203.817665348968</t>
  </si>
  <si>
    <t>-601.517424381469 32.4003873462677 670.229472416211</t>
  </si>
  <si>
    <t>-450.53113902662 3.31632204339053 755.674012780662</t>
  </si>
  <si>
    <t>-399.786909592725 -68.5398758416591 185.717037024534</t>
  </si>
  <si>
    <t>-531.142663487845 -45.8830139117185 636.750360772678</t>
  </si>
  <si>
    <t>-417.727933306427 -151.907485276932 719.451127325144</t>
  </si>
  <si>
    <t>9763-20170724T165956.097189700.bin</t>
  </si>
  <si>
    <t>-579.714487680272 8.62877783975796 -240.43993849558</t>
  </si>
  <si>
    <t>-542.103834881132 144.315538419874 -766.795748847049</t>
  </si>
  <si>
    <t>-572.072667254888 208.593453532543 -458.321456128483</t>
  </si>
  <si>
    <t>-358.774002206505 135.483012370995 -328.70427598642</t>
  </si>
  <si>
    <t>-572.746799855039 106.938992740664 -250.705769735261</t>
  </si>
  <si>
    <t>-593.926674814899 87.5918208352646 204.085107007108</t>
  </si>
  <si>
    <t>-601.734498057443 32.6227230514012 670.428356741967</t>
  </si>
  <si>
    <t>-450.626547397826 3.45306355037474 755.628324124843</t>
  </si>
  <si>
    <t>-400.31243800934 -68.2045574544443 185.852877750284</t>
  </si>
  <si>
    <t>-531.17656723389 -45.6876840175285 636.922641525688</t>
  </si>
  <si>
    <t>-417.474517215535 -151.648493189385 719.310034450239</t>
  </si>
  <si>
    <t>9763-20170724T165956.172391300.bin</t>
  </si>
  <si>
    <t>-581.224803599028 10.3971886975833 -240.533333841079</t>
  </si>
  <si>
    <t>-561.289127006399 3.14148082973975 -783.80192019627</t>
  </si>
  <si>
    <t>-544.598079802099 148.233549008648 -766.408618435902</t>
  </si>
  <si>
    <t>-575.708549052118 211.297650882441 -457.796869513055</t>
  </si>
  <si>
    <t>-361.965272999606 139.958268732054 -327.925554689955</t>
  </si>
  <si>
    <t>-574.499346724218 108.528036014999 -250.469384246471</t>
  </si>
  <si>
    <t>-594.315945740534 88.1959914790204 204.340112759641</t>
  </si>
  <si>
    <t>-602.01157836047 32.7344470399453 670.62773123809</t>
  </si>
  <si>
    <t>-450.716546464509 3.79084640965834 755.572378346808</t>
  </si>
  <si>
    <t>-401.749436758435 -66.8155807885221 185.484128141292</t>
  </si>
  <si>
    <t>-531.08931696501 -45.5934135783514 637.06172483824</t>
  </si>
  <si>
    <t>-417.342156526097 -151.600519042589 719.327047980118</t>
  </si>
  <si>
    <t>9763-20170724T165956.198963800.bin</t>
  </si>
  <si>
    <t>-582.294838620249 11.0022076284658 -240.660385931999</t>
  </si>
  <si>
    <t>-562.322715592822 4.61048132279439 -783.864588888629</t>
  </si>
  <si>
    <t>-546.314150515691 149.740792506119 -766.316661818224</t>
  </si>
  <si>
    <t>-577.887171253317 211.823260981833 -457.55286842222</t>
  </si>
  <si>
    <t>-364.038761081002 141.227907313372 -327.448276362218</t>
  </si>
  <si>
    <t>-575.672651073506 109.072475176457 -250.412475748687</t>
  </si>
  <si>
    <t>-594.390391950383 88.2064888045131 204.419248690222</t>
  </si>
  <si>
    <t>-602.135177686868 32.6213436516293 670.722980186834</t>
  </si>
  <si>
    <t>-450.739216937956 3.94303598011174 755.57772154528</t>
  </si>
  <si>
    <t>-402.430088340175 -65.7007403632865 184.986167839824</t>
  </si>
  <si>
    <t>-531.057592386615 -45.9356433386017 636.919360057008</t>
  </si>
  <si>
    <t>-416.898981597089 -151.325927778948 719.406941329767</t>
  </si>
  <si>
    <t>9763-20170724T165956.264643700.bin</t>
  </si>
  <si>
    <t>-585.649252191417 11.5727043103323 -240.844471577314</t>
  </si>
  <si>
    <t>-601.561576039648 0.653733065815004 -360.407728364491</t>
  </si>
  <si>
    <t>-564.911424204835 7.49017569480179 -783.770024359902</t>
  </si>
  <si>
    <t>-549.731637662473 152.660440333625 -765.769777900673</t>
  </si>
  <si>
    <t>-583.120711504607 213.182820864033 -456.887336558882</t>
  </si>
  <si>
    <t>-369.048738185189 143.533874845784 -326.640285182865</t>
  </si>
  <si>
    <t>-579.067044552452 109.889406833661 -250.115632492627</t>
  </si>
  <si>
    <t>-595.272229158922 87.9844800654862 204.763683963978</t>
  </si>
  <si>
    <t>-602.4604505342 32.2431740565603 671.004121665198</t>
  </si>
  <si>
    <t>-450.767128216548 4.34828604232825 755.588543680173</t>
  </si>
  <si>
    <t>-403.863515584757 -64.4651444128497 183.332576383624</t>
  </si>
  <si>
    <t>-530.70989274158 -47.3017405732051 635.789857861482</t>
  </si>
  <si>
    <t>-415.228878669032 -150.295074760452 719.4559620474</t>
  </si>
  <si>
    <t>9763-20170724T165956.304259500.bin</t>
  </si>
  <si>
    <t>-588.51914870851 10.6537576441538 -241.160020583226</t>
  </si>
  <si>
    <t>-605.048196004276 0.152355146116633 -360.676977487472</t>
  </si>
  <si>
    <t>-567.539327746709 7.67858733247613 -783.915920092792</t>
  </si>
  <si>
    <t>-552.322235344876 152.837418945884 -765.740024131552</t>
  </si>
  <si>
    <t>-586.872328006323 212.640178007702 -456.845142121272</t>
  </si>
  <si>
    <t>-372.969241339702 142.974488484406 -326.329946457601</t>
  </si>
  <si>
    <t>-581.556720450883 109.76439747492 -250.010190466842</t>
  </si>
  <si>
    <t>-596.504127079987 87.3903461613563 204.889410735832</t>
  </si>
  <si>
    <t>-602.687143644725 32.0393874987512 671.141421092363</t>
  </si>
  <si>
    <t>-450.825493233316 4.42980065746951 755.51714198702</t>
  </si>
  <si>
    <t>-406.209247833437 -65.2831074189314 182.018186368085</t>
  </si>
  <si>
    <t>-530.873793523611 -49.2604129108686 635.176749524346</t>
  </si>
  <si>
    <t>-413.62202497191 -149.424531936387 719.809434583835</t>
  </si>
  <si>
    <t>9763-20170724T165956.366948800.bin</t>
  </si>
  <si>
    <t>-594.239531222131 10.2536384475914 -240.936073254755</t>
  </si>
  <si>
    <t>-611.977990914463 0.906020110626059 -360.375524687478</t>
  </si>
  <si>
    <t>-572.782403255805 9.46586568598468 -783.394162783053</t>
  </si>
  <si>
    <t>-556.293885486648 154.426416075707 -764.959853246241</t>
  </si>
  <si>
    <t>-592.954164333958 212.905445750692 -456.054588794839</t>
  </si>
  <si>
    <t>-380.299150997247 141.906041062962 -324.22528392501</t>
  </si>
  <si>
    <t>-585.958413515694 110.269661068118 -249.292512656444</t>
  </si>
  <si>
    <t>-598.705665009345 86.7402925199822 205.61577756955</t>
  </si>
  <si>
    <t>-603.155099099484 31.6950247848783 671.601884918058</t>
  </si>
  <si>
    <t>-450.93939550407 4.74753344549686 755.552635244589</t>
  </si>
  <si>
    <t>-408.690486735735 -67.8659576705279 180.132218695904</t>
  </si>
  <si>
    <t>-533.026906297722 -55.4677172059664 634.308347790904</t>
  </si>
  <si>
    <t>-411.712854100734 -148.296738537225 721.539031657318</t>
  </si>
  <si>
    <t>9763-20170724T165956.399550000.bin</t>
  </si>
  <si>
    <t>-594.502354889599 13.1920565480195 -240.971865137514</t>
  </si>
  <si>
    <t>-612.637317270785 4.53949219771903 -360.404044186028</t>
  </si>
  <si>
    <t>-572.5735096079 13.447317633173 -783.330903337086</t>
  </si>
  <si>
    <t>-554.884518247269 158.267755425463 -764.801454677059</t>
  </si>
  <si>
    <t>-592.399981810729 216.472630814217 -455.946974770267</t>
  </si>
  <si>
    <t>-380.691103187011 143.865263830933 -323.472203886211</t>
  </si>
  <si>
    <t>-586.589681437083 112.22389038562 -249.004033879188</t>
  </si>
  <si>
    <t>-598.343886196645 88.0781518433082 205.898654617337</t>
  </si>
  <si>
    <t>-603.282984964875 31.5516258895868 671.769926841275</t>
  </si>
  <si>
    <t>-450.936818547033 4.93076796943001 755.588116915294</t>
  </si>
  <si>
    <t>-406.590654478098 -65.3804876298598 178.975696518997</t>
  </si>
  <si>
    <t>-532.287419056978 -58.054643337658 631.899074774973</t>
  </si>
  <si>
    <t>-408.729017758065 -146.165978647904 720.855391863618</t>
  </si>
  <si>
    <t>9763-20170724T165956.462221000.bin</t>
  </si>
  <si>
    <t>-594.300778749945 18.7631407962183 -241.165494161259</t>
  </si>
  <si>
    <t>-612.953999430011 10.6954202962968 -360.558897497372</t>
  </si>
  <si>
    <t>-613.142718933088 3.6378515057088 -481.557697426925</t>
  </si>
  <si>
    <t>-572.647688531604 20.1255082108016 -783.408746239663</t>
  </si>
  <si>
    <t>-551.690700897635 164.423032734415 -764.279526330535</t>
  </si>
  <si>
    <t>-589.867508319529 223.572507948892 -455.685853969928</t>
  </si>
  <si>
    <t>-380.146531837771 146.122597616502 -322.79235912336</t>
  </si>
  <si>
    <t>-586.825316605374 115.717598237055 -248.72676395595</t>
  </si>
  <si>
    <t>-597.854686598899 91.1295708110756 206.170496761132</t>
  </si>
  <si>
    <t>-603.452536321904 31.499215833571 672.00498341969</t>
  </si>
  <si>
    <t>-450.958776425234 5.03547868993815 755.60423322536</t>
  </si>
  <si>
    <t>-411.215641929003 -61.2305620916143 180.989978390574</t>
  </si>
  <si>
    <t>-556.042173915794 -58.321615116894 628.22533993723</t>
  </si>
  <si>
    <t>-427.242303423488 -140.582881720681 715.329811710919</t>
  </si>
  <si>
    <t>9763-20170724T165956.500327600.bin</t>
  </si>
  <si>
    <t>-594.878850839341 19.890564345161 -241.231098198217</t>
  </si>
  <si>
    <t>-613.584584709153 11.8931276672834 -360.620961304011</t>
  </si>
  <si>
    <t>-614.059453953198 5.01351353296718 -481.629257181868</t>
  </si>
  <si>
    <t>-574.317463597413 22.0037424284153 -783.533950166982</t>
  </si>
  <si>
    <t>-551.420860052387 165.87882819833 -763.740468476833</t>
  </si>
  <si>
    <t>-588.914969431491 225.956773079915 -455.242434095946</t>
  </si>
  <si>
    <t>-380.097319548776 145.781145874733 -322.543091350922</t>
  </si>
  <si>
    <t>-586.858853757652 116.345313545281 -248.737494927454</t>
  </si>
  <si>
    <t>-598.025096959222 91.7441978908691 206.155521132569</t>
  </si>
  <si>
    <t>-603.504990148177 31.5572305847404 672.050591774494</t>
  </si>
  <si>
    <t>-451.011825373986 4.9113938561145 755.593102703423</t>
  </si>
  <si>
    <t>-416.816435914289 -62.0643127109477 183.103999826265</t>
  </si>
  <si>
    <t>-577.62692246965 -52.6967298888735 624.106201513249</t>
  </si>
  <si>
    <t>-451.882790927652 -138.525895772832 712.226888959341</t>
  </si>
  <si>
    <t>9763-20170724T165956.569342500.bin</t>
  </si>
  <si>
    <t>-596.255421760467 20.2277954115038 -241.129284105481</t>
  </si>
  <si>
    <t>-614.745444249964 12.3203795887691 -360.558694511865</t>
  </si>
  <si>
    <t>-615.883316201544 5.98149231026332 -481.592089759918</t>
  </si>
  <si>
    <t>-609.748093471538 0.89584577517553 -590.822837276922</t>
  </si>
  <si>
    <t>-578.701284105221 25.0309177354873 -783.64698178499</t>
  </si>
  <si>
    <t>-551.531185962337 167.871818706341 -761.915039710362</t>
  </si>
  <si>
    <t>-585.982695351158 228.052599677222 -453.082436343022</t>
  </si>
  <si>
    <t>-378.209149143869 143.367413833119 -321.550702301009</t>
  </si>
  <si>
    <t>-585.856455414622 116.522949546831 -248.884499297231</t>
  </si>
  <si>
    <t>-596.856411535823 91.8497258590974 206.008804027403</t>
  </si>
  <si>
    <t>-603.487880835407 31.5844626501407 672.00317520514</t>
  </si>
  <si>
    <t>-451.046827347437 4.75519667227968 755.581989964015</t>
  </si>
  <si>
    <t>-433.147309052845 -67.2018193615004 188.626825555864</t>
  </si>
  <si>
    <t>-636.790169359013 -29.479807686 610.425543425069</t>
  </si>
  <si>
    <t>-531.872072180919 -131.538930439491 707.994210433275</t>
  </si>
  <si>
    <t>9763-20170724T165956.596416800.bin</t>
  </si>
  <si>
    <t>-596.658686172077 20.1147724289865 -241.045234269903</t>
  </si>
  <si>
    <t>-615.214113816101 12.2701440508602 -360.46851606712</t>
  </si>
  <si>
    <t>-616.851441642665 6.24018861943136 -481.512160688185</t>
  </si>
  <si>
    <t>-611.341015614652 1.53038307044039 -590.792930302065</t>
  </si>
  <si>
    <t>-581.367476545015 26.5138900344964 -783.659542118117</t>
  </si>
  <si>
    <t>-551.999538554046 168.781264200064 -760.930231043906</t>
  </si>
  <si>
    <t>-584.413040919326 228.388257098868 -451.766052812261</t>
  </si>
  <si>
    <t>-376.743272336886 141.821853107838 -321.299304370485</t>
  </si>
  <si>
    <t>-584.738438268535 116.427610397409 -248.955693234791</t>
  </si>
  <si>
    <t>-595.418402690891 91.62493146471 205.938202846671</t>
  </si>
  <si>
    <t>-603.411276977985 31.5024211175366 671.913446499071</t>
  </si>
  <si>
    <t>-451.069190493585 4.48757229305397 755.612960106948</t>
  </si>
  <si>
    <t>-444.109944033657 -70.2180421678302 192.486387297548</t>
  </si>
  <si>
    <t>-671.629244862334 -13.119964338068 600.031802238871</t>
  </si>
  <si>
    <t>-573.574328444112 -115.04721096154 704.624275600162</t>
  </si>
  <si>
    <t>9763-20170724T165956.674626200.bin</t>
  </si>
  <si>
    <t>-597.595129303966 21.0375485728891 -240.785056976031</t>
  </si>
  <si>
    <t>-615.867746647845 13.1197989197165 -360.247347647581</t>
  </si>
  <si>
    <t>-618.376740292502 7.44476751393017 -481.293023909155</t>
  </si>
  <si>
    <t>-614.121900400021 3.24172763147385 -590.650544006435</t>
  </si>
  <si>
    <t>-603.456604198867 0.00430836941018242 -699.602942511065</t>
  </si>
  <si>
    <t>-586.602050387454 29.4845557521887 -783.681598014757</t>
  </si>
  <si>
    <t>-552.773134258917 170.526586594927 -759.564426679143</t>
  </si>
  <si>
    <t>-580.854292820208 227.409237463779 -449.464422676536</t>
  </si>
  <si>
    <t>-372.925957366554 137.46762942797 -321.720917573778</t>
  </si>
  <si>
    <t>-581.774099210848 117.175176274782 -249.179912130523</t>
  </si>
  <si>
    <t>-591.827378676296 91.5581997101374 205.683068982673</t>
  </si>
  <si>
    <t>-603.058256696799 31.331862673421 671.504161694965</t>
  </si>
  <si>
    <t>-451.070062010803 3.98976883435785 755.739004425947</t>
  </si>
  <si>
    <t>-470.270889396571 -73.7357416248947 200.943473034017</t>
  </si>
  <si>
    <t>-740.586133102604 30.7129083943378 571.713656626797</t>
  </si>
  <si>
    <t>-650.203055958835 -59.8814318398217 692.407807261499</t>
  </si>
  <si>
    <t>9763-20170724T165956.695684100.bin</t>
  </si>
  <si>
    <t>-598.50893338346 22.249563277014 -240.655645943841</t>
  </si>
  <si>
    <t>-616.444288698945 14.2011861947285 -360.160254482646</t>
  </si>
  <si>
    <t>-619.235471122372 8.57180482406784 -481.201949852236</t>
  </si>
  <si>
    <t>-615.489723001582 4.49438865950947 -590.582868295043</t>
  </si>
  <si>
    <t>-605.586699236803 1.47941571221372 -699.613639161453</t>
  </si>
  <si>
    <t>-589.039463636611 31.1236683800387 -783.695456609888</t>
  </si>
  <si>
    <t>-553.028743759126 171.555418106175 -759.127685539986</t>
  </si>
  <si>
    <t>-578.782755870401 227.075305446967 -448.579063326768</t>
  </si>
  <si>
    <t>-370.692230081181 135.508067522995 -322.262704824905</t>
  </si>
  <si>
    <t>-580.363293589229 118.049741273694 -249.318491960013</t>
  </si>
  <si>
    <t>-590.509713945229 92.1207744665123 205.524753716346</t>
  </si>
  <si>
    <t>-602.824192517601 31.3798952998393 671.23311356036</t>
  </si>
  <si>
    <t>-451.070230430745 3.7858389093476 755.807452256878</t>
  </si>
  <si>
    <t>-484.200376030363 -76.2676916239877 204.99390958663</t>
  </si>
  <si>
    <t>-769.213317370277 56.374411033323 555.075308390762</t>
  </si>
  <si>
    <t>-683.493700313673 -27.3028538426363 683.8921105892</t>
  </si>
  <si>
    <t>9763-20170724T165956.767441000.bin</t>
  </si>
  <si>
    <t>-603.176743779677 26.0072214976219 -240.251085785882</t>
  </si>
  <si>
    <t>-620.133728142434 18.1219933405887 -359.909325050591</t>
  </si>
  <si>
    <t>-623.232051542491 12.4647347386431 -480.942173412963</t>
  </si>
  <si>
    <t>-620.292296811231 8.31191895074494 -590.344892589679</t>
  </si>
  <si>
    <t>-611.723175270543 5.19669872959753 -699.485808399849</t>
  </si>
  <si>
    <t>-593.961921352112 1.99587407755985 -850.728243403765</t>
  </si>
  <si>
    <t>-595.559999718811 34.5834714295665 -783.732658096843</t>
  </si>
  <si>
    <t>-554.989550735451 173.751585030181 -758.928045451307</t>
  </si>
  <si>
    <t>-576.467590683655 227.4981536352 -447.742928596226</t>
  </si>
  <si>
    <t>-368.376901408216 132.081697715987 -324.308574394056</t>
  </si>
  <si>
    <t>-580.114927288016 120.861939735348 -249.509817482385</t>
  </si>
  <si>
    <t>-590.063949822736 93.9472722217731 205.280583949161</t>
  </si>
  <si>
    <t>-602.352470961507 31.7598280057266 670.735125265594</t>
  </si>
  <si>
    <t>-451.120969498186 3.22046053097779 755.92931921988</t>
  </si>
  <si>
    <t>-514.8836356803 -84.7607788049838 211.225396077513</t>
  </si>
  <si>
    <t>-809.063916699549 104.070705834869 525.786096777316</t>
  </si>
  <si>
    <t>-731.312199236199 33.4524087534858 666.893308757184</t>
  </si>
  <si>
    <t>9763-20170724T165956.797522400.bin</t>
  </si>
  <si>
    <t>-606.747542507685 28.5415530372377 -240.277985003909</t>
  </si>
  <si>
    <t>-623.303114704797 20.8705763121775 -360.006308316556</t>
  </si>
  <si>
    <t>-626.555095467344 15.1278639464731 -481.031090489257</t>
  </si>
  <si>
    <t>-623.980641114497 10.7859878194174 -590.435734408736</t>
  </si>
  <si>
    <t>-616.002150044379 7.3792921323336 -699.612675132577</t>
  </si>
  <si>
    <t>-599.295258715536 3.67422079998437 -850.963816378492</t>
  </si>
  <si>
    <t>-599.899915880426 36.3745450084073 -784.00667303064</t>
  </si>
  <si>
    <t>-556.792136964815 174.844497483326 -759.521827261581</t>
  </si>
  <si>
    <t>-576.356976613082 228.115270505627 -448.128768930171</t>
  </si>
  <si>
    <t>-368.615250709346 130.594078831558 -325.756250495989</t>
  </si>
  <si>
    <t>-581.147034217849 122.755834919693 -249.568371006147</t>
  </si>
  <si>
    <t>-590.766149220816 95.215964901467 205.191676667435</t>
  </si>
  <si>
    <t>-602.195487306773 32.1583439672056 670.562175337901</t>
  </si>
  <si>
    <t>-451.222051441517 2.86735488546242 755.958727540709</t>
  </si>
  <si>
    <t>-533.064685326578 -87.331398918966 213.641980604614</t>
  </si>
  <si>
    <t>-821.65368355996 124.786062441079 518.161844395758</t>
  </si>
  <si>
    <t>-744.253954011276 59.3706415613915 661.945058964345</t>
  </si>
  <si>
    <t>9763-20170724T165956.866708000.bin</t>
  </si>
  <si>
    <t>-616.576565902653 34.048247483719 -240.71640308727</t>
  </si>
  <si>
    <t>-632.415138737424 27.0020323693409 -360.580088884987</t>
  </si>
  <si>
    <t>-635.944303177082 20.787084875122 -481.573882779353</t>
  </si>
  <si>
    <t>-634.019474649327 15.5833467252276 -590.954214014024</t>
  </si>
  <si>
    <t>-627.083197049709 10.894225784798 -700.154821894412</t>
  </si>
  <si>
    <t>-612.228172434583 4.97684629995911 -851.628676976795</t>
  </si>
  <si>
    <t>-610.781330278145 38.3580041903183 -785.021306431024</t>
  </si>
  <si>
    <t>-561.908287666869 175.179614255787 -762.075021793346</t>
  </si>
  <si>
    <t>-577.566298425796 229.105378673995 -450.573732936351</t>
  </si>
  <si>
    <t>-371.631855204182 126.910078118783 -328.963042647166</t>
  </si>
  <si>
    <t>-585.985029644298 126.652959790712 -249.863077426964</t>
  </si>
  <si>
    <t>-593.822188094727 98.0127336981966 204.86315474257</t>
  </si>
  <si>
    <t>-601.805504538277 33.4768604531159 670.112337930694</t>
  </si>
  <si>
    <t>-451.48891984375 2.17661665180685 755.953651923749</t>
  </si>
  <si>
    <t>-574.075245613075 -87.013324723619 217.511826945173</t>
  </si>
  <si>
    <t>-833.458304669326 155.247607647224 526.077280383015</t>
  </si>
  <si>
    <t>-750.514410043643 89.7174364978373 666.681789512925</t>
  </si>
  <si>
    <t>9763-20170724T165956.900300700.bin</t>
  </si>
  <si>
    <t>-623.453843372853 37.1998331537582 -241.021718052815</t>
  </si>
  <si>
    <t>-638.946775162823 30.5665936335897 -360.954114071844</t>
  </si>
  <si>
    <t>-642.509974656391 23.8938063826083 -481.922468434802</t>
  </si>
  <si>
    <t>-640.764014620262 17.9255598965394 -591.266889922128</t>
  </si>
  <si>
    <t>-634.148924354632 12.1271247248378 -700.433958979234</t>
  </si>
  <si>
    <t>-619.883913326682 4.3110381259869 -851.878477693266</t>
  </si>
  <si>
    <t>-617.385109182162 38.3090350197954 -785.615181038989</t>
  </si>
  <si>
    <t>-564.942830908818 174.030154588476 -763.857460145859</t>
  </si>
  <si>
    <t>-579.137053831357 229.497897736045 -452.556880706661</t>
  </si>
  <si>
    <t>-374.699520625469 124.550545640041 -330.764388632914</t>
  </si>
  <si>
    <t>-590.196168585784 128.842494198053 -250.02009689893</t>
  </si>
  <si>
    <t>-596.881780840946 99.5543814614159 204.683363180489</t>
  </si>
  <si>
    <t>-601.640943788289 34.2810988326446 669.898955915625</t>
  </si>
  <si>
    <t>-451.723497785624 1.58333593450698 755.917154268501</t>
  </si>
  <si>
    <t>-597.492333271104 -81.6388250903706 219.127512526575</t>
  </si>
  <si>
    <t>-835.284868489468 164.735400106052 540.781576319099</t>
  </si>
  <si>
    <t>-752.348020770675 88.916780349311 676.120122632478</t>
  </si>
  <si>
    <t>9763-20170724T165956.960970600.bin</t>
  </si>
  <si>
    <t>-640.571717902076 44.8757721354357 -241.778038127492</t>
  </si>
  <si>
    <t>-655.802578771364 39.1614241686184 -361.79126273051</t>
  </si>
  <si>
    <t>-659.49646060009 31.1562608527938 -482.674873838411</t>
  </si>
  <si>
    <t>-658.008809613393 23.0769548017145 -591.887379950472</t>
  </si>
  <si>
    <t>-651.776309878782 14.2735280606439 -700.875841642777</t>
  </si>
  <si>
    <t>-638.160180627213 1.3539236813217 -852.030391100549</t>
  </si>
  <si>
    <t>-633.46016922057 36.9586282962009 -786.737768387677</t>
  </si>
  <si>
    <t>-572.311740412414 169.440786285142 -768.397418912543</t>
  </si>
  <si>
    <t>-584.33405919941 230.780177096079 -458.108660234064</t>
  </si>
  <si>
    <t>-384.33806819076 120.792956812081 -333.423258569667</t>
  </si>
  <si>
    <t>-601.050010030549 133.887426421599 -250.452852078569</t>
  </si>
  <si>
    <t>-604.545467801734 103.340883313601 204.203456977284</t>
  </si>
  <si>
    <t>-601.198515986239 36.8934067341038 669.385553445971</t>
  </si>
  <si>
    <t>-452.415267989455 0.222163974427986 755.770016747078</t>
  </si>
  <si>
    <t>-645.28542593338 -55.9233007648929 221.860736193555</t>
  </si>
  <si>
    <t>-844.807380966593 180.392763450935 575.083349109713</t>
  </si>
  <si>
    <t>-767.884970777999 80.2043669096827 697.511857141786</t>
  </si>
  <si>
    <t>9763-20170724T165956.998065600.bin</t>
  </si>
  <si>
    <t>-651.517626231694 49.7882073788867 -242.331898848431</t>
  </si>
  <si>
    <t>-666.740269640443 44.8144327303039 -362.379128806336</t>
  </si>
  <si>
    <t>-670.5843211462 36.1382062643861 -483.211787003848</t>
  </si>
  <si>
    <t>-669.282900827343 26.8830325817498 -592.333121261698</t>
  </si>
  <si>
    <t>-663.276912503376 16.3407626590172 -701.179949761007</t>
  </si>
  <si>
    <t>-650.009637136092 0.420220590718372 -852.079095899621</t>
  </si>
  <si>
    <t>-644.171730089805 36.9507134182779 -787.392418588527</t>
  </si>
  <si>
    <t>-578.381196212083 167.463855597293 -771.207366190575</t>
  </si>
  <si>
    <t>-588.652608545926 232.99433191389 -461.713534392954</t>
  </si>
  <si>
    <t>-391.773573281253 120.099933013317 -334.687718495127</t>
  </si>
  <si>
    <t>-609.06287716384 137.548631674902 -250.661895310412</t>
  </si>
  <si>
    <t>-610.145047655515 105.144328360589 203.877976676847</t>
  </si>
  <si>
    <t>-600.998899650872 38.6127534688567 669.167422587037</t>
  </si>
  <si>
    <t>-453.038528963106 -0.998430598223194 755.667107723764</t>
  </si>
  <si>
    <t>-670.295484011391 -37.7382720701917 221.864422877653</t>
  </si>
  <si>
    <t>-854.224834953434 185.359036947651 592.456533799841</t>
  </si>
  <si>
    <t>-779.773235422026 74.0937010051452 706.563919605887</t>
  </si>
  <si>
    <t>9763-20170724T165957.063829700.bin</t>
  </si>
  <si>
    <t>-679.125252562571 65.8884468356509 -243.953047584882</t>
  </si>
  <si>
    <t>-692.668018226876 64.0459426679652 -364.290099200095</t>
  </si>
  <si>
    <t>-695.932496606882 54.6018104014863 -485.082232525908</t>
  </si>
  <si>
    <t>-694.512688734248 43.0740826465858 -593.985570380222</t>
  </si>
  <si>
    <t>-688.766252705376 28.6899317147499 -702.405760618867</t>
  </si>
  <si>
    <t>-676.231826681825 5.79658916698168 -852.468237567779</t>
  </si>
  <si>
    <t>-668.388911765485 44.5793116016587 -789.323170449232</t>
  </si>
  <si>
    <t>-594.168892479532 171.002701148215 -778.465777946571</t>
  </si>
  <si>
    <t>-597.806904854581 247.062323634135 -471.239608755875</t>
  </si>
  <si>
    <t>-408.650818758853 127.951934672788 -338.293302609307</t>
  </si>
  <si>
    <t>-631.791535019829 152.573982777928 -249.869179975892</t>
  </si>
  <si>
    <t>-625.989418451264 113.235037646856 204.087183354412</t>
  </si>
  <si>
    <t>-600.099226579546 43.2181383295278 668.408200407679</t>
  </si>
  <si>
    <t>-454.72532816804 -4.24666430325397 755.339392094872</t>
  </si>
  <si>
    <t>-720.040151693309 -6.26121126189378 218.582845843437</t>
  </si>
  <si>
    <t>-871.296237818 186.906480543981 620.395323767388</t>
  </si>
  <si>
    <t>-797.859574571216 58.8052161466806 716.001925251072</t>
  </si>
  <si>
    <t>9763-20170724T165957.095418200.bin</t>
  </si>
  <si>
    <t>-695.516300750916 76.93358320522 -244.316804647736</t>
  </si>
  <si>
    <t>-707.870412117207 77.0946690541716 -364.795618927924</t>
  </si>
  <si>
    <t>-710.681973831294 67.2931312221288 -485.570539175645</t>
  </si>
  <si>
    <t>-709.124323773135 54.488628275845 -594.329375498339</t>
  </si>
  <si>
    <t>-703.495449565911 37.8798961296093 -702.437258453351</t>
  </si>
  <si>
    <t>-691.377845197893 10.9116076953712 -851.855670336425</t>
  </si>
  <si>
    <t>-682.68408579513 51.0866704710311 -789.700212753809</t>
  </si>
  <si>
    <t>-605.028721472495 175.770044733049 -782.061170980618</t>
  </si>
  <si>
    <t>-604.519321959774 257.650740439903 -476.313782899592</t>
  </si>
  <si>
    <t>-419.114025182092 135.818231372577 -340.579599173079</t>
  </si>
  <si>
    <t>-645.778465902419 162.344275941196 -248.669364387907</t>
  </si>
  <si>
    <t>-632.873262218659 117.872255529015 204.66640421455</t>
  </si>
  <si>
    <t>-599.434005536996 45.2744804107683 667.981453996576</t>
  </si>
  <si>
    <t>-455.340113674736 -5.52859228574994 755.156613184437</t>
  </si>
  <si>
    <t>-740.281405091748 7.88186828617677 216.985259113934</t>
  </si>
  <si>
    <t>-875.413257831237 188.336754922052 629.330236329632</t>
  </si>
  <si>
    <t>-801.893889633282 54.7752667078669 717.078451835803</t>
  </si>
  <si>
    <t>9763-20170724T165957.164847100.bin</t>
  </si>
  <si>
    <t>-725.740498297023 94.9490734697656 -244.286597158267</t>
  </si>
  <si>
    <t>-735.648193888218 99.0858679166829 -364.920460323082</t>
  </si>
  <si>
    <t>-737.085870358348 87.9626395195037 -485.604946716937</t>
  </si>
  <si>
    <t>-734.67466331594 71.8342021659009 -593.905111881819</t>
  </si>
  <si>
    <t>-728.555585063157 49.7995634932217 -701.012096395296</t>
  </si>
  <si>
    <t>-716.118362618553 13.1276345328195 -848.322832867315</t>
  </si>
  <si>
    <t>-706.314000976153 56.6704645597224 -788.650281089089</t>
  </si>
  <si>
    <t>-623.576864300718 178.101913935842 -787.518923792786</t>
  </si>
  <si>
    <t>-615.658544524384 273.336195150814 -485.767587997189</t>
  </si>
  <si>
    <t>-437.033427581706 147.234853445865 -344.935886028957</t>
  </si>
  <si>
    <t>-736.928869500826 2.03726253234436 -777.634377042898</t>
  </si>
  <si>
    <t>-671.800089612019 176.30528668966 -245.682591756961</t>
  </si>
  <si>
    <t>-640.781310389678 122.434654903115 205.752293268599</t>
  </si>
  <si>
    <t>-599.156971245328 47.4874078485393 667.960094700201</t>
  </si>
  <si>
    <t>-455.489365866419 -5.17523847704138 754.734380539864</t>
  </si>
  <si>
    <t>-778.334235618085 12.6305308935605 -242.977455852458</t>
  </si>
  <si>
    <t>-771.316962103453 35.3370054773345 212.097059996119</t>
  </si>
  <si>
    <t>-883.255604500054 187.921639030523 641.982357063285</t>
  </si>
  <si>
    <t>-809.888090228844 48.4808087676306 720.193540872202</t>
  </si>
  <si>
    <t>9763-20170724T165957.198438400.bin</t>
  </si>
  <si>
    <t>-738.764528516699 102.841956270546 -244.887520014134</t>
  </si>
  <si>
    <t>-746.654729408684 108.604476821276 -365.603587517824</t>
  </si>
  <si>
    <t>-746.914171827689 96.700632968234 -486.221972987466</t>
  </si>
  <si>
    <t>-743.795656235641 78.8874519129274 -594.239614392069</t>
  </si>
  <si>
    <t>-737.339119731482 54.1967459636567 -700.745567574833</t>
  </si>
  <si>
    <t>-724.831404272733 12.8319636792144 -846.802054873519</t>
  </si>
  <si>
    <t>-714.450171858119 57.9439123889451 -788.406356554429</t>
  </si>
  <si>
    <t>-628.441221790505 177.258982769528 -790.653166975671</t>
  </si>
  <si>
    <t>-618.242164017232 278.672680763945 -490.990998800264</t>
  </si>
  <si>
    <t>-442.964464468756 150.952914962845 -347.43799358284</t>
  </si>
  <si>
    <t>-746.281167651242 4.32535155740879 -775.946995693645</t>
  </si>
  <si>
    <t>-684.468460666191 184.442973374428 -244.162770697542</t>
  </si>
  <si>
    <t>-640.349139956183 124.40314916669 205.399628619898</t>
  </si>
  <si>
    <t>-598.951657360956 48.8106527523221 667.982822680179</t>
  </si>
  <si>
    <t>-454.840057024928 -3.53561511999487 754.210589836087</t>
  </si>
  <si>
    <t>-793.276155505071 21.1431988550676 -244.834931244413</t>
  </si>
  <si>
    <t>-781.479174556101 43.7310036974486 210.146698387536</t>
  </si>
  <si>
    <t>-882.786049682984 187.23914903049 645.870644307565</t>
  </si>
  <si>
    <t>-809.416593892403 47.0908565196567 722.804972152941</t>
  </si>
  <si>
    <t>9763-20170724T165957.264838300.bin</t>
  </si>
  <si>
    <t>-758.485182486903 117.745350255153 -231.665851615159</t>
  </si>
  <si>
    <t>-764.096051635145 125.272902797829 -352.412100714408</t>
  </si>
  <si>
    <t>-763.561259255498 111.816035995179 -472.866133377991</t>
  </si>
  <si>
    <t>-760.399333513614 91.2514245491325 -580.392688360991</t>
  </si>
  <si>
    <t>-754.619526584296 62.4803840348427 -685.908876189899</t>
  </si>
  <si>
    <t>-743.846560574679 14.0862956535798 -829.929630091201</t>
  </si>
  <si>
    <t>-731.678903674202 61.3633319234093 -773.629276294982</t>
  </si>
  <si>
    <t>-640.5933501439 176.407822964705 -781.459958372199</t>
  </si>
  <si>
    <t>-625.681898626165 289.593308486778 -486.243441570467</t>
  </si>
  <si>
    <t>-457.06338014079 157.832538877793 -338.429507815013</t>
  </si>
  <si>
    <t>-765.547638106712 9.63499871582508 -758.780773177542</t>
  </si>
  <si>
    <t>-703.458978214381 198.63217297487 -230.905805702945</t>
  </si>
  <si>
    <t>-628.163166826103 132.473441715905 213.629015116129</t>
  </si>
  <si>
    <t>-597.576049691097 59.0959116231072 674.420334063659</t>
  </si>
  <si>
    <t>-454.124112360573 3.0897440787885 759.440099281927</t>
  </si>
  <si>
    <t>-812.632078641084 36.7913340715022 -231.761298861541</t>
  </si>
  <si>
    <t>-798.592647579761 58.1819723518483 223.214573794112</t>
  </si>
  <si>
    <t>-883.337618718559 187.871583083082 667.609109113993</t>
  </si>
  <si>
    <t>-809.528161838534 47.1507650178607 743.063161912885</t>
  </si>
  <si>
    <t>9763-20170724T165957.300429400.bin</t>
  </si>
  <si>
    <t>-765.345576261556 124.999370697217 -225.198360561765</t>
  </si>
  <si>
    <t>-770.122399131035 133.2943417283 -345.930175291721</t>
  </si>
  <si>
    <t>-769.46254217816 119.467857799529 -466.341800874028</t>
  </si>
  <si>
    <t>-766.488331539596 98.1143592375454 -573.719746086938</t>
  </si>
  <si>
    <t>-761.204792589541 68.1129217353457 -678.918902560829</t>
  </si>
  <si>
    <t>-751.450716523821 17.565329634439 -822.270999460895</t>
  </si>
  <si>
    <t>-738.520305653371 65.4673336116009 -766.672944182789</t>
  </si>
  <si>
    <t>-646.191666389318 179.364040394695 -776.20282136204</t>
  </si>
  <si>
    <t>-626.916600339043 296.907174113868 -482.948120862581</t>
  </si>
  <si>
    <t>-460.853093734782 163.951507802309 -333.322796458206</t>
  </si>
  <si>
    <t>-773.012825007079 14.3950227374908 -751.011286328232</t>
  </si>
  <si>
    <t>-708.977894988039 205.482689228353 -223.668515470056</t>
  </si>
  <si>
    <t>-624.143561264867 138.789204996269 219.06479696027</t>
  </si>
  <si>
    <t>-600.58706001997 68.9808926560615 681.531758749904</t>
  </si>
  <si>
    <t>-459.044985057797 6.6292991170601 765.326931575926</t>
  </si>
  <si>
    <t>-820.83379616687 44.2400873814304 -226.733261224389</t>
  </si>
  <si>
    <t>-805.641239610085 66.0396625059475 228.186042988874</t>
  </si>
  <si>
    <t>-883.111646961618 188.124584819559 675.565906489683</t>
  </si>
  <si>
    <t>-808.902897519157 47.4527039455916 750.718839713366</t>
  </si>
  <si>
    <t>9763-20170724T165957.364106400.bin</t>
  </si>
  <si>
    <t>-777.760899918554 138.293775614361 -218.48574230757</t>
  </si>
  <si>
    <t>-781.671664655567 147.04791161386 -339.21632616943</t>
  </si>
  <si>
    <t>-781.427027487501 132.936180744916 -459.596460581511</t>
  </si>
  <si>
    <t>-779.321425159266 111.030032735642 -566.883645510583</t>
  </si>
  <si>
    <t>-775.380786084316 80.1928948098482 -671.899770886905</t>
  </si>
  <si>
    <t>-767.969970915476 28.2014942895723 -814.875106933645</t>
  </si>
  <si>
    <t>-753.704510195233 76.4036385746629 -759.866426531058</t>
  </si>
  <si>
    <t>-659.466210281808 188.667248003171 -771.330412368346</t>
  </si>
  <si>
    <t>-634.832548357589 308.27304872076 -479.31360588699</t>
  </si>
  <si>
    <t>-470.704562040687 174.622163129769 -328.179412001638</t>
  </si>
  <si>
    <t>-788.793539410089 26.0085199461369 -743.359606164272</t>
  </si>
  <si>
    <t>-722.467180836445 217.997064514654 -214.123433231335</t>
  </si>
  <si>
    <t>-622.877982334384 151.403896963582 225.541204834009</t>
  </si>
  <si>
    <t>-611.789264151939 97.555502742684 692.635494520692</t>
  </si>
  <si>
    <t>-474.894001160185 21.5042634310551 772.756669500326</t>
  </si>
  <si>
    <t>-834.23657582357 58.4415104912932 -222.663522071125</t>
  </si>
  <si>
    <t>-820.466583730553 80.640038162526 232.281822106063</t>
  </si>
  <si>
    <t>-882.985343724588 188.239919534045 684.236762379303</t>
  </si>
  <si>
    <t>-808.702169299039 47.5730146038445 759.325634775934</t>
  </si>
  <si>
    <t>9763-20170724T165957.396201900.bin</t>
  </si>
  <si>
    <t>-782.161516242787 144.530044654531 -217.433090439655</t>
  </si>
  <si>
    <t>-785.853541965251 153.151112464913 -338.180165031487</t>
  </si>
  <si>
    <t>-785.922935273673 139.020275073652 -458.558267957403</t>
  </si>
  <si>
    <t>-784.294393094563 117.141868222713 -565.859394829456</t>
  </si>
  <si>
    <t>-781.008268060895 86.3760041021412 -670.919023647079</t>
  </si>
  <si>
    <t>-774.677282338472 34.5267830803778 -813.997919039451</t>
  </si>
  <si>
    <t>-759.852839283698 82.5866452072864 -759.012383950773</t>
  </si>
  <si>
    <t>-664.962755855611 194.253299899186 -770.834987301318</t>
  </si>
  <si>
    <t>-639.350874974235 313.113736599022 -478.59799005459</t>
  </si>
  <si>
    <t>-474.932588335945 179.475801699703 -327.768468367528</t>
  </si>
  <si>
    <t>-795.1042183272 32.3503951873668 -742.367414838418</t>
  </si>
  <si>
    <t>-726.352700772709 223.93228798615 -212.519947405478</t>
  </si>
  <si>
    <t>-619.306859882774 158.156185819641 225.512439476387</t>
  </si>
  <si>
    <t>-614.76558718761 115.83186311814 693.476469608621</t>
  </si>
  <si>
    <t>-480.560379920492 34.8321399091678 773.298239118699</t>
  </si>
  <si>
    <t>-838.99042343001 65.167397158111 -222.208312483702</t>
  </si>
  <si>
    <t>-827.654410434288 87.26580474394 232.809069190326</t>
  </si>
  <si>
    <t>-883.280278089799 188.064606652179 686.8232918319</t>
  </si>
  <si>
    <t>-809.069889176605 47.3971974048586 761.983162295087</t>
  </si>
  <si>
    <t>9763-20170724T165957.462968200.bin</t>
  </si>
  <si>
    <t>-787.594823927553 156.018992368281 -218.442815526634</t>
  </si>
  <si>
    <t>-790.622600414987 163.509207067781 -339.283788756537</t>
  </si>
  <si>
    <t>-791.180836106535 149.180804057371 -459.637299320169</t>
  </si>
  <si>
    <t>-790.430954962264 127.489912483261 -566.986220860889</t>
  </si>
  <si>
    <t>-788.437072879004 97.2629951060314 -672.234511559246</t>
  </si>
  <si>
    <t>-784.31093519729 46.5083365389196 -815.785653597666</t>
  </si>
  <si>
    <t>-768.386233067807 93.9907943572803 -760.606497387388</t>
  </si>
  <si>
    <t>-672.675667681244 204.981512357364 -772.508468942729</t>
  </si>
  <si>
    <t>-646.286306604385 320.901514454796 -479.161680943042</t>
  </si>
  <si>
    <t>-480.309366267805 186.503187246947 -330.734219949287</t>
  </si>
  <si>
    <t>-803.886997176075 43.9406724761996 -743.93096681093</t>
  </si>
  <si>
    <t>-729.885909134694 234.602705446137 -213.946965450559</t>
  </si>
  <si>
    <t>-606.684054734573 172.797028312463 220.401995756067</t>
  </si>
  <si>
    <t>-620.69769681177 157.202942030411 689.702889328504</t>
  </si>
  <si>
    <t>-490.070086627568 74.0355975050327 773.148239135699</t>
  </si>
  <si>
    <t>-845.431557916778 77.3937256272279 -222.838250106176</t>
  </si>
  <si>
    <t>-840.325536601823 98.7924051236253 232.325140209823</t>
  </si>
  <si>
    <t>-883.941151031513 187.772760425766 689.946769381052</t>
  </si>
  <si>
    <t>-808.916373680411 47.5353921371122 765.101773389114</t>
  </si>
  <si>
    <t>9763-20170724T165957.497063400.bin</t>
  </si>
  <si>
    <t>-789.224293773485 161.062696861544 -219.538748570802</t>
  </si>
  <si>
    <t>-791.823737828072 168.092981893141 -340.417182899616</t>
  </si>
  <si>
    <t>-792.538184339574 153.78885361422 -460.772669814726</t>
  </si>
  <si>
    <t>-792.162863020429 132.306932345526 -568.165653906723</t>
  </si>
  <si>
    <t>-790.772929847288 102.466709577953 -673.533992491154</t>
  </si>
  <si>
    <t>-787.721096878685 52.4227893055995 -817.361235660449</t>
  </si>
  <si>
    <t>-776.897660571381 0.500562605521509 -904.366579388102</t>
  </si>
  <si>
    <t>-771.270831368984 99.5612173379636 -762.041518223404</t>
  </si>
  <si>
    <t>-675.279178966094 210.333526986208 -773.849501811968</t>
  </si>
  <si>
    <t>-648.730283819451 324.126000226828 -479.685143180945</t>
  </si>
  <si>
    <t>-481.774960327949 189.402834232013 -332.655911521598</t>
  </si>
  <si>
    <t>-806.872061039836 49.5700828621334 -745.40277075243</t>
  </si>
  <si>
    <t>-730.42102450169 239.173913820494 -215.485324673032</t>
  </si>
  <si>
    <t>-599.904509131858 182.02435623009 217.362308477035</t>
  </si>
  <si>
    <t>-624.102490231311 183.036731089753 686.50793522872</t>
  </si>
  <si>
    <t>-493.823442186795 100.987750720993 771.589374470313</t>
  </si>
  <si>
    <t>-847.496304626113 82.8150985897169 -223.607773129084</t>
  </si>
  <si>
    <t>-845.719713637673 103.40863227909 231.617935879373</t>
  </si>
  <si>
    <t>-884.330765119321 187.642001607659 690.803685586457</t>
  </si>
  <si>
    <t>-809.050571353733 47.5022833558762 765.885297557885</t>
  </si>
  <si>
    <t>9763-20170724T165957.567796600.bin</t>
  </si>
  <si>
    <t>-790.995900312962 170.29532440218 -221.61369619081</t>
  </si>
  <si>
    <t>-792.824900246549 176.832455977445 -342.533953728435</t>
  </si>
  <si>
    <t>-793.776524879965 162.760985991239 -462.91530096432</t>
  </si>
  <si>
    <t>-794.032713074732 141.766566855583 -570.404905884161</t>
  </si>
  <si>
    <t>-793.69471111165 112.674828379273 -675.990935717939</t>
  </si>
  <si>
    <t>-792.544987614434 63.924458242532 -820.289489421997</t>
  </si>
  <si>
    <t>-782.865890974781 12.9582671661203 -907.992090535727</t>
  </si>
  <si>
    <t>-775.177788323196 110.447317667821 -764.729471015429</t>
  </si>
  <si>
    <t>-678.721299151135 220.873288177697 -776.135935367939</t>
  </si>
  <si>
    <t>-651.344494443025 330.190455014023 -480.354825774959</t>
  </si>
  <si>
    <t>-482.849909572995 194.362536233035 -336.124456404411</t>
  </si>
  <si>
    <t>-810.929641021241 60.5425836229272 -748.154280540487</t>
  </si>
  <si>
    <t>-732.136779476022 249.418507028827 -217.670194658889</t>
  </si>
  <si>
    <t>-592.777065740227 199.927386031245 213.360147753816</t>
  </si>
  <si>
    <t>-632.552820766735 235.300047087888 679.952397256077</t>
  </si>
  <si>
    <t>-503.142098926735 154.881951975465 767.868865931129</t>
  </si>
  <si>
    <t>-849.628423297807 91.9979087734882 -225.393755440321</t>
  </si>
  <si>
    <t>-855.33305978317 111.364101370047 229.853430118416</t>
  </si>
  <si>
    <t>-885.219691191743 187.360380459709 691.672843192858</t>
  </si>
  <si>
    <t>-809.809490328946 47.1801944749591 766.548218939806</t>
  </si>
  <si>
    <t>9763-20170724T165957.599922500.bin</t>
  </si>
  <si>
    <t>-791.356013309462 174.76215991907 -222.648204105069</t>
  </si>
  <si>
    <t>-792.813663764608 180.928307083523 -343.593090672445</t>
  </si>
  <si>
    <t>-793.783750944639 166.863445482403 -463.975053736885</t>
  </si>
  <si>
    <t>-794.229566424194 146.021758561294 -571.493772603342</t>
  </si>
  <si>
    <t>-794.262944242958 117.22177801863 -677.160207860092</t>
  </si>
  <si>
    <t>-793.826146259669 69.0136171148147 -821.644897999573</t>
  </si>
  <si>
    <t>-784.532980194977 18.3881252929048 -909.586204556119</t>
  </si>
  <si>
    <t>-776.121111435178 115.286918130635 -765.983072712667</t>
  </si>
  <si>
    <t>-679.472812208771 225.566727780285 -777.116419674479</t>
  </si>
  <si>
    <t>-651.46575514388 332.973638277558 -480.695028230303</t>
  </si>
  <si>
    <t>-482.477298242559 196.312207903254 -337.836472697511</t>
  </si>
  <si>
    <t>-811.917701565465 65.4016024920065 -749.446746286076</t>
  </si>
  <si>
    <t>-733.352102409917 254.060176038546 -218.461971570373</t>
  </si>
  <si>
    <t>-589.809225814637 209.850359955746 211.768993111247</t>
  </si>
  <si>
    <t>-633.295631958992 259.833619853169 676.766086216278</t>
  </si>
  <si>
    <t>-504.46831823002 179.515448852691 765.625686574723</t>
  </si>
  <si>
    <t>-849.623528743289 96.1368628245186 -226.210154879287</t>
  </si>
  <si>
    <t>-859.6612430242 115.154441806954 228.976901315466</t>
  </si>
  <si>
    <t>-885.557766971614 187.260867764075 691.857100805441</t>
  </si>
  <si>
    <t>-809.550635730505 47.3499412692308 766.632587862272</t>
  </si>
  <si>
    <t>9763-20170724T165957.668104900.bin</t>
  </si>
  <si>
    <t>-791.848540554929 182.880586570536 -224.371292180663</t>
  </si>
  <si>
    <t>-792.595843898267 188.333650680637 -345.356886472121</t>
  </si>
  <si>
    <t>-793.399592712409 174.297506185263 -465.743285779458</t>
  </si>
  <si>
    <t>-793.960109800259 153.772785413219 -573.322426588024</t>
  </si>
  <si>
    <t>-794.400526700004 125.568014258188 -679.148493495795</t>
  </si>
  <si>
    <t>-794.857922917422 78.4623480014263 -823.996129163748</t>
  </si>
  <si>
    <t>-785.938256027046 28.3345836938631 -912.26068197464</t>
  </si>
  <si>
    <t>-776.746542933953 124.270543594827 -768.081178806497</t>
  </si>
  <si>
    <t>-680.048290840697 234.555699628716 -778.640928503711</t>
  </si>
  <si>
    <t>-650.636140180667 338.824534956279 -481.236937056094</t>
  </si>
  <si>
    <t>-481.107310169339 200.317259027168 -340.816840675721</t>
  </si>
  <si>
    <t>-812.564571998167 74.3396116471367 -751.729926828882</t>
  </si>
  <si>
    <t>-735.128665293308 262.755720391618 -220.37695613694</t>
  </si>
  <si>
    <t>-585.090553522286 232.257048686932 208.827063802877</t>
  </si>
  <si>
    <t>-626.563075546564 304.666551844547 671.292825978347</t>
  </si>
  <si>
    <t>-497.155653363824 224.774381498392 759.692317202294</t>
  </si>
  <si>
    <t>-848.873425948346 103.167550607112 -227.509890707318</t>
  </si>
  <si>
    <t>-865.966457224823 121.441737995094 227.497287428798</t>
  </si>
  <si>
    <t>-886.41739046637 187.193073522161 691.88331794438</t>
  </si>
  <si>
    <t>-809.911320567576 47.2580680469348 766.10260903379</t>
  </si>
  <si>
    <t>9763-20170724T165957.707218600.bin</t>
  </si>
  <si>
    <t>-791.520165592073 186.163479551952 -224.908503760687</t>
  </si>
  <si>
    <t>-792.051269920307 191.43030527416 -345.903581693105</t>
  </si>
  <si>
    <t>-792.687780466422 177.411020555597 -466.292937413009</t>
  </si>
  <si>
    <t>-793.141474480901 156.982319927783 -573.890861788511</t>
  </si>
  <si>
    <t>-793.534910220531 128.950659566366 -679.762993952016</t>
  </si>
  <si>
    <t>-794.003000902586 82.1622728209734 -824.713547087825</t>
  </si>
  <si>
    <t>-785.087081247922 32.1861918678492 -913.064510712008</t>
  </si>
  <si>
    <t>-775.88695983484 127.847731781366 -768.699484575249</t>
  </si>
  <si>
    <t>-679.176731261163 238.140222355401 -778.939350632783</t>
  </si>
  <si>
    <t>-649.543951621834 341.242007767345 -481.150600573488</t>
  </si>
  <si>
    <t>-479.834926459716 201.985764720493 -341.692422736834</t>
  </si>
  <si>
    <t>-811.704831797437 77.8815498075953 -752.455385700768</t>
  </si>
  <si>
    <t>-735.579506150455 266.361750038728 -221.087141608113</t>
  </si>
  <si>
    <t>-583.35043451447 244.464293279036 207.870299375878</t>
  </si>
  <si>
    <t>-619.966820208721 324.370745618801 669.355317346874</t>
  </si>
  <si>
    <t>-489.155723710384 245.97128577056 757.022237483984</t>
  </si>
  <si>
    <t>-847.681701128013 105.845897831795 -228.011378760517</t>
  </si>
  <si>
    <t>-867.238067505915 123.826225561284 226.908281146223</t>
  </si>
  <si>
    <t>-886.519675487168 187.195361436098 691.871105359242</t>
  </si>
  <si>
    <t>-809.828301031694 47.3267085900218 766.024223583944</t>
  </si>
  <si>
    <t>9763-20170724T165957.774896000.bin</t>
  </si>
  <si>
    <t>-788.872550224125 192.173914679802 -225.920725082842</t>
  </si>
  <si>
    <t>-788.828434054092 197.015063017884 -346.93461341745</t>
  </si>
  <si>
    <t>-788.926063778547 183.022022913247 -467.328655737351</t>
  </si>
  <si>
    <t>-788.950860487829 162.797081961771 -574.966090056094</t>
  </si>
  <si>
    <t>-789.001007241327 135.142628988982 -680.938110718164</t>
  </si>
  <si>
    <t>-789.105306348823 89.0520423700407 -826.112800697128</t>
  </si>
  <si>
    <t>-779.838693885903 39.4401521199982 -914.632626116563</t>
  </si>
  <si>
    <t>-771.215961927081 134.523126449237 -769.8519731024</t>
  </si>
  <si>
    <t>-674.730914757512 245.062617055347 -779.450748755666</t>
  </si>
  <si>
    <t>-645.460636866142 346.102073575769 -480.920147471013</t>
  </si>
  <si>
    <t>-475.447336037233 205.696659498704 -342.993194170229</t>
  </si>
  <si>
    <t>-806.902335123312 84.3683162295411 -753.902931787992</t>
  </si>
  <si>
    <t>-877.531931207121 5.26143108833912 -387.262795652665</t>
  </si>
  <si>
    <t>-734.436848794903 273.45259681994 -222.361376553203</t>
  </si>
  <si>
    <t>-582.299117161606 269.010984220459 207.16407070977</t>
  </si>
  <si>
    <t>-604.929206679312 358.513328033428 667.945420580255</t>
  </si>
  <si>
    <t>-470.243355748433 284.006483305272 753.103819712047</t>
  </si>
  <si>
    <t>-843.43423214003 110.83337553921 -228.718532098832</t>
  </si>
  <si>
    <t>-865.816369052378 126.906510015775 226.142261310195</t>
  </si>
  <si>
    <t>-886.432533073571 187.218248652478 691.766541841037</t>
  </si>
  <si>
    <t>-809.97212001604 47.2490286685027 765.968430106806</t>
  </si>
  <si>
    <t>9763-20170724T165957.795455000.bin</t>
  </si>
  <si>
    <t>-786.265423587041 195.166818226307 -226.140724714657</t>
  </si>
  <si>
    <t>-785.92407039453 199.767013550882 -347.163393393474</t>
  </si>
  <si>
    <t>-785.833452507194 185.898295138118 -467.572057945649</t>
  </si>
  <si>
    <t>-785.745090484026 165.930359766311 -575.257352180929</t>
  </si>
  <si>
    <t>-785.7475473205 138.672085873761 -681.331980177767</t>
  </si>
  <si>
    <t>-785.860765783107 93.2722852424822 -826.72396574605</t>
  </si>
  <si>
    <t>-776.263715709194 43.9691644492716 -915.381268760947</t>
  </si>
  <si>
    <t>-768.072691031418 138.542898496628 -770.269967690783</t>
  </si>
  <si>
    <t>-672.046948787233 249.488651255218 -779.485927333944</t>
  </si>
  <si>
    <t>-642.965761611175 349.263653987188 -480.511964835267</t>
  </si>
  <si>
    <t>-472.675686190637 208.466516778433 -343.327859164132</t>
  </si>
  <si>
    <t>-803.548632627226 88.1777584612273 -754.515213545109</t>
  </si>
  <si>
    <t>-875.172850286167 9.92846401469228 -388.635276189378</t>
  </si>
  <si>
    <t>-732.766349568269 277.146073178868 -222.547362365345</t>
  </si>
  <si>
    <t>-583.35894745107 280.916256263639 207.941739929583</t>
  </si>
  <si>
    <t>-597.7920727772 372.89799368717 668.544818817849</t>
  </si>
  <si>
    <t>-461.413303500028 300.270456532087 752.625672755483</t>
  </si>
  <si>
    <t>-840.101083766006 113.351877274814 -228.909800491444</t>
  </si>
  <si>
    <t>-863.352323095993 128.07529026881 225.953159518081</t>
  </si>
  <si>
    <t>-886.201785176179 187.271223531745 691.717698280735</t>
  </si>
  <si>
    <t>-809.597727291251 47.4281646345546 766.009543477165</t>
  </si>
  <si>
    <t>9763-20170724T165957.865739000.bin</t>
  </si>
  <si>
    <t>-776.738733925224 201.270829797942 -226.012083993947</t>
  </si>
  <si>
    <t>-775.60858603767 205.144389889792 -347.055572649736</t>
  </si>
  <si>
    <t>-774.838989489625 191.428809438516 -467.479238356093</t>
  </si>
  <si>
    <t>-774.182962925135 171.947888137 -575.251727530955</t>
  </si>
  <si>
    <t>-773.665491498204 145.513964264812 -681.533623854752</t>
  </si>
  <si>
    <t>-773.10657278824 101.59865669188 -827.379858273434</t>
  </si>
  <si>
    <t>-762.091509758576 52.9566679656828 -916.237004779464</t>
  </si>
  <si>
    <t>-755.906203142489 146.498272845658 -770.44920662733</t>
  </si>
  <si>
    <t>-661.43067130721 258.863305944748 -778.412960128187</t>
  </si>
  <si>
    <t>-632.584479054811 355.703508165805 -478.452923715235</t>
  </si>
  <si>
    <t>-461.008513232951 213.90289399085 -343.930321086835</t>
  </si>
  <si>
    <t>-790.801518144925 95.5614718505949 -755.245591296497</t>
  </si>
  <si>
    <t>-861.579096409925 21.1305275429918 -391.308584692574</t>
  </si>
  <si>
    <t>-724.443208663068 284.509234219654 -222.325421726629</t>
  </si>
  <si>
    <t>-589.237831493241 302.068413392157 212.495068197332</t>
  </si>
  <si>
    <t>-590.107585810079 390.487276383314 674.208570471149</t>
  </si>
  <si>
    <t>-451.729247272915 318.876248495633 755.85903260037</t>
  </si>
  <si>
    <t>-829.39682600911 118.586626623068 -228.800475404209</t>
  </si>
  <si>
    <t>-856.087308946542 130.89794839818 225.945255456146</t>
  </si>
  <si>
    <t>-885.586704015662 187.411611819346 691.672473651654</t>
  </si>
  <si>
    <t>-808.986370697805 47.7034283571911 766.221549254575</t>
  </si>
  <si>
    <t>9763-20170724T165957.897826100.bin</t>
  </si>
  <si>
    <t>-769.597975879749 203.932522663731 -225.876828723114</t>
  </si>
  <si>
    <t>-768.531922049419 207.611830930921 -346.927019948031</t>
  </si>
  <si>
    <t>-767.659318561412 194.089181766829 -467.371701690912</t>
  </si>
  <si>
    <t>-766.839447056388 174.934929347211 -575.201753757989</t>
  </si>
  <si>
    <t>-766.086019212835 148.974431549309 -681.598753662342</t>
  </si>
  <si>
    <t>-765.122483897269 105.864654356532 -827.68307805891</t>
  </si>
  <si>
    <t>-753.173287423093 57.7000221505641 -916.679575769549</t>
  </si>
  <si>
    <t>-748.217613050909 150.53519121769 -770.484326709642</t>
  </si>
  <si>
    <t>-654.392433864776 263.529886256819 -777.664754173632</t>
  </si>
  <si>
    <t>-626.283347788383 358.793114500519 -477.130113330419</t>
  </si>
  <si>
    <t>-453.858178546468 216.278447553749 -344.460778073699</t>
  </si>
  <si>
    <t>-782.879998701483 99.3436558062322 -755.606167587502</t>
  </si>
  <si>
    <t>-852.899034063819 25.5730378789838 -392.401865561382</t>
  </si>
  <si>
    <t>-717.085009583061 287.264926824915 -222.530253707376</t>
  </si>
  <si>
    <t>-594.83225444471 310.980912409559 215.818297572075</t>
  </si>
  <si>
    <t>-594.329340069542 391.488492440911 678.795169232937</t>
  </si>
  <si>
    <t>-453.408819686528 320.165191660604 756.241288706937</t>
  </si>
  <si>
    <t>-822.097935637734 120.995650237563 -228.470187231136</t>
  </si>
  <si>
    <t>-851.090289752534 132.1049237104 226.165639638988</t>
  </si>
  <si>
    <t>-885.278191035144 187.468565735045 691.683861127592</t>
  </si>
  <si>
    <t>-809.119469320833 47.6104952225098 766.403894170191</t>
  </si>
  <si>
    <t>9763-20170724T165957.975951900.bin</t>
  </si>
  <si>
    <t>-752.633646225719 208.717824537801 -226.328255425151</t>
  </si>
  <si>
    <t>-753.168638077677 211.971802625822 -347.393980275059</t>
  </si>
  <si>
    <t>-752.954263708531 199.05446479847 -467.90814606325</t>
  </si>
  <si>
    <t>-752.346553836217 180.851868824053 -575.904299535414</t>
  </si>
  <si>
    <t>-751.423440020411 156.234298790236 -682.618707740356</t>
  </si>
  <si>
    <t>-749.827179920559 115.384376786154 -829.345519199584</t>
  </si>
  <si>
    <t>-735.621132584424 68.3521212686962 -918.615420147718</t>
  </si>
  <si>
    <t>-733.436522048884 159.330275023717 -771.440091022762</t>
  </si>
  <si>
    <t>-640.937581717054 273.551379756336 -776.776774367166</t>
  </si>
  <si>
    <t>-614.314647833197 365.226344898079 -474.993567887235</t>
  </si>
  <si>
    <t>-441.097053645063 221.779839642739 -344.376563373757</t>
  </si>
  <si>
    <t>-767.630393463986 107.588220467627 -757.406691747559</t>
  </si>
  <si>
    <t>-836.12340152987 29.7998948644613 -394.759862723403</t>
  </si>
  <si>
    <t>-701.240467433939 291.329574930661 -224.724749072767</t>
  </si>
  <si>
    <t>-604.563319593601 324.176664004763 219.383595470567</t>
  </si>
  <si>
    <t>-594.889321509062 383.304478807252 685.89243963027</t>
  </si>
  <si>
    <t>-450.049538356351 315.553666495799 759.205271029066</t>
  </si>
  <si>
    <t>-804.415438522511 125.483586762679 -227.513900468051</t>
  </si>
  <si>
    <t>-837.775613633761 133.937434764337 226.879361620819</t>
  </si>
  <si>
    <t>-884.434171333933 187.554857836595 691.690726563227</t>
  </si>
  <si>
    <t>-809.541843739265 47.2840177628211 766.915149105292</t>
  </si>
  <si>
    <t>9763-20170724T165957.999038100.bin</t>
  </si>
  <si>
    <t>-743.617086601089 211.460827523614 -226.749193814473</t>
  </si>
  <si>
    <t>-745.021288578287 213.707031600532 -347.830992666165</t>
  </si>
  <si>
    <t>-745.204201185327 200.799096981956 -468.346167555023</t>
  </si>
  <si>
    <t>-744.768563090287 183.008496459653 -576.411610869432</t>
  </si>
  <si>
    <t>-743.834053678194 159.195641430432 -683.308440893117</t>
  </si>
  <si>
    <t>-742.033565706295 119.862424745773 -830.44669126615</t>
  </si>
  <si>
    <t>-726.392383181995 73.4922789620405 -919.823100554428</t>
  </si>
  <si>
    <t>-725.908587038714 163.320768470456 -772.1003850376</t>
  </si>
  <si>
    <t>-634.258217024835 278.220133081317 -776.383480302348</t>
  </si>
  <si>
    <t>-607.910191640946 367.819108192797 -473.953396598676</t>
  </si>
  <si>
    <t>-434.831401267721 223.433773135063 -344.189549185696</t>
  </si>
  <si>
    <t>-759.751845955746 111.211613597961 -758.584780163813</t>
  </si>
  <si>
    <t>-846.966503882356 2.66598596133917 -711.268633178427</t>
  </si>
  <si>
    <t>-827.739087722877 31.121511920702 -396.615169665753</t>
  </si>
  <si>
    <t>-692.501490387546 293.718664798685 -226.067287894817</t>
  </si>
  <si>
    <t>-605.440223936901 328.565881792837 219.874006771773</t>
  </si>
  <si>
    <t>-593.679787377245 384.63728534082 686.823036974805</t>
  </si>
  <si>
    <t>-448.273532340088 317.679287218767 759.741849695754</t>
  </si>
  <si>
    <t>-794.604454675072 127.808945222705 -226.793453001278</t>
  </si>
  <si>
    <t>-829.665894023549 134.375930033459 227.502924878351</t>
  </si>
  <si>
    <t>-883.81903816339 187.612625052766 691.694381190144</t>
  </si>
  <si>
    <t>-809.929820151909 47.0005847847717 767.27311245668</t>
  </si>
  <si>
    <t>9763-20170724T165958.062709100.bin</t>
  </si>
  <si>
    <t>-722.550866862731 219.225192233638 -231.34504483755</t>
  </si>
  <si>
    <t>-726.319749937939 220.44110351167 -352.391028854704</t>
  </si>
  <si>
    <t>-727.353272628888 208.043877190355 -472.955537566899</t>
  </si>
  <si>
    <t>-727.062137982855 191.325800691139 -581.192641437476</t>
  </si>
  <si>
    <t>-725.642126522696 169.182428929847 -688.442381554625</t>
  </si>
  <si>
    <t>-722.50448437422 132.777606850348 -836.310116317548</t>
  </si>
  <si>
    <t>-702.890034835187 87.8354061697582 -925.632230648401</t>
  </si>
  <si>
    <t>-707.502015220477 175.41768660894 -777.067548076835</t>
  </si>
  <si>
    <t>-618.243699868486 292.223014796088 -779.078527858204</t>
  </si>
  <si>
    <t>-592.281711668631 377.883759020804 -475.476204617299</t>
  </si>
  <si>
    <t>-418.920686100454 231.201967474144 -348.699060541729</t>
  </si>
  <si>
    <t>-740.283569718656 122.353570329227 -764.698837140218</t>
  </si>
  <si>
    <t>-825.504886787885 11.1558441351071 -719.957435164737</t>
  </si>
  <si>
    <t>-808.846460479717 39.5134205920624 -405.148890320166</t>
  </si>
  <si>
    <t>-671.825342713654 304.217882225465 -233.622290394831</t>
  </si>
  <si>
    <t>-609.250254919358 337.532909379668 216.524591747993</t>
  </si>
  <si>
    <t>-593.836455809108 385.122807171979 682.24646481299</t>
  </si>
  <si>
    <t>-449.586504617247 315.712115076185 755.168450985628</t>
  </si>
  <si>
    <t>-773.428273207052 134.185503187085 -228.775929602125</t>
  </si>
  <si>
    <t>-811.428626210402 136.225350154528 225.326978635872</t>
  </si>
  <si>
    <t>-882.429449294681 187.780022005329 688.850182044946</t>
  </si>
  <si>
    <t>-810.145364089261 46.7067282864193 765.118393941241</t>
  </si>
  <si>
    <t>9763-20170724T165958.096300100.bin</t>
  </si>
  <si>
    <t>-712.141704070346 223.046198794084 -230.07660365188</t>
  </si>
  <si>
    <t>-717.55419186854 224.375263118684 -351.05899913781</t>
  </si>
  <si>
    <t>-719.149044791299 212.397231607669 -471.659822804003</t>
  </si>
  <si>
    <t>-718.914909681316 196.181987496168 -579.973432405315</t>
  </si>
  <si>
    <t>-717.094893879966 174.664004909363 -687.344419207189</t>
  </si>
  <si>
    <t>-712.918508166373 139.256227365905 -835.428449097094</t>
  </si>
  <si>
    <t>-690.874863348225 94.9977729723114 -924.525180504448</t>
  </si>
  <si>
    <t>-698.660131798357 181.683158319191 -775.850079348817</t>
  </si>
  <si>
    <t>-610.959119957687 299.740065040884 -776.801589375702</t>
  </si>
  <si>
    <t>-585.66163043064 383.554852933008 -472.62845193224</t>
  </si>
  <si>
    <t>-411.588931948036 235.916741710021 -347.953856808399</t>
  </si>
  <si>
    <t>-730.872698423642 128.163019636795 -763.961492657014</t>
  </si>
  <si>
    <t>-814.939287076764 15.7136288600382 -720.304467153639</t>
  </si>
  <si>
    <t>-800.570444308317 44.5068912337861 -405.422522662277</t>
  </si>
  <si>
    <t>-662.485936439477 308.85092328779 -232.733076132297</t>
  </si>
  <si>
    <t>-610.631099905229 339.959753181338 218.931562419169</t>
  </si>
  <si>
    <t>-596.564932671305 381.885180797469 685.823816522773</t>
  </si>
  <si>
    <t>-452.70137041311 311.829460630128 758.892175599115</t>
  </si>
  <si>
    <t>-762.684440852553 137.554803099075 -227.052725174799</t>
  </si>
  <si>
    <t>-802.354128779969 137.335870301334 226.912023461458</t>
  </si>
  <si>
    <t>-881.599136770283 188.040026552195 689.127918439374</t>
  </si>
  <si>
    <t>-809.538285014726 46.9687768873255 765.610685740799</t>
  </si>
  <si>
    <t>9763-20170724T165958.184703300.bin</t>
  </si>
  <si>
    <t>-693.011202811357 228.560235752988 -225.0868885605</t>
  </si>
  <si>
    <t>-701.132994281008 229.776664473155 -345.918899046255</t>
  </si>
  <si>
    <t>-703.848049412823 218.366053738422 -466.554667375284</t>
  </si>
  <si>
    <t>-703.95331898956 202.945988983186 -574.984570649148</t>
  </si>
  <si>
    <t>-701.782007977376 182.509730822316 -682.560039688004</t>
  </si>
  <si>
    <t>-696.381624893338 148.907923492452 -831.024772482644</t>
  </si>
  <si>
    <t>-669.113921791478 106.507206765705 -919.577822887442</t>
  </si>
  <si>
    <t>-683.175188154412 190.914818882444 -770.908834009243</t>
  </si>
  <si>
    <t>-598.130249210189 310.861668228717 -770.550929657408</t>
  </si>
  <si>
    <t>-575.522636899309 391.537968531062 -465.319293351885</t>
  </si>
  <si>
    <t>-399.978255280254 243.429062084276 -343.294663251206</t>
  </si>
  <si>
    <t>-714.367093037429 136.636453267528 -759.758759338615</t>
  </si>
  <si>
    <t>-796.334932062455 22.1660505746702 -717.203614173892</t>
  </si>
  <si>
    <t>-785.394508793692 52.3434258059935 -402.313490855096</t>
  </si>
  <si>
    <t>-643.670829640516 313.596148880174 -227.328395892207</t>
  </si>
  <si>
    <t>-611.433421457101 340.8989735896 226.403953880796</t>
  </si>
  <si>
    <t>-600.64540809084 372.412651918741 695.294428139882</t>
  </si>
  <si>
    <t>-458.662167041475 299.210151665268 768.953596631654</t>
  </si>
  <si>
    <t>-742.32080196239 143.6457991427 -221.47042440869</t>
  </si>
  <si>
    <t>-783.79999223918 137.195669566853 232.286800989629</t>
  </si>
  <si>
    <t>-880.218919397082 188.410104412469 690.187658871159</t>
  </si>
  <si>
    <t>-810.095975915189 46.5900599620045 767.086161443121</t>
  </si>
  <si>
    <t>9763-20170724T165958.201254800.bin</t>
  </si>
  <si>
    <t>-682.790116504437 231.763740277484 -222.13183827688</t>
  </si>
  <si>
    <t>-691.836946165046 232.564326388647 -342.901580652876</t>
  </si>
  <si>
    <t>-694.998962427993 221.274463285006 -463.537752152366</t>
  </si>
  <si>
    <t>-695.298223694064 206.187440773335 -572.014214200401</t>
  </si>
  <si>
    <t>-693.101067894263 186.310739596287 -679.694049492136</t>
  </si>
  <si>
    <t>-687.42638279485 153.725645527056 -828.374870675438</t>
  </si>
  <si>
    <t>-657.332014836839 112.524649375532 -916.578129067859</t>
  </si>
  <si>
    <t>-674.597889747062 195.463311007886 -767.990270396233</t>
  </si>
  <si>
    <t>-590.729072829993 316.260729651189 -767.305725533313</t>
  </si>
  <si>
    <t>-569.862250933112 396.191260656572 -461.75399239686</t>
  </si>
  <si>
    <t>-393.955634292474 247.84015255192 -340.548489534587</t>
  </si>
  <si>
    <t>-705.276657569533 140.823586739321 -757.186280080707</t>
  </si>
  <si>
    <t>-786.698754364199 25.8616597516786 -715.017944351752</t>
  </si>
  <si>
    <t>-776.927711931205 56.5097537842169 -400.134739057057</t>
  </si>
  <si>
    <t>-633.303380473509 316.286553241035 -224.683177362108</t>
  </si>
  <si>
    <t>-611.13412407456 343.224761391634 229.674096434865</t>
  </si>
  <si>
    <t>-602.04546806516 369.323493081675 698.935564273778</t>
  </si>
  <si>
    <t>-460.980482075925 294.712850803566 772.945219147565</t>
  </si>
  <si>
    <t>-732.041936899239 147.115110802873 -218.025810502041</t>
  </si>
  <si>
    <t>-772.221931905342 136.146620824463 235.761560397384</t>
  </si>
  <si>
    <t>-879.444328184805 188.636601402329 690.699365234004</t>
  </si>
  <si>
    <t>-810.484773125931 46.3385066120068 767.766775387333</t>
  </si>
  <si>
    <t>9763-20170724T165958.263457100.bin</t>
  </si>
  <si>
    <t>-662.862065830672 237.775513720065 -220.012285658845</t>
  </si>
  <si>
    <t>-674.516605804874 237.749011014701 -340.560876250159</t>
  </si>
  <si>
    <t>-678.798537101333 226.161491430385 -461.134398597757</t>
  </si>
  <si>
    <t>-679.488976218118 211.037466962869 -569.603863854806</t>
  </si>
  <si>
    <t>-677.051224193526 191.367432178291 -677.316578161594</t>
  </si>
  <si>
    <t>-670.374492514682 159.334728250541 -826.075832781213</t>
  </si>
  <si>
    <t>-634.966644124175 120.236224309882 -913.257129157812</t>
  </si>
  <si>
    <t>-658.268464877163 201.012909863126 -765.501179428304</t>
  </si>
  <si>
    <t>-576.619217770308 323.309630910919 -764.312123257427</t>
  </si>
  <si>
    <t>-559.251343865532 403.456926738376 -458.598335067096</t>
  </si>
  <si>
    <t>-384.080036573406 253.779666773384 -337.959110104291</t>
  </si>
  <si>
    <t>-688.389008129807 146.003480680175 -755.007624295395</t>
  </si>
  <si>
    <t>-768.761036476177 30.2380059769491 -713.129439078389</t>
  </si>
  <si>
    <t>-764.344231386297 63.086526914555 -398.347448561693</t>
  </si>
  <si>
    <t>-613.419397949737 322.352780352541 -226.42152868357</t>
  </si>
  <si>
    <t>-606.278333011013 349.742506369216 228.393213850441</t>
  </si>
  <si>
    <t>-603.008321164371 366.829503209329 695.1293750421</t>
  </si>
  <si>
    <t>-462.123389980705 292.723671099373 769.984370580941</t>
  </si>
  <si>
    <t>-712.391487862357 153.069969318875 -212.880470460425</t>
  </si>
  <si>
    <t>-742.502849571771 130.291641780612 241.247434715643</t>
  </si>
  <si>
    <t>-877.190789776809 188.970776289179 689.180698433121</t>
  </si>
  <si>
    <t>-811.34367104848 45.6608395189626 767.090361931211</t>
  </si>
  <si>
    <t>9763-20170724T165958.301061600.bin</t>
  </si>
  <si>
    <t>-653.499290505247 241.056945193682 -224.029882275922</t>
  </si>
  <si>
    <t>-666.6958305677 240.788367538771 -344.419226516088</t>
  </si>
  <si>
    <t>-671.439973459489 229.029057021508 -464.958719959756</t>
  </si>
  <si>
    <t>-672.109788398751 213.787349793422 -573.411859966492</t>
  </si>
  <si>
    <t>-669.213821240134 194.042832631841 -681.099424833295</t>
  </si>
  <si>
    <t>-661.445373674445 161.957859307789 -829.794384700548</t>
  </si>
  <si>
    <t>-623.848233870429 123.846297332968 -916.494813639262</t>
  </si>
  <si>
    <t>-649.933460851708 203.734152023941 -769.171554409378</t>
  </si>
  <si>
    <t>-569.174083116254 326.601807883728 -767.728676870626</t>
  </si>
  <si>
    <t>-553.421568352501 407.43219248771 -462.107197565331</t>
  </si>
  <si>
    <t>-379.025145710215 257.288136385774 -340.926847401478</t>
  </si>
  <si>
    <t>-679.831927463165 148.57465558905 -758.831523269413</t>
  </si>
  <si>
    <t>-759.920966880274 32.5516755899346 -717.046621085306</t>
  </si>
  <si>
    <t>-758.960299207145 66.6890586585903 -402.372284558108</t>
  </si>
  <si>
    <t>-603.379793831486 326.994119645813 -233.287507753997</t>
  </si>
  <si>
    <t>-602.471275907254 353.896758210413 221.611449626974</t>
  </si>
  <si>
    <t>-602.617974248147 367.382716761296 687.074500414441</t>
  </si>
  <si>
    <t>-461.84374406554 293.527153400722 762.383777727002</t>
  </si>
  <si>
    <t>-703.048523645721 154.960033591562 -214.18226513441</t>
  </si>
  <si>
    <t>-724.259384480223 125.087033536591 240.037287305278</t>
  </si>
  <si>
    <t>-875.422442558127 188.523439077368 684.016638621547</t>
  </si>
  <si>
    <t>-810.795319152297 45.5333969022215 763.519474402185</t>
  </si>
  <si>
    <t>9763-20170724T165958.366241500.bin</t>
  </si>
  <si>
    <t>-636.006747630242 244.988132914489 -229.216734046591</t>
  </si>
  <si>
    <t>-652.422220351085 244.954643041026 -349.20977046737</t>
  </si>
  <si>
    <t>-658.045254758443 233.264070849195 -469.718154237923</t>
  </si>
  <si>
    <t>-658.565077784103 218.027817180184 -578.173003032455</t>
  </si>
  <si>
    <t>-654.58141357185 198.242037865242 -685.818271857428</t>
  </si>
  <si>
    <t>-644.33239411595 166.063360256016 -834.34262944669</t>
  </si>
  <si>
    <t>-603.562698334332 129.747347636304 -920.377302190991</t>
  </si>
  <si>
    <t>-634.026789103699 207.976133502226 -773.597041105826</t>
  </si>
  <si>
    <t>-554.255826965083 331.511415674448 -771.049489242266</t>
  </si>
  <si>
    <t>-542.819515286407 412.830725494582 -465.365734434691</t>
  </si>
  <si>
    <t>-370.801094957092 261.426929640936 -342.367232965249</t>
  </si>
  <si>
    <t>-663.707748756346 152.626735311712 -763.653397609078</t>
  </si>
  <si>
    <t>-743.599042797734 36.2022733991039 -722.658071076271</t>
  </si>
  <si>
    <t>-750.495468230807 73.3248029267247 -408.396144759093</t>
  </si>
  <si>
    <t>-585.622938470761 335.757074247409 -240.133090171686</t>
  </si>
  <si>
    <t>-592.066778753476 359.752817846037 214.883711130379</t>
  </si>
  <si>
    <t>-600.443088365202 368.816441172393 680.308762225434</t>
  </si>
  <si>
    <t>-461.208704705234 294.124887743405 757.62933122833</t>
  </si>
  <si>
    <t>-685.879162882673 153.24490163223 -217.298503008278</t>
  </si>
  <si>
    <t>-679.534228210149 109.80794501277 236.276967449391</t>
  </si>
  <si>
    <t>-868.671778377641 184.534710192397 663.48267085704</t>
  </si>
  <si>
    <t>-808.465613396216 44.9619198169044 752.016057975768</t>
  </si>
  <si>
    <t>9763-20170724T165958.399832800.bin</t>
  </si>
  <si>
    <t>-628.440369522108 245.63559936226 -231.9708522382</t>
  </si>
  <si>
    <t>-645.908649896302 245.834757238223 -351.814997758073</t>
  </si>
  <si>
    <t>-651.602944127212 234.248202388428 -472.330028609123</t>
  </si>
  <si>
    <t>-651.791431523995 219.057383966552 -580.792310476376</t>
  </si>
  <si>
    <t>-647.084299978064 199.272761811515 -688.408516675921</t>
  </si>
  <si>
    <t>-635.425991388712 167.054932594795 -836.820494318793</t>
  </si>
  <si>
    <t>-593.331999833716 131.320174095395 -922.459895211435</t>
  </si>
  <si>
    <t>-625.730861119929 209.000763994853 -775.997200717633</t>
  </si>
  <si>
    <t>-546.264539371591 332.700948766083 -772.687094769721</t>
  </si>
  <si>
    <t>-535.982607542578 414.36431293724 -467.053996658511</t>
  </si>
  <si>
    <t>-365.886664043277 261.87513992868 -342.729870008705</t>
  </si>
  <si>
    <t>-655.437987137776 153.620011650706 -766.308457912961</t>
  </si>
  <si>
    <t>-735.784573638959 37.2358212191489 -726.098980764679</t>
  </si>
  <si>
    <t>-746.576675135299 74.7536149178957 -411.993672887391</t>
  </si>
  <si>
    <t>-578.180024908656 339.422884506848 -242.618136825557</t>
  </si>
  <si>
    <t>-586.708760379652 361.038750187153 212.483734924864</t>
  </si>
  <si>
    <t>-599.302251133019 369.323017726009 678.079362914401</t>
  </si>
  <si>
    <t>-461.031882345121 293.923774904915 756.436089565399</t>
  </si>
  <si>
    <t>-677.98658113634 150.936602130664 -219.609680132158</t>
  </si>
  <si>
    <t>-649.985783401094 102.934718107629 232.683895822118</t>
  </si>
  <si>
    <t>-861.747636675658 185.294217869765 646.579429091654</t>
  </si>
  <si>
    <t>-804.333936018301 50.5822350980445 744.046672299756</t>
  </si>
  <si>
    <t>9763-20170724T165958.463042900.bin</t>
  </si>
  <si>
    <t>-613.122123351909 268.00612569964 -241.428414049521</t>
  </si>
  <si>
    <t>-632.472037441208 268.744618617008 -360.981051726108</t>
  </si>
  <si>
    <t>-638.095706950147 257.554689844791 -481.536945469663</t>
  </si>
  <si>
    <t>-637.446126734278 242.653538734631 -590.037537812641</t>
  </si>
  <si>
    <t>-631.143187798497 223.087987430098 -697.612343487277</t>
  </si>
  <si>
    <t>-616.495968815036 191.102260316042 -845.809425307661</t>
  </si>
  <si>
    <t>-572.077255102906 156.075687028236 -930.56256597537</t>
  </si>
  <si>
    <t>-607.964670445298 232.919809238186 -784.723995146598</t>
  </si>
  <si>
    <t>-528.008646242419 356.262992803583 -779.963198029142</t>
  </si>
  <si>
    <t>-521.446691179604 439.272501339688 -474.590479135249</t>
  </si>
  <si>
    <t>-356.022917749768 284.261584774419 -347.12018245272</t>
  </si>
  <si>
    <t>-637.989173255919 177.58999000458 -775.749451347708</t>
  </si>
  <si>
    <t>-719.694852678872 61.4119102950885 -737.663665508842</t>
  </si>
  <si>
    <t>-738.78892484217 98.5359168280406 -423.906701856962</t>
  </si>
  <si>
    <t>-565.67339510964 355.906528017933 -249.662155171112</t>
  </si>
  <si>
    <t>-577.217072234685 374.007588658954 205.526527545611</t>
  </si>
  <si>
    <t>-597.898006854508 369.719274228267 673.375775069819</t>
  </si>
  <si>
    <t>-460.905675294475 293.62722155056 753.292021170213</t>
  </si>
  <si>
    <t>-659.634432685844 182.871855307093 -233.843942144111</t>
  </si>
  <si>
    <t>-583.436465257195 121.587833903873 211.235624572938</t>
  </si>
  <si>
    <t>-822.668625230843 233.637292078409 597.783294619106</t>
  </si>
  <si>
    <t>-779.424374515871 114.583633051265 719.847472650172</t>
  </si>
  <si>
    <t>9763-20170724T165958.497140300.bin</t>
  </si>
  <si>
    <t>-607.558208121383 276.711387962343 -246.063180330512</t>
  </si>
  <si>
    <t>-627.628160563945 277.78758033362 -365.494559361469</t>
  </si>
  <si>
    <t>-633.102130406729 266.958999468426 -486.090285506268</t>
  </si>
  <si>
    <t>-631.981778060494 252.374475937672 -594.630085654225</t>
  </si>
  <si>
    <t>-624.886323944503 233.10577100565 -702.209040795826</t>
  </si>
  <si>
    <t>-608.816806384764 201.504139123952 -850.341061807388</t>
  </si>
  <si>
    <t>-563.441506679439 166.705117755734 -934.6802574483</t>
  </si>
  <si>
    <t>-600.78878983729 243.120091298438 -789.050096934927</t>
  </si>
  <si>
    <t>-520.593720928791 366.225513683279 -783.223007578676</t>
  </si>
  <si>
    <t>-515.746628448152 451.227846089876 -478.366716788035</t>
  </si>
  <si>
    <t>-353.141178989509 294.28825075031 -349.636321047238</t>
  </si>
  <si>
    <t>-631.065325493233 187.853666041986 -780.544311865872</t>
  </si>
  <si>
    <t>-713.621299621993 71.9322254657804 -743.449305550469</t>
  </si>
  <si>
    <t>-736.911621099303 109.234725723094 -429.997132834817</t>
  </si>
  <si>
    <t>-561.094570060141 362.638632459314 -252.884877635216</t>
  </si>
  <si>
    <t>-574.6108316638 379.428088554036 202.299797615806</t>
  </si>
  <si>
    <t>-597.413647770218 370.035404069573 671.338832157736</t>
  </si>
  <si>
    <t>-460.843747862406 293.671620623337 751.717565688845</t>
  </si>
  <si>
    <t>-654.032195391062 191.980831824289 -240.113263016574</t>
  </si>
  <si>
    <t>-556.742369149525 123.74802203852 199.814700052962</t>
  </si>
  <si>
    <t>-799.025303907648 247.717452790014 580.646990570383</t>
  </si>
  <si>
    <t>-767.069316255804 136.013742009136 712.725086076365</t>
  </si>
  <si>
    <t>9763-20170724T165958.567831600.bin</t>
  </si>
  <si>
    <t>-599.776987746878 285.208477511352 -252.520832256947</t>
  </si>
  <si>
    <t>-619.634250217451 287.096949946132 -371.977640033128</t>
  </si>
  <si>
    <t>-624.088605240609 277.361420324683 -492.708497808868</t>
  </si>
  <si>
    <t>-621.750289817927 263.840477761308 -601.366548693905</t>
  </si>
  <si>
    <t>-613.161601225395 245.689558797372 -709.03107782734</t>
  </si>
  <si>
    <t>-594.750203556208 215.680207461987 -857.221610803546</t>
  </si>
  <si>
    <t>-547.711761538298 181.599508517508 -940.940634892876</t>
  </si>
  <si>
    <t>-587.564140930278 256.566074608193 -795.337741932986</t>
  </si>
  <si>
    <t>-507.081337986291 379.26580636356 -786.740711678532</t>
  </si>
  <si>
    <t>-502.875378684244 468.575621017347 -483.10883399717</t>
  </si>
  <si>
    <t>-346.16537942715 307.822017601155 -351.798816935871</t>
  </si>
  <si>
    <t>-618.229204491299 201.350763994715 -787.966054371576</t>
  </si>
  <si>
    <t>-702.009226776926 85.5343144491139 -753.151182232208</t>
  </si>
  <si>
    <t>-733.472024541494 121.98046973893 -440.312561800126</t>
  </si>
  <si>
    <t>-553.825407983084 370.64227338342 -257.185539010608</t>
  </si>
  <si>
    <t>-572.50688756708 384.921438073368 197.902156243391</t>
  </si>
  <si>
    <t>-596.680030572771 370.956075420781 668.274611501331</t>
  </si>
  <si>
    <t>-460.625753559359 294.086021514038 749.044253134685</t>
  </si>
  <si>
    <t>-646.568526965624 198.801723575556 -246.661484618186</t>
  </si>
  <si>
    <t>-516.719361111389 127.667195332323 184.31037435467</t>
  </si>
  <si>
    <t>-748.31650142045 271.288943241587 567.745704587144</t>
  </si>
  <si>
    <t>-723.176958571389 161.9582948653 703.238530790659</t>
  </si>
  <si>
    <t>9763-20170724T165958.599417200.bin</t>
  </si>
  <si>
    <t>-596.451997775843 286.47646963386 -254.384126689041</t>
  </si>
  <si>
    <t>-615.754094787402 288.973140677822 -373.9207543639</t>
  </si>
  <si>
    <t>-619.558808635201 280.008669324558 -494.733577408774</t>
  </si>
  <si>
    <t>-616.605181473075 267.237199980015 -603.467224184679</t>
  </si>
  <si>
    <t>-607.379040936579 249.87985413568 -711.209810324234</t>
  </si>
  <si>
    <t>-588.063547886411 221.012658482153 -859.512232890022</t>
  </si>
  <si>
    <t>-540.334890963478 187.462984641618 -943.054887807922</t>
  </si>
  <si>
    <t>-581.222758400059 261.402865555149 -797.264657724041</t>
  </si>
  <si>
    <t>-500.549256256401 383.946129121099 -787.285547802055</t>
  </si>
  <si>
    <t>-497.019865215235 474.303731053362 -483.955318330384</t>
  </si>
  <si>
    <t>-342.59836428839 312.370659741189 -351.389138789927</t>
  </si>
  <si>
    <t>-611.997299060648 206.168299588518 -790.521328736802</t>
  </si>
  <si>
    <t>-696.278130269909 90.3414432438813 -757.300272526022</t>
  </si>
  <si>
    <t>-731.629089443006 126.245202171706 -444.814347027261</t>
  </si>
  <si>
    <t>-550.444594176905 371.912871564278 -258.303465536265</t>
  </si>
  <si>
    <t>-570.915259951399 384.824281920212 196.748121474823</t>
  </si>
  <si>
    <t>-596.652678469287 370.875947838385 667.339184894699</t>
  </si>
  <si>
    <t>-460.766817637802 293.896387993343 748.287852223047</t>
  </si>
  <si>
    <t>-642.812942980613 200.461650151836 -248.480238520701</t>
  </si>
  <si>
    <t>-501.925867982981 133.525521091514 179.688042317034</t>
  </si>
  <si>
    <t>-717.831693134215 274.867237389341 572.664623028762</t>
  </si>
  <si>
    <t>-683.788475147559 163.36618662005 704.391900720164</t>
  </si>
  <si>
    <t>9763-20170724T165958.663088200.bin</t>
  </si>
  <si>
    <t>-588.761928460743 285.722645376608 -255.846471351657</t>
  </si>
  <si>
    <t>-607.578530299356 289.276497782645 -375.433813335073</t>
  </si>
  <si>
    <t>-610.648908851037 281.802163430339 -496.36866435484</t>
  </si>
  <si>
    <t>-606.938952985162 270.535191714374 -605.245373713304</t>
  </si>
  <si>
    <t>-596.868237801492 254.830231130672 -713.16569571604</t>
  </si>
  <si>
    <t>-576.290633146291 228.404848312216 -861.753268646956</t>
  </si>
  <si>
    <t>-527.688704383451 196.195896534458 -945.320069858802</t>
  </si>
  <si>
    <t>-569.893924636004 267.7179690802 -798.773192047397</t>
  </si>
  <si>
    <t>-488.867153506071 389.786480701729 -786.228176871399</t>
  </si>
  <si>
    <t>-488.690501982106 480.036212221589 -482.845482836415</t>
  </si>
  <si>
    <t>-336.5930329656 316.731523213913 -349.279164789801</t>
  </si>
  <si>
    <t>-600.897205524018 212.476727307583 -793.242541478702</t>
  </si>
  <si>
    <t>-685.930195960591 96.3313126680528 -763.182463556151</t>
  </si>
  <si>
    <t>-727.842377079893 129.985491254499 -451.257849105156</t>
  </si>
  <si>
    <t>-542.739933145445 371.356698909582 -259.33618025536</t>
  </si>
  <si>
    <t>-564.610675849297 382.023565841826 195.708365948157</t>
  </si>
  <si>
    <t>-596.051938697918 370.264964002512 665.529814387713</t>
  </si>
  <si>
    <t>-461.012295193278 293.125868566555 747.733008491885</t>
  </si>
  <si>
    <t>-634.629915281664 200.058588262936 -251.142654372438</t>
  </si>
  <si>
    <t>-488.600046554819 146.506050631383 177.185638653723</t>
  </si>
  <si>
    <t>-650.760527711868 263.596323842155 601.905182316134</t>
  </si>
  <si>
    <t>-610.122751453855 136.792535216338 716.852436148297</t>
  </si>
  <si>
    <t>9763-20170724T165958.698194400.bin</t>
  </si>
  <si>
    <t>-585.072394595673 284.868993204215 -255.887964544021</t>
  </si>
  <si>
    <t>-603.705648288691 288.651307719614 -375.497064922703</t>
  </si>
  <si>
    <t>-606.473554497107 281.759820570154 -496.473819023706</t>
  </si>
  <si>
    <t>-602.439964945416 271.163140692598 -605.40642409504</t>
  </si>
  <si>
    <t>-591.993262128974 256.27183961538 -713.406298282123</t>
  </si>
  <si>
    <t>-570.836341010876 231.126794884961 -862.134562088533</t>
  </si>
  <si>
    <t>-521.834730341343 199.688481198921 -945.761388550639</t>
  </si>
  <si>
    <t>-564.612128223305 269.855998907889 -798.77657911312</t>
  </si>
  <si>
    <t>-483.338542655219 391.587312683979 -784.851798130759</t>
  </si>
  <si>
    <t>-485.233533045217 481.425530229675 -481.352703467608</t>
  </si>
  <si>
    <t>-333.24046253618 317.730308246789 -348.145856241899</t>
  </si>
  <si>
    <t>-595.783108650667 214.649406867822 -793.877111877912</t>
  </si>
  <si>
    <t>-681.270397257371 98.4320362689859 -765.273763092695</t>
  </si>
  <si>
    <t>-724.79251098186 130.195257698077 -453.371233772923</t>
  </si>
  <si>
    <t>-538.677378950847 370.486110161426 -259.467512735702</t>
  </si>
  <si>
    <t>-561.324984343337 380.412716822572 195.555783810787</t>
  </si>
  <si>
    <t>-595.745621841239 369.915171936778 664.799557314739</t>
  </si>
  <si>
    <t>-461.425367383484 292.411930743018 747.834634587458</t>
  </si>
  <si>
    <t>-631.468832981672 198.921956267902 -251.243201176767</t>
  </si>
  <si>
    <t>-488.261645386122 151.98250135638 178.810282467877</t>
  </si>
  <si>
    <t>-618.283664112546 261.07400014503 616.087551573204</t>
  </si>
  <si>
    <t>-586.579285415356 123.754173304777 721.356865611149</t>
  </si>
  <si>
    <t>9763-20170724T165958.765368000.bin</t>
  </si>
  <si>
    <t>-578.315297966832 284.558357415849 -255.371796776641</t>
  </si>
  <si>
    <t>-596.514873409869 287.685888249772 -375.066448313591</t>
  </si>
  <si>
    <t>-598.641377601117 281.351590073495 -496.086669853009</t>
  </si>
  <si>
    <t>-593.934268526407 271.764215237612 -605.085775901569</t>
  </si>
  <si>
    <t>-582.710431277953 258.397361166534 -713.206956625341</t>
  </si>
  <si>
    <t>-560.355608648137 235.913299589079 -862.185845771009</t>
  </si>
  <si>
    <t>-510.586749386749 206.042586358959 -945.934198080304</t>
  </si>
  <si>
    <t>-554.512131509536 273.430370606004 -798.066909437291</t>
  </si>
  <si>
    <t>-473.027066943432 394.632780299669 -781.06277274349</t>
  </si>
  <si>
    <t>-477.932135337062 482.245721688013 -476.947461424401</t>
  </si>
  <si>
    <t>-325.076309945307 318.062560997236 -345.337796449161</t>
  </si>
  <si>
    <t>-585.981728755356 218.293265804357 -794.467753064025</t>
  </si>
  <si>
    <t>-672.138912245822 101.942351606372 -768.614181053342</t>
  </si>
  <si>
    <t>-717.233622288642 128.45804580854 -456.445147876012</t>
  </si>
  <si>
    <t>-530.461061085301 369.667226477447 -259.510662421706</t>
  </si>
  <si>
    <t>-556.172294923646 379.89111324299 195.343262538535</t>
  </si>
  <si>
    <t>-595.058240067961 369.73192148293 663.973524755084</t>
  </si>
  <si>
    <t>-461.892181065933 291.486418200714 748.163475906965</t>
  </si>
  <si>
    <t>-626.218195508188 199.276503357338 -250.185413482301</t>
  </si>
  <si>
    <t>-487.762100060631 161.343763719702 182.305851684838</t>
  </si>
  <si>
    <t>-566.255880136266 280.052441197369 630.824681349054</t>
  </si>
  <si>
    <t>-568.268575758405 130.815654758321 723.925834186251</t>
  </si>
  <si>
    <t>9763-20170724T165958.796954300.bin</t>
  </si>
  <si>
    <t>-575.50598295389 285.599446147537 -254.838530566727</t>
  </si>
  <si>
    <t>-593.870309868075 288.278571238029 -374.518800147819</t>
  </si>
  <si>
    <t>-595.852437563817 282.001584992492 -495.544610402296</t>
  </si>
  <si>
    <t>-590.880543332322 272.688023035369 -604.555498917291</t>
  </si>
  <si>
    <t>-579.251650217982 259.828387920392 -712.695518217221</t>
  </si>
  <si>
    <t>-556.182496462765 238.302561924611 -861.706999137136</t>
  </si>
  <si>
    <t>-506.288775278462 209.012908385749 -945.586183865153</t>
  </si>
  <si>
    <t>-550.577452322522 275.367589808207 -797.304418146903</t>
  </si>
  <si>
    <t>-469.215834369836 396.443728055855 -778.786758211816</t>
  </si>
  <si>
    <t>-475.224573014053 482.201983610291 -474.163147601104</t>
  </si>
  <si>
    <t>-321.777797305362 318.039631729168 -343.217068417002</t>
  </si>
  <si>
    <t>-582.202283397481 220.286643313965 -794.243692812779</t>
  </si>
  <si>
    <t>-668.599201389146 103.872431683549 -769.613250910576</t>
  </si>
  <si>
    <t>-714.451453193507 128.127199027967 -457.37061709201</t>
  </si>
  <si>
    <t>-526.66520226482 370.073580873709 -259.567203606641</t>
  </si>
  <si>
    <t>-554.072597078648 380.732795083765 195.177565151518</t>
  </si>
  <si>
    <t>-594.629015473078 369.856938126917 663.515133755251</t>
  </si>
  <si>
    <t>-462.24030934317 290.892526714737 748.258029297329</t>
  </si>
  <si>
    <t>-624.001262669087 200.434136265909 -249.075069907203</t>
  </si>
  <si>
    <t>-485.569739454383 167.218892436831 183.811873554432</t>
  </si>
  <si>
    <t>-567.949993962773 285.212591257344 632.196743113067</t>
  </si>
  <si>
    <t>-576.933029870298 134.559619448779 722.565305911797</t>
  </si>
  <si>
    <t>9763-20170724T165958.864637400.bin</t>
  </si>
  <si>
    <t>-572.766386375542 290.311899062694 -253.008508331966</t>
  </si>
  <si>
    <t>-590.769406819154 291.994124872824 -372.761982251761</t>
  </si>
  <si>
    <t>-592.037043905224 285.599284159751 -493.791187773919</t>
  </si>
  <si>
    <t>-586.269678657886 276.562538318702 -602.786168890774</t>
  </si>
  <si>
    <t>-573.689674424853 264.381108858363 -710.898271648952</t>
  </si>
  <si>
    <t>-549.131213139676 244.231063267855 -859.864155934058</t>
  </si>
  <si>
    <t>-500.221456686221 215.538429351381 -944.525530189025</t>
  </si>
  <si>
    <t>-544.063094764529 280.637745280425 -795.042970732052</t>
  </si>
  <si>
    <t>-462.537747277519 401.311514569708 -774.318893809085</t>
  </si>
  <si>
    <t>-472.417540335753 481.424619276186 -468.262464820463</t>
  </si>
  <si>
    <t>-318.052501772037 317.548881557701 -338.038828121867</t>
  </si>
  <si>
    <t>-575.932049546515 225.655904648595 -792.859748644749</t>
  </si>
  <si>
    <t>-663.039618156271 109.353985867568 -770.473676663254</t>
  </si>
  <si>
    <t>-710.856052400782 131.476737858328 -458.367309222842</t>
  </si>
  <si>
    <t>-522.442891783987 374.547732759637 -259.254112588669</t>
  </si>
  <si>
    <t>-551.949896713827 383.681561778489 195.392513256886</t>
  </si>
  <si>
    <t>-594.34426523456 369.975141467704 663.312482205287</t>
  </si>
  <si>
    <t>-463.337043994204 289.331106129571 748.618779473827</t>
  </si>
  <si>
    <t>-623.784903140318 207.504360995559 -246.029647229165</t>
  </si>
  <si>
    <t>-481.19329773518 166.907971786877 184.873201219922</t>
  </si>
  <si>
    <t>-577.60838102131 275.436352545218 631.248787591728</t>
  </si>
  <si>
    <t>-578.198464422721 122.942374594753 718.934326533875</t>
  </si>
  <si>
    <t>9763-20170724T165958.900740500.bin</t>
  </si>
  <si>
    <t>-571.935130686622 292.648949951825 -252.54051547672</t>
  </si>
  <si>
    <t>-589.567346655469 293.992615865801 -372.35329620801</t>
  </si>
  <si>
    <t>-590.410615247719 287.582014565494 -493.38533825618</t>
  </si>
  <si>
    <t>-584.244567679052 278.656009198096 -602.367752443549</t>
  </si>
  <si>
    <t>-571.25405203545 266.706078899894 -710.45708748722</t>
  </si>
  <si>
    <t>-546.115133502595 247.000034308743 -859.385549800522</t>
  </si>
  <si>
    <t>-498.408963109459 218.220582600241 -944.701746772398</t>
  </si>
  <si>
    <t>-541.238553901219 283.178169000525 -794.421969480654</t>
  </si>
  <si>
    <t>-459.544237540252 403.578128086447 -772.867624549875</t>
  </si>
  <si>
    <t>-471.643684907656 481.423650884289 -466.30635921556</t>
  </si>
  <si>
    <t>-317.244206467817 317.17578347816 -336.593256082499</t>
  </si>
  <si>
    <t>-573.238141229529 228.260416281326 -792.556717200283</t>
  </si>
  <si>
    <t>-660.730295240422 112.104364991277 -770.998686186985</t>
  </si>
  <si>
    <t>-708.654448838369 134.010654122658 -458.893533646945</t>
  </si>
  <si>
    <t>-521.297262869769 376.667421872886 -258.811347418034</t>
  </si>
  <si>
    <t>-551.864924177383 385.137150478459 195.77803968736</t>
  </si>
  <si>
    <t>-594.432020727131 370.005962096916 663.496891944877</t>
  </si>
  <si>
    <t>-463.771631718436 288.794393107884 748.796682041782</t>
  </si>
  <si>
    <t>-622.525346768741 208.974285141883 -245.272968945362</t>
  </si>
  <si>
    <t>-481.078663670921 164.8021817589 185.655461181176</t>
  </si>
  <si>
    <t>-583.732773262545 273.719153206955 631.125749519799</t>
  </si>
  <si>
    <t>-577.33212145072 121.002480292734 718.189986115922</t>
  </si>
  <si>
    <t>9763-20170724T165958.962911100.bin</t>
  </si>
  <si>
    <t>-570.658544292247 293.980057123198 -251.580177610292</t>
  </si>
  <si>
    <t>-587.027736950383 294.442631374189 -371.57869396232</t>
  </si>
  <si>
    <t>-586.920838025512 287.868666998524 -492.604883172564</t>
  </si>
  <si>
    <t>-580.040086809514 279.062587605914 -601.554230135732</t>
  </si>
  <si>
    <t>-566.486250957292 267.48393461558 -709.614643174422</t>
  </si>
  <si>
    <t>-540.726346664182 248.539637093849 -858.535993905469</t>
  </si>
  <si>
    <t>-496.717068613068 218.832622401231 -945.50535070027</t>
  </si>
  <si>
    <t>-536.078874363586 284.360526028548 -793.357875555568</t>
  </si>
  <si>
    <t>-454.452350004507 404.543024930961 -770.650893481153</t>
  </si>
  <si>
    <t>-470.077600853331 479.249250476314 -463.468510029872</t>
  </si>
  <si>
    <t>-316.805440018745 312.62235681374 -335.464142420497</t>
  </si>
  <si>
    <t>-568.16977333137 229.483110597523 -791.927948072554</t>
  </si>
  <si>
    <t>-656.021132176056 113.351808525299 -771.344216050134</t>
  </si>
  <si>
    <t>-704.939543360848 135.32275530931 -459.397968903882</t>
  </si>
  <si>
    <t>-520.101025664057 379.107486742793 -257.92011454051</t>
  </si>
  <si>
    <t>-552.733269809525 386.554186777734 196.543652336573</t>
  </si>
  <si>
    <t>-594.646055989066 370.118553033377 663.887760554413</t>
  </si>
  <si>
    <t>-464.19975910139 288.373137908749 749.005042744897</t>
  </si>
  <si>
    <t>-621.27727889435 209.180726739488 -244.327797677692</t>
  </si>
  <si>
    <t>-482.230658644399 162.119314629193 187.075695442705</t>
  </si>
  <si>
    <t>-587.980569288568 272.118344134554 632.092101117309</t>
  </si>
  <si>
    <t>-576.085037349118 118.641623663994 717.220699112014</t>
  </si>
  <si>
    <t>9763-20170724T165959.000012400.bin</t>
  </si>
  <si>
    <t>-571.563809033491 296.412835597665 -251.317754652718</t>
  </si>
  <si>
    <t>-587.099814155309 296.413968861794 -371.427832798656</t>
  </si>
  <si>
    <t>-586.417221027353 289.710666034039 -492.445078348412</t>
  </si>
  <si>
    <t>-579.125322897908 280.919685345516 -601.368840613824</t>
  </si>
  <si>
    <t>-565.27048891271 269.484974553331 -709.406630872044</t>
  </si>
  <si>
    <t>-539.206299942291 250.872142034687 -858.316771471634</t>
  </si>
  <si>
    <t>-497.372503647757 220.423206045114 -946.099316893782</t>
  </si>
  <si>
    <t>-534.675211562264 286.538189524626 -793.045646090173</t>
  </si>
  <si>
    <t>-453.165283525127 406.693543650726 -769.854488319808</t>
  </si>
  <si>
    <t>-469.820021814018 481.090748959737 -462.651191675042</t>
  </si>
  <si>
    <t>-317.660646342398 312.81025516391 -335.485030883485</t>
  </si>
  <si>
    <t>-566.802572490841 231.6773640744 -791.811683380959</t>
  </si>
  <si>
    <t>-654.694185322961 115.481262595213 -771.756817472864</t>
  </si>
  <si>
    <t>-704.987536699827 136.77738783226 -459.982473169234</t>
  </si>
  <si>
    <t>-520.152361498972 381.166733035215 -257.631738027915</t>
  </si>
  <si>
    <t>-554.131833882293 388.35595451071 196.737428578445</t>
  </si>
  <si>
    <t>-594.670832720531 370.348505293682 663.989898278054</t>
  </si>
  <si>
    <t>-464.400112305647 288.248109215505 749.034495885659</t>
  </si>
  <si>
    <t>-623.441848669443 212.248610253739 -244.013417013829</t>
  </si>
  <si>
    <t>-484.374750351236 160.713011408781 186.87179597325</t>
  </si>
  <si>
    <t>-587.087334137462 272.725548071566 631.913087161382</t>
  </si>
  <si>
    <t>-575.525628711223 118.715290726726 716.119226349523</t>
  </si>
  <si>
    <t>9763-20170724T165959.066207000.bin</t>
  </si>
  <si>
    <t>-573.308848509138 300.145627864779 -250.327080758424</t>
  </si>
  <si>
    <t>-587.825394539507 299.168033835317 -370.56068419986</t>
  </si>
  <si>
    <t>-586.20953231922 292.112182900289 -491.548907384591</t>
  </si>
  <si>
    <t>-578.118149855489 283.25023711027 -600.410658402456</t>
  </si>
  <si>
    <t>-563.510532655011 271.989156016069 -708.367317876319</t>
  </si>
  <si>
    <t>-536.450339790712 253.867982123441 -857.160418857504</t>
  </si>
  <si>
    <t>-498.476821983352 221.699739659181 -946.077230536483</t>
  </si>
  <si>
    <t>-532.12628362077 289.182886078371 -791.684594997687</t>
  </si>
  <si>
    <t>-449.805559680333 408.611062263113 -767.44055162064</t>
  </si>
  <si>
    <t>-468.845653112483 484.513259498921 -460.744492121788</t>
  </si>
  <si>
    <t>-319.545755033353 312.461276694854 -335.24679624604</t>
  </si>
  <si>
    <t>-564.720959455938 234.589254673473 -790.963516941473</t>
  </si>
  <si>
    <t>-653.691245602032 119.00795920357 -772.38781909105</t>
  </si>
  <si>
    <t>-706.892227894709 135.340057814696 -460.796577929156</t>
  </si>
  <si>
    <t>-519.981637465718 384.467129791158 -257.183975304862</t>
  </si>
  <si>
    <t>-556.195459515649 391.766323089881 197.010842072198</t>
  </si>
  <si>
    <t>-594.572474359847 371.079630521476 664.120491830685</t>
  </si>
  <si>
    <t>-464.698966397231 288.214337746428 749.03063546952</t>
  </si>
  <si>
    <t>-626.695604334964 215.40682179847 -242.834305620062</t>
  </si>
  <si>
    <t>-485.293692751072 157.118187798459 186.42749216964</t>
  </si>
  <si>
    <t>-587.789698155388 272.502481842185 630.865116492008</t>
  </si>
  <si>
    <t>-575.430969776119 118.690908071723 715.32082444122</t>
  </si>
  <si>
    <t>9763-20170724T165959.099301600.bin</t>
  </si>
  <si>
    <t>-574.046937437714 301.19215689262 -249.945510786951</t>
  </si>
  <si>
    <t>-588.51866777684 299.900724924694 -370.181571404543</t>
  </si>
  <si>
    <t>-586.673355081798 292.705863318971 -491.158412868572</t>
  </si>
  <si>
    <t>-578.306452441545 283.777325538664 -599.993710499997</t>
  </si>
  <si>
    <t>-563.358864598326 272.503133117207 -707.902549270944</t>
  </si>
  <si>
    <t>-535.76296626951 254.413481040719 -856.601021443209</t>
  </si>
  <si>
    <t>-499.277450415595 221.238164450694 -945.770409788053</t>
  </si>
  <si>
    <t>-531.425453462645 289.564787372912 -791.038102100119</t>
  </si>
  <si>
    <t>-447.918058028998 408.101340901374 -766.298641724074</t>
  </si>
  <si>
    <t>-468.329904772615 485.240687345313 -459.999656340576</t>
  </si>
  <si>
    <t>-320.740281214329 311.570159189084 -334.70801768908</t>
  </si>
  <si>
    <t>-564.521086966512 235.270539374462 -790.575015594665</t>
  </si>
  <si>
    <t>-654.533835619423 120.44918622047 -772.480675604386</t>
  </si>
  <si>
    <t>-709.368722934648 132.219763786256 -460.967057816479</t>
  </si>
  <si>
    <t>-519.806660865743 385.533036657401 -257.149766189148</t>
  </si>
  <si>
    <t>-556.648042889948 392.722381040865 196.996352647522</t>
  </si>
  <si>
    <t>-594.469547079284 371.362064976774 664.051513854927</t>
  </si>
  <si>
    <t>-464.902483648429 288.06231553134 749.004624262928</t>
  </si>
  <si>
    <t>-628.173054724541 216.507479133676 -242.260345005911</t>
  </si>
  <si>
    <t>-485.496871041786 155.928760957105 186.262090433553</t>
  </si>
  <si>
    <t>-587.866214360992 272.291034377809 630.364556254493</t>
  </si>
  <si>
    <t>-575.652556587049 118.708206272139 715.256378788057</t>
  </si>
  <si>
    <t>9763-20170724T165959.167023800.bin</t>
  </si>
  <si>
    <t>-575.500211553037 302.381095536403 -249.236118840117</t>
  </si>
  <si>
    <t>-590.195792165719 300.225704426102 -369.432514484221</t>
  </si>
  <si>
    <t>-588.352765106338 292.544601050932 -490.379445218064</t>
  </si>
  <si>
    <t>-579.91314766662 283.290383911678 -599.181964553705</t>
  </si>
  <si>
    <t>-564.826184298645 271.782825803351 -707.046846530643</t>
  </si>
  <si>
    <t>-536.975674776665 253.443788959305 -855.667121308359</t>
  </si>
  <si>
    <t>-502.72662277376 218.164811168348 -944.916181198379</t>
  </si>
  <si>
    <t>-532.05152376717 288.267495163572 -789.971063174695</t>
  </si>
  <si>
    <t>-445.156735595069 404.199366868721 -764.727279683788</t>
  </si>
  <si>
    <t>-466.32912639178 483.27631519254 -458.974521306408</t>
  </si>
  <si>
    <t>-322.901775237719 307.013227265211 -332.475688009536</t>
  </si>
  <si>
    <t>-566.545789547861 234.849006275557 -789.843484426179</t>
  </si>
  <si>
    <t>-659.695687413591 122.424699126937 -772.606947489435</t>
  </si>
  <si>
    <t>-716.856366241302 120.025227127546 -461.298303935452</t>
  </si>
  <si>
    <t>-520.018069677172 387.347325737786 -257.123502180265</t>
  </si>
  <si>
    <t>-557.202620472443 393.957680826437 197.003474109998</t>
  </si>
  <si>
    <t>-594.399353551017 371.706145276087 663.945268420253</t>
  </si>
  <si>
    <t>-465.638232479024 287.34396796429 749.075167542459</t>
  </si>
  <si>
    <t>-631.056039608741 217.196376028098 -240.787285175803</t>
  </si>
  <si>
    <t>-484.815868049951 153.341817544431 186.054702645419</t>
  </si>
  <si>
    <t>-588.364391591706 271.733824918147 629.31693596964</t>
  </si>
  <si>
    <t>-575.285074840624 118.713287448363 715.090870845526</t>
  </si>
  <si>
    <t>9763-20170724T165959.199611900.bin</t>
  </si>
  <si>
    <t>-576.301138063692 302.655165168309 -248.946513302229</t>
  </si>
  <si>
    <t>-591.012990910125 300.09300469421 -369.133143303774</t>
  </si>
  <si>
    <t>-589.218606610653 292.1378910513 -490.063132462924</t>
  </si>
  <si>
    <t>-580.83943466864 282.679958048182 -598.852701833903</t>
  </si>
  <si>
    <t>-565.830425923407 271.00728441526 -706.710706867848</t>
  </si>
  <si>
    <t>-538.107555937364 252.474071312928 -855.330822738893</t>
  </si>
  <si>
    <t>-504.669127170703 216.39949412911 -944.569155999425</t>
  </si>
  <si>
    <t>-532.828122499205 287.188337452939 -789.604431960237</t>
  </si>
  <si>
    <t>-444.35840496001 401.870987839251 -764.185295780572</t>
  </si>
  <si>
    <t>-464.568878035468 481.229716239227 -458.440405695833</t>
  </si>
  <si>
    <t>-323.392184221291 303.996842217908 -330.77004691476</t>
  </si>
  <si>
    <t>-567.920025499628 234.160492998599 -789.537593662255</t>
  </si>
  <si>
    <t>-662.292786985559 122.634951330681 -772.661350722649</t>
  </si>
  <si>
    <t>-718.061663514532 117.605479440108 -461.131505201461</t>
  </si>
  <si>
    <t>-519.972711882245 387.761244032119 -257.059195071667</t>
  </si>
  <si>
    <t>-557.970769783181 394.921323079472 196.992006597437</t>
  </si>
  <si>
    <t>-594.402914867857 371.993021600685 663.934052146527</t>
  </si>
  <si>
    <t>-466.254163988257 286.720669605932 749.081232605281</t>
  </si>
  <si>
    <t>-632.547613430035 217.363072259766 -240.219965387403</t>
  </si>
  <si>
    <t>-484.356895269664 152.446396772492 185.788243482387</t>
  </si>
  <si>
    <t>-588.269701094954 271.423956715 628.616267618837</t>
  </si>
  <si>
    <t>-575.28205098334 118.809256081351 715.123954186742</t>
  </si>
  <si>
    <t>9763-20170724T165959.262845700.bin</t>
  </si>
  <si>
    <t>-578.60884984947 303.801880699104 -248.682740946327</t>
  </si>
  <si>
    <t>-593.714671965834 301.14416766455 -368.818206043914</t>
  </si>
  <si>
    <t>-592.419216350786 292.79251164155 -489.727923069216</t>
  </si>
  <si>
    <t>-584.530152753554 282.861589894736 -598.512034561823</t>
  </si>
  <si>
    <t>-570.047357881147 270.607748342776 -706.377540208435</t>
  </si>
  <si>
    <t>-543.09132615173 251.158932532977 -855.021695483139</t>
  </si>
  <si>
    <t>-511.272989531248 214.151772599839 -944.47022165417</t>
  </si>
  <si>
    <t>-537.185284840131 286.085240001174 -789.461051948278</t>
  </si>
  <si>
    <t>-447.384583036831 399.80105791271 -764.429165359919</t>
  </si>
  <si>
    <t>-462.273978109619 478.970555000265 -458.32994517235</t>
  </si>
  <si>
    <t>-324.456493281157 300.727463213286 -328.415541002693</t>
  </si>
  <si>
    <t>-572.851780827613 233.443721049048 -789.041337578833</t>
  </si>
  <si>
    <t>-667.73596289195 122.553500574045 -771.058216251669</t>
  </si>
  <si>
    <t>-720.765301878537 124.024258553597 -459.013407151335</t>
  </si>
  <si>
    <t>-520.94315020169 389.358288312916 -257.150532823477</t>
  </si>
  <si>
    <t>-559.773337176092 396.681755722012 196.827645356659</t>
  </si>
  <si>
    <t>-594.390926458235 372.612726016291 663.886844697371</t>
  </si>
  <si>
    <t>-467.442104056195 285.563277524688 749.033217849503</t>
  </si>
  <si>
    <t>-636.291019913454 218.712719046109 -239.470883766</t>
  </si>
  <si>
    <t>-484.401244985731 152.192264421185 184.984286573193</t>
  </si>
  <si>
    <t>-588.390603251839 271.127584062515 627.951851723995</t>
  </si>
  <si>
    <t>-575.619789413602 118.936383905042 715.23448249353</t>
  </si>
  <si>
    <t>9763-20170724T165959.300961500.bin</t>
  </si>
  <si>
    <t>-579.623767612913 304.830969250674 -248.7476631198</t>
  </si>
  <si>
    <t>-594.914128413904 302.026517098007 -368.85660329646</t>
  </si>
  <si>
    <t>-593.813761695122 293.408548416053 -489.74945889928</t>
  </si>
  <si>
    <t>-586.103788937955 283.192582278916 -598.519987408388</t>
  </si>
  <si>
    <t>-571.80192547913 270.611752164316 -706.371921437974</t>
  </si>
  <si>
    <t>-545.098855842451 250.666769133789 -854.996102503355</t>
  </si>
  <si>
    <t>-513.925640862393 213.557341451108 -944.62913063183</t>
  </si>
  <si>
    <t>-539.03392399811 285.779530284801 -789.549783271669</t>
  </si>
  <si>
    <t>-449.024754202672 399.368879303047 -764.970742902548</t>
  </si>
  <si>
    <t>-461.941892237252 479.073954816711 -458.921012725749</t>
  </si>
  <si>
    <t>-324.605613276262 300.691906231882 -328.687668855083</t>
  </si>
  <si>
    <t>-574.794381940047 233.204018771664 -788.919222881761</t>
  </si>
  <si>
    <t>-669.779216464286 122.43614611101 -770.327475660197</t>
  </si>
  <si>
    <t>-722.848540513867 129.223112914967 -458.35985585993</t>
  </si>
  <si>
    <t>-502.076807651563 4.16585908532807 -401.240829619926</t>
  </si>
  <si>
    <t>-521.457250591308 390.520523382072 -257.333705762067</t>
  </si>
  <si>
    <t>-560.124982639908 397.356487354867 196.666030609946</t>
  </si>
  <si>
    <t>-594.313472122428 372.85687318994 663.766748862988</t>
  </si>
  <si>
    <t>-467.960587300493 285.02035908354 748.991169353493</t>
  </si>
  <si>
    <t>-637.527819535965 219.469076756074 -239.378198557816</t>
  </si>
  <si>
    <t>-484.917334094619 152.141703639121 184.691075991815</t>
  </si>
  <si>
    <t>-588.508343458979 271.028945094373 627.686169503913</t>
  </si>
  <si>
    <t>-575.492464056538 119.037145428308 715.279584611099</t>
  </si>
  <si>
    <t>9763-20170724T165959.363120800.bin</t>
  </si>
  <si>
    <t>-581.53116908437 307.40865180574 -248.863433875581</t>
  </si>
  <si>
    <t>-596.661565463657 304.375435536226 -368.986918526804</t>
  </si>
  <si>
    <t>-595.512881242794 295.428365004261 -489.855467730493</t>
  </si>
  <si>
    <t>-587.809727460806 284.863867276488 -598.593179854551</t>
  </si>
  <si>
    <t>-573.567974923931 271.877270743762 -706.404883958621</t>
  </si>
  <si>
    <t>-547.006390032005 251.302487491247 -854.968548782608</t>
  </si>
  <si>
    <t>-516.661673919937 214.167395910982 -944.875009869337</t>
  </si>
  <si>
    <t>-540.763108626652 286.613616547361 -789.645832972018</t>
  </si>
  <si>
    <t>-449.961094803092 399.772693092861 -765.818423584288</t>
  </si>
  <si>
    <t>-462.051465875445 481.344621931746 -460.22717208371</t>
  </si>
  <si>
    <t>-323.69448119907 303.347425762557 -330.549362178494</t>
  </si>
  <si>
    <t>-576.754995759329 234.198840539771 -788.821728984537</t>
  </si>
  <si>
    <t>-672.238100005921 124.018066501738 -769.43846833778</t>
  </si>
  <si>
    <t>-726.829841046566 140.359906856587 -458.088315601743</t>
  </si>
  <si>
    <t>-506.657917485139 15.4989349634268 -398.287618050027</t>
  </si>
  <si>
    <t>-522.999645731208 393.243745614317 -257.49241918077</t>
  </si>
  <si>
    <t>-561.531107184173 399.340317650287 196.529463880942</t>
  </si>
  <si>
    <t>-594.260558684871 373.294925845137 663.622616996697</t>
  </si>
  <si>
    <t>-468.596738045449 284.518833212514 748.892250109386</t>
  </si>
  <si>
    <t>-639.722174518316 221.843460811706 -239.363090652807</t>
  </si>
  <si>
    <t>-486.36875180186 152.072993455589 184.042760543917</t>
  </si>
  <si>
    <t>-588.885663104759 270.93020386439 627.388522532365</t>
  </si>
  <si>
    <t>-574.89602862828 119.207667160064 715.297840634211</t>
  </si>
  <si>
    <t>9763-20170724T165959.400220700.bin</t>
  </si>
  <si>
    <t>-582.295196834358 308.982517356113 -248.87002677338</t>
  </si>
  <si>
    <t>-597.367933240075 305.887153079044 -368.999140645705</t>
  </si>
  <si>
    <t>-596.189346058206 296.794691982689 -489.856510566319</t>
  </si>
  <si>
    <t>-588.473958156734 286.058106913371 -598.576520497147</t>
  </si>
  <si>
    <t>-574.236917631992 272.854705418846 -706.36260737331</t>
  </si>
  <si>
    <t>-547.701568981358 251.928288928072 -854.881827483644</t>
  </si>
  <si>
    <t>-517.618826017158 214.65078413259 -944.817321733894</t>
  </si>
  <si>
    <t>-541.390358998801 287.355248850661 -789.628458061245</t>
  </si>
  <si>
    <t>-450.296592886454 400.384928699846 -766.113537260064</t>
  </si>
  <si>
    <t>-462.246408546644 482.633293898798 -460.698147402293</t>
  </si>
  <si>
    <t>-323.101794894181 305.295263304849 -330.959730362312</t>
  </si>
  <si>
    <t>-577.494964794999 235.019783715248 -788.704973173978</t>
  </si>
  <si>
    <t>-673.311942126047 125.224322472401 -769.107834742176</t>
  </si>
  <si>
    <t>-730.099050145729 144.11512652535 -458.295088564305</t>
  </si>
  <si>
    <t>-509.958111704013 20.0774625367137 -396.694251802173</t>
  </si>
  <si>
    <t>-523.98885787009 394.911418100469 -257.523001452654</t>
  </si>
  <si>
    <t>-562.437483173414 400.51866191674 196.512086849222</t>
  </si>
  <si>
    <t>-594.291807699726 373.479733147802 663.611813037052</t>
  </si>
  <si>
    <t>-468.727250810846 284.487636177124 748.802446468723</t>
  </si>
  <si>
    <t>-640.486655166882 223.265192568619 -239.334308883598</t>
  </si>
  <si>
    <t>-486.807704688355 152.552952998651 183.797132210271</t>
  </si>
  <si>
    <t>-588.863000636591 271.109936341152 627.350460978992</t>
  </si>
  <si>
    <t>-574.82242914658 119.37105934539 715.223629941872</t>
  </si>
  <si>
    <t>9763-20170724T165959.466408300.bin</t>
  </si>
  <si>
    <t>-584.215601484471 312.477819444244 -248.734425030044</t>
  </si>
  <si>
    <t>-599.210130115185 309.167419098585 -368.867619953699</t>
  </si>
  <si>
    <t>-597.920057759858 299.730137562888 -489.697375376047</t>
  </si>
  <si>
    <t>-590.096892752183 288.618929826606 -598.372174882667</t>
  </si>
  <si>
    <t>-575.749383454405 274.971687513107 -706.088241200175</t>
  </si>
  <si>
    <t>-549.062146032278 253.349734601893 -854.480572269608</t>
  </si>
  <si>
    <t>-519.11273148711 215.563717126455 -944.248100047114</t>
  </si>
  <si>
    <t>-542.719213917569 289.014566544153 -789.359842690312</t>
  </si>
  <si>
    <t>-451.141979965385 401.702555755771 -766.23406834153</t>
  </si>
  <si>
    <t>-463.324600833167 485.246220018384 -461.179506979768</t>
  </si>
  <si>
    <t>-322.92721079707 308.66274981243 -331.761943047951</t>
  </si>
  <si>
    <t>-579.021616431278 236.819012409921 -788.283312093163</t>
  </si>
  <si>
    <t>-675.253836261086 127.361718673764 -768.690549234965</t>
  </si>
  <si>
    <t>-737.281482746402 147.836943174074 -458.98181193618</t>
  </si>
  <si>
    <t>-517.103612163959 25.9930939760338 -393.271521092294</t>
  </si>
  <si>
    <t>-525.937202675101 398.350328418226 -257.565874878799</t>
  </si>
  <si>
    <t>-564.240313817556 403.160475628161 196.490735281733</t>
  </si>
  <si>
    <t>-594.184374525317 374.03738613587 663.515340852219</t>
  </si>
  <si>
    <t>-468.661332425087 284.849368536412 748.562186486708</t>
  </si>
  <si>
    <t>-642.409954998868 226.657443033908 -239.055581925252</t>
  </si>
  <si>
    <t>-487.289756888522 154.457555174281 183.298060756193</t>
  </si>
  <si>
    <t>-588.800078434387 271.583668728006 627.434656213067</t>
  </si>
  <si>
    <t>-574.662307591538 119.604726297562 714.875981114356</t>
  </si>
  <si>
    <t>9763-20170724T165959.498990100.bin</t>
  </si>
  <si>
    <t>-585.209789400749 314.066851466312 -248.681052272271</t>
  </si>
  <si>
    <t>-600.317793245929 310.781213712932 -368.80074556403</t>
  </si>
  <si>
    <t>-599.037178323184 301.289784719962 -489.626527219368</t>
  </si>
  <si>
    <t>-591.182388236147 290.094169003656 -598.290230163477</t>
  </si>
  <si>
    <t>-576.765050449146 276.32516610387 -705.981572147506</t>
  </si>
  <si>
    <t>-549.943006853647 254.493919132665 -854.318889371033</t>
  </si>
  <si>
    <t>-519.950742756551 216.457580282738 -943.966464507173</t>
  </si>
  <si>
    <t>-543.655979694534 290.248258384682 -789.24188789748</t>
  </si>
  <si>
    <t>-451.987983076957 402.895956188739 -766.219345237461</t>
  </si>
  <si>
    <t>-464.197757941615 486.891472442161 -461.290082584335</t>
  </si>
  <si>
    <t>-323.210035061232 310.720314459805 -331.952206440517</t>
  </si>
  <si>
    <t>-579.96591159731 238.058776984043 -788.126388845097</t>
  </si>
  <si>
    <t>-676.249400006983 128.646279799341 -768.617110936801</t>
  </si>
  <si>
    <t>-740.6595301685 148.988770045054 -459.386360372671</t>
  </si>
  <si>
    <t>-520.360920421279 28.0852288490498 -392.357295799852</t>
  </si>
  <si>
    <t>-527.06317954527 400.083042623463 -257.60157438268</t>
  </si>
  <si>
    <t>-565.015249436601 404.289727467659 196.490490286876</t>
  </si>
  <si>
    <t>-594.116527145211 374.274045804034 663.469385279779</t>
  </si>
  <si>
    <t>-468.588037025248 285.032009754485 748.45165252009</t>
  </si>
  <si>
    <t>-643.299165151544 228.102469852731 -238.969250771985</t>
  </si>
  <si>
    <t>-487.434102862574 155.686627844239 183.073150720915</t>
  </si>
  <si>
    <t>-588.711872002318 271.919467649604 627.506826200983</t>
  </si>
  <si>
    <t>-574.505761920621 119.746361133417 714.59883521279</t>
  </si>
  <si>
    <t>9763-20170724T165959.568225800.bin</t>
  </si>
  <si>
    <t>-587.719984524545 316.9329265319 -248.720487830253</t>
  </si>
  <si>
    <t>-602.999434732233 313.725557303333 -368.820584061378</t>
  </si>
  <si>
    <t>-601.575168204849 304.139565172781 -489.637225192593</t>
  </si>
  <si>
    <t>-593.467305643166 292.783878387152 -598.265788008122</t>
  </si>
  <si>
    <t>-578.67875038104 278.776920342216 -705.875955262813</t>
  </si>
  <si>
    <t>-551.223068967193 256.531933289923 -854.035932257663</t>
  </si>
  <si>
    <t>-521.004029091506 218.214088836686 -943.487236757137</t>
  </si>
  <si>
    <t>-545.284289627374 292.516167575918 -789.052929480947</t>
  </si>
  <si>
    <t>-453.89632345759 405.3930751011 -766.070304776349</t>
  </si>
  <si>
    <t>-466.930587541158 490.126409407906 -461.379371575822</t>
  </si>
  <si>
    <t>-323.909860670742 315.230992950816 -332.543454045878</t>
  </si>
  <si>
    <t>-581.458420757016 240.233135891476 -787.906536418956</t>
  </si>
  <si>
    <t>-677.480652678959 130.542343645471 -768.563072054165</t>
  </si>
  <si>
    <t>-745.706541449915 149.956997348377 -460.091964496952</t>
  </si>
  <si>
    <t>-525.459367016198 29.5941856467286 -391.930198674137</t>
  </si>
  <si>
    <t>-529.808222296284 403.152999914548 -257.618476374284</t>
  </si>
  <si>
    <t>-566.829347300657 406.140147365287 196.560083708127</t>
  </si>
  <si>
    <t>-594.200774478046 374.56822177218 663.511805536213</t>
  </si>
  <si>
    <t>-468.21015093296 285.767600383172 748.272071291097</t>
  </si>
  <si>
    <t>-645.584347650346 230.789961188126 -239.056663147805</t>
  </si>
  <si>
    <t>-488.449233303488 158.193121429966 182.483322446568</t>
  </si>
  <si>
    <t>-589.452705099612 272.156209154163 627.605511120827</t>
  </si>
  <si>
    <t>-573.709663501803 119.810563640487 714.129949335077</t>
  </si>
  <si>
    <t>9763-20170724T165959.600319900.bin</t>
  </si>
  <si>
    <t>-589.117735070249 318.283094435109 -248.845848958582</t>
  </si>
  <si>
    <t>-604.416098793918 315.195111596309 -368.946732615775</t>
  </si>
  <si>
    <t>-602.841397034592 305.605078229067 -489.761200801752</t>
  </si>
  <si>
    <t>-594.532074367677 294.19297570198 -598.368546044954</t>
  </si>
  <si>
    <t>-579.479752708748 280.075355760147 -705.927803305513</t>
  </si>
  <si>
    <t>-551.595884417744 257.618890949551 -853.975642775814</t>
  </si>
  <si>
    <t>-521.272614372214 219.318145782788 -943.398995303372</t>
  </si>
  <si>
    <t>-545.899674676327 293.733275521318 -789.043300242542</t>
  </si>
  <si>
    <t>-454.755161998282 406.819373870192 -766.086110232544</t>
  </si>
  <si>
    <t>-468.636842219672 491.868329643359 -461.520621705974</t>
  </si>
  <si>
    <t>-324.420293053046 317.664357901939 -333.081444127778</t>
  </si>
  <si>
    <t>-581.967628118859 241.376962168159 -787.894796346651</t>
  </si>
  <si>
    <t>-677.792745085785 131.524336560946 -768.576017203864</t>
  </si>
  <si>
    <t>-747.484699251152 150.079310396685 -460.379811679559</t>
  </si>
  <si>
    <t>-527.102503023733 29.9702279351675 -392.206843153426</t>
  </si>
  <si>
    <t>-531.562157641786 404.524631725619 -257.596416599114</t>
  </si>
  <si>
    <t>-568.17479664687 406.903743842502 196.618879076835</t>
  </si>
  <si>
    <t>-594.559854079637 374.310590616941 663.623240057893</t>
  </si>
  <si>
    <t>-468.116113942051 285.97358494132 748.193117067545</t>
  </si>
  <si>
    <t>-646.611336081517 232.099045373725 -239.329414493725</t>
  </si>
  <si>
    <t>-489.143665627883 159.612784481154 182.105409600494</t>
  </si>
  <si>
    <t>-589.590506412683 272.363764979368 627.653658356297</t>
  </si>
  <si>
    <t>-573.834191126136 119.867426947146 713.909847865527</t>
  </si>
  <si>
    <t>9763-20170724T165959.667501200.bin</t>
  </si>
  <si>
    <t>-592.333455203118 320.301706412843 -249.100555693243</t>
  </si>
  <si>
    <t>-607.750521354654 317.401403375655 -369.190999148207</t>
  </si>
  <si>
    <t>-605.967616950754 307.77525202286 -489.999520433794</t>
  </si>
  <si>
    <t>-597.342891090554 296.235348871192 -598.56894881645</t>
  </si>
  <si>
    <t>-581.854033709378 281.891344194488 -706.036156260843</t>
  </si>
  <si>
    <t>-553.24340882035 259.016389755818 -853.881202965281</t>
  </si>
  <si>
    <t>-522.773004230245 221.069542511595 -943.405329152452</t>
  </si>
  <si>
    <t>-547.974441835607 295.388148640756 -789.056408868133</t>
  </si>
  <si>
    <t>-457.328411324159 408.907734960004 -766.284207472926</t>
  </si>
  <si>
    <t>-473.651483104862 494.468613528716 -461.983250019586</t>
  </si>
  <si>
    <t>-327.219025881319 322.049713896893 -333.642475793123</t>
  </si>
  <si>
    <t>-583.830940343271 242.887734983717 -787.872189229934</t>
  </si>
  <si>
    <t>-679.254491718883 132.659976044836 -768.658961226974</t>
  </si>
  <si>
    <t>-750.198268828587 150.244341181539 -460.691364155815</t>
  </si>
  <si>
    <t>-529.425239477537 30.5727084139512 -393.01545032334</t>
  </si>
  <si>
    <t>-535.281616521001 406.355045093772 -257.743278118091</t>
  </si>
  <si>
    <t>-570.499020736112 407.466454853492 196.587145108254</t>
  </si>
  <si>
    <t>-594.970706173999 373.761188551397 663.621532159797</t>
  </si>
  <si>
    <t>-467.633709041779 286.509467747927 747.977499474571</t>
  </si>
  <si>
    <t>-649.391011055831 234.186948140721 -239.647783561082</t>
  </si>
  <si>
    <t>-491.154990935558 162.292901785897 181.600706193014</t>
  </si>
  <si>
    <t>-590.93644434979 272.795608424663 628.251798027213</t>
  </si>
  <si>
    <t>-572.805568705045 119.839529749569 713.217671643876</t>
  </si>
  <si>
    <t>9763-20170724T165959.697585100.bin</t>
  </si>
  <si>
    <t>-593.770689868533 321.393927272141 -249.135523447714</t>
  </si>
  <si>
    <t>-609.290964315806 318.625936460117 -369.215816089593</t>
  </si>
  <si>
    <t>-607.477576501434 309.034101963985 -490.026729015879</t>
  </si>
  <si>
    <t>-598.771298280009 297.487343486027 -598.588820831464</t>
  </si>
  <si>
    <t>-583.147884019103 283.100374833304 -706.030846427758</t>
  </si>
  <si>
    <t>-554.296492045777 260.129475308668 -853.814153356394</t>
  </si>
  <si>
    <t>-523.726202314533 222.463596513178 -943.422914982095</t>
  </si>
  <si>
    <t>-549.207193852756 296.593268706561 -789.026747364756</t>
  </si>
  <si>
    <t>-458.819572808172 410.340223612521 -766.373736954666</t>
  </si>
  <si>
    <t>-476.361980245554 496.272158745305 -462.245228634927</t>
  </si>
  <si>
    <t>-329.05040756545 324.795764690154 -333.648207920765</t>
  </si>
  <si>
    <t>-584.917449308496 243.99351094297 -787.822486916881</t>
  </si>
  <si>
    <t>-679.998005475075 133.463369471311 -768.565356271848</t>
  </si>
  <si>
    <t>-751.224065534175 150.726828203828 -460.644817516026</t>
  </si>
  <si>
    <t>-529.94364168243 31.7699268185813 -393.367203878598</t>
  </si>
  <si>
    <t>-536.710552122536 407.537713929337 -257.726739824763</t>
  </si>
  <si>
    <t>-571.28316636286 408.041817576869 196.654258936487</t>
  </si>
  <si>
    <t>-595.048666879262 373.914493460656 663.671776421566</t>
  </si>
  <si>
    <t>-467.471224151774 286.860885764787 747.869096650777</t>
  </si>
  <si>
    <t>-650.806936425621 235.316745050221 -239.74208273643</t>
  </si>
  <si>
    <t>-492.281295196723 163.684426443934 181.442063663085</t>
  </si>
  <si>
    <t>-591.745059010541 272.878119763551 628.513940016144</t>
  </si>
  <si>
    <t>-572.155446492245 119.775323652857 712.890015465283</t>
  </si>
  <si>
    <t>9763-20170724T165959.765784000.bin</t>
  </si>
  <si>
    <t>-596.253209377409 323.918536117868 -249.171622094944</t>
  </si>
  <si>
    <t>-611.786723106606 321.286593642811 -369.253185008411</t>
  </si>
  <si>
    <t>-609.937169334371 311.830265693325 -490.074290009877</t>
  </si>
  <si>
    <t>-601.172366294256 300.419435528219 -598.646021478141</t>
  </si>
  <si>
    <t>-585.461603047102 286.189491805571 -706.096154400942</t>
  </si>
  <si>
    <t>-556.455910974359 263.465948035609 -853.887592565675</t>
  </si>
  <si>
    <t>-525.484101977943 226.405877064145 -943.610944548239</t>
  </si>
  <si>
    <t>-551.657124169408 299.969693800165 -789.100418660844</t>
  </si>
  <si>
    <t>-462.152880714785 414.458264934531 -766.613640734338</t>
  </si>
  <si>
    <t>-481.205514986998 501.143655278298 -462.790051928363</t>
  </si>
  <si>
    <t>-332.458022943021 331.141661890828 -333.88846382111</t>
  </si>
  <si>
    <t>-586.922898196368 247.071184811229 -787.888512768568</t>
  </si>
  <si>
    <t>-680.944936363938 135.675261876461 -768.507458484642</t>
  </si>
  <si>
    <t>-752.715669636065 151.797286390909 -460.651696149447</t>
  </si>
  <si>
    <t>-529.730543287574 35.4843084871836 -394.387060976586</t>
  </si>
  <si>
    <t>-539.256729629569 410.104708415207 -257.67184567893</t>
  </si>
  <si>
    <t>-573.007516031391 409.556503290533 196.77094266398</t>
  </si>
  <si>
    <t>-595.364358111507 374.082993035549 663.76968842739</t>
  </si>
  <si>
    <t>-467.313456857086 287.407486821455 747.637620098562</t>
  </si>
  <si>
    <t>-653.163259675625 237.849855534384 -240.103035354988</t>
  </si>
  <si>
    <t>-493.941538666484 166.144941967576 180.806073130203</t>
  </si>
  <si>
    <t>-591.947943083343 273.086648551608 628.393161848684</t>
  </si>
  <si>
    <t>-571.486931789927 119.96447052239 712.526605313449</t>
  </si>
  <si>
    <t>9763-20170724T165959.798877500.bin</t>
  </si>
  <si>
    <t>-597.27541331717 325.168997902889 -249.21065986588</t>
  </si>
  <si>
    <t>-612.827379344303 322.500190968881 -369.289211893672</t>
  </si>
  <si>
    <t>-610.955334767612 313.073063482054 -490.112059989596</t>
  </si>
  <si>
    <t>-602.149670575945 301.724192451714 -598.686976169209</t>
  </si>
  <si>
    <t>-586.37534449683 287.596652261955 -706.141341306338</t>
  </si>
  <si>
    <t>-557.255455457102 265.062423178826 -853.939314305447</t>
  </si>
  <si>
    <t>-525.990650841891 228.20612627876 -943.645012123782</t>
  </si>
  <si>
    <t>-552.639296571137 301.570186772997 -789.141214128597</t>
  </si>
  <si>
    <t>-463.715723567959 416.496787267575 -766.674407240814</t>
  </si>
  <si>
    <t>-483.333974761498 503.419551599963 -462.954509656614</t>
  </si>
  <si>
    <t>-333.7074416064 334.219577529359 -334.015123869016</t>
  </si>
  <si>
    <t>-587.640879038664 248.496139955456 -787.945372964005</t>
  </si>
  <si>
    <t>-681.078850521185 136.597699857659 -768.572093321658</t>
  </si>
  <si>
    <t>-752.995134652267 152.050982631047 -460.715934777219</t>
  </si>
  <si>
    <t>-529.202747653431 37.2169045059416 -394.593562076827</t>
  </si>
  <si>
    <t>-540.387677158241 411.315995354818 -257.675826407594</t>
  </si>
  <si>
    <t>-573.718970851291 410.358489822007 196.797239557693</t>
  </si>
  <si>
    <t>-595.535439256621 374.165914448151 663.828379291188</t>
  </si>
  <si>
    <t>-467.379232876373 287.476587944831 747.521086560554</t>
  </si>
  <si>
    <t>-654.119202598134 239.070296016555 -240.183792074562</t>
  </si>
  <si>
    <t>-494.44219635156 166.834409448892 180.46194069798</t>
  </si>
  <si>
    <t>-591.86747496348 273.230433059621 628.334836640423</t>
  </si>
  <si>
    <t>-571.275372775404 120.049913964876 712.330189881158</t>
  </si>
  <si>
    <t>9763-20170724T165959.864595100.bin</t>
  </si>
  <si>
    <t>-599.152368782633 327.562393461744 -249.11724255687</t>
  </si>
  <si>
    <t>-614.851287743544 324.998440249339 -369.178924200005</t>
  </si>
  <si>
    <t>-612.968680566912 315.691128475004 -490.010931040783</t>
  </si>
  <si>
    <t>-604.08035458249 304.479311636026 -598.593303234968</t>
  </si>
  <si>
    <t>-588.145673310261 290.531203273024 -706.047510870378</t>
  </si>
  <si>
    <t>-558.717986187981 268.302745928749 -853.830836928052</t>
  </si>
  <si>
    <t>-526.897126431301 231.758213074105 -943.468518597323</t>
  </si>
  <si>
    <t>-554.513965878261 304.855199913055 -789.029934178683</t>
  </si>
  <si>
    <t>-466.766242746432 420.710685092724 -766.56524274112</t>
  </si>
  <si>
    <t>-487.814465458618 507.484676921306 -462.898532876386</t>
  </si>
  <si>
    <t>-335.950606069406 340.094929736996 -334.212739007389</t>
  </si>
  <si>
    <t>-588.963715886756 251.421010139107 -787.852647480304</t>
  </si>
  <si>
    <t>-681.205742960644 138.565756582673 -768.501464607173</t>
  </si>
  <si>
    <t>-753.315570047302 154.010739800219 -460.690267574329</t>
  </si>
  <si>
    <t>-528.697081672679 40.4577566936614 -395.159156756061</t>
  </si>
  <si>
    <t>-542.444641550519 413.869931847165 -257.542284320764</t>
  </si>
  <si>
    <t>-575.122222101066 411.894882593247 196.97493227371</t>
  </si>
  <si>
    <t>-595.987643529783 374.287525648349 663.996664247261</t>
  </si>
  <si>
    <t>-467.865246151002 287.271818054239 747.401881897045</t>
  </si>
  <si>
    <t>-655.959256744361 241.286771935796 -240.222416461678</t>
  </si>
  <si>
    <t>-495.32232882411 168.156721423968 179.90302370877</t>
  </si>
  <si>
    <t>-591.713089266906 272.975905684546 628.10283939786</t>
  </si>
  <si>
    <t>-570.099880103857 120.288096137475 712.736195712925</t>
  </si>
  <si>
    <t>9763-20170724T165959.898190700.bin</t>
  </si>
  <si>
    <t>-600.153316720798 328.644957075587 -249.251035771127</t>
  </si>
  <si>
    <t>-615.983793536227 326.116201100809 -369.296028496164</t>
  </si>
  <si>
    <t>-614.1524930822 316.827184854198 -490.130476803022</t>
  </si>
  <si>
    <t>-605.274122511425 305.634627998245 -598.715659294546</t>
  </si>
  <si>
    <t>-589.311351433585 291.713248187432 -706.168935155947</t>
  </si>
  <si>
    <t>-559.803526985106 269.535386591123 -853.943956267138</t>
  </si>
  <si>
    <t>-527.830855183061 233.135100842521 -943.586309856087</t>
  </si>
  <si>
    <t>-555.732245774634 306.127892786609 -789.157109315558</t>
  </si>
  <si>
    <t>-468.478587603948 422.366396370782 -766.712361652181</t>
  </si>
  <si>
    <t>-490.540939787062 508.732613270182 -463.001482716783</t>
  </si>
  <si>
    <t>-337.358455268695 342.469104497478 -334.418215775831</t>
  </si>
  <si>
    <t>-589.987388155791 252.568959120845 -787.959141184616</t>
  </si>
  <si>
    <t>-681.804366986366 139.361409824985 -768.566681763575</t>
  </si>
  <si>
    <t>-753.905172435499 154.546781105423 -460.740298682197</t>
  </si>
  <si>
    <t>-529.138910447453 41.2362096946647 -395.296388106357</t>
  </si>
  <si>
    <t>-543.411191961342 415.050766033368 -257.551266073243</t>
  </si>
  <si>
    <t>-575.812494494893 412.64479054303 196.983738633065</t>
  </si>
  <si>
    <t>-596.183720260202 374.443860511981 664.061797749318</t>
  </si>
  <si>
    <t>-468.146957993847 287.150926125429 747.308619781452</t>
  </si>
  <si>
    <t>-657.014505790169 242.289079606537 -240.418941767706</t>
  </si>
  <si>
    <t>-496.059380565309 168.720671507103 179.50820868905</t>
  </si>
  <si>
    <t>-592.121073403639 272.220128387558 627.862195767564</t>
  </si>
  <si>
    <t>-569.813756866429 120.141172638383 713.406859113194</t>
  </si>
  <si>
    <t>9763-20170724T165959.965871300.bin</t>
  </si>
  <si>
    <t>-602.787337870795 331.295977089859 -249.745549520201</t>
  </si>
  <si>
    <t>-618.932445353601 329.26711616792 -369.758151992132</t>
  </si>
  <si>
    <t>-617.248704258855 320.24298891233 -490.614681530837</t>
  </si>
  <si>
    <t>-608.430752340788 309.20609046818 -599.220735252016</t>
  </si>
  <si>
    <t>-592.453712797328 295.364498342651 -706.682322177972</t>
  </si>
  <si>
    <t>-562.847458150554 273.226275155162 -854.443545352517</t>
  </si>
  <si>
    <t>-530.756865638165 236.999470549037 -944.114047788372</t>
  </si>
  <si>
    <t>-558.928892908128 309.870250165305 -789.676443919844</t>
  </si>
  <si>
    <t>-472.304608019299 426.553867916661 -767.323935873366</t>
  </si>
  <si>
    <t>-496.960992029651 511.932829843408 -463.5332577777</t>
  </si>
  <si>
    <t>-341.248482627966 348.197871525936 -334.744576496948</t>
  </si>
  <si>
    <t>-592.96576329317 256.173156600895 -788.451085045333</t>
  </si>
  <si>
    <t>-684.291070625595 142.559088846288 -768.966792912762</t>
  </si>
  <si>
    <t>-756.787348010828 157.154323467905 -461.204797842937</t>
  </si>
  <si>
    <t>-531.645171233513 44.50065315287 -395.919082369838</t>
  </si>
  <si>
    <t>-545.907690912428 417.651342791749 -257.505769781505</t>
  </si>
  <si>
    <t>-577.726036633526 413.782630582954 197.060212787</t>
  </si>
  <si>
    <t>-597.175128351725 373.956514018694 664.335418527855</t>
  </si>
  <si>
    <t>-468.998262634311 286.5166353598 747.211771405686</t>
  </si>
  <si>
    <t>-659.830601910364 244.94677796592 -241.27361660432</t>
  </si>
  <si>
    <t>-497.569365670674 171.112538214328 178.103911751803</t>
  </si>
  <si>
    <t>-592.733986803552 271.114243878415 627.862577092529</t>
  </si>
  <si>
    <t>-569.154664446351 120.09685610264 714.932945938823</t>
  </si>
  <si>
    <t>9763-20170724T165959.994948400.bin</t>
  </si>
  <si>
    <t>-604.802605603152 332.874257701984 -249.392323934372</t>
  </si>
  <si>
    <t>-621.166080608031 331.581420157712 -369.385574036345</t>
  </si>
  <si>
    <t>-619.540134377269 322.893163138543 -490.2674658545</t>
  </si>
  <si>
    <t>-610.704384511372 312.010404907334 -598.887678875367</t>
  </si>
  <si>
    <t>-594.637812972321 298.183206349149 -706.337839548454</t>
  </si>
  <si>
    <t>-564.832164947985 275.928413895375 -854.041360642414</t>
  </si>
  <si>
    <t>-532.689634177074 239.666181833634 -943.678968886376</t>
  </si>
  <si>
    <t>-561.026492944349 312.639564265581 -789.305554157624</t>
  </si>
  <si>
    <t>-474.548301251261 429.465801536112 -767.051855822521</t>
  </si>
  <si>
    <t>-500.267294496719 514.433099181295 -463.23391342274</t>
  </si>
  <si>
    <t>-343.663019035036 351.808026803154 -334.120449488505</t>
  </si>
  <si>
    <t>-595.013942099036 258.911445740516 -788.068702317444</t>
  </si>
  <si>
    <t>-686.290082753362 145.270696338441 -768.618587926654</t>
  </si>
  <si>
    <t>-759.11484455575 159.713775013137 -460.926927146266</t>
  </si>
  <si>
    <t>-533.976302586175 46.9929428722319 -395.745009616996</t>
  </si>
  <si>
    <t>-547.639703727166 419.090332284824 -256.972837334781</t>
  </si>
  <si>
    <t>-578.934123260529 413.756904953146 197.614810131088</t>
  </si>
  <si>
    <t>-598.125184043637 373.289758446215 664.90116928928</t>
  </si>
  <si>
    <t>-469.672978185893 285.973834972753 747.481321247131</t>
  </si>
  <si>
    <t>-662.238706069664 246.803785510541 -241.025630983326</t>
  </si>
  <si>
    <t>-498.348927254734 172.102906956825 177.564367953196</t>
  </si>
  <si>
    <t>-592.571014788123 271.327151262455 628.107669708228</t>
  </si>
  <si>
    <t>-569.297946838111 120.26557489797 715.183992069339</t>
  </si>
  <si>
    <t>9763-20170724T170000.063146000.bin</t>
  </si>
  <si>
    <t>-610.213166511752 336.354232740056 -248.824175352727</t>
  </si>
  <si>
    <t>-627.191190037467 336.417990300589 -368.738899389784</t>
  </si>
  <si>
    <t>-625.78362674808 328.117862262083 -489.650859298981</t>
  </si>
  <si>
    <t>-616.973026505437 317.220630106727 -598.2715507255</t>
  </si>
  <si>
    <t>-600.755848104968 303.035279396492 -705.652375046907</t>
  </si>
  <si>
    <t>-570.557791735924 279.945250376217 -853.147985525308</t>
  </si>
  <si>
    <t>-538.44303651858 243.234425981639 -942.612759508019</t>
  </si>
  <si>
    <t>-566.778416031339 316.930610856356 -788.566893088989</t>
  </si>
  <si>
    <t>-479.651143421086 433.361099632223 -766.657569459042</t>
  </si>
  <si>
    <t>-507.337896962097 518.427315199438 -463.040493637443</t>
  </si>
  <si>
    <t>-350.19175593316 357.16402940554 -332.881776873456</t>
  </si>
  <si>
    <t>-601.060630209237 263.393007882834 -787.204532616335</t>
  </si>
  <si>
    <t>-692.88918027591 150.231419105746 -767.565129656102</t>
  </si>
  <si>
    <t>-766.384373271822 164.478634143168 -460.023889739388</t>
  </si>
  <si>
    <t>-541.501311570489 51.058486155878 -395.173597506417</t>
  </si>
  <si>
    <t>-550.939102758659 421.575858050661 -255.98659398548</t>
  </si>
  <si>
    <t>-581.379276592474 414.590477771598 198.636640061888</t>
  </si>
  <si>
    <t>-599.226065902057 372.810136657529 665.468248120761</t>
  </si>
  <si>
    <t>-470.239899860298 285.913012089581 747.656731975412</t>
  </si>
  <si>
    <t>-669.523394847133 250.924598336942 -240.655484474388</t>
  </si>
  <si>
    <t>-502.41177152215 174.892385596592 176.418257602041</t>
  </si>
  <si>
    <t>-595.448994104275 270.417215961852 628.072711088952</t>
  </si>
  <si>
    <t>-567.567919330414 120.6008443067 715.943034034872</t>
  </si>
  <si>
    <t>9763-20170724T170000.097231400.bin</t>
  </si>
  <si>
    <t>-608.564143322277 340.385539255812 -248.523251858525</t>
  </si>
  <si>
    <t>-625.556495055676 341.113898235382 -368.433784090078</t>
  </si>
  <si>
    <t>-624.239137932297 332.984166042969 -489.358236739662</t>
  </si>
  <si>
    <t>-615.535119522297 322.051238798776 -597.984107029694</t>
  </si>
  <si>
    <t>-599.445780536919 307.649536806052 -705.355182713147</t>
  </si>
  <si>
    <t>-569.44527574037 284.078326579193 -852.815038193251</t>
  </si>
  <si>
    <t>-537.48125882066 247.036413396615 -942.197185681614</t>
  </si>
  <si>
    <t>-565.382734633863 321.148969125893 -788.299926253384</t>
  </si>
  <si>
    <t>-477.298039308759 436.913164286224 -766.763338821464</t>
  </si>
  <si>
    <t>-505.5288435238 522.654238639944 -463.386379094189</t>
  </si>
  <si>
    <t>-348.917945087429 361.410237886258 -332.56028192057</t>
  </si>
  <si>
    <t>-600.056442210147 267.86669263661 -786.837261433064</t>
  </si>
  <si>
    <t>-692.677609527933 155.374517028467 -767.046484705654</t>
  </si>
  <si>
    <t>-765.898570839984 169.475570504493 -459.433063055745</t>
  </si>
  <si>
    <t>-541.317968223434 55.0899455323711 -395.233702488316</t>
  </si>
  <si>
    <t>-549.962637007087 423.835080171401 -255.556108063435</t>
  </si>
  <si>
    <t>-580.211139304317 416.038830658035 199.066722593863</t>
  </si>
  <si>
    <t>-599.597854326083 372.665141303549 665.769567994857</t>
  </si>
  <si>
    <t>-470.387291240321 285.942226924155 747.789508849913</t>
  </si>
  <si>
    <t>-665.760446642329 257.22796166086 -240.805656758766</t>
  </si>
  <si>
    <t>-498.325974930106 178.00216459239 175.543582537499</t>
  </si>
  <si>
    <t>-594.461469948053 272.991872841362 626.340078863446</t>
  </si>
  <si>
    <t>-560.285216678215 124.867217517415 714.853351084998</t>
  </si>
  <si>
    <t>9763-20170724T170000.178450300.bin</t>
  </si>
  <si>
    <t>-599.876883898244 348.691341791159 -248.269724562585</t>
  </si>
  <si>
    <t>-617.06632293583 349.982637954319 -368.147403736938</t>
  </si>
  <si>
    <t>-616.228058098726 341.840759812192 -489.075345640074</t>
  </si>
  <si>
    <t>-608.069281606356 330.659954588302 -597.718142896802</t>
  </si>
  <si>
    <t>-592.633771254014 315.775739813337 -705.119593362862</t>
  </si>
  <si>
    <t>-563.652908741477 291.290284862229 -852.634274494292</t>
  </si>
  <si>
    <t>-532.486004424132 253.421479785938 -941.951521638139</t>
  </si>
  <si>
    <t>-558.558875571709 328.375471279837 -788.200889701201</t>
  </si>
  <si>
    <t>-467.630168338468 442.043269323695 -767.047033428868</t>
  </si>
  <si>
    <t>-495.014871456887 531.043805049032 -464.532456056639</t>
  </si>
  <si>
    <t>-340.470695470175 368.302229757928 -333.104460224079</t>
  </si>
  <si>
    <t>-594.393205017821 275.87321468286 -786.52635363696</t>
  </si>
  <si>
    <t>-689.351376447353 165.492759748242 -766.155897100891</t>
  </si>
  <si>
    <t>-760.731759769603 179.89347449954 -458.12403657128</t>
  </si>
  <si>
    <t>-537.214826005373 61.6999151954881 -397.193750725167</t>
  </si>
  <si>
    <t>-544.711473278428 428.80815783403 -255.151738903853</t>
  </si>
  <si>
    <t>-575.109974649709 420.243838293139 199.447249452514</t>
  </si>
  <si>
    <t>-599.862603037479 372.652028928061 666.053848136138</t>
  </si>
  <si>
    <t>-470.4172636664 286.154143418776 747.94122678902</t>
  </si>
  <si>
    <t>-654.318692607676 269.046315847645 -240.785687912647</t>
  </si>
  <si>
    <t>-488.378466265886 188.503018129704 175.908783890834</t>
  </si>
  <si>
    <t>-608.014599610863 290.746817681308 618.603176852898</t>
  </si>
  <si>
    <t>-554.758688478964 148.072766476781 706.645479141142</t>
  </si>
  <si>
    <t>9763-20170724T170000.200508600.bin</t>
  </si>
  <si>
    <t>-598.748355180545 350.755123990283 -248.323374004923</t>
  </si>
  <si>
    <t>-616.139296333156 352.237949304508 -368.169853091538</t>
  </si>
  <si>
    <t>-615.683289008237 344.148177491599 -489.103304087229</t>
  </si>
  <si>
    <t>-607.947529592535 332.94303587889 -597.774711191303</t>
  </si>
  <si>
    <t>-593.013557319703 317.955403698298 -705.232597432522</t>
  </si>
  <si>
    <t>-564.812677941538 293.236255852225 -852.859470278165</t>
  </si>
  <si>
    <t>-534.27575013375 254.990474038407 -942.233594263583</t>
  </si>
  <si>
    <t>-559.023460793344 330.181654338088 -788.404323179826</t>
  </si>
  <si>
    <t>-466.615021935682 442.576437416007 -767.181536504811</t>
  </si>
  <si>
    <t>-492.250168735339 533.324198011198 -465.032825164631</t>
  </si>
  <si>
    <t>-338.90885095252 369.41539097894 -333.646221725942</t>
  </si>
  <si>
    <t>-595.557879339072 278.165857895166 -786.673825521421</t>
  </si>
  <si>
    <t>-691.985094023524 169.041714297449 -766.102611275956</t>
  </si>
  <si>
    <t>-762.012598705112 184.353041747578 -457.804133374833</t>
  </si>
  <si>
    <t>-539.345084279795 63.5380342237108 -398.940212087961</t>
  </si>
  <si>
    <t>-543.769718063537 429.963231560133 -255.155174555108</t>
  </si>
  <si>
    <t>-574.099150754334 421.27292278864 199.446125491049</t>
  </si>
  <si>
    <t>-599.802934147416 372.821417490735 666.087100159492</t>
  </si>
  <si>
    <t>-470.439231796102 286.172866284179 747.944112693213</t>
  </si>
  <si>
    <t>-654.029191451859 271.905105281508 -240.424946806182</t>
  </si>
  <si>
    <t>-490.472237578548 190.149245417675 176.975043471195</t>
  </si>
  <si>
    <t>-623.298852907608 306.755110829582 611.971243897588</t>
  </si>
  <si>
    <t>-569.821531455578 165.659409264141 702.390726579503</t>
  </si>
  <si>
    <t>9763-20170724T170000.261690900.bin</t>
  </si>
  <si>
    <t>-600.36581926674 352.61092518331 -248.332564255316</t>
  </si>
  <si>
    <t>-617.410999931458 353.888966748266 -368.231088513709</t>
  </si>
  <si>
    <t>-617.339325404774 345.937891904011 -489.174655759149</t>
  </si>
  <si>
    <t>-610.258943263759 334.964993161177 -597.91435872909</t>
  </si>
  <si>
    <t>-596.288659223034 320.297030993323 -705.545774816808</t>
  </si>
  <si>
    <t>-569.747007416835 296.092565191023 -853.565009755671</t>
  </si>
  <si>
    <t>-540.651113139051 257.523223482374 -943.28016967523</t>
  </si>
  <si>
    <t>-562.530478125052 332.312248163371 -788.842676324954</t>
  </si>
  <si>
    <t>-466.772009484475 441.72062256547 -767.018193563567</t>
  </si>
  <si>
    <t>-487.91530148519 534.697151697008 -465.199363641306</t>
  </si>
  <si>
    <t>-336.97875569549 367.586143856131 -335.067982350168</t>
  </si>
  <si>
    <t>-600.451264852551 281.292354605836 -787.299543298815</t>
  </si>
  <si>
    <t>-699.93691571446 174.876046017455 -766.97139077135</t>
  </si>
  <si>
    <t>-767.072615875725 192.457543207727 -458.151274104746</t>
  </si>
  <si>
    <t>-546.498749272136 66.5090975262797 -402.238829485447</t>
  </si>
  <si>
    <t>-543.828315195061 430.825268089471 -255.384078470164</t>
  </si>
  <si>
    <t>-573.492681271677 421.015906380682 199.238223141281</t>
  </si>
  <si>
    <t>-599.681258607658 372.791656537337 665.963768782462</t>
  </si>
  <si>
    <t>-470.167247844616 286.476731122301 747.935529753134</t>
  </si>
  <si>
    <t>-657.248586014365 273.915848603582 -240.352864999251</t>
  </si>
  <si>
    <t>-503.246436010719 190.869947498158 180.413622362176</t>
  </si>
  <si>
    <t>-663.076312412288 355.981206011628 590.060970766557</t>
  </si>
  <si>
    <t>-620.107422309342 219.644986516007 692.577475436365</t>
  </si>
  <si>
    <t>9763-20170724T170000.301296800.bin</t>
  </si>
  <si>
    <t>-601.319779939498 352.509988665064 -248.531354247507</t>
  </si>
  <si>
    <t>-618.268132417445 353.766463812844 -368.443853924349</t>
  </si>
  <si>
    <t>-618.467666374287 346.029368684306 -489.401006639309</t>
  </si>
  <si>
    <t>-611.785817947697 335.329953520346 -598.193206777732</t>
  </si>
  <si>
    <t>-598.366300163956 321.007221170946 -705.941240497648</t>
  </si>
  <si>
    <t>-572.746871571284 297.348477576187 -854.210860229082</t>
  </si>
  <si>
    <t>-544.45590115504 258.859621120575 -944.217652131162</t>
  </si>
  <si>
    <t>-564.787570297482 333.076604852963 -789.302837119684</t>
  </si>
  <si>
    <t>-467.362965878876 440.939187223812 -766.998505232529</t>
  </si>
  <si>
    <t>-485.868885127651 534.151964341064 -465.079543325696</t>
  </si>
  <si>
    <t>-335.640458445518 365.718597707286 -335.836819073567</t>
  </si>
  <si>
    <t>-603.377772129366 282.556816379323 -787.90955650652</t>
  </si>
  <si>
    <t>-704.272280923971 177.455125225722 -767.940219128727</t>
  </si>
  <si>
    <t>-770.780508450739 195.862556060238 -459.032434382069</t>
  </si>
  <si>
    <t>-550.8953300436 68.2768911151416 -404.128219008074</t>
  </si>
  <si>
    <t>-543.716083214029 430.423671522741 -255.61449463713</t>
  </si>
  <si>
    <t>-572.729990681063 419.858325962112 199.032918140534</t>
  </si>
  <si>
    <t>-599.55138274734 372.682250023343 665.786212582143</t>
  </si>
  <si>
    <t>-469.931570183382 286.714824154745 747.955637576718</t>
  </si>
  <si>
    <t>-658.962026399226 273.971848656733 -240.71496887055</t>
  </si>
  <si>
    <t>-513.176145910285 192.35353046378 183.245581715261</t>
  </si>
  <si>
    <t>-684.796141053133 387.397966103083 575.167510222492</t>
  </si>
  <si>
    <t>-644.963227077632 256.776597804697 686.049920246097</t>
  </si>
  <si>
    <t>9763-20170724T170000.366973100.bin</t>
  </si>
  <si>
    <t>-603.355852065708 353.092618092377 -249.275696151467</t>
  </si>
  <si>
    <t>-619.638436734169 354.142530006727 -369.282291240995</t>
  </si>
  <si>
    <t>-620.143710079886 346.862047529365 -490.267031803256</t>
  </si>
  <si>
    <t>-614.130735264006 336.834508016163 -599.162102668585</t>
  </si>
  <si>
    <t>-601.763205108296 323.437280764744 -707.154750649196</t>
  </si>
  <si>
    <t>-577.994293402697 301.320776308857 -855.969776923364</t>
  </si>
  <si>
    <t>-551.166079943084 263.515903529712 -946.711162236979</t>
  </si>
  <si>
    <t>-568.616616603134 335.901631651308 -790.631115462169</t>
  </si>
  <si>
    <t>-468.172447276692 440.729886353266 -767.32982121004</t>
  </si>
  <si>
    <t>-482.0814221178 532.482917687463 -464.717605096987</t>
  </si>
  <si>
    <t>-331.990419967964 361.824219639767 -338.264773907191</t>
  </si>
  <si>
    <t>-608.406006142392 286.311581565796 -789.616328895808</t>
  </si>
  <si>
    <t>-712.026522262649 183.729056850896 -770.492207733131</t>
  </si>
  <si>
    <t>-778.21709239864 201.629804544203 -461.486508173161</t>
  </si>
  <si>
    <t>-559.001373316783 72.7732387373585 -406.874258323789</t>
  </si>
  <si>
    <t>-543.40216234506 430.053971459037 -256.424666982614</t>
  </si>
  <si>
    <t>-570.344691715208 417.688518684938 198.304824156893</t>
  </si>
  <si>
    <t>-598.7650652483 372.750918205384 665.000827711456</t>
  </si>
  <si>
    <t>-469.185079792331 287.447804260366 747.921982090376</t>
  </si>
  <si>
    <t>-663.483083397825 276.314423695296 -241.266321294625</t>
  </si>
  <si>
    <t>-540.95393785489 198.556273655425 190.703436140405</t>
  </si>
  <si>
    <t>-721.719632593684 454.682260478792 541.462687538431</t>
  </si>
  <si>
    <t>-686.050741275207 340.006904468079 669.995867131243</t>
  </si>
  <si>
    <t>9763-20170724T170000.398055300.bin</t>
  </si>
  <si>
    <t>-604.540125721707 354.535449309728 -249.71586516108</t>
  </si>
  <si>
    <t>-620.507150908399 355.468307102772 -369.765817305392</t>
  </si>
  <si>
    <t>-621.168407350776 348.419620270675 -490.763472915191</t>
  </si>
  <si>
    <t>-615.481225887668 338.749191956916 -599.708293342628</t>
  </si>
  <si>
    <t>-603.616057595373 325.861662348299 -707.819355550156</t>
  </si>
  <si>
    <t>-580.721029981498 304.615160265294 -856.89791535328</t>
  </si>
  <si>
    <t>-554.536900739792 267.303637971105 -948.030814554578</t>
  </si>
  <si>
    <t>-570.698848181845 338.603889453352 -791.344460954622</t>
  </si>
  <si>
    <t>-469.007118565252 442.093557113188 -767.52943579207</t>
  </si>
  <si>
    <t>-480.754016464959 532.612234770598 -464.454238907148</t>
  </si>
  <si>
    <t>-330.284033887426 361.002070674458 -339.751198079998</t>
  </si>
  <si>
    <t>-611.003883781964 289.428248168168 -790.525937786483</t>
  </si>
  <si>
    <t>-715.733086063214 187.911869336548 -771.783992860076</t>
  </si>
  <si>
    <t>-782.03120715647 204.717100529809 -462.739727272605</t>
  </si>
  <si>
    <t>-562.735338958957 76.0740383946593 -407.946109331133</t>
  </si>
  <si>
    <t>-543.192744349387 430.570784124822 -256.880299116163</t>
  </si>
  <si>
    <t>-569.028066154995 417.450301597979 197.892286319721</t>
  </si>
  <si>
    <t>-598.253384581634 373.04186840037 664.618419877159</t>
  </si>
  <si>
    <t>-468.815993555472 287.822946570878 747.848242712097</t>
  </si>
  <si>
    <t>-666.326353594542 278.806098865214 -241.434711467206</t>
  </si>
  <si>
    <t>-557.786398547439 204.007175122279 194.778335607621</t>
  </si>
  <si>
    <t>-735.081070243587 486.104348066948 526.969007037786</t>
  </si>
  <si>
    <t>-703.25595276479 378.877628250685 662.737481770997</t>
  </si>
  <si>
    <t>9763-20170724T170000.463233400.bin</t>
  </si>
  <si>
    <t>-608.676822058505 358.903004498103 -250.172407545321</t>
  </si>
  <si>
    <t>-624.058839822296 359.563864253395 -370.300428516282</t>
  </si>
  <si>
    <t>-624.946414817002 352.886216542694 -491.317683233336</t>
  </si>
  <si>
    <t>-619.771905345308 343.845232583423 -600.342183675895</t>
  </si>
  <si>
    <t>-608.706981907423 331.904132586946 -708.646565619186</t>
  </si>
  <si>
    <t>-587.204363412298 312.321469354137 -858.159629330917</t>
  </si>
  <si>
    <t>-561.968515209718 276.080163730757 -949.989405248794</t>
  </si>
  <si>
    <t>-576.13727525522 345.218667725348 -792.218706746204</t>
  </si>
  <si>
    <t>-472.465106959985 446.520570723768 -767.464873463349</t>
  </si>
  <si>
    <t>-481.123557819547 533.501627166108 -463.251856417947</t>
  </si>
  <si>
    <t>-329.045237867694 360.677427146563 -342.230915683915</t>
  </si>
  <si>
    <t>-617.299913018694 296.753770306068 -791.790765483114</t>
  </si>
  <si>
    <t>-723.661410341175 196.833755908376 -773.662675853745</t>
  </si>
  <si>
    <t>-789.43761372223 212.423123132952 -464.44312050919</t>
  </si>
  <si>
    <t>-569.625164886775 84.9801862320151 -408.919900889649</t>
  </si>
  <si>
    <t>-544.307332164459 432.288979228684 -257.673443142806</t>
  </si>
  <si>
    <t>-567.303060836842 417.796507445049 197.209842749494</t>
  </si>
  <si>
    <t>-597.455082509898 373.451055069369 663.908226612032</t>
  </si>
  <si>
    <t>-468.593529991113 287.970165465187 747.760716393243</t>
  </si>
  <si>
    <t>-673.578388721846 285.445112670946 -241.991979040725</t>
  </si>
  <si>
    <t>-593.900081684759 222.370494068032 202.227056999159</t>
  </si>
  <si>
    <t>-754.950465241748 537.712667456673 512.504305210429</t>
  </si>
  <si>
    <t>-724.355992347087 441.483779783205 656.544312710568</t>
  </si>
  <si>
    <t>9763-20170724T170000.501342100.bin</t>
  </si>
  <si>
    <t>-611.975306804545 361.857989637909 -250.481902843748</t>
  </si>
  <si>
    <t>-627.132092822425 362.34767888504 -370.639395544958</t>
  </si>
  <si>
    <t>-628.057243024883 355.697871489226 -491.657971833172</t>
  </si>
  <si>
    <t>-623.011202135774 346.786908079803 -600.699240165013</t>
  </si>
  <si>
    <t>-612.158817834574 335.09697652427 -709.052299133798</t>
  </si>
  <si>
    <t>-591.030252035626 316.003140957051 -858.68200851607</t>
  </si>
  <si>
    <t>-566.024739263628 280.194031503068 -950.743987383751</t>
  </si>
  <si>
    <t>-579.606613778437 348.521012684017 -792.613794997654</t>
  </si>
  <si>
    <t>-475.219002795548 449.000773094292 -767.575199213521</t>
  </si>
  <si>
    <t>-482.970918293604 534.24834891255 -462.847543394136</t>
  </si>
  <si>
    <t>-329.990744773651 360.962873822466 -343.636564532893</t>
  </si>
  <si>
    <t>-621.151357440516 300.382131787796 -792.33721921687</t>
  </si>
  <si>
    <t>-728.260487158441 201.234098843511 -774.360442373147</t>
  </si>
  <si>
    <t>-793.331617615472 216.389602136355 -464.97031671715</t>
  </si>
  <si>
    <t>-573.092764996505 89.5406383515631 -409.777551271933</t>
  </si>
  <si>
    <t>-546.091113794357 433.642672452833 -258.219266744663</t>
  </si>
  <si>
    <t>-566.860494521019 418.236954365448 196.741085947248</t>
  </si>
  <si>
    <t>-596.953179733746 373.348675335007 663.346809330272</t>
  </si>
  <si>
    <t>-468.721462715986 287.479850365598 747.766486501183</t>
  </si>
  <si>
    <t>-678.454213998819 289.64961639163 -242.457934134215</t>
  </si>
  <si>
    <t>-613.229724063678 235.526719453169 205.285484626006</t>
  </si>
  <si>
    <t>-760.750536180358 556.539432469577 516.46369027234</t>
  </si>
  <si>
    <t>-726.124252618977 460.38541504227 659.638172468718</t>
  </si>
  <si>
    <t>9763-20170724T170000.562513000.bin</t>
  </si>
  <si>
    <t>-622.155147669949 370.210332902336 -251.555447941107</t>
  </si>
  <si>
    <t>-636.629413081214 370.578870470286 -371.79748840778</t>
  </si>
  <si>
    <t>-637.365529305619 363.629156071657 -492.80056469999</t>
  </si>
  <si>
    <t>-632.316658205123 354.439408073957 -601.818509542127</t>
  </si>
  <si>
    <t>-621.60436006971 342.508461787428 -710.159445859216</t>
  </si>
  <si>
    <t>-600.798449874031 323.157662550764 -859.801175645663</t>
  </si>
  <si>
    <t>-576.012893432882 287.759475249983 -952.081272136839</t>
  </si>
  <si>
    <t>-588.833476446143 355.439364308836 -793.713001195692</t>
  </si>
  <si>
    <t>-483.02261875558 454.411608735619 -768.511761062964</t>
  </si>
  <si>
    <t>-489.612726352853 537.253776242144 -463.094106175474</t>
  </si>
  <si>
    <t>-335.718886853416 362.905233916434 -346.641231856816</t>
  </si>
  <si>
    <t>-631.175406501501 308.000110536783 -793.465602426981</t>
  </si>
  <si>
    <t>-739.663743395633 210.46447169015 -775.053704699388</t>
  </si>
  <si>
    <t>-802.377858969405 226.144525346318 -465.203308867162</t>
  </si>
  <si>
    <t>-581.39968056326 100.021329874767 -411.317936810392</t>
  </si>
  <si>
    <t>-552.420347389751 438.545969429486 -259.444817499403</t>
  </si>
  <si>
    <t>-567.274807125478 419.137741561467 195.594050275317</t>
  </si>
  <si>
    <t>-595.714556122218 373.57291032474 662.320452683231</t>
  </si>
  <si>
    <t>-469.386840055971 286.004688811561 747.857805663052</t>
  </si>
  <si>
    <t>-692.258389322728 301.377185938816 -244.069059400903</t>
  </si>
  <si>
    <t>-654.515047969949 271.538239034813 209.078529016477</t>
  </si>
  <si>
    <t>-766.869813905602 576.93310857043 548.510213396627</t>
  </si>
  <si>
    <t>-739.790474779754 464.029667677231 680.657960210446</t>
  </si>
  <si>
    <t>9763-20170724T170000.595599800.bin</t>
  </si>
  <si>
    <t>-628.247735577885 376.480400228661 -252.398054034089</t>
  </si>
  <si>
    <t>-642.315509943248 376.888410209184 -372.688250826801</t>
  </si>
  <si>
    <t>-642.885851958119 369.582906633254 -493.671206538741</t>
  </si>
  <si>
    <t>-637.765427440436 359.944183483561 -602.646969161006</t>
  </si>
  <si>
    <t>-627.045871248649 347.460095343715 -710.924805767074</t>
  </si>
  <si>
    <t>-606.285733506336 327.252086964888 -860.459582603924</t>
  </si>
  <si>
    <t>-581.545602499451 291.703904109646 -952.694354675411</t>
  </si>
  <si>
    <t>-594.065559215988 359.700959841654 -794.500112077736</t>
  </si>
  <si>
    <t>-487.509282111695 457.977750047757 -769.612172260884</t>
  </si>
  <si>
    <t>-493.822110736651 540.097655575743 -463.993650129938</t>
  </si>
  <si>
    <t>-340.140639922009 365.20861483976 -348.071808297433</t>
  </si>
  <si>
    <t>-636.877313995064 312.686183462446 -794.090144833691</t>
  </si>
  <si>
    <t>-746.207813061518 216.218642616386 -775.196433082426</t>
  </si>
  <si>
    <t>-807.692715284218 232.542507477062 -465.132852783679</t>
  </si>
  <si>
    <t>-586.331270049586 106.655661296292 -412.277814098505</t>
  </si>
  <si>
    <t>-556.47505502884 442.833343726425 -259.993170161759</t>
  </si>
  <si>
    <t>-568.225306714961 420.299511454453 194.992394447974</t>
  </si>
  <si>
    <t>-595.098924032999 374.188389570404 661.959822606139</t>
  </si>
  <si>
    <t>-469.919684808239 285.307210611366 747.830633262955</t>
  </si>
  <si>
    <t>-699.647494203226 309.94853416382 -244.660218372161</t>
  </si>
  <si>
    <t>-675.786937846243 294.09890006397 210.133237415364</t>
  </si>
  <si>
    <t>-774.543693316094 584.634449732323 566.335835651372</t>
  </si>
  <si>
    <t>-755.72833442493 460.250592074899 689.291609375035</t>
  </si>
  <si>
    <t>9763-20170724T170000.661500400.bin</t>
  </si>
  <si>
    <t>-643.129080554984 393.49854965983 -254.666149451184</t>
  </si>
  <si>
    <t>-655.091338589704 394.642288437119 -375.179223710707</t>
  </si>
  <si>
    <t>-654.520598413464 386.523134137572 -496.110223950769</t>
  </si>
  <si>
    <t>-648.711693462478 375.571830015675 -604.927473601134</t>
  </si>
  <si>
    <t>-637.612114957978 361.236191048302 -712.937334689998</t>
  </si>
  <si>
    <t>-616.617390772164 337.925085858176 -861.986939919913</t>
  </si>
  <si>
    <t>-592.051240626164 301.160447509172 -953.790435895882</t>
  </si>
  <si>
    <t>-603.894511906954 371.175736165399 -796.523765088088</t>
  </si>
  <si>
    <t>-495.288946577968 467.468267201134 -772.804562883518</t>
  </si>
  <si>
    <t>-502.276746552417 549.833269765709 -467.266794773158</t>
  </si>
  <si>
    <t>-350.98676736853 373.555951633243 -350.306740169713</t>
  </si>
  <si>
    <t>-647.919320194705 325.303284764984 -795.550581835834</t>
  </si>
  <si>
    <t>-759.557373330973 231.816248847769 -775.125522255347</t>
  </si>
  <si>
    <t>-818.166150485558 250.365291912587 -464.630537201095</t>
  </si>
  <si>
    <t>-596.690461150425 123.950794700842 -413.542756869891</t>
  </si>
  <si>
    <t>-567.445400424201 455.873751238392 -260.718085409726</t>
  </si>
  <si>
    <t>-575.245048910848 426.424301141876 193.95706993205</t>
  </si>
  <si>
    <t>-592.971511405171 377.11781286955 661.124885389326</t>
  </si>
  <si>
    <t>-471.69624799699 283.545649629074 747.612356207812</t>
  </si>
  <si>
    <t>-718.294718809197 331.456013646961 -247.527610264179</t>
  </si>
  <si>
    <t>-711.98273257848 345.261378676974 207.914203655467</t>
  </si>
  <si>
    <t>-790.43741905939 593.007166305158 599.778258787056</t>
  </si>
  <si>
    <t>-782.473596545831 448.114834528549 699.208136854612</t>
  </si>
  <si>
    <t>9763-20170724T170000.703127900.bin</t>
  </si>
  <si>
    <t>-652.042683865183 404.732926775161 -255.679699953406</t>
  </si>
  <si>
    <t>-662.137786738743 406.076854661744 -376.361504494239</t>
  </si>
  <si>
    <t>-660.626052944696 397.374560622698 -497.243950018566</t>
  </si>
  <si>
    <t>-654.32275792302 385.582125031232 -605.94565652372</t>
  </si>
  <si>
    <t>-643.069506624335 370.095122271664 -713.78054226718</t>
  </si>
  <si>
    <t>-622.202532719587 344.863900515761 -862.535302255551</t>
  </si>
  <si>
    <t>-597.917816678441 307.217213820438 -954.055493931164</t>
  </si>
  <si>
    <t>-609.056918094419 378.601593025845 -797.405585523247</t>
  </si>
  <si>
    <t>-498.87595217037 473.416254401043 -774.858010714879</t>
  </si>
  <si>
    <t>-506.711433545759 556.901712191076 -469.644932080363</t>
  </si>
  <si>
    <t>-357.857544548517 379.625933633111 -351.078904993055</t>
  </si>
  <si>
    <t>-653.814132366896 333.454195137989 -796.026199768193</t>
  </si>
  <si>
    <t>-766.949955445141 241.977026047307 -774.922085686422</t>
  </si>
  <si>
    <t>-824.211286232617 261.915656027371 -464.261789412425</t>
  </si>
  <si>
    <t>-603.199914105319 134.416989870474 -413.862205424903</t>
  </si>
  <si>
    <t>-574.669095827502 465.624925291644 -260.516293359246</t>
  </si>
  <si>
    <t>-580.828832020294 432.059341575143 193.898789646835</t>
  </si>
  <si>
    <t>-591.941186207755 379.095218428949 661.059968519959</t>
  </si>
  <si>
    <t>-472.298075269423 283.224375299319 747.302685567577</t>
  </si>
  <si>
    <t>-729.166438545411 344.353485782271 -249.314358821586</t>
  </si>
  <si>
    <t>-727.149536533087 369.324511851926 205.691196355221</t>
  </si>
  <si>
    <t>-796.545538998966 592.752978467126 613.205894018064</t>
  </si>
  <si>
    <t>-790.530933165745 441.410751526784 702.664442823428</t>
  </si>
  <si>
    <t>9763-20170724T170000.763587600.bin</t>
  </si>
  <si>
    <t>-673.66981157412 431.545107869723 -256.163053658662</t>
  </si>
  <si>
    <t>-679.231266241113 433.740782037556 -377.126089375777</t>
  </si>
  <si>
    <t>-675.572451457385 423.718988551802 -497.860256006234</t>
  </si>
  <si>
    <t>-668.26744732817 409.824751579298 -606.250465422516</t>
  </si>
  <si>
    <t>-656.926922900122 391.313238545235 -713.598416711386</t>
  </si>
  <si>
    <t>-636.870231333737 360.900912206501 -861.493029406025</t>
  </si>
  <si>
    <t>-613.763885125945 320.867483366016 -952.302630122563</t>
  </si>
  <si>
    <t>-622.524552968248 396.03597943446 -797.363170616329</t>
  </si>
  <si>
    <t>-509.023952026223 487.287785253784 -777.464301148292</t>
  </si>
  <si>
    <t>-517.037615632016 577.334416505659 -474.126823811193</t>
  </si>
  <si>
    <t>-375.437768443872 397.252650087258 -350.992293814211</t>
  </si>
  <si>
    <t>-668.964849088243 352.678843432917 -794.745278107486</t>
  </si>
  <si>
    <t>-785.163543313575 265.701631243757 -770.913000326253</t>
  </si>
  <si>
    <t>-841.058126612651 291.055182175847 -460.398563216717</t>
  </si>
  <si>
    <t>-622.399497259423 159.247887948589 -410.827643969692</t>
  </si>
  <si>
    <t>-594.394760527089 489.613263209331 -258.052097998888</t>
  </si>
  <si>
    <t>-591.615174286739 445.291702381294 195.473632219803</t>
  </si>
  <si>
    <t>-590.252771144158 383.378732655987 661.554988075492</t>
  </si>
  <si>
    <t>-472.675967491206 283.692060235864 746.3002410741</t>
  </si>
  <si>
    <t>-752.279610413231 373.349936620655 -253.272719651955</t>
  </si>
  <si>
    <t>-753.397649859151 410.053081802706 200.940056022024</t>
  </si>
  <si>
    <t>-804.787788588089 596.073718301661 629.675648311922</t>
  </si>
  <si>
    <t>-800.5428634343 438.064471337309 706.867401481138</t>
  </si>
  <si>
    <t>9763-20170724T170000.797675800.bin</t>
  </si>
  <si>
    <t>-685.322863407083 444.755291050447 -256.832092427362</t>
  </si>
  <si>
    <t>-687.924643836995 448.240631908445 -377.864785366257</t>
  </si>
  <si>
    <t>-682.940993400197 437.928707272438 -498.527099622761</t>
  </si>
  <si>
    <t>-675.096246730742 423.102641347133 -606.755929467093</t>
  </si>
  <si>
    <t>-663.868845086709 402.972366057508 -713.824112047173</t>
  </si>
  <si>
    <t>-644.644754529607 369.580389603748 -861.185470095834</t>
  </si>
  <si>
    <t>-622.297698480764 328.177079932537 -951.570142398382</t>
  </si>
  <si>
    <t>-629.53561481759 405.572760904499 -797.709846674933</t>
  </si>
  <si>
    <t>-514.226822504368 495.106527761612 -779.606900107467</t>
  </si>
  <si>
    <t>-520.391469752806 588.439754279791 -477.221149396949</t>
  </si>
  <si>
    <t>-383.439728212741 406.929309394018 -350.966508193552</t>
  </si>
  <si>
    <t>-676.766089540589 363.137590706499 -794.255529980908</t>
  </si>
  <si>
    <t>-794.277761368666 278.531050730174 -768.953555931594</t>
  </si>
  <si>
    <t>-849.257116197306 307.201894649706 -458.564177546043</t>
  </si>
  <si>
    <t>-632.494773804313 172.278785144861 -409.047645076124</t>
  </si>
  <si>
    <t>-605.536316897261 502.306291843124 -256.3638899143</t>
  </si>
  <si>
    <t>-596.161417813991 450.685022904569 196.30044097991</t>
  </si>
  <si>
    <t>-589.681480778166 385.182907065783 661.979866896259</t>
  </si>
  <si>
    <t>-471.908662191161 284.786118801274 745.607476955579</t>
  </si>
  <si>
    <t>-765.920608924054 387.948169643205 -255.843606632737</t>
  </si>
  <si>
    <t>-763.0588339942 422.554933907935 198.526132789003</t>
  </si>
  <si>
    <t>-805.424529527682 595.306630958241 633.40348620102</t>
  </si>
  <si>
    <t>-800.610320705945 436.613036222289 709.14430616544</t>
  </si>
  <si>
    <t>9763-20170724T170000.864587000.bin</t>
  </si>
  <si>
    <t>-706.324350072801 468.51693733419 -255.872293528234</t>
  </si>
  <si>
    <t>-704.839334199682 473.549865321811 -376.869308621383</t>
  </si>
  <si>
    <t>-698.276961750865 462.273611730643 -497.369710984764</t>
  </si>
  <si>
    <t>-690.048932977872 445.518093222525 -605.288213318628</t>
  </si>
  <si>
    <t>-679.496494050083 422.381012447414 -711.816012849273</t>
  </si>
  <si>
    <t>-662.326948269242 383.669957772471 -858.126081801668</t>
  </si>
  <si>
    <t>-641.542756796407 339.871998746488 -947.751591102128</t>
  </si>
  <si>
    <t>-645.69261651161 421.222401825501 -795.948620494027</t>
  </si>
  <si>
    <t>-527.330145476816 507.292421740271 -782.043604794877</t>
  </si>
  <si>
    <t>-527.997407508525 610.76109513137 -482.911573593671</t>
  </si>
  <si>
    <t>-400.358128529162 425.770079180317 -352.035345449579</t>
  </si>
  <si>
    <t>-694.155225838885 380.374527947448 -790.828091243836</t>
  </si>
  <si>
    <t>-813.882017766774 299.759869551707 -762.609053163155</t>
  </si>
  <si>
    <t>-866.966576729563 338.182840581982 -452.944990846458</t>
  </si>
  <si>
    <t>-654.717989008549 196.379652843106 -403.100823819748</t>
  </si>
  <si>
    <t>-627.335553287156 525.629000779412 -252.033620029955</t>
  </si>
  <si>
    <t>-600.477145859304 458.776648803336 197.929789915852</t>
  </si>
  <si>
    <t>-589.042971373898 387.443778390833 662.425557934953</t>
  </si>
  <si>
    <t>-469.23414889917 287.815107660635 744.055890094108</t>
  </si>
  <si>
    <t>-784.378533910302 411.219772453731 -259.989577360522</t>
  </si>
  <si>
    <t>-779.059520940431 446.90551119894 194.274618801088</t>
  </si>
  <si>
    <t>-806.74652207182 597.199380210327 636.873647716101</t>
  </si>
  <si>
    <t>-799.512248770668 438.006824067516 711.364549186983</t>
  </si>
  <si>
    <t>9763-20170724T170000.902697100.bin</t>
  </si>
  <si>
    <t>-714.076815207851 478.040531299329 -256.133116777113</t>
  </si>
  <si>
    <t>-710.569792169303 483.680396478794 -377.061654226642</t>
  </si>
  <si>
    <t>-703.229068845491 471.845915616824 -497.463464235626</t>
  </si>
  <si>
    <t>-694.811012243705 454.105154985919 -605.209751151098</t>
  </si>
  <si>
    <t>-684.586397616995 429.502066405179 -711.440691096606</t>
  </si>
  <si>
    <t>-668.416345707079 388.253402310684 -857.170049224018</t>
  </si>
  <si>
    <t>-648.425010474757 343.26903006961 -946.387498186213</t>
  </si>
  <si>
    <t>-651.098954362829 426.583785458374 -795.65734901914</t>
  </si>
  <si>
    <t>-531.808061073708 511.602738764185 -783.361766101887</t>
  </si>
  <si>
    <t>-527.550993353061 619.770585863375 -485.926368772956</t>
  </si>
  <si>
    <t>-403.818251285799 433.32112958368 -353.378869983014</t>
  </si>
  <si>
    <t>-700.043132281682 386.425906649439 -789.721399815734</t>
  </si>
  <si>
    <t>-820.391426505938 307.378254356649 -759.660645733583</t>
  </si>
  <si>
    <t>-872.684880332132 350.669014575947 -450.504471929451</t>
  </si>
  <si>
    <t>-662.321001631714 206.158989445122 -400.444918896541</t>
  </si>
  <si>
    <t>-635.001136348782 534.286343461954 -250.420155882822</t>
  </si>
  <si>
    <t>-600.668210669676 462.237555539667 198.231167053744</t>
  </si>
  <si>
    <t>-588.471464742531 388.570099666524 662.424643111992</t>
  </si>
  <si>
    <t>-467.83205827127 289.275445658626 743.234407295485</t>
  </si>
  <si>
    <t>-792.67679026183 420.947703885226 -261.984241299735</t>
  </si>
  <si>
    <t>-786.271348258528 457.574107675772 192.190926964108</t>
  </si>
  <si>
    <t>-807.57109651185 597.09926901981 638.463493006705</t>
  </si>
  <si>
    <t>-798.392366769307 437.997151028218 712.933412836348</t>
  </si>
  <si>
    <t>9763-20170724T170000.967596300.bin</t>
  </si>
  <si>
    <t>-726.664359810025 491.708123951262 -251.600187287874</t>
  </si>
  <si>
    <t>-721.122262344306 497.908158366403 -372.42498471935</t>
  </si>
  <si>
    <t>-713.45870887265 485.418542516293 -492.740587090672</t>
  </si>
  <si>
    <t>-705.449100353572 466.585079379844 -600.332298061915</t>
  </si>
  <si>
    <t>-696.334839719613 440.389027171342 -706.28297537022</t>
  </si>
  <si>
    <t>-682.440966193035 396.408283439371 -851.447265081627</t>
  </si>
  <si>
    <t>-663.800996217838 349.815439647414 -940.130189344879</t>
  </si>
  <si>
    <t>-663.785717651672 435.439273402124 -790.772189559731</t>
  </si>
  <si>
    <t>-542.953792810616 518.657966968064 -781.299360433856</t>
  </si>
  <si>
    <t>-531.523432202338 632.113110208607 -486.030956288045</t>
  </si>
  <si>
    <t>-411.747423318383 444.598979398623 -351.367364367918</t>
  </si>
  <si>
    <t>-713.391459847454 396.297420875232 -783.661200361847</t>
  </si>
  <si>
    <t>-834.850403250077 320.0340514108 -751.065025403897</t>
  </si>
  <si>
    <t>-883.773819334488 370.272812550493 -442.408698132184</t>
  </si>
  <si>
    <t>-676.026633058619 222.362753561211 -391.361593443175</t>
  </si>
  <si>
    <t>-647.703551000924 546.003801758133 -245.126649293808</t>
  </si>
  <si>
    <t>-599.139746593294 468.186045362693 201.24047039305</t>
  </si>
  <si>
    <t>-586.697856591865 391.113548161142 664.730684548415</t>
  </si>
  <si>
    <t>-465.322831011901 291.812737709157 744.423587830715</t>
  </si>
  <si>
    <t>-806.258414381323 436.97129161363 -257.55265373012</t>
  </si>
  <si>
    <t>-799.225185675272 473.42187001018 196.627412820094</t>
  </si>
  <si>
    <t>-809.381637068951 596.213742070636 650.484802678056</t>
  </si>
  <si>
    <t>-794.848938628508 438.145761038218 726.292542736448</t>
  </si>
  <si>
    <t>9763-20170724T170000.998678100.bin</t>
  </si>
  <si>
    <t>-731.207838875577 498.554506761013 -245.001554914844</t>
  </si>
  <si>
    <t>-724.863390389614 504.818607166028 -365.78368231589</t>
  </si>
  <si>
    <t>-717.18157187477 492.150239483126 -486.079431273611</t>
  </si>
  <si>
    <t>-709.465681055637 473.051932019274 -593.645983086412</t>
  </si>
  <si>
    <t>-700.949040036774 446.486376452961 -699.554539576561</t>
  </si>
  <si>
    <t>-688.19655592749 401.883174604087 -844.633571991449</t>
  </si>
  <si>
    <t>-670.180886001295 354.714914913363 -933.140981428012</t>
  </si>
  <si>
    <t>-668.895893623861 440.972369840234 -784.198119490438</t>
  </si>
  <si>
    <t>-547.397188449569 523.326886301263 -775.712028631302</t>
  </si>
  <si>
    <t>-534.03147207765 638.030588511766 -481.007729630365</t>
  </si>
  <si>
    <t>-414.535347004818 450.767307526334 -345.74790305295</t>
  </si>
  <si>
    <t>-718.78237533249 402.265022009562 -776.682897234379</t>
  </si>
  <si>
    <t>-840.736614120758 327.201013970142 -743.176593279471</t>
  </si>
  <si>
    <t>-888.079735940935 379.772319543379 -434.662240162568</t>
  </si>
  <si>
    <t>-680.853392920007 231.195371207971 -383.435626644035</t>
  </si>
  <si>
    <t>-651.225142938136 552.826303282631 -238.785205450914</t>
  </si>
  <si>
    <t>-597.156371473768 471.796253525045 206.375798831338</t>
  </si>
  <si>
    <t>-583.621163193314 398.605095519036 669.810795448585</t>
  </si>
  <si>
    <t>-463.651023772934 297.013616157454 748.7400431749</t>
  </si>
  <si>
    <t>-811.257043297376 444.551848537124 -250.602264557116</t>
  </si>
  <si>
    <t>-803.813696544847 480.816363052888 203.58615758405</t>
  </si>
  <si>
    <t>-809.675408603035 596.187167082692 660.178031204261</t>
  </si>
  <si>
    <t>-793.913819971724 438.347770735167 736.216487940153</t>
  </si>
  <si>
    <t>9763-20170724T170001.063856200.bin</t>
  </si>
  <si>
    <t>-736.869837603467 513.277600670746 -235.847064837344</t>
  </si>
  <si>
    <t>-730.058996817125 519.431573975622 -356.60932305818</t>
  </si>
  <si>
    <t>-722.835920663194 506.495015067889 -476.904976614917</t>
  </si>
  <si>
    <t>-715.888838520626 487.082642683337 -584.467786981999</t>
  </si>
  <si>
    <t>-708.479019855054 460.130654995273 -690.361834514592</t>
  </si>
  <si>
    <t>-697.603615587008 414.913044525937 -835.403407987747</t>
  </si>
  <si>
    <t>-680.882459914341 367.185521372054 -923.865248780014</t>
  </si>
  <si>
    <t>-677.21092075432 453.878478161234 -775.247454833707</t>
  </si>
  <si>
    <t>-554.503981325839 534.505325155236 -767.910275888781</t>
  </si>
  <si>
    <t>-538.786396017068 650.770374698806 -473.934857301465</t>
  </si>
  <si>
    <t>-418.419094739206 464.071512722289 -338.66732349987</t>
  </si>
  <si>
    <t>-727.620387581338 415.962317344109 -767.20654982547</t>
  </si>
  <si>
    <t>-850.502674658765 342.952729594059 -732.502267962621</t>
  </si>
  <si>
    <t>-896.152346587839 397.969370833746 -424.159199935714</t>
  </si>
  <si>
    <t>-689.421909420536 248.635310243575 -373.13050801476</t>
  </si>
  <si>
    <t>-655.833836781791 567.166683266695 -228.039765933979</t>
  </si>
  <si>
    <t>-592.707612614108 483.1503046263 215.371951867967</t>
  </si>
  <si>
    <t>-573.9110590701 422.375487514904 681.12443319043</t>
  </si>
  <si>
    <t>-461.475445950255 311.204396903348 758.213434442754</t>
  </si>
  <si>
    <t>-818.367213867113 459.722636866378 -242.724236418996</t>
  </si>
  <si>
    <t>-810.19427646968 494.758105099247 211.54811350089</t>
  </si>
  <si>
    <t>-809.358932097957 596.684695739209 669.693548218749</t>
  </si>
  <si>
    <t>-793.00224990658 438.711994036532 745.328414726219</t>
  </si>
  <si>
    <t>9763-20170724T170001.096944700.bin</t>
  </si>
  <si>
    <t>-738.965560564665 519.515614085102 -233.19744692716</t>
  </si>
  <si>
    <t>-732.353306131381 525.872528634707 -353.960408277589</t>
  </si>
  <si>
    <t>-725.518033963013 513.006261752526 -474.286135122943</t>
  </si>
  <si>
    <t>-718.98496708514 493.602079742642 -581.876342491007</t>
  </si>
  <si>
    <t>-712.043500913287 466.603874405016 -687.790283786709</t>
  </si>
  <si>
    <t>-701.868170586162 421.266001199173 -832.845267569941</t>
  </si>
  <si>
    <t>-685.732039958883 373.463224822767 -921.374876554358</t>
  </si>
  <si>
    <t>-681.060057871088 460.126130150746 -772.763327455313</t>
  </si>
  <si>
    <t>-557.768721476833 539.922698587554 -765.722711349305</t>
  </si>
  <si>
    <t>-541.306049052538 656.169764390473 -471.780830704772</t>
  </si>
  <si>
    <t>-420.066279041942 470.021866696292 -336.532919325488</t>
  </si>
  <si>
    <t>-731.680816554851 422.527083483076 -764.562479161288</t>
  </si>
  <si>
    <t>-854.984466058085 350.490964947376 -729.420666245798</t>
  </si>
  <si>
    <t>-900.204639310634 405.451199366683 -421.004358148096</t>
  </si>
  <si>
    <t>-693.648308660346 255.731286712989 -370.403069715216</t>
  </si>
  <si>
    <t>-657.17743203715 572.759056721504 -225.213608379928</t>
  </si>
  <si>
    <t>-590.620235935438 488.196176636249 217.592087488212</t>
  </si>
  <si>
    <t>-568.621977781201 433.7581703009 683.932364816377</t>
  </si>
  <si>
    <t>-460.937970360817 317.565496755707 760.397696420646</t>
  </si>
  <si>
    <t>-821.117241863769 466.625533101185 -240.569296020657</t>
  </si>
  <si>
    <t>-812.728677446703 500.483106358714 213.788480570151</t>
  </si>
  <si>
    <t>-809.188005265668 596.887997778904 672.502729344104</t>
  </si>
  <si>
    <t>-792.653687400245 438.842381634009 747.946075105496</t>
  </si>
  <si>
    <t>9763-20170724T170001.166133400.bin</t>
  </si>
  <si>
    <t>-742.008660846682 531.328940385579 -231.564562787252</t>
  </si>
  <si>
    <t>-736.053354438565 537.722833247112 -352.359658811831</t>
  </si>
  <si>
    <t>-729.993914777788 524.75187428382 -472.715711331197</t>
  </si>
  <si>
    <t>-724.20771968643 505.195454427321 -580.321189534242</t>
  </si>
  <si>
    <t>-718.05644943501 477.988733539268 -686.230652949515</t>
  </si>
  <si>
    <t>-709.023119500215 432.304453282106 -831.252426312581</t>
  </si>
  <si>
    <t>-693.99939891427 384.304361245365 -919.871158942769</t>
  </si>
  <si>
    <t>-687.564224361357 471.084159037307 -771.347654724385</t>
  </si>
  <si>
    <t>-563.43178485775 549.62780776201 -764.799087650373</t>
  </si>
  <si>
    <t>-545.785480692998 665.019934420673 -470.589225365612</t>
  </si>
  <si>
    <t>-422.530681350356 479.813297466688 -335.871744360888</t>
  </si>
  <si>
    <t>-738.475862642278 433.95279691383 -762.821835893296</t>
  </si>
  <si>
    <t>-862.283192012279 363.162409102903 -726.99078125042</t>
  </si>
  <si>
    <t>-906.659668187202 417.905453428155 -418.413303112052</t>
  </si>
  <si>
    <t>-700.57351956263 267.060613224054 -369.25665645069</t>
  </si>
  <si>
    <t>-659.52431049984 584.278054691959 -224.080360148632</t>
  </si>
  <si>
    <t>-582.220475446748 494.774643252595 216.000294300162</t>
  </si>
  <si>
    <t>-559.378768312754 450.863776275481 683.39659713316</t>
  </si>
  <si>
    <t>-461.378313716414 326.6006690429 760.195579654098</t>
  </si>
  <si>
    <t>-824.317094073641 478.868750340164 -238.936297557243</t>
  </si>
  <si>
    <t>-816.84910458881 510.742936841107 215.580994076951</t>
  </si>
  <si>
    <t>-808.565318484542 597.025813974297 676.009703669636</t>
  </si>
  <si>
    <t>-792.213819941623 438.947566092264 751.424479033165</t>
  </si>
  <si>
    <t>9763-20170724T170001.200726900.bin</t>
  </si>
  <si>
    <t>-742.584311518681 537.2713282861 -231.910968272013</t>
  </si>
  <si>
    <t>-737.145641326132 543.817510814384 -352.722213672747</t>
  </si>
  <si>
    <t>-731.487419969182 530.840084385943 -473.097199839296</t>
  </si>
  <si>
    <t>-726.021128102688 511.215658297149 -580.706945011034</t>
  </si>
  <si>
    <t>-720.149782003483 483.881923861566 -686.599616704822</t>
  </si>
  <si>
    <t>-711.467037526161 437.961398726983 -831.568306492079</t>
  </si>
  <si>
    <t>-696.90275676904 389.845663675816 -920.200906605653</t>
  </si>
  <si>
    <t>-689.844734092091 476.814672796258 -771.770129679367</t>
  </si>
  <si>
    <t>-565.525512504218 555.050923867122 -765.481319572687</t>
  </si>
  <si>
    <t>-547.3226576591 669.996806857537 -471.130583198338</t>
  </si>
  <si>
    <t>-422.788769785454 485.089598818517 -337.180232760098</t>
  </si>
  <si>
    <t>-740.773004548348 439.745028341629 -763.078092517853</t>
  </si>
  <si>
    <t>-864.651263716097 369.197635942164 -726.96214393093</t>
  </si>
  <si>
    <t>-908.419660370477 423.961168419289 -418.301337962191</t>
  </si>
  <si>
    <t>-702.646094252518 272.243156263729 -370.541972399771</t>
  </si>
  <si>
    <t>-659.927641410746 589.963744494002 -224.959841104869</t>
  </si>
  <si>
    <t>-576.559953230334 496.72014881904 213.233127333609</t>
  </si>
  <si>
    <t>-556.351414334314 459.847984234525 681.355836990028</t>
  </si>
  <si>
    <t>-462.284220494229 332.466008108666 757.963555269176</t>
  </si>
  <si>
    <t>-824.743886058867 484.672283111325 -239.032393951979</t>
  </si>
  <si>
    <t>-818.538523372924 516.128256531623 215.532934165526</t>
  </si>
  <si>
    <t>-808.255546309778 597.002527307402 677.053184073693</t>
  </si>
  <si>
    <t>-791.837286849226 438.987389299951 752.586114426571</t>
  </si>
  <si>
    <t>9763-20170724T170001.264984000.bin</t>
  </si>
  <si>
    <t>-742.224979055946 548.736646717336 -233.568731310094</t>
  </si>
  <si>
    <t>-737.571482305679 555.679677195331 -354.3906358582</t>
  </si>
  <si>
    <t>-732.554080564601 542.598917212059 -474.782860099193</t>
  </si>
  <si>
    <t>-727.594072558672 522.68620336271 -582.364211283362</t>
  </si>
  <si>
    <t>-722.148892757993 494.877463025358 -688.155865221904</t>
  </si>
  <si>
    <t>-713.968681088198 448.111698223987 -832.883296016853</t>
  </si>
  <si>
    <t>-700.158345956843 399.645454861479 -921.445684366007</t>
  </si>
  <si>
    <t>-692.270445008378 487.476996140349 -773.448732775666</t>
  </si>
  <si>
    <t>-568.166125439739 566.145401825986 -767.937347492523</t>
  </si>
  <si>
    <t>-548.680422065139 680.014528795252 -473.250703493394</t>
  </si>
  <si>
    <t>-420.160221425846 496.336253599008 -341.391310930687</t>
  </si>
  <si>
    <t>-742.905902994275 450.131186963862 -764.243114752904</t>
  </si>
  <si>
    <t>-866.215811423572 379.07816937794 -727.230786109407</t>
  </si>
  <si>
    <t>-908.515553842461 435.567027974035 -418.676124415625</t>
  </si>
  <si>
    <t>-704.101313968712 281.482754100944 -372.688197559356</t>
  </si>
  <si>
    <t>-660.24683203139 601.360373961741 -227.225849506099</t>
  </si>
  <si>
    <t>-567.157801213568 504.9974912777 208.326972992806</t>
  </si>
  <si>
    <t>-564.040936463488 489.469908705754 677.713761364792</t>
  </si>
  <si>
    <t>-470.152433847154 361.489359671339 753.538582561616</t>
  </si>
  <si>
    <t>-824.389713919447 495.800377648512 -239.977431005857</t>
  </si>
  <si>
    <t>-820.548557198905 525.942109315376 214.70320277254</t>
  </si>
  <si>
    <t>-807.996264414487 596.882129179317 678.25076153814</t>
  </si>
  <si>
    <t>-790.912935133104 439.061970895253 754.043129721901</t>
  </si>
  <si>
    <t>9763-20170724T170001.297069300.bin</t>
  </si>
  <si>
    <t>-741.760854833148 554.353361293654 -234.560533554834</t>
  </si>
  <si>
    <t>-737.292121829041 561.142187407812 -355.398303208581</t>
  </si>
  <si>
    <t>-732.478076943985 547.719766049085 -475.76115229722</t>
  </si>
  <si>
    <t>-727.690353929457 527.428793103573 -583.279476444878</t>
  </si>
  <si>
    <t>-722.395585629415 499.17575543977 -688.961071043948</t>
  </si>
  <si>
    <t>-714.391556972996 451.729932120706 -833.476851767738</t>
  </si>
  <si>
    <t>-700.838724898045 402.998042470737 -921.933221071421</t>
  </si>
  <si>
    <t>-692.748744774683 491.53144397707 -774.313079409091</t>
  </si>
  <si>
    <t>-568.981113803875 570.782442175197 -769.3738825043</t>
  </si>
  <si>
    <t>-548.925460999948 684.137387155391 -474.527213446455</t>
  </si>
  <si>
    <t>-417.817043285215 501.343677912665 -343.993357078732</t>
  </si>
  <si>
    <t>-743.117493893972 453.91481727244 -764.753034074317</t>
  </si>
  <si>
    <t>-865.906432423616 382.288830464596 -727.100416354303</t>
  </si>
  <si>
    <t>-907.436653135836 440.487647574191 -418.759050006897</t>
  </si>
  <si>
    <t>-703.82843660119 285.063273891131 -373.714695213262</t>
  </si>
  <si>
    <t>-660.177676763192 607.555570945614 -228.007820994889</t>
  </si>
  <si>
    <t>-561.058991643064 512.075766018643 206.407634539363</t>
  </si>
  <si>
    <t>-569.148688616556 508.805712679591 675.748037919318</t>
  </si>
  <si>
    <t>-471.357675831992 384.945831163829 753.46012560484</t>
  </si>
  <si>
    <t>-823.774663584305 501.246976849203 -240.58566671254</t>
  </si>
  <si>
    <t>-820.865870622285 529.796944709384 214.20458624357</t>
  </si>
  <si>
    <t>-807.970258875641 596.811590808993 678.548826324412</t>
  </si>
  <si>
    <t>-790.823915159444 439.057666788488 754.464831651861</t>
  </si>
  <si>
    <t>9763-20170724T170001.364260500.bin</t>
  </si>
  <si>
    <t>-739.770980252981 564.237820965505 -236.204851334201</t>
  </si>
  <si>
    <t>-735.638429711443 570.181248561308 -357.098939418549</t>
  </si>
  <si>
    <t>-731.286400843234 555.867146184485 -477.376714694936</t>
  </si>
  <si>
    <t>-726.947190437115 534.759110354262 -584.756788219954</t>
  </si>
  <si>
    <t>-722.120886487356 505.68298827884 -690.237220005587</t>
  </si>
  <si>
    <t>-714.778680618437 457.090820044446 -834.407067056834</t>
  </si>
  <si>
    <t>-701.645101136711 407.927027120444 -922.687227011984</t>
  </si>
  <si>
    <t>-693.095560768576 497.637149943191 -775.766027811102</t>
  </si>
  <si>
    <t>-570.044408663056 578.133589892529 -772.23447250044</t>
  </si>
  <si>
    <t>-549.075154482822 691.902069421335 -477.61065034434</t>
  </si>
  <si>
    <t>-411.690380279054 511.921438221263 -349.647856001288</t>
  </si>
  <si>
    <t>-742.959135917857 459.545775171867 -765.466861970958</t>
  </si>
  <si>
    <t>-864.671115964696 386.911184769678 -726.395412609278</t>
  </si>
  <si>
    <t>-903.24527409312 448.719626232499 -418.37264789232</t>
  </si>
  <si>
    <t>-701.912790152736 289.451289095284 -376.648826157061</t>
  </si>
  <si>
    <t>-658.116422476813 618.160873403311 -229.919586076638</t>
  </si>
  <si>
    <t>-547.280078782121 530.97215308588 203.405987982839</t>
  </si>
  <si>
    <t>-574.49673899079 557.726959651411 671.595754572637</t>
  </si>
  <si>
    <t>-468.195902291957 444.068003293066 753.603635713336</t>
  </si>
  <si>
    <t>-821.440078871192 510.322835176916 -241.45676372461</t>
  </si>
  <si>
    <t>-820.416489627298 535.80446055157 213.523812388725</t>
  </si>
  <si>
    <t>-807.963221565887 596.742127658155 679.044216416053</t>
  </si>
  <si>
    <t>-790.940302995839 439.062220981205 755.140852454444</t>
  </si>
  <si>
    <t>9763-20170724T170001.395341900.bin</t>
  </si>
  <si>
    <t>-737.951668326825 568.313731802008 -237.046213278551</t>
  </si>
  <si>
    <t>-733.949368641118 573.777772191947 -357.967360397029</t>
  </si>
  <si>
    <t>-729.82571153538 559.039681488476 -478.201880351479</t>
  </si>
  <si>
    <t>-725.736597450304 537.573837556276 -585.52086133258</t>
  </si>
  <si>
    <t>-721.207693417622 508.164509555658 -690.922165081734</t>
  </si>
  <si>
    <t>-714.330775147556 459.13459077018 -834.966589360684</t>
  </si>
  <si>
    <t>-701.377403436641 409.789764062382 -923.172498773149</t>
  </si>
  <si>
    <t>-692.541655311486 499.95647722436 -776.556517952316</t>
  </si>
  <si>
    <t>-569.84153215466 580.990957499354 -773.749144032246</t>
  </si>
  <si>
    <t>-548.538147634638 695.421581269292 -479.405710075104</t>
  </si>
  <si>
    <t>-407.604724807329 517.415224304369 -352.545153679273</t>
  </si>
  <si>
    <t>-742.2055320281 461.701168248995 -765.906247076195</t>
  </si>
  <si>
    <t>-863.515365686941 388.790583971483 -726.060641394096</t>
  </si>
  <si>
    <t>-900.442540828732 451.762329792856 -418.071775995575</t>
  </si>
  <si>
    <t>-700.474455940709 290.318097677224 -378.189596445462</t>
  </si>
  <si>
    <t>-656.39680675363 622.885387226412 -231.078934387138</t>
  </si>
  <si>
    <t>-539.982599332794 543.334248112537 202.253576811616</t>
  </si>
  <si>
    <t>-573.252113012665 587.606193596358 668.801771341149</t>
  </si>
  <si>
    <t>-463.833546275672 477.901492021034 752.08437529175</t>
  </si>
  <si>
    <t>-819.10609184039 513.885448874132 -241.928788272206</t>
  </si>
  <si>
    <t>-819.570280574412 538.217380597272 213.115529863643</t>
  </si>
  <si>
    <t>-807.886308117087 596.704814952043 679.020057693953</t>
  </si>
  <si>
    <t>-790.754562728952 439.076449727169 755.199759792152</t>
  </si>
  <si>
    <t>9763-20170724T170001.463194900.bin</t>
  </si>
  <si>
    <t>-733.386206623054 576.342047840541 -238.672598050656</t>
  </si>
  <si>
    <t>-729.568029182274 580.268952270616 -359.659444192673</t>
  </si>
  <si>
    <t>-725.76201560964 564.510661231705 -479.775120728817</t>
  </si>
  <si>
    <t>-722.044138923597 542.334121917334 -586.962980657315</t>
  </si>
  <si>
    <t>-717.991376058437 512.420008685266 -692.241366622067</t>
  </si>
  <si>
    <t>-711.903508838048 462.894211243546 -836.151545793257</t>
  </si>
  <si>
    <t>-699.173678787087 413.326219781057 -924.264900590138</t>
  </si>
  <si>
    <t>-690.002358706591 504.156665643676 -778.094097321927</t>
  </si>
  <si>
    <t>-568.13487406706 586.422683882178 -776.42422264708</t>
  </si>
  <si>
    <t>-545.383681249639 702.111077636075 -482.681597926925</t>
  </si>
  <si>
    <t>-396.77717407701 528.904982003738 -357.950601304452</t>
  </si>
  <si>
    <t>-739.192085408881 465.458879046231 -766.857502671419</t>
  </si>
  <si>
    <t>-859.557806685889 391.559858466328 -725.912573593776</t>
  </si>
  <si>
    <t>-894.659260131431 456.206871521589 -418.057235157329</t>
  </si>
  <si>
    <t>-696.915661370554 291.237888547248 -381.659853374872</t>
  </si>
  <si>
    <t>-653.24399329776 632.499938671629 -233.811233754571</t>
  </si>
  <si>
    <t>-526.424674000882 575.843389361389 200.198629711811</t>
  </si>
  <si>
    <t>-563.867371562031 653.72928232522 662.097837928798</t>
  </si>
  <si>
    <t>-450.146397650556 549.599138264944 746.761681868541</t>
  </si>
  <si>
    <t>-813.481785156158 520.153213202413 -242.73210626116</t>
  </si>
  <si>
    <t>-817.180443710926 542.276167866311 212.410309184691</t>
  </si>
  <si>
    <t>-807.855859076529 596.611014766278 678.991433214047</t>
  </si>
  <si>
    <t>-790.965758706034 439.041838258766 755.347505783343</t>
  </si>
  <si>
    <t>9763-20170724T170001.496282700.bin</t>
  </si>
  <si>
    <t>-730.708336663949 580.443543690933 -239.467305143874</t>
  </si>
  <si>
    <t>-727.159794819605 583.678915003005 -360.482707041668</t>
  </si>
  <si>
    <t>-723.468826090573 567.491984297841 -480.54492379652</t>
  </si>
  <si>
    <t>-719.812821248242 545.036917862531 -587.6769047431</t>
  </si>
  <si>
    <t>-715.794426483003 514.95094316143 -692.907741783923</t>
  </si>
  <si>
    <t>-709.738249525881 465.293980624996 -836.774147075186</t>
  </si>
  <si>
    <t>-696.89119636254 415.732536352581 -924.874041501411</t>
  </si>
  <si>
    <t>-687.998470593593 506.806673612853 -778.834584863851</t>
  </si>
  <si>
    <t>-566.698743783504 589.898157497353 -777.506396918608</t>
  </si>
  <si>
    <t>-542.888502143463 706.043084346157 -484.027939257534</t>
  </si>
  <si>
    <t>-389.871503361491 535.606855594287 -360.823447297639</t>
  </si>
  <si>
    <t>-736.837392022964 467.724532839012 -767.400854728559</t>
  </si>
  <si>
    <t>-856.623144144231 392.993997068832 -726.252093917555</t>
  </si>
  <si>
    <t>-892.312906091258 458.418357671801 -418.629030030533</t>
  </si>
  <si>
    <t>-695.265812331781 292.114156741063 -384.608074983389</t>
  </si>
  <si>
    <t>-651.636645000139 638.10489968495 -235.109906345719</t>
  </si>
  <si>
    <t>-519.548203040681 595.715378992249 198.956220105148</t>
  </si>
  <si>
    <t>-555.931453699942 688.551346135368 658.19789614382</t>
  </si>
  <si>
    <t>-439.506932926585 587.185417510258 742.541121444377</t>
  </si>
  <si>
    <t>-809.891892309424 523.002550102496 -243.041466176387</t>
  </si>
  <si>
    <t>-815.521065871895 544.182157494207 212.125946334243</t>
  </si>
  <si>
    <t>-807.77270792822 596.55333956149 678.985636436295</t>
  </si>
  <si>
    <t>-791.051393168652 439.019543740356 755.451956323004</t>
  </si>
  <si>
    <t>9763-20170724T170001.565512400.bin</t>
  </si>
  <si>
    <t>-724.198046876899 589.681363843695 -241.373345799799</t>
  </si>
  <si>
    <t>-721.164472235164 591.221352870011 -362.4363350511</t>
  </si>
  <si>
    <t>-717.490560933669 574.184694635574 -482.381422025407</t>
  </si>
  <si>
    <t>-713.699122831108 551.30707517795 -589.419238554232</t>
  </si>
  <si>
    <t>-709.431172431251 521.13346966361 -694.615114831888</t>
  </si>
  <si>
    <t>-702.940040644932 471.693124263106 -838.537072617424</t>
  </si>
  <si>
    <t>-688.852416108918 422.636587914487 -926.729784670049</t>
  </si>
  <si>
    <t>-681.860163918117 513.651158196094 -780.674393607297</t>
  </si>
  <si>
    <t>-562.072752751589 598.914571570048 -779.343573028374</t>
  </si>
  <si>
    <t>-536.035609897169 714.509400178811 -485.837008565592</t>
  </si>
  <si>
    <t>-372.875942811777 549.946676963212 -367.768919494643</t>
  </si>
  <si>
    <t>-729.764173497707 473.486683801651 -769.03761313272</t>
  </si>
  <si>
    <t>-848.101038793252 396.511663512119 -727.843267787476</t>
  </si>
  <si>
    <t>-886.23428804115 464.139918803114 -420.990865818743</t>
  </si>
  <si>
    <t>-690.469688521544 295.1931088545 -393.14729468188</t>
  </si>
  <si>
    <t>-647.527443662227 650.824505579983 -238.16774724532</t>
  </si>
  <si>
    <t>-505.66961139848 641.626399019472 194.786506839852</t>
  </si>
  <si>
    <t>-536.706104872922 755.532394683267 649.661171480132</t>
  </si>
  <si>
    <t>-411.165280644095 664.041561028571 732.198697875909</t>
  </si>
  <si>
    <t>-800.93230844909 528.961431319307 -243.639780918581</t>
  </si>
  <si>
    <t>-810.68675929922 547.803003171212 211.560734332993</t>
  </si>
  <si>
    <t>-807.335024062789 596.414375854689 678.974880536353</t>
  </si>
  <si>
    <t>-791.117522458556 438.969164194416 755.731053615115</t>
  </si>
  <si>
    <t>9763-20170724T170001.595592000.bin</t>
  </si>
  <si>
    <t>-720.132732183274 595.009379783549 -242.443126286193</t>
  </si>
  <si>
    <t>-717.347224499382 595.476974458486 -363.520934592963</t>
  </si>
  <si>
    <t>-713.637332977104 577.969656606064 -483.397019828536</t>
  </si>
  <si>
    <t>-709.730614653957 554.908788453403 -590.391383261181</t>
  </si>
  <si>
    <t>-705.287528638544 524.785824344903 -695.594615479662</t>
  </si>
  <si>
    <t>-698.509771594042 475.65158979978 -839.608103285463</t>
  </si>
  <si>
    <t>-683.226718059855 427.159908354689 -927.914167631909</t>
  </si>
  <si>
    <t>-677.839593187965 517.798366425946 -781.734982939208</t>
  </si>
  <si>
    <t>-558.948969038491 604.281884888741 -780.278475798376</t>
  </si>
  <si>
    <t>-531.855390901767 718.965762840986 -486.510335887251</t>
  </si>
  <si>
    <t>-362.747241317524 558.016572764388 -371.881426163381</t>
  </si>
  <si>
    <t>-725.177826833538 476.985655620475 -770.038368632314</t>
  </si>
  <si>
    <t>-842.650317939417 398.677825451262 -728.851219964859</t>
  </si>
  <si>
    <t>-882.487327931922 466.372735396803 -422.229992182769</t>
  </si>
  <si>
    <t>-687.335054367033 295.987936105633 -399.28082310937</t>
  </si>
  <si>
    <t>-645.062758779057 657.949711062478 -240.015494493892</t>
  </si>
  <si>
    <t>-500.297702883182 667.033504962832 191.977777981924</t>
  </si>
  <si>
    <t>-526.460564832075 786.741343716627 645.611444540357</t>
  </si>
  <si>
    <t>-395.44883900299 702.353417374953 727.208849184871</t>
  </si>
  <si>
    <t>-795.317032569403 532.216525800452 -243.925842007348</t>
  </si>
  <si>
    <t>-807.080384405922 549.400438615727 211.292845198883</t>
  </si>
  <si>
    <t>-807.006893216308 596.3130508061 678.970821463643</t>
  </si>
  <si>
    <t>-791.25290087134 438.920686931548 755.93134436955</t>
  </si>
  <si>
    <t>9763-20170724T170001.663301900.bin</t>
  </si>
  <si>
    <t>-710.858981813371 607.700187588895 -243.688257053085</t>
  </si>
  <si>
    <t>-707.480052983679 605.567263492407 -364.733091059048</t>
  </si>
  <si>
    <t>-703.116655013815 587.003279432839 -484.428075746933</t>
  </si>
  <si>
    <t>-698.650940580113 563.602934146038 -591.326775989272</t>
  </si>
  <si>
    <t>-693.720897610435 533.734569392323 -696.580851964184</t>
  </si>
  <si>
    <t>-686.374680620368 485.550020666212 -840.887125383527</t>
  </si>
  <si>
    <t>-667.866046311834 439.064048962006 -929.653474066596</t>
  </si>
  <si>
    <t>-666.693951678022 528.083711939747 -782.951855769806</t>
  </si>
  <si>
    <t>-550.256776054757 617.848683606626 -781.72932382051</t>
  </si>
  <si>
    <t>-520.564544865278 729.578599017513 -487.075367426305</t>
  </si>
  <si>
    <t>-338.379176741984 576.891383622713 -381.542443261078</t>
  </si>
  <si>
    <t>-712.556332129548 485.656746369785 -771.12017561512</t>
  </si>
  <si>
    <t>-827.627846229518 403.827456082807 -730.013184345693</t>
  </si>
  <si>
    <t>-871.377702077262 470.300617551011 -423.658049941711</t>
  </si>
  <si>
    <t>-677.299213892187 297.430393625247 -414.095942141845</t>
  </si>
  <si>
    <t>-639.923979900357 675.314956945598 -242.6378404949</t>
  </si>
  <si>
    <t>-496.237319155247 718.787270778525 187.620333378377</t>
  </si>
  <si>
    <t>-508.226602738437 841.319183899806 641.167885339471</t>
  </si>
  <si>
    <t>-366.173241420679 772.971508235177 719.225301431547</t>
  </si>
  <si>
    <t>-782.152124005129 540.453346427725 -244.168465026033</t>
  </si>
  <si>
    <t>-798.067291558747 552.415456873605 211.090994964582</t>
  </si>
  <si>
    <t>-806.106786061053 596.093178461774 679.024177720222</t>
  </si>
  <si>
    <t>-790.90600239251 438.87768995546 756.456222090817</t>
  </si>
  <si>
    <t>9763-20170724T170001.699400400.bin</t>
  </si>
  <si>
    <t>-705.373476290592 614.868336303652 -243.696139556758</t>
  </si>
  <si>
    <t>-701.261536162577 611.923885282672 -364.701140968974</t>
  </si>
  <si>
    <t>-696.386165595789 593.143014708046 -484.342498381781</t>
  </si>
  <si>
    <t>-691.562882774861 569.7823454863 -591.234379457539</t>
  </si>
  <si>
    <t>-686.393082605135 540.180022015864 -696.552200261247</t>
  </si>
  <si>
    <t>-678.845610314698 492.5936250839 -841.04627462025</t>
  </si>
  <si>
    <t>-658.551389217005 447.502245828271 -930.141205410183</t>
  </si>
  <si>
    <t>-659.725128623188 535.34559848045 -783.084294849084</t>
  </si>
  <si>
    <t>-544.947548786634 627.208482186901 -782.170214560434</t>
  </si>
  <si>
    <t>-513.536476688622 737.440836600965 -487.130575258824</t>
  </si>
  <si>
    <t>-324.795855461263 588.952894267942 -387.279045624224</t>
  </si>
  <si>
    <t>-704.645033398243 491.953032960243 -771.140037908963</t>
  </si>
  <si>
    <t>-818.080820519348 407.865946656583 -729.965441952533</t>
  </si>
  <si>
    <t>-863.317718886119 473.248378119684 -423.591588240613</t>
  </si>
  <si>
    <t>-670.243723598561 298.999073861748 -422.309230985943</t>
  </si>
  <si>
    <t>-636.68126753197 685.175791329574 -242.827784320806</t>
  </si>
  <si>
    <t>-497.079590635335 741.784767827709 187.24718031144</t>
  </si>
  <si>
    <t>-501.363518718494 862.135980720404 641.376772907509</t>
  </si>
  <si>
    <t>-354.101887246609 802.294600892557 716.719571690094</t>
  </si>
  <si>
    <t>-774.592736824909 545.563913126336 -244.087887848913</t>
  </si>
  <si>
    <t>-792.999429558007 553.861743377161 211.159315476707</t>
  </si>
  <si>
    <t>-805.752862324159 596.004151929039 679.077258649496</t>
  </si>
  <si>
    <t>-791.253671938854 438.826778319063 756.720670855231</t>
  </si>
  <si>
    <t>9763-20170724T170001.765760800.bin</t>
  </si>
  <si>
    <t>-691.955934755692 631.611716688288 -242.646866585622</t>
  </si>
  <si>
    <t>-686.37509440967 628.746085199907 -363.594972855412</t>
  </si>
  <si>
    <t>-680.614734659973 610.42561153914 -483.268352251301</t>
  </si>
  <si>
    <t>-675.246799953832 587.633524773742 -590.257045911587</t>
  </si>
  <si>
    <t>-669.805719663805 558.741670235737 -695.75820409321</t>
  </si>
  <si>
    <t>-662.178979355217 512.283307678177 -840.614918832582</t>
  </si>
  <si>
    <t>-638.778591709299 470.265193156231 -930.447503505466</t>
  </si>
  <si>
    <t>-644.174119578511 555.551685501565 -782.678856574141</t>
  </si>
  <si>
    <t>-533.517547926644 652.416630238959 -782.733778588482</t>
  </si>
  <si>
    <t>-498.124957111642 760.011174782661 -487.171769336886</t>
  </si>
  <si>
    <t>-296.564095644792 620.494140830987 -400.279123639647</t>
  </si>
  <si>
    <t>-686.933097612836 510.127444574765 -770.361710788855</t>
  </si>
  <si>
    <t>-795.970832614826 420.914569726301 -728.26057174911</t>
  </si>
  <si>
    <t>-842.433263403903 481.397657374808 -421.064879394051</t>
  </si>
  <si>
    <t>-652.856772718042 304.192573359593 -438.41908031683</t>
  </si>
  <si>
    <t>-627.278428413107 705.532715937465 -241.196053871959</t>
  </si>
  <si>
    <t>-505.089160457971 779.460772378815 191.54176953562</t>
  </si>
  <si>
    <t>-498.347747438139 892.176460487703 647.699054833302</t>
  </si>
  <si>
    <t>-342.222634658488 848.592778099499 716.028554117767</t>
  </si>
  <si>
    <t>-757.160291489032 558.513716740821 -243.636722110892</t>
  </si>
  <si>
    <t>-781.49453618924 558.022896237301 211.407564834314</t>
  </si>
  <si>
    <t>-805.274459092973 595.823515422366 679.178305360804</t>
  </si>
  <si>
    <t>-792.205802707926 438.707480588728 757.199018962376</t>
  </si>
  <si>
    <t>9763-20170724T170001.796840800.bin</t>
  </si>
  <si>
    <t>-684.104630513511 641.544601859057 -241.8649085278</t>
  </si>
  <si>
    <t>-677.992627818073 639.298102126585 -362.800382638844</t>
  </si>
  <si>
    <t>-671.992379852267 621.58751680891 -482.553847282005</t>
  </si>
  <si>
    <t>-666.53579207406 599.343218009186 -589.653335267464</t>
  </si>
  <si>
    <t>-661.144110750557 570.991693597931 -695.303533961889</t>
  </si>
  <si>
    <t>-653.736927103524 525.275800630099 -840.407611434874</t>
  </si>
  <si>
    <t>-629.207592295819 484.755973063633 -930.626438770995</t>
  </si>
  <si>
    <t>-636.223983230256 568.730114479942 -782.459876973522</t>
  </si>
  <si>
    <t>-528.014548240052 668.298741907668 -783.118538918072</t>
  </si>
  <si>
    <t>-490.79201112849 774.5212704898 -487.285068945419</t>
  </si>
  <si>
    <t>-283.413167188584 639.369483694754 -407.472341301112</t>
  </si>
  <si>
    <t>-677.804731946838 522.277360659696 -769.947175404888</t>
  </si>
  <si>
    <t>-784.347845524564 430.358690158145 -727.245981167832</t>
  </si>
  <si>
    <t>-829.876151175136 486.407872578265 -419.070791840119</t>
  </si>
  <si>
    <t>-642.757136395886 307.898719147874 -446.692807944798</t>
  </si>
  <si>
    <t>-621.682649410721 717.187281931808 -239.875025454676</t>
  </si>
  <si>
    <t>-512.610228038296 793.344716210799 195.970028279424</t>
  </si>
  <si>
    <t>-503.543160803342 899.836868898735 653.83674211241</t>
  </si>
  <si>
    <t>-344.773417189333 861.990221942204 719.436387228357</t>
  </si>
  <si>
    <t>-747.065047160139 566.577221640852 -243.270391846444</t>
  </si>
  <si>
    <t>-774.823411752769 560.776840342329 211.54103356979</t>
  </si>
  <si>
    <t>-805.031132143209 595.727408835024 679.218906290217</t>
  </si>
  <si>
    <t>-792.669430676241 438.646022285555 757.42472730109</t>
  </si>
  <si>
    <t>9763-20170724T170001.865029900.bin</t>
  </si>
  <si>
    <t>-666.750596415321 664.802209940866 -239.739202254251</t>
  </si>
  <si>
    <t>-660.211368275932 664.37114561765 -360.672588521702</t>
  </si>
  <si>
    <t>-654.126730417623 648.276515047674 -480.649645635082</t>
  </si>
  <si>
    <t>-648.750728058561 627.412801851091 -588.03049228171</t>
  </si>
  <si>
    <t>-643.61434029686 600.356261978222 -694.032539857415</t>
  </si>
  <si>
    <t>-636.757303962595 556.350166076154 -839.691110503477</t>
  </si>
  <si>
    <t>-610.788365041739 518.431964939283 -930.635147133427</t>
  </si>
  <si>
    <t>-620.270482908039 600.084399480839 -781.652897098771</t>
  </si>
  <si>
    <t>-517.479539728424 705.293261219506 -783.195699567753</t>
  </si>
  <si>
    <t>-477.321447765968 808.100928723009 -486.540956673156</t>
  </si>
  <si>
    <t>-259.450988921344 682.363654141398 -420.475507921684</t>
  </si>
  <si>
    <t>-659.312186889248 551.5585856964 -768.830336138511</t>
  </si>
  <si>
    <t>-760.297461772669 454.198780190495 -724.89038673972</t>
  </si>
  <si>
    <t>-801.89915393019 498.037556670339 -414.191825188568</t>
  </si>
  <si>
    <t>-620.739437544693 317.801777332401 -462.547461034251</t>
  </si>
  <si>
    <t>-609.368307347006 743.079404465692 -236.964743609302</t>
  </si>
  <si>
    <t>-528.353993040328 818.661166139413 205.055386674867</t>
  </si>
  <si>
    <t>-509.584228320552 904.421524413481 666.483648180246</t>
  </si>
  <si>
    <t>-348.010150840847 879.010240515481 731.226187285133</t>
  </si>
  <si>
    <t>-724.844396891171 586.151326361705 -241.920147736044</t>
  </si>
  <si>
    <t>-758.69531711415 567.679775819911 212.139942550589</t>
  </si>
  <si>
    <t>-804.441066858888 595.342240564268 679.267299886867</t>
  </si>
  <si>
    <t>-794.266598234203 438.425420787449 758.115666264776</t>
  </si>
  <si>
    <t>9763-20170724T170001.899121200.bin</t>
  </si>
  <si>
    <t>-657.457723728239 677.386031992804 -238.531985211056</t>
  </si>
  <si>
    <t>-651.156700652198 677.528857456646 -359.478449878885</t>
  </si>
  <si>
    <t>-645.217086705331 662.083785427199 -479.548280211701</t>
  </si>
  <si>
    <t>-639.936403451797 641.837365712651 -587.051928341444</t>
  </si>
  <si>
    <t>-634.864402349483 615.423100529065 -693.21891006656</t>
  </si>
  <si>
    <t>-628.067501221678 572.333595956906 -839.154213708091</t>
  </si>
  <si>
    <t>-601.680434957588 535.526377933655 -930.433583616693</t>
  </si>
  <si>
    <t>-612.24664013183 616.195079452605 -781.026681931321</t>
  </si>
  <si>
    <t>-512.625654323854 724.391071159104 -782.784922207634</t>
  </si>
  <si>
    <t>-471.0676557658 824.999555898569 -485.569484343665</t>
  </si>
  <si>
    <t>-248.653936475796 704.067375741243 -425.990803994898</t>
  </si>
  <si>
    <t>-649.903121552926 566.603906033714 -768.137934961385</t>
  </si>
  <si>
    <t>-747.826634399656 466.360275609991 -723.733627837099</t>
  </si>
  <si>
    <t>-786.489263536304 502.937760374217 -411.718406623188</t>
  </si>
  <si>
    <t>-608.566255776957 322.784909456463 -471.13594657419</t>
  </si>
  <si>
    <t>-602.286941033589 756.737777014562 -235.547281150616</t>
  </si>
  <si>
    <t>-533.863456625935 834.44955448746 208.228379260068</t>
  </si>
  <si>
    <t>-510.654320889517 909.973579848584 671.366209255295</t>
  </si>
  <si>
    <t>-349.320679734369 891.174986503408 738.905628886793</t>
  </si>
  <si>
    <t>-713.189154348627 596.934311462511 -240.743817934898</t>
  </si>
  <si>
    <t>-749.160074330575 571.640446663579 212.824238815688</t>
  </si>
  <si>
    <t>-803.874270802179 594.9790464411 679.355075737767</t>
  </si>
  <si>
    <t>-795.419576496912 438.25529466024 758.788712217479</t>
  </si>
  <si>
    <t>9763-20170724T170001.961840900.bin</t>
  </si>
  <si>
    <t>-636.980857644636 703.028008702171 -235.878700781532</t>
  </si>
  <si>
    <t>-632.730357851925 703.366917322704 -356.914388337289</t>
  </si>
  <si>
    <t>-627.638719459887 688.96836440998 -477.153022482578</t>
  </si>
  <si>
    <t>-622.616263767771 670.002349768579 -584.902374353</t>
  </si>
  <si>
    <t>-617.286876140813 645.187843878698 -691.441916612045</t>
  </si>
  <si>
    <t>-609.58665451694 604.641229383051 -838.059530889363</t>
  </si>
  <si>
    <t>-582.239067928612 570.110017518921 -929.943508398231</t>
  </si>
  <si>
    <t>-595.574323299387 648.43786294881 -779.421260237176</t>
  </si>
  <si>
    <t>-502.490820880947 762.251700344892 -780.605959612933</t>
  </si>
  <si>
    <t>-458.896176557871 859.023532987138 -482.409881410839</t>
  </si>
  <si>
    <t>-228.462573376159 748.181331272411 -434.908394529971</t>
  </si>
  <si>
    <t>-630.413163302365 596.725981674197 -766.950261664314</t>
  </si>
  <si>
    <t>-722.03287273668 490.570530845829 -722.613840521104</t>
  </si>
  <si>
    <t>-752.708550417173 512.425258845293 -408.340775603918</t>
  </si>
  <si>
    <t>-581.443705260147 333.960390900815 -488.718994657359</t>
  </si>
  <si>
    <t>-585.130191979049 786.76156170381 -233.906570962224</t>
  </si>
  <si>
    <t>-540.024704428716 858.377805859124 213.859294034472</t>
  </si>
  <si>
    <t>-513.063177490057 916.544922132826 679.484046775732</t>
  </si>
  <si>
    <t>-353.796107708426 894.714058496779 750.904769466714</t>
  </si>
  <si>
    <t>-689.171427314972 619.131629087585 -236.895405443627</t>
  </si>
  <si>
    <t>-726.537636923093 579.153267661893 215.50167310504</t>
  </si>
  <si>
    <t>-801.961170112564 594.01374179044 679.704444537598</t>
  </si>
  <si>
    <t>-797.408137812141 437.939012331778 760.719250263384</t>
  </si>
  <si>
    <t>9763-20170724T170002.003456000.bin</t>
  </si>
  <si>
    <t>-626.530544275696 716.013599023702 -234.34560093585</t>
  </si>
  <si>
    <t>-624.079166935906 715.737505155834 -355.431088438566</t>
  </si>
  <si>
    <t>-619.766603304804 701.586444970714 -475.729669913957</t>
  </si>
  <si>
    <t>-615.008438469131 683.189095193933 -583.589478054144</t>
  </si>
  <si>
    <t>-609.489553120691 659.278806536215 -690.326081407169</t>
  </si>
  <si>
    <t>-601.038928789614 620.332501454725 -837.335451753782</t>
  </si>
  <si>
    <t>-573.023669825973 587.002519820771 -929.461709228033</t>
  </si>
  <si>
    <t>-588.085980018878 663.944281305399 -778.317331337641</t>
  </si>
  <si>
    <t>-498.392688256241 780.387299858934 -778.927382906834</t>
  </si>
  <si>
    <t>-453.765636785929 875.045477263957 -480.206040787584</t>
  </si>
  <si>
    <t>-219.565541615396 770.107233941771 -438.012079785184</t>
  </si>
  <si>
    <t>-621.470168238153 611.185737894838 -766.259291388937</t>
  </si>
  <si>
    <t>-709.803907397426 501.999192731867 -722.419918939511</t>
  </si>
  <si>
    <t>-736.393768661776 516.907053107821 -407.369108809486</t>
  </si>
  <si>
    <t>-568.132391183507 340.519861343014 -498.021073282178</t>
  </si>
  <si>
    <t>-575.388626858997 801.050988406065 -233.559216858415</t>
  </si>
  <si>
    <t>-546.292948089731 861.783535567686 217.132120792621</t>
  </si>
  <si>
    <t>-518.485657354262 910.449635503116 683.937764299184</t>
  </si>
  <si>
    <t>-360.071985228838 885.376910585832 756.187223572976</t>
  </si>
  <si>
    <t>-677.90618652651 630.924353272561 -234.051939754876</t>
  </si>
  <si>
    <t>-713.662294320483 582.206333375517 217.617946048095</t>
  </si>
  <si>
    <t>-800.790224052381 593.467670931746 679.963504209779</t>
  </si>
  <si>
    <t>-798.556960942881 437.802117610186 761.858222618074</t>
  </si>
  <si>
    <t>9763-20170724T170002.060673800.bin</t>
  </si>
  <si>
    <t>-606.895179635673 740.467829304591 -229.56538982976</t>
  </si>
  <si>
    <t>-609.287306802987 739.275369056425 -350.646627564988</t>
  </si>
  <si>
    <t>-607.216954705648 725.909978611876 -471.094237239003</t>
  </si>
  <si>
    <t>-603.379672262993 708.917626875228 -579.221055319926</t>
  </si>
  <si>
    <t>-597.64672718301 687.104025443069 -686.394596078134</t>
  </si>
  <si>
    <t>-587.687877223843 651.791452042427 -834.224946576643</t>
  </si>
  <si>
    <t>-557.837094349717 620.909537148593 -926.627464418745</t>
  </si>
  <si>
    <t>-576.797992710941 694.741155835437 -774.311323928896</t>
  </si>
  <si>
    <t>-493.530907195733 815.98449914512 -773.441064758885</t>
  </si>
  <si>
    <t>-447.331574463257 907.134625467266 -473.868942840152</t>
  </si>
  <si>
    <t>-206.503064654082 814.073727998667 -442.510347630552</t>
  </si>
  <si>
    <t>-607.39071807774 640.091180160846 -763.317776746398</t>
  </si>
  <si>
    <t>-689.591859192223 525.721742168927 -721.137049785006</t>
  </si>
  <si>
    <t>-708.592010532507 524.382787906802 -405.188624300874</t>
  </si>
  <si>
    <t>-545.483987643963 353.964390541973 -514.711930857559</t>
  </si>
  <si>
    <t>-559.213379540389 825.108653065297 -230.944814519251</t>
  </si>
  <si>
    <t>-550.139025915357 873.465625856406 222.085933332029</t>
  </si>
  <si>
    <t>-532.632787294149 901.99943348506 690.849368088815</t>
  </si>
  <si>
    <t>-374.207234044599 878.009670292852 763.439666153233</t>
  </si>
  <si>
    <t>-655.700036367912 655.181488997011 -227.048133754585</t>
  </si>
  <si>
    <t>-685.175508885639 585.844211048428 222.375158671925</t>
  </si>
  <si>
    <t>-797.104636914758 592.278359757783 678.649120924525</t>
  </si>
  <si>
    <t>-800.650264472382 437.864664731366 762.835608030456</t>
  </si>
  <si>
    <t>9763-20170724T170002.101786800.bin</t>
  </si>
  <si>
    <t>-597.444450267918 751.095393055183 -227.094975789068</t>
  </si>
  <si>
    <t>-602.175744747748 749.564968639534 -348.103515404922</t>
  </si>
  <si>
    <t>-601.119953374344 736.524015017596 -468.599957255799</t>
  </si>
  <si>
    <t>-597.644369251145 720.105060970208 -576.827345704449</t>
  </si>
  <si>
    <t>-591.707539160072 699.150622301487 -684.16118478219</t>
  </si>
  <si>
    <t>-580.865846826796 665.337319175343 -832.279643648266</t>
  </si>
  <si>
    <t>-549.739540769672 635.358212825146 -924.558657095756</t>
  </si>
  <si>
    <t>-571.018839067659 708.025170794553 -771.999407842092</t>
  </si>
  <si>
    <t>-491.230997546863 831.568005270388 -770.420671476608</t>
  </si>
  <si>
    <t>-443.359851176543 920.861274377204 -470.55178547015</t>
  </si>
  <si>
    <t>-199.590150490397 834.007758974428 -444.573975712251</t>
  </si>
  <si>
    <t>-600.307080477669 652.572140119512 -761.484152868301</t>
  </si>
  <si>
    <t>-679.9762666614 536.200307930297 -719.907737144419</t>
  </si>
  <si>
    <t>-695.475881898161 524.829466335454 -403.970028214719</t>
  </si>
  <si>
    <t>-534.321953981982 359.034736454987 -523.064759277534</t>
  </si>
  <si>
    <t>-549.627658304407 836.523574501905 -229.746663467517</t>
  </si>
  <si>
    <t>-548.540662342417 879.87268588316 223.880192163798</t>
  </si>
  <si>
    <t>-535.911681708442 898.821881799698 693.118675531627</t>
  </si>
  <si>
    <t>-377.911914614225 873.902504216305 766.321211751867</t>
  </si>
  <si>
    <t>-644.766800963819 665.442592102542 -223.650824177539</t>
  </si>
  <si>
    <t>-668.105935100807 584.843001144872 224.251657630623</t>
  </si>
  <si>
    <t>-794.246699128206 591.047219968562 676.422853060032</t>
  </si>
  <si>
    <t>-800.948623198665 437.724422829956 762.392669411607</t>
  </si>
  <si>
    <t>9763-20170724T170002.165970200.bin</t>
  </si>
  <si>
    <t>-578.005205006695 769.638818772925 -242.456318153703</t>
  </si>
  <si>
    <t>-585.871057113267 768.564461959457 -363.306532315904</t>
  </si>
  <si>
    <t>-585.857725561878 756.512133620522 -483.910420096695</t>
  </si>
  <si>
    <t>-582.460625743373 741.227380366536 -592.306317313958</t>
  </si>
  <si>
    <t>-575.731886890931 721.660471169597 -699.85503765547</t>
  </si>
  <si>
    <t>-562.875949304533 690.055003643296 -848.299742834539</t>
  </si>
  <si>
    <t>-528.574903316289 661.141928443812 -939.789947092965</t>
  </si>
  <si>
    <t>-554.982371162254 732.373073623447 -787.473901789132</t>
  </si>
  <si>
    <t>-480.637200060695 859.236467675044 -784.665401624968</t>
  </si>
  <si>
    <t>-430.09600131612 943.185808440827 -483.693081813743</t>
  </si>
  <si>
    <t>-181.472965192074 869.826646543495 -462.549029712121</t>
  </si>
  <si>
    <t>-582.146205234338 675.705951555125 -777.761252133572</t>
  </si>
  <si>
    <t>-657.33186678066 555.975823187285 -737.355361268908</t>
  </si>
  <si>
    <t>-667.479659602439 525.264612846631 -422.490194256646</t>
  </si>
  <si>
    <t>-509.947700672443 368.340356178524 -557.399383355951</t>
  </si>
  <si>
    <t>-531.425306912882 859.001965098408 -249.866348750339</t>
  </si>
  <si>
    <t>-543.728378023326 893.16594478687 204.379370725184</t>
  </si>
  <si>
    <t>-537.358386722203 898.669268560093 670.529011521684</t>
  </si>
  <si>
    <t>-380.029002554586 873.554055460042 745.095721287513</t>
  </si>
  <si>
    <t>-623.512332010883 680.150299924588 -235.481099875413</t>
  </si>
  <si>
    <t>-622.580395109849 585.08641412049 210.18659729124</t>
  </si>
  <si>
    <t>-780.267226123559 593.874805691552 653.327009635426</t>
  </si>
  <si>
    <t>-794.359751964712 444.96948009001 745.912695909757</t>
  </si>
  <si>
    <t>9763-20170724T170002.198054800.bin</t>
  </si>
  <si>
    <t>-568.423602276197 782.855736825654 -250.44745692112</t>
  </si>
  <si>
    <t>-577.646248171562 782.401232507364 -371.205646725887</t>
  </si>
  <si>
    <t>-577.955067875602 771.115290076773 -491.883209101995</t>
  </si>
  <si>
    <t>-574.445223422646 756.577853376253 -600.378385852822</t>
  </si>
  <si>
    <t>-567.211098738469 737.808946306357 -708.036455684625</t>
  </si>
  <si>
    <t>-553.253811722422 707.363627465143 -856.623963211123</t>
  </si>
  <si>
    <t>-517.173810149851 678.873111715655 -947.560954479385</t>
  </si>
  <si>
    <t>-546.249879994885 749.398151514418 -795.493270082663</t>
  </si>
  <si>
    <t>-473.574507230801 877.247106377863 -791.907132568848</t>
  </si>
  <si>
    <t>-422.408564152072 958.893303463781 -490.407294898338</t>
  </si>
  <si>
    <t>-172.11878709074 891.734845750491 -468.343046544183</t>
  </si>
  <si>
    <t>-572.608935837497 692.271869328159 -786.264142107543</t>
  </si>
  <si>
    <t>-646.20316761933 571.306694996696 -746.679841978224</t>
  </si>
  <si>
    <t>-654.401096728376 532.375169963885 -432.668133976294</t>
  </si>
  <si>
    <t>-498.294711571062 380.485403213705 -574.803020223464</t>
  </si>
  <si>
    <t>-524.114994933717 873.13881635649 -256.355605112789</t>
  </si>
  <si>
    <t>-539.358255154931 900.897990483009 198.237360992782</t>
  </si>
  <si>
    <t>-536.501743428717 899.183332936029 665.78804473373</t>
  </si>
  <si>
    <t>-379.546503380902 874.605370986183 741.316114076627</t>
  </si>
  <si>
    <t>-611.874637682134 693.9980846268 -245.48139405491</t>
  </si>
  <si>
    <t>-596.180223052868 593.082448587747 198.621625753018</t>
  </si>
  <si>
    <t>-763.25921957711 611.690743958531 636.689375062947</t>
  </si>
  <si>
    <t>-787.491485683225 466.551050570228 733.078255405857</t>
  </si>
  <si>
    <t>9763-20170724T170002.266240700.bin</t>
  </si>
  <si>
    <t>-550.979047307676 803.395247590233 -264.961578615121</t>
  </si>
  <si>
    <t>-560.988075157482 804.226299689875 -385.655252104242</t>
  </si>
  <si>
    <t>-560.904417313114 794.795635049696 -506.492375135168</t>
  </si>
  <si>
    <t>-556.610587044231 782.126993912699 -615.193500815657</t>
  </si>
  <si>
    <t>-548.197228984935 765.385997053908 -723.099895439905</t>
  </si>
  <si>
    <t>-532.217906378981 737.901561673291 -872.060651081146</t>
  </si>
  <si>
    <t>-492.532544556788 710.202865310669 -961.731271518355</t>
  </si>
  <si>
    <t>-527.014574592479 779.112076101974 -810.193377617234</t>
  </si>
  <si>
    <t>-458.560647342679 909.099606759097 -804.457463500403</t>
  </si>
  <si>
    <t>-404.580174364047 986.381830950099 -502.299067966752</t>
  </si>
  <si>
    <t>-152.528481485155 928.916584734675 -473.843355175497</t>
  </si>
  <si>
    <t>-551.561852951321 721.013391392369 -802.106870649728</t>
  </si>
  <si>
    <t>-621.6567486231 597.284222399011 -764.59775843403</t>
  </si>
  <si>
    <t>-628.78606842792 546.863373033034 -452.198720164537</t>
  </si>
  <si>
    <t>-473.872522355413 403.918072615639 -604.548683827345</t>
  </si>
  <si>
    <t>-512.1775212914 893.77906170305 -266.443978473435</t>
  </si>
  <si>
    <t>-531.055410004764 910.900465922266 188.537514702188</t>
  </si>
  <si>
    <t>-535.441571798958 898.651223251831 659.109713584902</t>
  </si>
  <si>
    <t>-378.64969095462 877.759798439128 736.073111310412</t>
  </si>
  <si>
    <t>-588.728926244622 713.491992181614 -262.89769135428</t>
  </si>
  <si>
    <t>-544.987423507627 608.650106137511 178.410167697338</t>
  </si>
  <si>
    <t>-721.650771361179 650.134719981873 611.514491269365</t>
  </si>
  <si>
    <t>-746.691820230287 509.851747231525 714.651201236443</t>
  </si>
  <si>
    <t>9763-20170724T170002.299330300.bin</t>
  </si>
  <si>
    <t>-543.291417685816 808.677441922445 -269.84747833249</t>
  </si>
  <si>
    <t>-552.866641764889 810.429538456434 -390.566332248264</t>
  </si>
  <si>
    <t>-552.223458631109 802.22338111649 -511.491264287251</t>
  </si>
  <si>
    <t>-547.396923264498 790.757997388723 -620.303423649235</t>
  </si>
  <si>
    <t>-538.439683779793 775.297292400311 -728.356967245694</t>
  </si>
  <si>
    <t>-521.706037806515 749.656823276714 -877.56344861188</t>
  </si>
  <si>
    <t>-480.52988391855 722.506207718786 -966.728099599169</t>
  </si>
  <si>
    <t>-517.406389963704 790.327424808518 -815.271067779132</t>
  </si>
  <si>
    <t>-451.792813846167 921.748157694832 -808.190556018033</t>
  </si>
  <si>
    <t>-395.60756066043 995.575345030083 -505.570341987186</t>
  </si>
  <si>
    <t>-143.318195216362 940.838747974023 -474.010148290818</t>
  </si>
  <si>
    <t>-540.813870170891 731.676608819408 -807.817294533075</t>
  </si>
  <si>
    <t>-608.794309893212 606.36556016745 -771.802292514337</t>
  </si>
  <si>
    <t>-616.915716449946 552.418073487005 -460.017292769859</t>
  </si>
  <si>
    <t>-461.907174844908 413.234959975125 -615.717202985116</t>
  </si>
  <si>
    <t>-507.841764471595 899.791320203738 -269.529449649506</t>
  </si>
  <si>
    <t>-527.221232727402 912.259388976437 185.582312871848</t>
  </si>
  <si>
    <t>-535.116394179388 898.020139638526 656.945996185169</t>
  </si>
  <si>
    <t>-378.177285434925 879.769699683548 734.279942399048</t>
  </si>
  <si>
    <t>-578.048194254798 717.134608768857 -268.670797519733</t>
  </si>
  <si>
    <t>-519.896086428847 620.050409639731 172.748027966208</t>
  </si>
  <si>
    <t>-696.306304992453 666.278445947411 604.994744396673</t>
  </si>
  <si>
    <t>-712.023506037925 526.491737861549 710.617552408302</t>
  </si>
  <si>
    <t>9763-20170724T170002.366511900.bin</t>
  </si>
  <si>
    <t>-528.965976823073 813.93061667233 -274.783172170835</t>
  </si>
  <si>
    <t>-538.58435645653 817.581386153132 -395.456210499014</t>
  </si>
  <si>
    <t>-537.26804013329 812.080886808971 -516.528750609519</t>
  </si>
  <si>
    <t>-531.583856292071 803.332835181979 -625.551698150415</t>
  </si>
  <si>
    <t>-521.548468189063 790.818861460659 -733.891647277899</t>
  </si>
  <si>
    <t>-503.110848891073 769.481162231019 -883.57390520981</t>
  </si>
  <si>
    <t>-459.725818319474 743.919282055974 -972.158947019269</t>
  </si>
  <si>
    <t>-500.626338438475 808.737727521152 -820.283470637193</t>
  </si>
  <si>
    <t>-439.513582143322 942.120430176907 -810.084996229731</t>
  </si>
  <si>
    <t>-383.528770337919 1009.36260933977 -505.897071987858</t>
  </si>
  <si>
    <t>-131.533691885147 959.76075925403 -464.906909175146</t>
  </si>
  <si>
    <t>-521.911460431309 749.107351123336 -814.404887661165</t>
  </si>
  <si>
    <t>-585.800065458748 620.645846864584 -782.130431090505</t>
  </si>
  <si>
    <t>-596.915120822368 559.546993521112 -471.760286973433</t>
  </si>
  <si>
    <t>-439.43596212226 427.270376821794 -630.96221597251</t>
  </si>
  <si>
    <t>-500.754104901398 907.224422459096 -272.389118254138</t>
  </si>
  <si>
    <t>-520.395632811681 913.23916919388 182.842423540335</t>
  </si>
  <si>
    <t>-534.538586789523 897.003326593273 654.067604004364</t>
  </si>
  <si>
    <t>-377.417598968627 883.267625087534 731.963860708148</t>
  </si>
  <si>
    <t>-556.825759125396 720.920566987767 -275.504247032404</t>
  </si>
  <si>
    <t>-478.485874673638 642.083664718111 166.429345397189</t>
  </si>
  <si>
    <t>-642.657093059282 695.275601352097 602.849341831995</t>
  </si>
  <si>
    <t>-651.460102806106 556.290143444494 710.315698497873</t>
  </si>
  <si>
    <t>9763-20170724T170002.396591200.bin</t>
  </si>
  <si>
    <t>-523.085775191534 815.995978831051 -275.492353132961</t>
  </si>
  <si>
    <t>-533.197780790085 820.368473027246 -396.100883643405</t>
  </si>
  <si>
    <t>-531.818114609271 816.152715408055 -517.224350458627</t>
  </si>
  <si>
    <t>-525.860224182475 808.770655112127 -626.333705339704</t>
  </si>
  <si>
    <t>-515.341791849599 797.810886122304 -734.796163157123</t>
  </si>
  <si>
    <t>-496.020768614528 778.817127735063 -884.682582278525</t>
  </si>
  <si>
    <t>-451.676885865997 754.333953059813 -973.09739521736</t>
  </si>
  <si>
    <t>-494.415215195044 817.246522453432 -820.858381770837</t>
  </si>
  <si>
    <t>-435.434527865832 951.372608090888 -808.820321193725</t>
  </si>
  <si>
    <t>-380.244651763863 1015.21769220677 -503.756468747282</t>
  </si>
  <si>
    <t>-128.835580844242 968.487149150176 -456.303302001981</t>
  </si>
  <si>
    <t>-514.724179998883 757.196186449886 -815.866621531341</t>
  </si>
  <si>
    <t>-576.749925653271 627.322417813064 -785.528440931104</t>
  </si>
  <si>
    <t>-589.083735682703 562.124765736287 -476.039650081432</t>
  </si>
  <si>
    <t>-429.549710480791 433.715431188431 -636.35799296832</t>
  </si>
  <si>
    <t>-497.876090661667 910.123439359552 -272.610548875503</t>
  </si>
  <si>
    <t>-518.041515098717 914.109022043634 182.620291901735</t>
  </si>
  <si>
    <t>-534.439538947433 896.695351803 653.405812236625</t>
  </si>
  <si>
    <t>-377.209539305854 884.465189689232 731.333062419434</t>
  </si>
  <si>
    <t>-548.695572515024 721.72927866491 -276.880828911284</t>
  </si>
  <si>
    <t>-462.432116530113 650.016687589417 164.790438581439</t>
  </si>
  <si>
    <t>-619.348985422087 709.192605318325 603.596857949712</t>
  </si>
  <si>
    <t>-632.516954809975 570.600174503821 711.124754539615</t>
  </si>
  <si>
    <t>9763-20170724T170002.465768700.bin</t>
  </si>
  <si>
    <t>-513.684175979507 822.502403551789 -275.20629774962</t>
  </si>
  <si>
    <t>-525.401949199277 827.347597578398 -395.651498319067</t>
  </si>
  <si>
    <t>-524.47879637914 825.157833069401 -516.832786437158</t>
  </si>
  <si>
    <t>-518.463589437626 820.205454498791 -626.07627795985</t>
  </si>
  <si>
    <t>-507.417676608216 812.250597572178 -734.748062058975</t>
  </si>
  <si>
    <t>-486.873681081612 798.013826027555 -884.998729931929</t>
  </si>
  <si>
    <t>-440.612587917026 775.940660613942 -973.06493915522</t>
  </si>
  <si>
    <t>-486.774204759518 834.706891433029 -820.140797885947</t>
  </si>
  <si>
    <t>-431.759493309963 970.087755826288 -803.901475013781</t>
  </si>
  <si>
    <t>-374.566181535847 1026.67842514443 -497.77629645761</t>
  </si>
  <si>
    <t>-125.89244184226 983.961835280506 -434.699302770549</t>
  </si>
  <si>
    <t>-505.153245617665 773.919609983105 -816.894113631634</t>
  </si>
  <si>
    <t>-563.431702337551 641.577889454192 -789.986484133532</t>
  </si>
  <si>
    <t>-575.558415585221 567.252041229317 -482.55392682672</t>
  </si>
  <si>
    <t>-411.459705837499 447.102284143108 -644.657793557499</t>
  </si>
  <si>
    <t>-492.229371585459 918.170603461059 -272.356748115444</t>
  </si>
  <si>
    <t>-515.35947729547 917.918239772052 182.750399193243</t>
  </si>
  <si>
    <t>-534.223185112045 896.607904284431 652.648575868051</t>
  </si>
  <si>
    <t>-376.878222464381 886.215301793183 730.610491442646</t>
  </si>
  <si>
    <t>-535.974688050574 726.344570031285 -276.875231161963</t>
  </si>
  <si>
    <t>-435.117457196449 662.498703862672 162.907914875008</t>
  </si>
  <si>
    <t>-584.620096339167 733.707211977886 602.929711071563</t>
  </si>
  <si>
    <t>-595.809017738178 594.8240893045 710.306515548442</t>
  </si>
  <si>
    <t>9763-20170724T170002.502372100.bin</t>
  </si>
  <si>
    <t>-509.842751178527 825.952199320783 -274.736741669288</t>
  </si>
  <si>
    <t>-521.88541045991 830.729884746836 -395.152569605503</t>
  </si>
  <si>
    <t>-521.045016994433 829.325997310455 -516.346118921086</t>
  </si>
  <si>
    <t>-514.995959104151 825.429634617085 -625.630501608648</t>
  </si>
  <si>
    <t>-503.80109702603 818.874048319855 -734.380503254476</t>
  </si>
  <si>
    <t>-482.923430517592 806.939870404336 -884.785546068029</t>
  </si>
  <si>
    <t>-435.783432022615 786.086100466443 -972.682900519333</t>
  </si>
  <si>
    <t>-483.399410479667 842.759398213828 -819.44290792942</t>
  </si>
  <si>
    <t>-430.254774033898 978.646577518763 -801.113595984316</t>
  </si>
  <si>
    <t>-372.249761462329 1031.15919814666 -494.415061539186</t>
  </si>
  <si>
    <t>-125.323811699236 988.905390595741 -424.527643210336</t>
  </si>
  <si>
    <t>-500.922862347157 781.68139255415 -817.028961758087</t>
  </si>
  <si>
    <t>-557.440804451196 648.28272870034 -791.795862570461</t>
  </si>
  <si>
    <t>-568.620097780896 569.673810266723 -485.394414051083</t>
  </si>
  <si>
    <t>-401.914447588881 453.729029089064 -647.899978810221</t>
  </si>
  <si>
    <t>-488.973357803354 921.79685234199 -272.176619011542</t>
  </si>
  <si>
    <t>-513.911986597872 919.970845956834 182.831578292094</t>
  </si>
  <si>
    <t>-534.044228375464 896.752797474062 652.299465526533</t>
  </si>
  <si>
    <t>-376.803103919066 886.476672937356 730.485990409765</t>
  </si>
  <si>
    <t>-530.99382094691 729.563147517807 -276.378143985841</t>
  </si>
  <si>
    <t>-424.669105435795 669.559445989458 162.657519916701</t>
  </si>
  <si>
    <t>-574.05333600491 742.757046919947 602.183301418944</t>
  </si>
  <si>
    <t>-580.326325348527 603.620930491532 709.632634443737</t>
  </si>
  <si>
    <t>9763-20170724T170002.564044400.bin</t>
  </si>
  <si>
    <t>-501.883595624155 831.473293056722 -274.11928265018</t>
  </si>
  <si>
    <t>-514.058924085465 836.093538866868 -394.527853159795</t>
  </si>
  <si>
    <t>-513.171840095487 836.073995705485 -515.729215913155</t>
  </si>
  <si>
    <t>-506.988887254596 834.062289780093 -625.057077162231</t>
  </si>
  <si>
    <t>-495.555566180232 830.028923585684 -733.904963597438</t>
  </si>
  <si>
    <t>-474.224320517519 822.270763202993 -884.519681620793</t>
  </si>
  <si>
    <t>-425.91750511868 803.786516251265 -972.313687372822</t>
  </si>
  <si>
    <t>-475.526584960754 856.435492129003 -818.308098078979</t>
  </si>
  <si>
    <t>-424.864996155209 992.703480823041 -796.248224222146</t>
  </si>
  <si>
    <t>-368.542010231816 1038.46757404943 -488.158117279813</t>
  </si>
  <si>
    <t>-125.127635475486 997.734292317343 -406.107629827456</t>
  </si>
  <si>
    <t>-491.79893168754 794.971315243187 -817.446664411204</t>
  </si>
  <si>
    <t>-545.630744239071 659.945178631426 -795.178416796414</t>
  </si>
  <si>
    <t>-554.106052269576 573.726009292879 -490.743444293182</t>
  </si>
  <si>
    <t>-382.34909223921 466.521710513188 -653.988204722553</t>
  </si>
  <si>
    <t>-481.678629540488 927.012432961261 -271.877434397244</t>
  </si>
  <si>
    <t>-508.713192321554 922.857474377082 182.995538507138</t>
  </si>
  <si>
    <t>-533.530092355093 896.377351159042 651.823292334311</t>
  </si>
  <si>
    <t>-376.615414988132 886.168492397497 730.671702917819</t>
  </si>
  <si>
    <t>-521.998749608928 736.085408591108 -275.812037366133</t>
  </si>
  <si>
    <t>-414.424371654603 678.711773820723 163.270680212924</t>
  </si>
  <si>
    <t>-568.446500405366 748.309232009587 601.830538265179</t>
  </si>
  <si>
    <t>-570.493106565217 609.591642107995 709.982239918031</t>
  </si>
  <si>
    <t>9763-20170724T170002.596123100.bin</t>
  </si>
  <si>
    <t>-497.982752094427 833.046619926954 -274.243168806761</t>
  </si>
  <si>
    <t>-510.125657330868 837.945317042549 -394.644030686376</t>
  </si>
  <si>
    <t>-509.208121637675 838.696794543552 -515.842920660559</t>
  </si>
  <si>
    <t>-502.990898082957 837.590697873188 -625.181747035579</t>
  </si>
  <si>
    <t>-491.511414767018 834.676943308205 -734.060411400579</t>
  </si>
  <si>
    <t>-470.098449823937 828.703435103376 -884.744888795352</t>
  </si>
  <si>
    <t>-421.426379636759 811.294032302141 -972.556759430724</t>
  </si>
  <si>
    <t>-471.689748717494 862.147368842414 -818.172421452865</t>
  </si>
  <si>
    <t>-422.076954436093 998.570086113085 -794.629142663271</t>
  </si>
  <si>
    <t>-366.861140772187 1040.49743641339 -485.79345778464</t>
  </si>
  <si>
    <t>-124.612136164501 1002.19318213938 -399.247320049906</t>
  </si>
  <si>
    <t>-487.45632639681 800.5455910565 -817.970906711312</t>
  </si>
  <si>
    <t>-540.112941142808 664.891662470768 -796.855030099918</t>
  </si>
  <si>
    <t>-547.668326235136 575.476164841378 -493.319121643617</t>
  </si>
  <si>
    <t>-373.566525788328 472.423286522697 -656.753270995703</t>
  </si>
  <si>
    <t>-477.854451965143 928.518742565014 -271.808846631343</t>
  </si>
  <si>
    <t>-505.190801816769 923.12144268848 183.033096140171</t>
  </si>
  <si>
    <t>-533.203516950673 895.904618662441 651.53590624735</t>
  </si>
  <si>
    <t>-376.530737552448 885.757507816466 730.871701168426</t>
  </si>
  <si>
    <t>-517.98283188769 737.717724839153 -276.066986792337</t>
  </si>
  <si>
    <t>-413.949928724354 679.007977108477 163.691976987658</t>
  </si>
  <si>
    <t>-573.71964784971 745.713049491566 601.047758841873</t>
  </si>
  <si>
    <t>-573.798843930029 607.566643991091 709.947136505136</t>
  </si>
  <si>
    <t>9763-20170724T170002.665322800.bin</t>
  </si>
  <si>
    <t>-491.139050166851 834.258732232772 -274.852902660992</t>
  </si>
  <si>
    <t>-502.953377833924 840.053690905904 -395.246683612943</t>
  </si>
  <si>
    <t>-501.924228886916 842.320252714268 -516.42573614443</t>
  </si>
  <si>
    <t>-495.682808070893 842.855554422857 -625.767479845998</t>
  </si>
  <si>
    <t>-484.247385964465 841.869508533468 -734.685310803414</t>
  </si>
  <si>
    <t>-462.958473643606 838.886755789318 -885.476218407475</t>
  </si>
  <si>
    <t>-414.019959738925 823.243996489439 -973.472238200329</t>
  </si>
  <si>
    <t>-464.861993796771 871.095944022686 -818.305796696878</t>
  </si>
  <si>
    <t>-417.152937144602 1007.7612105722 -792.370945609536</t>
  </si>
  <si>
    <t>-363.114724422569 1041.73974596841 -482.352427263328</t>
  </si>
  <si>
    <t>-121.99514113295 1007.58349154509 -391.046573680195</t>
  </si>
  <si>
    <t>-479.894278320907 809.317303897712 -819.20607036651</t>
  </si>
  <si>
    <t>-530.738055906766 672.638162264689 -800.401935890522</t>
  </si>
  <si>
    <t>-537.369484700557 576.699969898281 -498.842550224188</t>
  </si>
  <si>
    <t>-359.100113689404 482.251335694096 -662.981322785803</t>
  </si>
  <si>
    <t>-470.623291692987 929.757979237509 -271.592908119394</t>
  </si>
  <si>
    <t>-498.343499799612 922.498440665289 183.199961910794</t>
  </si>
  <si>
    <t>-532.739838415497 894.882501479488 651.249016082091</t>
  </si>
  <si>
    <t>-376.541125179408 884.349600853161 731.464534877161</t>
  </si>
  <si>
    <t>-511.749851199049 738.471747663757 -277.228223498155</t>
  </si>
  <si>
    <t>-418.20266184074 675.829457972045 164.340064225975</t>
  </si>
  <si>
    <t>-583.728238233176 734.036965010107 600.272811828138</t>
  </si>
  <si>
    <t>-577.166696216882 596.876838185734 710.216247756307</t>
  </si>
  <si>
    <t>9763-20170724T170002.696404900.bin</t>
  </si>
  <si>
    <t>-488.320963932282 834.135342623616 -274.973408502639</t>
  </si>
  <si>
    <t>-499.888282126202 840.394684583654 -395.367852574866</t>
  </si>
  <si>
    <t>-498.798648179359 843.385901310422 -516.530665585109</t>
  </si>
  <si>
    <t>-492.573532077186 844.692340922085 -625.866839410616</t>
  </si>
  <si>
    <t>-481.221979999517 844.600415051895 -734.797946849819</t>
  </si>
  <si>
    <t>-460.116538692863 842.994924458954 -885.635492333056</t>
  </si>
  <si>
    <t>-411.238888378775 828.145069482513 -973.802690204853</t>
  </si>
  <si>
    <t>-462.029746858032 874.611873325424 -818.184530209437</t>
  </si>
  <si>
    <t>-414.638973246874 1011.21889640762 -791.195785654795</t>
  </si>
  <si>
    <t>-360.898010564206 1042.49455275226 -480.841262453729</t>
  </si>
  <si>
    <t>-121.540736927472 1009.59296087026 -384.572738184774</t>
  </si>
  <si>
    <t>-476.880265525991 812.798932418726 -819.604578368743</t>
  </si>
  <si>
    <t>-527.251173117784 675.779348255784 -802.146295517161</t>
  </si>
  <si>
    <t>-533.70443397693 576.45615855815 -501.680873550611</t>
  </si>
  <si>
    <t>-353.915411907043 486.599175777236 -666.73747476373</t>
  </si>
  <si>
    <t>-467.262558187955 929.588992473208 -271.419455956684</t>
  </si>
  <si>
    <t>-495.382816436652 921.83658366644 183.340777910051</t>
  </si>
  <si>
    <t>-532.535730127591 894.367915147172 651.126438547101</t>
  </si>
  <si>
    <t>-376.523959506498 883.757847898748 731.694777256839</t>
  </si>
  <si>
    <t>-509.51991434792 738.141759000685 -277.677826308652</t>
  </si>
  <si>
    <t>-421.127613946457 674.265345501391 164.774664966847</t>
  </si>
  <si>
    <t>-587.070774882667 729.512905271182 600.971685164498</t>
  </si>
  <si>
    <t>-576.955086722335 592.359005735852 710.653301684186</t>
  </si>
  <si>
    <t>9763-20170724T170002.764603800.bin</t>
  </si>
  <si>
    <t>-484.357703726625 833.854527947757 -274.92946500464</t>
  </si>
  <si>
    <t>-495.628737766115 840.989366142965 -395.303341237522</t>
  </si>
  <si>
    <t>-494.246634250362 845.25956050028 -516.424879879554</t>
  </si>
  <si>
    <t>-487.754412789603 847.898828365901 -625.721429472566</t>
  </si>
  <si>
    <t>-476.12970690193 849.326321359124 -734.614380224186</t>
  </si>
  <si>
    <t>-454.634581274932 850.037893692058 -885.40371331679</t>
  </si>
  <si>
    <t>-405.778231304756 836.540825129972 -973.799903067756</t>
  </si>
  <si>
    <t>-456.68657617878 880.606250393394 -817.47512015136</t>
  </si>
  <si>
    <t>-408.239832642846 1016.53578345871 -788.874150131424</t>
  </si>
  <si>
    <t>-356.477018664416 1049.07498441209 -478.313474510953</t>
  </si>
  <si>
    <t>-127.371340098712 1008.91605245152 -361.952394860166</t>
  </si>
  <si>
    <t>-471.604331384534 818.840254711714 -819.893040272516</t>
  </si>
  <si>
    <t>-522.101603894767 681.564694145189 -804.85855256073</t>
  </si>
  <si>
    <t>-528.001603255558 575.658891926419 -506.638209228035</t>
  </si>
  <si>
    <t>-346.059494809139 494.767776129159 -673.957504035719</t>
  </si>
  <si>
    <t>-462.107704739667 929.23385830804 -270.939073219302</t>
  </si>
  <si>
    <t>-490.988123467922 920.980204236876 183.764779917993</t>
  </si>
  <si>
    <t>-532.34686594051 893.675416923744 651.073767822279</t>
  </si>
  <si>
    <t>-376.596161674285 882.544082549523 732.07571035051</t>
  </si>
  <si>
    <t>-506.440728704753 738.450116029497 -278.136521779708</t>
  </si>
  <si>
    <t>-425.765350391207 672.243709672902 165.446511258011</t>
  </si>
  <si>
    <t>-587.825158442335 725.371025634378 603.236060264641</t>
  </si>
  <si>
    <t>-572.950523248175 586.92219104305 710.726453971708</t>
  </si>
  <si>
    <t>9763-20170724T170002.797689200.bin</t>
  </si>
  <si>
    <t>-482.854226795265 833.906432524173 -274.823820907189</t>
  </si>
  <si>
    <t>-493.942808365363 841.381735352161 -395.193934619106</t>
  </si>
  <si>
    <t>-492.35418282893 846.157671395873 -516.293983052954</t>
  </si>
  <si>
    <t>-485.665796347974 849.320896767745 -625.564848886295</t>
  </si>
  <si>
    <t>-473.834882011154 851.341496074464 -734.426213120109</t>
  </si>
  <si>
    <t>-452.042641603885 852.949849191738 -885.16608134098</t>
  </si>
  <si>
    <t>-403.260695938844 839.94871480586 -973.677586951856</t>
  </si>
  <si>
    <t>-454.038457424119 883.065553226887 -817.033888556972</t>
  </si>
  <si>
    <t>-403.965907818144 1018.05356384821 -787.286473595256</t>
  </si>
  <si>
    <t>-354.787926371165 1052.4645848588 -476.507553349869</t>
  </si>
  <si>
    <t>-132.805269582291 998.422921527324 -352.228533124822</t>
  </si>
  <si>
    <t>-469.331593831334 821.410872876555 -819.902643256448</t>
  </si>
  <si>
    <t>-520.561005631797 684.313284498279 -805.917590972939</t>
  </si>
  <si>
    <t>-526.164936422538 575.403782009971 -508.775315904521</t>
  </si>
  <si>
    <t>-343.834947097558 498.857947754245 -677.709006436124</t>
  </si>
  <si>
    <t>-460.11451142516 929.239357920951 -270.635957693681</t>
  </si>
  <si>
    <t>-489.439065003623 920.896192703384 184.037765856684</t>
  </si>
  <si>
    <t>-532.370021529067 893.496038745941 651.170278732864</t>
  </si>
  <si>
    <t>-376.695859946909 881.744145221729 732.231705026752</t>
  </si>
  <si>
    <t>-505.447303697583 738.692482534216 -278.174951951362</t>
  </si>
  <si>
    <t>-427.363297034651 671.594546564218 165.737693428933</t>
  </si>
  <si>
    <t>-586.730359003751 725.231987169714 604.43086122362</t>
  </si>
  <si>
    <t>-571.781560089404 585.785361924454 710.6135227288</t>
  </si>
  <si>
    <t>9763-20170724T170002.865567600.bin</t>
  </si>
  <si>
    <t>-482.836060440165 836.393751702286 -274.729884378823</t>
  </si>
  <si>
    <t>-493.776219442683 844.508689912602 -395.072171152267</t>
  </si>
  <si>
    <t>-491.786807157053 850.371595867544 -516.118435546585</t>
  </si>
  <si>
    <t>-484.635291258399 854.697068671657 -625.320106633777</t>
  </si>
  <si>
    <t>-472.239872186582 858.064923529628 -734.085268889872</t>
  </si>
  <si>
    <t>-449.55768663692 861.741422189613 -884.657594610539</t>
  </si>
  <si>
    <t>-400.787194637339 849.527410317665 -973.287248680819</t>
  </si>
  <si>
    <t>-451.349068102452 890.756281708059 -816.043704264882</t>
  </si>
  <si>
    <t>-398.226274983185 1024.0515830454 -783.697511613878</t>
  </si>
  <si>
    <t>-353.82519136227 1049.53478831297 -471.343071653427</t>
  </si>
  <si>
    <t>-144.212775099746 975.559037393918 -336.316061831965</t>
  </si>
  <si>
    <t>-467.838718164777 829.472856161183 -820.024183876493</t>
  </si>
  <si>
    <t>-521.496947244719 693.086843418195 -808.040405212158</t>
  </si>
  <si>
    <t>-526.344440511537 578.657693995418 -512.96635035482</t>
  </si>
  <si>
    <t>-343.221502456239 507.449948267836 -683.370288641717</t>
  </si>
  <si>
    <t>-457.982154463197 930.933907985571 -270.250037214988</t>
  </si>
  <si>
    <t>-489.68648789938 922.539422823233 184.263060259768</t>
  </si>
  <si>
    <t>-532.479582336379 893.862750919347 651.246596184754</t>
  </si>
  <si>
    <t>-376.960968415395 880.33715303006 732.330135605944</t>
  </si>
  <si>
    <t>-507.864031287099 741.845312677582 -278.374692283704</t>
  </si>
  <si>
    <t>-431.259263675102 674.194422059946 165.711575995855</t>
  </si>
  <si>
    <t>-587.613924039074 726.933459248522 605.416860748039</t>
  </si>
  <si>
    <t>-571.845538368957 586.406684606708 710.045361063554</t>
  </si>
  <si>
    <t>9763-20170724T170002.899659300.bin</t>
  </si>
  <si>
    <t>-483.37297611174 837.497582910488 -274.528896025028</t>
  </si>
  <si>
    <t>-494.241148387571 845.843076352217 -394.861854649078</t>
  </si>
  <si>
    <t>-492.13582426995 852.204032655502 -515.881197848449</t>
  </si>
  <si>
    <t>-484.861728491356 857.090505336263 -625.051119693057</t>
  </si>
  <si>
    <t>-472.32543589116 861.133927161192 -733.777094644199</t>
  </si>
  <si>
    <t>-449.427316998437 865.873821947401 -884.286891064927</t>
  </si>
  <si>
    <t>-400.744902442378 853.878944187776 -972.995058081244</t>
  </si>
  <si>
    <t>-450.959174475265 894.301058212994 -815.421284553327</t>
  </si>
  <si>
    <t>-396.869150950473 1026.73071210913 -781.405322407745</t>
  </si>
  <si>
    <t>-353.636374119417 1042.30599185628 -468.236818737748</t>
  </si>
  <si>
    <t>-147.927014936625 963.076460924113 -330.221018952208</t>
  </si>
  <si>
    <t>-468.158862246871 833.252084220841 -819.960594049143</t>
  </si>
  <si>
    <t>-523.149390057948 697.323681617736 -809.122191558328</t>
  </si>
  <si>
    <t>-528.286395377675 579.645334950213 -515.333849305052</t>
  </si>
  <si>
    <t>-344.465427527352 511.021645754559 -686.046042356327</t>
  </si>
  <si>
    <t>-457.258300050646 931.925343795335 -270.108686646529</t>
  </si>
  <si>
    <t>-490.23723746446 923.61868995852 184.315154294689</t>
  </si>
  <si>
    <t>-532.538052720306 894.250429264504 651.282014970247</t>
  </si>
  <si>
    <t>-377.102323579569 879.695280085818 732.346092010517</t>
  </si>
  <si>
    <t>-509.630264761411 742.763577401694 -278.316943221428</t>
  </si>
  <si>
    <t>-432.295329699429 675.178886481268 165.652941780769</t>
  </si>
  <si>
    <t>-587.735436022222 727.247639297208 605.5875144561</t>
  </si>
  <si>
    <t>-571.528544798673 586.502566222696 709.85483461474</t>
  </si>
  <si>
    <t>9763-20170724T170002.964852200.bin</t>
  </si>
  <si>
    <t>-484.660892056637 838.639635285796 -274.447627959266</t>
  </si>
  <si>
    <t>-495.656950824012 847.387105558804 -394.740479662313</t>
  </si>
  <si>
    <t>-493.463449926218 854.57689628604 -515.711783856445</t>
  </si>
  <si>
    <t>-486.023883670306 860.381848835084 -624.825604769306</t>
  </si>
  <si>
    <t>-473.235828004337 865.517718308695 -733.476105510159</t>
  </si>
  <si>
    <t>-449.898898612147 871.957381592452 -883.855304257393</t>
  </si>
  <si>
    <t>-401.426552157994 860.255906811989 -972.717486210086</t>
  </si>
  <si>
    <t>-450.863516889851 899.368113493081 -814.568554348207</t>
  </si>
  <si>
    <t>-394.538133677941 1030.23563381451 -777.994383738802</t>
  </si>
  <si>
    <t>-353.463551928058 1031.79524757829 -464.152588899121</t>
  </si>
  <si>
    <t>-156.239782201698 937.557683138277 -323.212573500458</t>
  </si>
  <si>
    <t>-469.58599703497 838.848014357372 -820.065784775075</t>
  </si>
  <si>
    <t>-527.38941212788 703.933711260969 -811.308147631986</t>
  </si>
  <si>
    <t>-533.258568986938 579.228103941793 -520.446965672856</t>
  </si>
  <si>
    <t>-347.185827384231 515.519745082019 -690.62401529339</t>
  </si>
  <si>
    <t>-456.028785136824 933.332091203825 -270.081281498255</t>
  </si>
  <si>
    <t>-490.810773867075 924.830004084403 184.204519319376</t>
  </si>
  <si>
    <t>-532.546232106227 895.022596069153 651.212699484573</t>
  </si>
  <si>
    <t>-377.366155357572 878.222779979455 732.332452512013</t>
  </si>
  <si>
    <t>-513.42849592303 743.7477814002 -278.246248542988</t>
  </si>
  <si>
    <t>-433.444016858705 675.777414612171 165.195119700153</t>
  </si>
  <si>
    <t>-587.391608162536 727.631423473803 605.584580595411</t>
  </si>
  <si>
    <t>-572.070849179104 586.596853144583 709.594203636241</t>
  </si>
  <si>
    <t>9763-20170724T170002.997952400.bin</t>
  </si>
  <si>
    <t>-485.429581704267 839.049923103361 -274.495295720554</t>
  </si>
  <si>
    <t>-496.44508341063 848.082604184112 -394.765229367024</t>
  </si>
  <si>
    <t>-494.197851726181 855.648909378732 -515.712658785127</t>
  </si>
  <si>
    <t>-486.681985937059 861.821145867704 -624.800968931498</t>
  </si>
  <si>
    <t>-473.790174456584 867.3485845181 -733.420058101868</t>
  </si>
  <si>
    <t>-450.28101950149 874.354959878286 -883.747144826179</t>
  </si>
  <si>
    <t>-401.948585258209 862.749746068992 -972.698179349009</t>
  </si>
  <si>
    <t>-450.843827381298 901.344485454239 -814.290899709257</t>
  </si>
  <si>
    <t>-392.301444479441 1030.9462096279 -776.942116117981</t>
  </si>
  <si>
    <t>-353.404657502913 1029.13864928236 -462.824363129385</t>
  </si>
  <si>
    <t>-159.427626886074 927.361489121232 -322.623058868473</t>
  </si>
  <si>
    <t>-470.522348149943 841.165271335422 -820.173207613228</t>
  </si>
  <si>
    <t>-529.997418297389 706.907425990032 -812.344768857424</t>
  </si>
  <si>
    <t>-535.222189837333 578.006554606675 -523.305926132776</t>
  </si>
  <si>
    <t>-348.239644405411 516.598299734146 -693.331197731312</t>
  </si>
  <si>
    <t>-455.461782893951 933.867642305956 -270.103171641029</t>
  </si>
  <si>
    <t>-491.300739158724 925.348030197914 184.100191438833</t>
  </si>
  <si>
    <t>-532.418972933481 895.537464432869 651.007181042091</t>
  </si>
  <si>
    <t>-377.456053606912 877.762604609596 732.334067380579</t>
  </si>
  <si>
    <t>-515.499344686284 744.258658456033 -278.292046293606</t>
  </si>
  <si>
    <t>-434.256177614387 675.111156783487 164.73839304699</t>
  </si>
  <si>
    <t>-587.255815414814 727.743601090033 605.44217861251</t>
  </si>
  <si>
    <t>-571.918661410774 586.677096668793 709.406453870835</t>
  </si>
  <si>
    <t>9763-20170724T170003.062699200.bin</t>
  </si>
  <si>
    <t>-486.76199577908 840.435411457752 -274.578350726079</t>
  </si>
  <si>
    <t>-497.796934007732 850.160702335096 -394.792548642438</t>
  </si>
  <si>
    <t>-495.410593165932 858.72114559897 -515.670996511547</t>
  </si>
  <si>
    <t>-487.708232140647 865.894356817344 -624.685061286679</t>
  </si>
  <si>
    <t>-474.569919820425 872.518254406095 -733.213195469947</t>
  </si>
  <si>
    <t>-450.656906486339 881.140878526317 -883.392495653936</t>
  </si>
  <si>
    <t>-402.782058238371 869.973331768122 -972.64648847017</t>
  </si>
  <si>
    <t>-450.484683515184 907.050188954853 -813.52393557771</t>
  </si>
  <si>
    <t>-387.679085374595 1034.04593030131 -774.261251199372</t>
  </si>
  <si>
    <t>-355.415423519585 1016.01998737051 -459.904329976593</t>
  </si>
  <si>
    <t>-155.305975892154 915.228231942341 -327.846362267759</t>
  </si>
  <si>
    <t>-471.990579900313 847.601310486272 -820.361616331883</t>
  </si>
  <si>
    <t>-534.976546403798 714.832673996529 -814.476282079685</t>
  </si>
  <si>
    <t>-536.705812149195 577.42727230791 -529.339470950407</t>
  </si>
  <si>
    <t>-348.686006443153 519.791333751892 -699.541583474984</t>
  </si>
  <si>
    <t>-454.163867299455 934.817188281859 -270.055143714251</t>
  </si>
  <si>
    <t>-491.817451638055 926.612148359733 184.007235900599</t>
  </si>
  <si>
    <t>-532.243473162638 896.560268586348 650.844376086894</t>
  </si>
  <si>
    <t>-377.63295682499 876.723271670944 732.364891958</t>
  </si>
  <si>
    <t>-519.377731299387 746.028314115187 -278.529860543502</t>
  </si>
  <si>
    <t>-437.224523029788 674.276638789528 163.918148639137</t>
  </si>
  <si>
    <t>-587.095679842661 728.549567600696 605.6042571932</t>
  </si>
  <si>
    <t>-572.249084011135 587.013176093555 708.999476520144</t>
  </si>
  <si>
    <t>9763-20170724T170003.100801200.bin</t>
  </si>
  <si>
    <t>-487.433978619718 841.213767953876 -274.716701153989</t>
  </si>
  <si>
    <t>-498.320799569506 851.060923735023 -394.934406762171</t>
  </si>
  <si>
    <t>-495.857625435497 860.161127066145 -515.771779690584</t>
  </si>
  <si>
    <t>-488.115158842924 867.990180543829 -624.73801167083</t>
  </si>
  <si>
    <t>-474.965221528241 875.439745371422 -733.211200462383</t>
  </si>
  <si>
    <t>-451.065345351848 885.387434609352 -883.310593603192</t>
  </si>
  <si>
    <t>-403.562336535448 874.635149384419 -972.813912790198</t>
  </si>
  <si>
    <t>-450.607244916286 910.571444301764 -813.178713618822</t>
  </si>
  <si>
    <t>-386.824284713305 1036.61420533936 -772.517801035722</t>
  </si>
  <si>
    <t>-354.088762118971 1008.87705259085 -458.917500654944</t>
  </si>
  <si>
    <t>-149.002656949719 915.626701360994 -328.970831633888</t>
  </si>
  <si>
    <t>-472.673314712568 851.400408830074 -820.613775993925</t>
  </si>
  <si>
    <t>-536.859007270136 719.168324072355 -815.983864913108</t>
  </si>
  <si>
    <t>-537.183225778702 577.873530319238 -532.749135194311</t>
  </si>
  <si>
    <t>-348.758414552268 521.333173181149 -702.870819283426</t>
  </si>
  <si>
    <t>-453.692566260156 935.313224993964 -270.124529997788</t>
  </si>
  <si>
    <t>-491.746206473948 927.187883970217 183.905836627035</t>
  </si>
  <si>
    <t>-532.185947768864 897.000930965937 650.736177345018</t>
  </si>
  <si>
    <t>-377.769820052961 876.1336978838 732.36784945509</t>
  </si>
  <si>
    <t>-521.139264775097 747.123178185613 -278.68844901997</t>
  </si>
  <si>
    <t>-439.823797398536 674.671999021367 163.800350094285</t>
  </si>
  <si>
    <t>-587.408558247328 729.33059293431 606.199026317749</t>
  </si>
  <si>
    <t>-572.134234316593 587.237230176594 708.764470222437</t>
  </si>
  <si>
    <t>9763-20170724T170003.165995900.bin</t>
  </si>
  <si>
    <t>-487.387419113189 842.903593549406 -275.072975101067</t>
  </si>
  <si>
    <t>-498.024674764599 852.817983369117 -395.307518071822</t>
  </si>
  <si>
    <t>-495.466453778085 862.863192427626 -516.06816094877</t>
  </si>
  <si>
    <t>-487.701282808461 871.910622343131 -624.938227670499</t>
  </si>
  <si>
    <t>-474.591153105016 880.950613291895 -733.295269578152</t>
  </si>
  <si>
    <t>-450.811140826148 893.503417305928 -883.218383519292</t>
  </si>
  <si>
    <t>-403.851676193093 883.832953646442 -973.131095588946</t>
  </si>
  <si>
    <t>-450.09480001089 917.385906774934 -812.634776065425</t>
  </si>
  <si>
    <t>-384.556232521757 1042.12328508692 -770.39543742842</t>
  </si>
  <si>
    <t>-344.0648025656 1015.29532912522 -457.622519196642</t>
  </si>
  <si>
    <t>-140.74381605167 922.055136152871 -324.924113602477</t>
  </si>
  <si>
    <t>-472.571294175959 858.512579688032 -821.12928425065</t>
  </si>
  <si>
    <t>-537.714172277276 726.686089565279 -819.196802604031</t>
  </si>
  <si>
    <t>-535.314915396899 579.051966760415 -539.224464390504</t>
  </si>
  <si>
    <t>-346.933222961871 525.796743363948 -710.450305629471</t>
  </si>
  <si>
    <t>-452.329741355114 936.372028370228 -270.359521695032</t>
  </si>
  <si>
    <t>-491.213495344525 928.318916352056 183.601748049072</t>
  </si>
  <si>
    <t>-532.039298699811 897.54998367698 650.53842498795</t>
  </si>
  <si>
    <t>-377.899387339724 875.306475808531 732.328538699867</t>
  </si>
  <si>
    <t>-522.209578422272 749.835705241938 -279.083689672628</t>
  </si>
  <si>
    <t>-446.187425840084 677.10961045801 164.300179206599</t>
  </si>
  <si>
    <t>-588.148869347736 731.810963589865 608.460921457686</t>
  </si>
  <si>
    <t>-572.212413044302 587.819658460669 708.241208746893</t>
  </si>
  <si>
    <t>9763-20170724T170003.196075900.bin</t>
  </si>
  <si>
    <t>-486.776502064291 844.001899161315 -275.211548176702</t>
  </si>
  <si>
    <t>-497.122124368247 853.90845249251 -395.472340327487</t>
  </si>
  <si>
    <t>-494.488471455713 864.175530930074 -516.212567093726</t>
  </si>
  <si>
    <t>-486.743036474775 873.516630763049 -625.059301118726</t>
  </si>
  <si>
    <t>-473.739695687967 882.945490555374 -733.396202297464</t>
  </si>
  <si>
    <t>-450.19820809417 896.138701314073 -883.301934742031</t>
  </si>
  <si>
    <t>-403.514412174428 886.967707339078 -973.410131470293</t>
  </si>
  <si>
    <t>-449.299548132758 919.691338138212 -812.609737026286</t>
  </si>
  <si>
    <t>-382.695740584909 1043.86781544381 -770.50486817834</t>
  </si>
  <si>
    <t>-339.722678600924 1028.26483691399 -457.301934315703</t>
  </si>
  <si>
    <t>-144.356091056502 920.378493440714 -323.756053161571</t>
  </si>
  <si>
    <t>-471.92963754669 860.910882654038 -821.336710687977</t>
  </si>
  <si>
    <t>-537.102368954473 729.16786082748 -820.075509375977</t>
  </si>
  <si>
    <t>-532.367141927703 578.75910696043 -541.613657900002</t>
  </si>
  <si>
    <t>-344.517421924065 527.942643825623 -714.160049498382</t>
  </si>
  <si>
    <t>-451.555963307817 936.957860978476 -270.41759970237</t>
  </si>
  <si>
    <t>-490.981828148374 929.136686370715 183.501052754323</t>
  </si>
  <si>
    <t>-532.016949465814 897.713931230008 650.46599154852</t>
  </si>
  <si>
    <t>-377.940551206568 875.115937112644 732.278585566864</t>
  </si>
  <si>
    <t>-521.762792114556 751.471570779472 -279.305769498876</t>
  </si>
  <si>
    <t>-449.730155847606 678.88438942655 164.766370622029</t>
  </si>
  <si>
    <t>-588.269605283334 733.497727751924 609.995639974911</t>
  </si>
  <si>
    <t>-572.168680826734 588.246507034196 707.905732247161</t>
  </si>
  <si>
    <t>9763-20170724T170003.263831300.bin</t>
  </si>
  <si>
    <t>-485.111123210166 845.897927696061 -275.776649848468</t>
  </si>
  <si>
    <t>-494.82611164864 855.878812707519 -396.0837738428</t>
  </si>
  <si>
    <t>-492.233768765546 866.060477401842 -516.832201387636</t>
  </si>
  <si>
    <t>-484.795814820209 875.259946995287 -625.712384408738</t>
  </si>
  <si>
    <t>-472.367494549721 884.483089044843 -734.134378327197</t>
  </si>
  <si>
    <t>-449.900709022237 897.324515816054 -884.235522346518</t>
  </si>
  <si>
    <t>-404.092021663349 888.649166396975 -974.84060051824</t>
  </si>
  <si>
    <t>-448.415665632813 921.010341818501 -813.597733233369</t>
  </si>
  <si>
    <t>-380.848213332664 1044.9844218568 -772.60473153135</t>
  </si>
  <si>
    <t>-333.382945674564 1046.45600281307 -459.665253980215</t>
  </si>
  <si>
    <t>-161.477454778149 903.881977057347 -326.386542340652</t>
  </si>
  <si>
    <t>-471.267449705063 862.274973779019 -822.04315341068</t>
  </si>
  <si>
    <t>-536.055512117319 730.274584638194 -820.242716340087</t>
  </si>
  <si>
    <t>-524.645953581084 575.650514384918 -544.294443062696</t>
  </si>
  <si>
    <t>-338.965551588847 530.882288727574 -720.818204876144</t>
  </si>
  <si>
    <t>-449.682887734217 937.921135455937 -270.591969889297</t>
  </si>
  <si>
    <t>-490.2854028219 930.35067979706 183.227155584387</t>
  </si>
  <si>
    <t>-532.00874932268 897.945056823792 650.293949807787</t>
  </si>
  <si>
    <t>-377.954886890777 875.002730846662 732.053178521485</t>
  </si>
  <si>
    <t>-520.48079286205 753.810631111673 -280.432767274913</t>
  </si>
  <si>
    <t>-456.960365988685 683.73506753024 165.338676875823</t>
  </si>
  <si>
    <t>-589.390111695804 735.546275788984 612.318168897895</t>
  </si>
  <si>
    <t>-571.244735799759 589.036203349799 707.968836107118</t>
  </si>
  <si>
    <t>9763-20170724T170003.296924400.bin</t>
  </si>
  <si>
    <t>-484.54844795473 847.011538283094 -276.244533080569</t>
  </si>
  <si>
    <t>-494.038369047137 857.104732695662 -396.560308307364</t>
  </si>
  <si>
    <t>-491.569330475443 867.304003357751 -517.309866522019</t>
  </si>
  <si>
    <t>-484.382456932753 876.484116819605 -626.20853876886</t>
  </si>
  <si>
    <t>-472.343526048612 885.65418810472 -734.678920723125</t>
  </si>
  <si>
    <t>-450.560510845473 898.388590594356 -884.889913587458</t>
  </si>
  <si>
    <t>-405.212286375683 889.867753402076 -975.740964998994</t>
  </si>
  <si>
    <t>-448.757475545827 922.125992517361 -814.276957459861</t>
  </si>
  <si>
    <t>-381.105395545347 1046.02511255494 -773.398222673633</t>
  </si>
  <si>
    <t>-331.412702329675 1051.48341762874 -460.848940459858</t>
  </si>
  <si>
    <t>-171.39125252672 893.215733346578 -330.51658449609</t>
  </si>
  <si>
    <t>-471.640281091651 863.381654881061 -822.575556942076</t>
  </si>
  <si>
    <t>-536.086719617036 731.187805578126 -820.413224986276</t>
  </si>
  <si>
    <t>-520.600290304652 576.377006752644 -544.768649053131</t>
  </si>
  <si>
    <t>-336.095115318788 533.966710817183 -723.097762135771</t>
  </si>
  <si>
    <t>-448.903978902912 938.666368627347 -270.809777294747</t>
  </si>
  <si>
    <t>-490.027609131622 930.848559025418 182.958271004177</t>
  </si>
  <si>
    <t>-531.98616561241 897.950504116667 650.13144311386</t>
  </si>
  <si>
    <t>-377.939957614615 874.934298218401 731.884333364199</t>
  </si>
  <si>
    <t>-520.253825920223 755.36574005681 -281.239483778304</t>
  </si>
  <si>
    <t>-460.11654939271 687.099647389859 165.281481390524</t>
  </si>
  <si>
    <t>-590.182996090055 737.348947897734 613.038588884425</t>
  </si>
  <si>
    <t>-571.454779246401 590.768149596623 708.468109126263</t>
  </si>
  <si>
    <t>9763-20170724T170003.366114900.bin</t>
  </si>
  <si>
    <t>-483.313972849706 848.817331898452 -276.277625851513</t>
  </si>
  <si>
    <t>-492.745338562288 858.977239496875 -396.592310699197</t>
  </si>
  <si>
    <t>-490.466449676841 869.309984017056 -517.334206663306</t>
  </si>
  <si>
    <t>-483.55097471002 878.633696380487 -626.23826398504</t>
  </si>
  <si>
    <t>-471.881832701815 887.968556660098 -734.734935636189</t>
  </si>
  <si>
    <t>-450.714306594289 900.951588815287 -885.012719304748</t>
  </si>
  <si>
    <t>-406.055270090849 892.471330036167 -976.208200315496</t>
  </si>
  <si>
    <t>-448.54770611012 924.542075935247 -814.360618973496</t>
  </si>
  <si>
    <t>-380.764292514023 1048.27400707012 -772.874051868352</t>
  </si>
  <si>
    <t>-333.280527631829 1046.82746227941 -459.937291465717</t>
  </si>
  <si>
    <t>-185.629673673361 869.915214848383 -339.341661812507</t>
  </si>
  <si>
    <t>-471.612927070718 865.871639215173 -822.678351638268</t>
  </si>
  <si>
    <t>-535.453897252618 733.403670713072 -820.11836734347</t>
  </si>
  <si>
    <t>-511.816494544155 579.111827194267 -544.761256608434</t>
  </si>
  <si>
    <t>-326.492151586375 540.961671521123 -723.203077341077</t>
  </si>
  <si>
    <t>-447.722546452127 940.044499614256 -270.777916356392</t>
  </si>
  <si>
    <t>-489.294353145091 931.675553522378 182.939401408769</t>
  </si>
  <si>
    <t>-531.937846009578 897.818974497646 650.033265809607</t>
  </si>
  <si>
    <t>-377.912296981269 874.734641447624 731.805846885285</t>
  </si>
  <si>
    <t>-518.882086845644 757.368238183514 -280.871279645975</t>
  </si>
  <si>
    <t>-460.656609050505 690.278466841363 166.081134151373</t>
  </si>
  <si>
    <t>-590.865465405347 737.583710682664 614.913996045786</t>
  </si>
  <si>
    <t>-570.733340389561 590.482958904113 709.251932070934</t>
  </si>
  <si>
    <t>9763-20170724T170003.398199500.bin</t>
  </si>
  <si>
    <t>-483.597833048269 849.402006422567 -275.802052675133</t>
  </si>
  <si>
    <t>-493.188189479493 859.58409524163 -396.102315536391</t>
  </si>
  <si>
    <t>-491.022661939472 870.035925438702 -516.836071010979</t>
  </si>
  <si>
    <t>-484.190964550689 879.502940557394 -625.733124040998</t>
  </si>
  <si>
    <t>-472.586852561443 889.01473956148 -734.221457448143</t>
  </si>
  <si>
    <t>-451.490368907187 902.276696967313 -884.484751999424</t>
  </si>
  <si>
    <t>-407.076357997513 893.729843624395 -975.793692821384</t>
  </si>
  <si>
    <t>-449.231841589154 925.712119979843 -813.78393898606</t>
  </si>
  <si>
    <t>-381.616608945269 1049.30265867802 -771.549824958151</t>
  </si>
  <si>
    <t>-336.831221598002 1041.15932397157 -458.318150072942</t>
  </si>
  <si>
    <t>-192.257802490653 859.500696562664 -341.097108384241</t>
  </si>
  <si>
    <t>-472.417951395329 867.105343766405 -822.211774798065</t>
  </si>
  <si>
    <t>-536.062059369216 734.568465640796 -819.770493417416</t>
  </si>
  <si>
    <t>-508.814777912454 580.179993662994 -544.801439724503</t>
  </si>
  <si>
    <t>-321.9711585464 545.531420558143 -722.371146546669</t>
  </si>
  <si>
    <t>-447.734442913382 940.539174633142 -270.482168976941</t>
  </si>
  <si>
    <t>-489.416789609333 931.937997955316 183.220610902357</t>
  </si>
  <si>
    <t>-531.940471105078 897.648904018628 650.130802283619</t>
  </si>
  <si>
    <t>-377.932116736554 874.535940483363 731.927666538057</t>
  </si>
  <si>
    <t>-519.736371706097 757.943805972643 -280.118238582126</t>
  </si>
  <si>
    <t>-459.91744612518 690.516240520074 166.572864381401</t>
  </si>
  <si>
    <t>-592.019118932843 737.106350359516 615.159877749152</t>
  </si>
  <si>
    <t>-570.345217948262 590.098941674949 709.300855441102</t>
  </si>
  <si>
    <t>9763-20170724T170003.464908600.bin</t>
  </si>
  <si>
    <t>-484.702366680413 849.430687701121 -274.870280347364</t>
  </si>
  <si>
    <t>-494.804166329156 859.501442532202 -395.138102634566</t>
  </si>
  <si>
    <t>-492.805557974777 870.052377443501 -515.866001280644</t>
  </si>
  <si>
    <t>-485.985554372476 879.686582932562 -624.749010918435</t>
  </si>
  <si>
    <t>-474.25468132734 889.43898384469 -733.202440265443</t>
  </si>
  <si>
    <t>-452.838827134601 903.108062141819 -883.384078779014</t>
  </si>
  <si>
    <t>-408.527738126835 894.234969357483 -974.712004320083</t>
  </si>
  <si>
    <t>-450.651393723844 926.319143957908 -812.607127818252</t>
  </si>
  <si>
    <t>-382.515268731764 1049.36896641546 -769.686836167683</t>
  </si>
  <si>
    <t>-342.975594171223 1039.74374920504 -455.791802907456</t>
  </si>
  <si>
    <t>-199.969953151121 853.834123049867 -343.412589022433</t>
  </si>
  <si>
    <t>-473.977919608997 867.800845761495 -821.259596224812</t>
  </si>
  <si>
    <t>-537.265111750769 735.105081536356 -819.132360505025</t>
  </si>
  <si>
    <t>-502.391367812547 579.427462235983 -545.75636696253</t>
  </si>
  <si>
    <t>-311.177114119798 552.764073412234 -720.021002611912</t>
  </si>
  <si>
    <t>-448.119407213119 940.840984105881 -269.942886627631</t>
  </si>
  <si>
    <t>-490.34326056131 931.943446171761 183.704188291446</t>
  </si>
  <si>
    <t>-531.973153950135 897.394271662753 650.336491006884</t>
  </si>
  <si>
    <t>-378.006040423424 874.180083854525 732.182377091993</t>
  </si>
  <si>
    <t>-521.410363481949 757.744023586928 -278.934466805023</t>
  </si>
  <si>
    <t>-456.296864672952 689.891000257569 166.951012419203</t>
  </si>
  <si>
    <t>-592.14716838566 737.779472349381 614.193303054535</t>
  </si>
  <si>
    <t>-568.765629632327 591.191971051349 708.58017235439</t>
  </si>
  <si>
    <t>9763-20170724T170003.497006000.bin</t>
  </si>
  <si>
    <t>-484.910606208174 848.93457314637 -274.608363091223</t>
  </si>
  <si>
    <t>-495.100758231532 858.972403788378 -394.871439107323</t>
  </si>
  <si>
    <t>-493.199720061967 869.44689972182 -515.607624473952</t>
  </si>
  <si>
    <t>-486.471078268464 878.994406546969 -624.504141096606</t>
  </si>
  <si>
    <t>-474.834699811707 888.641507703979 -732.977111650315</t>
  </si>
  <si>
    <t>-453.553154397609 902.145096308614 -883.192780519556</t>
  </si>
  <si>
    <t>-409.239707667129 892.989996148789 -974.491667052341</t>
  </si>
  <si>
    <t>-451.335997996515 925.44777039258 -812.446839246087</t>
  </si>
  <si>
    <t>-383.030799659324 1048.6088534775 -769.961095074539</t>
  </si>
  <si>
    <t>-344.85883596866 1040.6080267049 -455.851195039605</t>
  </si>
  <si>
    <t>-198.405593689203 853.891156988499 -349.407259172983</t>
  </si>
  <si>
    <t>-474.603276839495 866.892146415925 -821.006998099915</t>
  </si>
  <si>
    <t>-537.274054304112 733.916861757968 -818.588902647719</t>
  </si>
  <si>
    <t>-497.82785840163 577.011701519304 -546.539235015593</t>
  </si>
  <si>
    <t>-304.210414323341 554.784228539033 -718.760830279309</t>
  </si>
  <si>
    <t>-448.346871799728 940.626487522958 -269.761703023072</t>
  </si>
  <si>
    <t>-490.661757785244 931.581149361696 183.873955938794</t>
  </si>
  <si>
    <t>-532.039592196594 897.143859577388 650.496063728773</t>
  </si>
  <si>
    <t>-378.043287254662 873.999215172306 732.306665079541</t>
  </si>
  <si>
    <t>-521.337088233647 757.207128043171 -278.661841833465</t>
  </si>
  <si>
    <t>-454.018608294346 688.460498471622 166.759036812173</t>
  </si>
  <si>
    <t>-591.165886918314 737.90545342396 613.616005358464</t>
  </si>
  <si>
    <t>-569.311891904945 591.210876565248 708.202481088628</t>
  </si>
  <si>
    <t>9763-20170724T170003.567222200.bin</t>
  </si>
  <si>
    <t>-485.46798751134 847.987527542459 -274.319205756507</t>
  </si>
  <si>
    <t>-495.483901662101 858.171970175305 -394.584618328185</t>
  </si>
  <si>
    <t>-493.671577456651 868.551563995691 -515.330415321717</t>
  </si>
  <si>
    <t>-487.12826131235 877.924644103141 -624.253218957192</t>
  </si>
  <si>
    <t>-475.781754464051 887.312789214774 -732.779626613256</t>
  </si>
  <si>
    <t>-455.010964700207 900.372772751871 -883.105905557439</t>
  </si>
  <si>
    <t>-410.582701396685 890.749706695678 -974.300856870578</t>
  </si>
  <si>
    <t>-452.877958066673 924.016089852094 -812.470415526593</t>
  </si>
  <si>
    <t>-385.338991784216 1047.86870268315 -771.026392309542</t>
  </si>
  <si>
    <t>-340.965264890262 1044.23267332111 -457.651257724698</t>
  </si>
  <si>
    <t>-184.550192970746 857.379083046809 -366.754954647044</t>
  </si>
  <si>
    <t>-475.52482781299 865.172170610885 -820.711904886854</t>
  </si>
  <si>
    <t>-535.887253273344 731.132519332867 -817.426384230794</t>
  </si>
  <si>
    <t>-486.290243893025 572.042796756534 -548.322814557828</t>
  </si>
  <si>
    <t>-286.882310228771 557.785510653267 -714.681484221007</t>
  </si>
  <si>
    <t>-449.226965887392 939.938918002361 -269.357640644399</t>
  </si>
  <si>
    <t>-490.857509732148 930.258081556214 184.328205487691</t>
  </si>
  <si>
    <t>-532.296154144277 896.292696708582 650.939360079676</t>
  </si>
  <si>
    <t>-378.10941524405 873.790791180184 732.570382734432</t>
  </si>
  <si>
    <t>-521.651501835133 756.268541508855 -278.657999040724</t>
  </si>
  <si>
    <t>-452.590950938424 685.824173660377 166.230536359279</t>
  </si>
  <si>
    <t>-587.329038886002 739.914398702532 613.416857317775</t>
  </si>
  <si>
    <t>-569.656486057795 592.63172136731 707.962869095694</t>
  </si>
  <si>
    <t>9763-20170724T170003.599312100.bin</t>
  </si>
  <si>
    <t>-485.870703310414 847.451286181244 -274.374393135272</t>
  </si>
  <si>
    <t>-495.798599830188 857.76560088257 -394.636032869699</t>
  </si>
  <si>
    <t>-494.136873434941 868.137851973379 -515.384696669128</t>
  </si>
  <si>
    <t>-487.824593259892 877.456132107174 -624.325702488999</t>
  </si>
  <si>
    <t>-476.803441253633 886.743793610439 -732.894247384901</t>
  </si>
  <si>
    <t>-456.582145895269 899.619691358009 -883.311437619786</t>
  </si>
  <si>
    <t>-412.187469283839 889.756841494345 -974.497040237044</t>
  </si>
  <si>
    <t>-454.440930025619 923.447935924419 -812.738418434337</t>
  </si>
  <si>
    <t>-387.745829291455 1047.93880741173 -771.785342314099</t>
  </si>
  <si>
    <t>-336.914896421156 1045.61994942117 -459.380187541527</t>
  </si>
  <si>
    <t>-176.625947310744 857.237314265838 -378.996519781311</t>
  </si>
  <si>
    <t>-476.617934517326 864.397110216345 -820.774525631812</t>
  </si>
  <si>
    <t>-535.451080597137 729.67621512304 -816.94080773397</t>
  </si>
  <si>
    <t>-479.911862001739 569.52583249577 -549.633115815905</t>
  </si>
  <si>
    <t>-278.642087664585 559.315236010322 -714.035910498638</t>
  </si>
  <si>
    <t>-449.781067608658 939.435845460249 -269.215057354487</t>
  </si>
  <si>
    <t>-490.843438201128 929.389173139923 184.514542325371</t>
  </si>
  <si>
    <t>-532.412231579002 895.768623265289 651.106866906836</t>
  </si>
  <si>
    <t>-378.109160289101 873.777203304406 732.657146796557</t>
  </si>
  <si>
    <t>-521.963710625877 755.649433790294 -278.95221272454</t>
  </si>
  <si>
    <t>-453.096621599202 684.912584702264 165.919921897361</t>
  </si>
  <si>
    <t>-585.582769397454 740.900749771636 613.633730063604</t>
  </si>
  <si>
    <t>-570.348420114953 593.269009069522 708.059719457324</t>
  </si>
  <si>
    <t>9763-20170724T170003.662727100.bin</t>
  </si>
  <si>
    <t>-486.286380419148 847.311221452703 -274.370255529007</t>
  </si>
  <si>
    <t>-496.190369933141 857.600527418399 -394.636152093309</t>
  </si>
  <si>
    <t>-494.960940310014 867.951497781881 -515.391672195992</t>
  </si>
  <si>
    <t>-489.220969559882 877.259494199708 -624.36533349994</t>
  </si>
  <si>
    <t>-478.95238298218 886.548098593068 -733.007426919703</t>
  </si>
  <si>
    <t>-459.963374439905 899.439437968613 -883.583900419404</t>
  </si>
  <si>
    <t>-415.729148984832 889.240681106834 -974.810433404144</t>
  </si>
  <si>
    <t>-457.71116224206 923.437649561501 -813.071935613697</t>
  </si>
  <si>
    <t>-392.629749114918 1048.97962726928 -772.777479169446</t>
  </si>
  <si>
    <t>-324.260041808432 1049.35214427214 -463.727864230716</t>
  </si>
  <si>
    <t>-159.202618812174 857.973719364511 -402.308076202447</t>
  </si>
  <si>
    <t>-479.019776956668 864.032828901827 -820.845062604093</t>
  </si>
  <si>
    <t>-534.651633208463 727.985379838145 -816.148438318864</t>
  </si>
  <si>
    <t>-467.225456327791 566.247844991728 -552.556327005608</t>
  </si>
  <si>
    <t>-263.693553508711 563.760738332057 -714.453323358234</t>
  </si>
  <si>
    <t>-450.968030880069 939.181806935224 -269.000725174862</t>
  </si>
  <si>
    <t>-491.132573059691 928.741123997349 184.800406138383</t>
  </si>
  <si>
    <t>-532.62713997811 895.018583667982 651.33792026145</t>
  </si>
  <si>
    <t>-378.090577679676 874.118576667614 732.732905976529</t>
  </si>
  <si>
    <t>-521.553316122023 755.610407854862 -279.078129063729</t>
  </si>
  <si>
    <t>-453.587492172827 684.663726730286 165.899225176977</t>
  </si>
  <si>
    <t>-583.045019601454 742.536520241812 614.17336133537</t>
  </si>
  <si>
    <t>-571.681020279608 594.318856386626 708.225901391701</t>
  </si>
  <si>
    <t>9763-20170724T170003.697821700.bin</t>
  </si>
  <si>
    <t>-485.950377061145 847.728092420659 -274.343422776354</t>
  </si>
  <si>
    <t>-495.883609448136 857.872074016559 -394.619045029408</t>
  </si>
  <si>
    <t>-494.874391760726 868.181899858107 -515.380161148413</t>
  </si>
  <si>
    <t>-489.409467939853 877.496603332404 -624.367345422977</t>
  </si>
  <si>
    <t>-479.491555823455 886.835397044918 -733.037875154365</t>
  </si>
  <si>
    <t>-461.068142885891 899.842410908921 -883.67450552271</t>
  </si>
  <si>
    <t>-416.983956402308 889.500497995001 -974.957790120185</t>
  </si>
  <si>
    <t>-458.731940503634 923.853132615793 -813.169568557586</t>
  </si>
  <si>
    <t>-393.998887865794 1049.6305262428 -773.034852932537</t>
  </si>
  <si>
    <t>-317.584067241787 1049.84808451348 -465.8754847845</t>
  </si>
  <si>
    <t>-151.181411330998 857.048544043476 -413.144827145565</t>
  </si>
  <si>
    <t>-479.707916150816 864.321303220613 -820.87546589941</t>
  </si>
  <si>
    <t>-534.122152340891 727.774015063552 -815.812952603396</t>
  </si>
  <si>
    <t>-461.157760450845 564.151602870379 -554.87220472363</t>
  </si>
  <si>
    <t>-256.687105653404 565.400074744774 -715.596244105834</t>
  </si>
  <si>
    <t>-451.222200911883 939.479416935445 -269.002652414213</t>
  </si>
  <si>
    <t>-491.240676210665 928.914261344965 184.808570637547</t>
  </si>
  <si>
    <t>-532.700729986679 894.883968643733 651.371612323633</t>
  </si>
  <si>
    <t>-378.092967689031 874.319168235145 732.716777486024</t>
  </si>
  <si>
    <t>-520.470496599357 756.031436887558 -279.023489353847</t>
  </si>
  <si>
    <t>-452.916996037161 685.382555493145 166.064123437686</t>
  </si>
  <si>
    <t>-582.969466182011 742.667389524968 614.201874682123</t>
  </si>
  <si>
    <t>-572.022214822109 594.416144165483 708.250847209462</t>
  </si>
  <si>
    <t>9763-20170724T170003.767771400.bin</t>
  </si>
  <si>
    <t>-484.690279172308 848.714600318831 -273.964109148873</t>
  </si>
  <si>
    <t>-494.794202132706 858.524922242753 -394.253234623707</t>
  </si>
  <si>
    <t>-494.102917958656 868.782842239147 -515.021034482511</t>
  </si>
  <si>
    <t>-488.983761072013 878.162165944461 -624.019584753357</t>
  </si>
  <si>
    <t>-479.46939283702 887.675777468367 -732.711071001908</t>
  </si>
  <si>
    <t>-461.666888089919 901.03839190785 -883.391133989187</t>
  </si>
  <si>
    <t>-417.838146220349 890.485255242848 -974.773109490885</t>
  </si>
  <si>
    <t>-459.263399166496 924.962983423429 -812.859199156174</t>
  </si>
  <si>
    <t>-394.289910623916 1050.6864996973 -772.940743836539</t>
  </si>
  <si>
    <t>-305.612482373826 1049.64075460346 -469.096341097518</t>
  </si>
  <si>
    <t>-136.394133003447 855.860021338251 -430.93654564962</t>
  </si>
  <si>
    <t>-479.824506869545 865.28871355804 -820.580514247733</t>
  </si>
  <si>
    <t>-532.654833063493 728.152928295138 -815.225792159331</t>
  </si>
  <si>
    <t>-451.365870739135 559.942792320275 -559.719062770532</t>
  </si>
  <si>
    <t>-245.10811632031 568.816586952046 -717.899614945092</t>
  </si>
  <si>
    <t>-451.236980820784 940.391865996435 -268.906261680958</t>
  </si>
  <si>
    <t>-491.199334039662 929.60891655837 184.904651719671</t>
  </si>
  <si>
    <t>-532.776578968549 894.835407116142 651.450375764735</t>
  </si>
  <si>
    <t>-378.085506892754 874.684667687082 732.740836960179</t>
  </si>
  <si>
    <t>-518.080530045222 756.938492697901 -278.24223090808</t>
  </si>
  <si>
    <t>-450.368853249503 686.844127792039 166.908973397366</t>
  </si>
  <si>
    <t>-584.229765080614 742.589140534545 614.434943324156</t>
  </si>
  <si>
    <t>-572.533465408662 594.460049315288 708.586047668696</t>
  </si>
  <si>
    <t>9763-20170724T170003.795846400.bin</t>
  </si>
  <si>
    <t>-484.439929235367 848.86106024501 -273.858649768682</t>
  </si>
  <si>
    <t>-494.615508044335 858.545079038184 -394.151962565314</t>
  </si>
  <si>
    <t>-494.063463145036 868.807298572818 -514.920133628694</t>
  </si>
  <si>
    <t>-489.096921031057 878.241701005323 -623.920926993506</t>
  </si>
  <si>
    <t>-479.761796739093 887.860204813174 -732.618607340375</t>
  </si>
  <si>
    <t>-462.235765127175 901.420218287136 -883.313499783583</t>
  </si>
  <si>
    <t>-418.553183580111 890.815368217706 -974.759481990696</t>
  </si>
  <si>
    <t>-459.788367295874 925.282631301293 -812.762154517991</t>
  </si>
  <si>
    <t>-394.7217823831 1051.01533870825 -772.985730026298</t>
  </si>
  <si>
    <t>-300.464470336337 1049.29699907653 -470.828942232583</t>
  </si>
  <si>
    <t>-132.045191863939 853.661929985813 -439.144500415351</t>
  </si>
  <si>
    <t>-480.192570686911 865.558233778351 -820.509354573488</t>
  </si>
  <si>
    <t>-532.513235295856 728.228912676526 -815.096485071515</t>
  </si>
  <si>
    <t>-447.895696091307 557.279739666502 -562.504957555075</t>
  </si>
  <si>
    <t>-240.889726294096 569.059007680785 -719.514220631796</t>
  </si>
  <si>
    <t>-451.342774282923 940.614332096864 -268.889546528406</t>
  </si>
  <si>
    <t>-491.171127081557 929.689917975734 184.929851432535</t>
  </si>
  <si>
    <t>-532.784103211602 894.750889438959 651.467615681058</t>
  </si>
  <si>
    <t>-378.042573477303 874.955675579656 732.74933558839</t>
  </si>
  <si>
    <t>-517.619170152795 756.877650074644 -278.059055367079</t>
  </si>
  <si>
    <t>-449.469610341513 686.934127649174 167.049096134724</t>
  </si>
  <si>
    <t>-584.309357743977 742.43451904885 614.182398720386</t>
  </si>
  <si>
    <t>-572.46155531284 594.418185035518 708.491829087842</t>
  </si>
  <si>
    <t>9763-20170724T170003.833506300.bin</t>
  </si>
  <si>
    <t>-484.470892477638 848.640577854192 -273.864036947227</t>
  </si>
  <si>
    <t>-494.677729636395 858.269060496387 -394.159178080283</t>
  </si>
  <si>
    <t>-494.304118154521 868.55256095293 -514.926154455001</t>
  </si>
  <si>
    <t>-489.557386716936 878.03644244747 -623.932570917834</t>
  </si>
  <si>
    <t>-480.500323814939 887.732841258955 -732.646872931301</t>
  </si>
  <si>
    <t>-463.420935780472 901.430322785268 -883.380708345032</t>
  </si>
  <si>
    <t>-419.915959212129 890.732704885223 -974.900447846672</t>
  </si>
  <si>
    <t>-460.823349131712 925.249224731549 -812.819742376812</t>
  </si>
  <si>
    <t>-395.902984491419 1051.14708553796 -773.259111902301</t>
  </si>
  <si>
    <t>-296.536714941524 1048.48760560148 -472.750433471256</t>
  </si>
  <si>
    <t>-130.475710132 850.082565038334 -446.26908973151</t>
  </si>
  <si>
    <t>-481.132708517207 865.489987376295 -820.551445369383</t>
  </si>
  <si>
    <t>-533.043924571489 728.026931423877 -815.180530085111</t>
  </si>
  <si>
    <t>-445.413542937329 554.504362641635 -565.386397254314</t>
  </si>
  <si>
    <t>-237.437503748421 567.381517608543 -721.021218908685</t>
  </si>
  <si>
    <t>-451.575092599311 940.602345221265 -268.911314870906</t>
  </si>
  <si>
    <t>-491.175797508564 929.594262634237 184.926057457007</t>
  </si>
  <si>
    <t>-532.808616056242 894.745907593109 651.464508405939</t>
  </si>
  <si>
    <t>-378.047375684421 875.093154870247 732.743283595787</t>
  </si>
  <si>
    <t>-517.484790321704 756.411522068501 -278.114195385084</t>
  </si>
  <si>
    <t>-448.744373812341 686.480152887687 166.904836345285</t>
  </si>
  <si>
    <t>-584.06037512158 742.179904708534 613.730516772968</t>
  </si>
  <si>
    <t>-572.001701678707 594.322665506271 708.262538213192</t>
  </si>
  <si>
    <t>9763-20170724T170003.899681900.bin</t>
  </si>
  <si>
    <t>-484.205188199253 847.524152070041 -274.011378005416</t>
  </si>
  <si>
    <t>-494.839474909258 857.280383313253 -394.259146899745</t>
  </si>
  <si>
    <t>-494.984793460584 867.730244717999 -515.012418354285</t>
  </si>
  <si>
    <t>-490.742061502322 877.376173947228 -624.025339660183</t>
  </si>
  <si>
    <t>-482.223137359788 887.243334199387 -732.767647659694</t>
  </si>
  <si>
    <t>-465.92662307749 901.185153346211 -883.565863518274</t>
  </si>
  <si>
    <t>-422.643630808752 890.155389880627 -975.151354946717</t>
  </si>
  <si>
    <t>-462.989392074467 924.899164279568 -812.982926567809</t>
  </si>
  <si>
    <t>-397.870763633578 1050.70708233482 -773.522085162529</t>
  </si>
  <si>
    <t>-291.57942570676 1044.91791649333 -475.436768881861</t>
  </si>
  <si>
    <t>-131.147864394017 841.479045914456 -452.711428461231</t>
  </si>
  <si>
    <t>-483.285237820803 865.133589288924 -820.701629298438</t>
  </si>
  <si>
    <t>-534.900587238033 727.527874483488 -815.441179333182</t>
  </si>
  <si>
    <t>-442.85186296139 549.112992864658 -570.734315299765</t>
  </si>
  <si>
    <t>-232.703950495817 560.719649260211 -723.525771500156</t>
  </si>
  <si>
    <t>-451.78534416747 939.879906049056 -268.985298565217</t>
  </si>
  <si>
    <t>-490.837805470607 929.034628478373 184.903350668747</t>
  </si>
  <si>
    <t>-532.852867952086 894.564994268361 651.456244701427</t>
  </si>
  <si>
    <t>-378.019475833554 875.396153020918 732.713154061013</t>
  </si>
  <si>
    <t>-516.588577189444 754.936601108511 -278.336639993581</t>
  </si>
  <si>
    <t>-446.463902521582 685.184800605562 166.494628478274</t>
  </si>
  <si>
    <t>-583.34163922053 741.742130727227 612.833834511888</t>
  </si>
  <si>
    <t>-572.205970431339 594.254749898783 708.05451191837</t>
  </si>
  <si>
    <t>9763-20170724T170003.968732400.bin</t>
  </si>
  <si>
    <t>-484.088546331357 845.74927999196 -273.791785828655</t>
  </si>
  <si>
    <t>-495.211620674988 855.63248172898 -393.985010756828</t>
  </si>
  <si>
    <t>-495.461469497778 866.175674448935 -514.729943761841</t>
  </si>
  <si>
    <t>-491.157912974544 875.884885059802 -623.734805875612</t>
  </si>
  <si>
    <t>-482.423169896717 885.790350553558 -732.456633304311</t>
  </si>
  <si>
    <t>-465.66585014158 899.755493347137 -883.201999150266</t>
  </si>
  <si>
    <t>-422.411572649163 888.311424229478 -974.750348511652</t>
  </si>
  <si>
    <t>-462.764396276507 923.395144163881 -812.592660162129</t>
  </si>
  <si>
    <t>-396.070153548797 1048.30648273865 -772.888735541612</t>
  </si>
  <si>
    <t>-288.679650076556 1039.67453225447 -475.26665097367</t>
  </si>
  <si>
    <t>-135.062012603072 831.578665368011 -448.067379676908</t>
  </si>
  <si>
    <t>-483.396452363843 863.757729009841 -820.410996041374</t>
  </si>
  <si>
    <t>-535.44320229032 726.329982962308 -815.067240874768</t>
  </si>
  <si>
    <t>-442.891729806978 542.803469866318 -574.363087735241</t>
  </si>
  <si>
    <t>-231.111682774603 549.892541641979 -725.164474826</t>
  </si>
  <si>
    <t>-451.832048969842 938.693348537767 -268.900451663191</t>
  </si>
  <si>
    <t>-490.47701635358 928.277206935541 185.033186919093</t>
  </si>
  <si>
    <t>-532.908031815786 894.533028443949 651.528030792538</t>
  </si>
  <si>
    <t>-378.061906154396 875.389181910277 732.766491401067</t>
  </si>
  <si>
    <t>-516.252570510537 752.585184700737 -277.881182031731</t>
  </si>
  <si>
    <t>-443.733127111744 683.371758130335 166.650016033134</t>
  </si>
  <si>
    <t>-583.792508106794 740.862820927013 611.706576799186</t>
  </si>
  <si>
    <t>-572.008115606122 594.057571793805 707.898597308293</t>
  </si>
  <si>
    <t>9763-20170724T170003.995802800.bin</t>
  </si>
  <si>
    <t>-484.008611022436 844.34524337037 -273.52705950335</t>
  </si>
  <si>
    <t>-495.38407193112 854.228630532052 -393.696563844733</t>
  </si>
  <si>
    <t>-495.626804322535 864.697394964601 -514.448114694487</t>
  </si>
  <si>
    <t>-491.212166540558 874.301699562448 -623.457718348001</t>
  </si>
  <si>
    <t>-482.261788487919 884.061218855614 -732.175209409625</t>
  </si>
  <si>
    <t>-465.096558713122 897.775882963358 -882.897802072126</t>
  </si>
  <si>
    <t>-421.854818498299 885.981262801707 -974.407465604182</t>
  </si>
  <si>
    <t>-462.183846077697 921.459799936566 -812.303743598798</t>
  </si>
  <si>
    <t>-394.473216288806 1045.9582196919 -772.782378772195</t>
  </si>
  <si>
    <t>-288.728041888066 1035.99815102543 -474.613055957157</t>
  </si>
  <si>
    <t>-137.758327938592 826.311102129929 -444.921875397623</t>
  </si>
  <si>
    <t>-483.199402213811 861.955467571902 -820.111683518081</t>
  </si>
  <si>
    <t>-535.969234141369 724.847293579941 -814.593460743971</t>
  </si>
  <si>
    <t>-444.159230330706 539.225790275141 -575.215628311396</t>
  </si>
  <si>
    <t>-231.684608212425 542.601823438693 -725.166361255676</t>
  </si>
  <si>
    <t>-451.922592833937 937.733612785557 -268.807636381551</t>
  </si>
  <si>
    <t>-490.297350220997 927.898081482095 185.161827549672</t>
  </si>
  <si>
    <t>-532.921369509623 894.561872887036 651.589349083274</t>
  </si>
  <si>
    <t>-378.088618433121 875.25297726477 732.81436279659</t>
  </si>
  <si>
    <t>-515.888144855003 750.584326983397 -277.461666140507</t>
  </si>
  <si>
    <t>-441.354581587785 681.962620158751 166.828255426829</t>
  </si>
  <si>
    <t>-584.074900080928 740.222939474042 610.844113619591</t>
  </si>
  <si>
    <t>-572.566571310345 593.82471468104 707.687119330886</t>
  </si>
  <si>
    <t>9763-20170724T170004.067526900.bin</t>
  </si>
  <si>
    <t>-484.643461551068 839.899014139387 -273.30274322276</t>
  </si>
  <si>
    <t>-496.477266967326 850.204934501692 -393.392505056271</t>
  </si>
  <si>
    <t>-496.537124678679 860.645310373772 -514.146698444183</t>
  </si>
  <si>
    <t>-491.700338485875 870.02833483536 -623.15770929779</t>
  </si>
  <si>
    <t>-482.072447449182 879.365126938606 -731.854466095613</t>
  </si>
  <si>
    <t>-463.701201284713 892.276838247396 -882.505762980535</t>
  </si>
  <si>
    <t>-420.275718034549 879.506620579255 -973.797164637379</t>
  </si>
  <si>
    <t>-460.788079132622 916.125268931712 -811.967173227186</t>
  </si>
  <si>
    <t>-391.077217220892 1039.43154939894 -772.601082464272</t>
  </si>
  <si>
    <t>-289.17827711057 1029.06061346242 -473.109506143313</t>
  </si>
  <si>
    <t>-144.393142873607 815.562743739135 -439.972922332258</t>
  </si>
  <si>
    <t>-482.87167080315 857.00249485035 -819.727314669698</t>
  </si>
  <si>
    <t>-537.882487786253 720.726129287528 -813.923957828265</t>
  </si>
  <si>
    <t>-448.994228816999 529.120471730563 -578.186239188513</t>
  </si>
  <si>
    <t>-235.124270538825 526.721269264502 -726.158998389419</t>
  </si>
  <si>
    <t>-452.160520456318 934.720989239647 -268.570852105877</t>
  </si>
  <si>
    <t>-491.308022959866 926.187261485845 185.358950837881</t>
  </si>
  <si>
    <t>-532.976306271766 894.827726902866 651.767523459143</t>
  </si>
  <si>
    <t>-378.26955331239 874.420813359035 732.964105219961</t>
  </si>
  <si>
    <t>-517.015729018775 744.546575578632 -277.113469415918</t>
  </si>
  <si>
    <t>-433.753140728229 677.198614113682 165.81909223502</t>
  </si>
  <si>
    <t>-583.538072998588 737.476522820988 606.850603083504</t>
  </si>
  <si>
    <t>-573.295562935967 593.269987654064 707.065653415131</t>
  </si>
  <si>
    <t>9763-20170724T170004.100620000.bin</t>
  </si>
  <si>
    <t>-486.009086596156 836.950025689167 -273.341746912601</t>
  </si>
  <si>
    <t>-497.965521723443 847.600019749837 -393.389316698749</t>
  </si>
  <si>
    <t>-497.854479558015 858.125409563102 -514.136040122491</t>
  </si>
  <si>
    <t>-492.74624921179 867.475721571112 -623.137532331664</t>
  </si>
  <si>
    <t>-482.730920734656 876.668571628333 -731.811568660353</t>
  </si>
  <si>
    <t>-463.701649678959 889.26219834902 -882.407961434043</t>
  </si>
  <si>
    <t>-420.077784455253 875.95856710448 -973.528450863353</t>
  </si>
  <si>
    <t>-460.783935304014 913.137176555717 -811.878610727882</t>
  </si>
  <si>
    <t>-390.042776509458 1035.90898706937 -772.504683848799</t>
  </si>
  <si>
    <t>-289.905694955403 1024.84816322939 -472.444022604172</t>
  </si>
  <si>
    <t>-147.406450272987 810.076322395799 -437.672131563833</t>
  </si>
  <si>
    <t>-483.459079888408 854.242705387265 -819.668862252103</t>
  </si>
  <si>
    <t>-539.766089781009 718.528070216693 -813.893672882847</t>
  </si>
  <si>
    <t>-453.713671609222 523.595348710762 -579.837071925301</t>
  </si>
  <si>
    <t>-238.817869520245 517.971933528022 -726.227850448259</t>
  </si>
  <si>
    <t>-452.830765862713 932.72456757898 -268.531317383819</t>
  </si>
  <si>
    <t>-492.175329634512 924.932351779451 185.394905749141</t>
  </si>
  <si>
    <t>-533.03321420271 894.968821745712 651.890715218043</t>
  </si>
  <si>
    <t>-378.40050605456 873.785603261512 733.029480850223</t>
  </si>
  <si>
    <t>-519.331225007238 740.558930331201 -277.29430345848</t>
  </si>
  <si>
    <t>-428.045765809163 672.89150625608 164.005780598756</t>
  </si>
  <si>
    <t>-582.478528448586 734.571668764949 603.054572712439</t>
  </si>
  <si>
    <t>-573.898701820496 592.734878406537 706.747619861387</t>
  </si>
  <si>
    <t>9763-20170724T170004.163288200.bin</t>
  </si>
  <si>
    <t>-491.902417561737 829.959731039143 -273.605400086922</t>
  </si>
  <si>
    <t>-504.219993705838 841.276910310825 -393.555349992783</t>
  </si>
  <si>
    <t>-503.694973536098 851.944701960177 -514.288614618935</t>
  </si>
  <si>
    <t>-497.90426572743 861.18965188258 -623.26495332061</t>
  </si>
  <si>
    <t>-486.901414391004 870.033711133337 -731.872368073844</t>
  </si>
  <si>
    <t>-466.18608069798 881.878134167519 -882.307054340706</t>
  </si>
  <si>
    <t>-422.050635218007 867.365177556846 -972.995594165708</t>
  </si>
  <si>
    <t>-463.312781323489 905.796895469155 -811.790660433762</t>
  </si>
  <si>
    <t>-390.207864497886 1027.10374319433 -772.263799950293</t>
  </si>
  <si>
    <t>-293.85499162685 1013.21159104397 -471.083843060659</t>
  </si>
  <si>
    <t>-156.57031652425 795.959198058068 -431.129157669681</t>
  </si>
  <si>
    <t>-487.391147876841 847.477807993863 -819.698164014096</t>
  </si>
  <si>
    <t>-546.991257706261 713.164687639437 -814.402686797414</t>
  </si>
  <si>
    <t>-468.630305662704 510.508790587473 -584.236725925561</t>
  </si>
  <si>
    <t>-250.625009991877 498.021303758363 -725.515788903871</t>
  </si>
  <si>
    <t>-456.071475860987 927.438643544066 -268.738175821538</t>
  </si>
  <si>
    <t>-494.924007654869 921.537770323491 185.25889865399</t>
  </si>
  <si>
    <t>-533.070753516986 894.905163825531 651.934236745582</t>
  </si>
  <si>
    <t>-378.568150774665 872.8025275034 733.075717731336</t>
  </si>
  <si>
    <t>-528.268274700203 732.275889597553 -277.81481009912</t>
  </si>
  <si>
    <t>-416.353318717101 659.269238314009 157.848749757132</t>
  </si>
  <si>
    <t>-578.847090597508 727.08585602677 592.926397787539</t>
  </si>
  <si>
    <t>-573.647776137781 593.028646703077 706.703143427222</t>
  </si>
  <si>
    <t>9763-20170724T170004.200386600.bin</t>
  </si>
  <si>
    <t>-495.772411405074 825.742117010328 -273.447606853507</t>
  </si>
  <si>
    <t>-508.464592446945 837.383306755468 -393.327498750827</t>
  </si>
  <si>
    <t>-507.745576194248 848.161774087588 -514.049839664843</t>
  </si>
  <si>
    <t>-501.552650113502 857.405159056969 -623.004273405005</t>
  </si>
  <si>
    <t>-489.92352811069 866.137910486259 -731.555468562807</t>
  </si>
  <si>
    <t>-468.107730091239 877.705722240739 -881.855933075043</t>
  </si>
  <si>
    <t>-423.634217330143 862.680387251854 -972.295505407345</t>
  </si>
  <si>
    <t>-465.397014981169 901.600771458431 -811.325093069081</t>
  </si>
  <si>
    <t>-391.093878992353 1022.09041321151 -771.54658791743</t>
  </si>
  <si>
    <t>-295.959074891022 1007.07537156736 -470.033600442091</t>
  </si>
  <si>
    <t>-161.78644391364 788.908182149018 -424.835414085454</t>
  </si>
  <si>
    <t>-490.124028766784 843.573992523191 -819.380179051055</t>
  </si>
  <si>
    <t>-551.354208417622 709.945577210842 -814.598549871352</t>
  </si>
  <si>
    <t>-477.446843922923 504.006680726964 -585.878037103871</t>
  </si>
  <si>
    <t>-257.737084892876 486.912918592969 -723.999219123977</t>
  </si>
  <si>
    <t>-458.49044324247 924.558143825023 -268.708445262124</t>
  </si>
  <si>
    <t>-496.909963496483 919.489492958095 185.335471344489</t>
  </si>
  <si>
    <t>-533.135461929413 894.794433378065 651.997183588554</t>
  </si>
  <si>
    <t>-378.674341772506 872.364036254408 733.127663462159</t>
  </si>
  <si>
    <t>-533.764747848813 726.799884585437 -277.588035084924</t>
  </si>
  <si>
    <t>-411.949522964447 650.404987945667 154.826741675031</t>
  </si>
  <si>
    <t>-577.329572906385 722.313406996159 588.48585281338</t>
  </si>
  <si>
    <t>-573.911749210446 592.141270547987 706.752502373648</t>
  </si>
  <si>
    <t>9763-20170724T170004.262560400.bin</t>
  </si>
  <si>
    <t>-498.838296815322 831.725278609319 -273.911729823865</t>
  </si>
  <si>
    <t>-511.853882725188 843.703350830698 -393.72391136486</t>
  </si>
  <si>
    <t>-510.413938625256 854.412116974057 -514.445794217497</t>
  </si>
  <si>
    <t>-503.156163373501 863.392251849972 -623.356479404154</t>
  </si>
  <si>
    <t>-490.056484023013 871.642935440527 -731.777825873255</t>
  </si>
  <si>
    <t>-465.783278072328 882.293433679764 -881.769112127455</t>
  </si>
  <si>
    <t>-420.416532764743 866.35762339091 -971.607252438202</t>
  </si>
  <si>
    <t>-463.597637375146 906.332970255336 -811.269269910001</t>
  </si>
  <si>
    <t>-387.476367309075 1025.40239541248 -770.743896070931</t>
  </si>
  <si>
    <t>-295.016302742534 1010.5645322887 -468.391090845907</t>
  </si>
  <si>
    <t>-168.214432567381 790.772700125507 -411.339307991797</t>
  </si>
  <si>
    <t>-489.449244079215 848.828630640041 -819.536066984553</t>
  </si>
  <si>
    <t>-553.426949372236 716.463335385451 -815.445447189433</t>
  </si>
  <si>
    <t>-489.133573873825 505.612838768801 -588.300845321523</t>
  </si>
  <si>
    <t>-266.157753537168 476.648425029895 -719.010061510629</t>
  </si>
  <si>
    <t>-460.907861651938 925.296597511335 -268.943545055731</t>
  </si>
  <si>
    <t>-498.548667968312 922.57904101432 185.185719949089</t>
  </si>
  <si>
    <t>-533.295015559074 894.67705988696 652.128866741317</t>
  </si>
  <si>
    <t>-378.839777857759 871.918092078452 733.178967139336</t>
  </si>
  <si>
    <t>-536.098581150581 740.820313202203 -278.13759101161</t>
  </si>
  <si>
    <t>-399.912299727869 660.637040807438 149.275084806714</t>
  </si>
  <si>
    <t>-563.129213552721 745.302939659712 582.135818971896</t>
  </si>
  <si>
    <t>-546.105316774332 619.028539751459 703.414482217775</t>
  </si>
  <si>
    <t>9763-20170724T170004.294645400.bin</t>
  </si>
  <si>
    <t>-498.467104716385 835.597361116939 -274.583458861908</t>
  </si>
  <si>
    <t>-511.542914275174 847.557793625716 -394.390783973058</t>
  </si>
  <si>
    <t>-509.680354714395 858.062261575072 -515.125134673167</t>
  </si>
  <si>
    <t>-501.850663283234 866.764849051297 -624.018605375645</t>
  </si>
  <si>
    <t>-487.993646096281 874.636130121448 -732.373947683951</t>
  </si>
  <si>
    <t>-462.479847093382 884.64396070828 -882.203513602512</t>
  </si>
  <si>
    <t>-416.61328195493 868.27248368317 -971.708941830139</t>
  </si>
  <si>
    <t>-460.635000475329 908.870991841998 -811.757919655212</t>
  </si>
  <si>
    <t>-383.919732551485 1027.50756939414 -770.959763244466</t>
  </si>
  <si>
    <t>-293.634128968113 1014.37182832081 -467.872064933408</t>
  </si>
  <si>
    <t>-168.258709503809 795.435549261809 -404.705114224791</t>
  </si>
  <si>
    <t>-486.90286344297 851.560496299443 -820.059133445279</t>
  </si>
  <si>
    <t>-551.840279624456 719.690775583528 -816.09088426504</t>
  </si>
  <si>
    <t>-491.861012533491 507.490283967601 -589.023314996206</t>
  </si>
  <si>
    <t>-267.659718035009 472.131469118353 -716.009775057511</t>
  </si>
  <si>
    <t>-461.172575618501 926.369975595439 -269.352211615773</t>
  </si>
  <si>
    <t>-498.30818087416 924.721157263672 184.823846394985</t>
  </si>
  <si>
    <t>-533.338201115278 894.636621835522 652.071623983299</t>
  </si>
  <si>
    <t>-378.861618688817 871.891531174469 733.084955237217</t>
  </si>
  <si>
    <t>-535.07130908909 746.298931617419 -279.018203766151</t>
  </si>
  <si>
    <t>-395.04488445917 666.673382158448 147.256455482633</t>
  </si>
  <si>
    <t>-553.553618326321 746.101735317533 582.498652076783</t>
  </si>
  <si>
    <t>-523.56766118404 620.099060210627 701.526755255796</t>
  </si>
  <si>
    <t>9763-20170724T170004.369857900.bin</t>
  </si>
  <si>
    <t>-499.043624785074 834.559920467303 -275.473406560395</t>
  </si>
  <si>
    <t>-512.115411391229 846.690129201616 -395.264001696267</t>
  </si>
  <si>
    <t>-509.341008101373 856.599775778796 -516.030966219154</t>
  </si>
  <si>
    <t>-500.332425891368 864.438185933406 -624.899082421294</t>
  </si>
  <si>
    <t>-484.953083231921 871.108059967456 -733.129472906944</t>
  </si>
  <si>
    <t>-456.977267229116 879.08672410785 -882.641083830075</t>
  </si>
  <si>
    <t>-410.008618672577 861.63442664696 -971.367269006295</t>
  </si>
  <si>
    <t>-455.960797804918 904.10762517767 -812.456800076271</t>
  </si>
  <si>
    <t>-378.964090416614 1022.49439801299 -771.54227549451</t>
  </si>
  <si>
    <t>-295.213544471091 1015.62213729759 -466.378659330009</t>
  </si>
  <si>
    <t>-170.982164487732 799.218142188438 -393.044131752722</t>
  </si>
  <si>
    <t>-482.750705206346 847.004799505914 -820.516851977146</t>
  </si>
  <si>
    <t>-549.204460863016 715.87780391864 -816.489191283583</t>
  </si>
  <si>
    <t>-497.157320735056 501.217050838155 -589.777893691359</t>
  </si>
  <si>
    <t>-271.496139924016 454.51539890432 -710.351696963311</t>
  </si>
  <si>
    <t>-462.142011931047 923.725526958238 -269.90353968802</t>
  </si>
  <si>
    <t>-499.223481902318 924.437559859059 184.279337485362</t>
  </si>
  <si>
    <t>-533.474845024561 894.63636424455 652.032977182793</t>
  </si>
  <si>
    <t>-378.915048553832 871.866141523298 732.880388870949</t>
  </si>
  <si>
    <t>-535.815819505543 744.79501726481 -280.383283884153</t>
  </si>
  <si>
    <t>-394.759841387441 669.936232516671 146.415183507771</t>
  </si>
  <si>
    <t>-536.153342815305 731.462639634686 590.237701561963</t>
  </si>
  <si>
    <t>-489.5948658754 600.222149179031 697.716596882158</t>
  </si>
  <si>
    <t>9763-20170724T170004.398928000.bin</t>
  </si>
  <si>
    <t>-500.129379905081 831.75144392517 -275.817754955572</t>
  </si>
  <si>
    <t>-512.852879076102 843.948973747932 -395.639146754869</t>
  </si>
  <si>
    <t>-509.408393694486 853.485725133129 -516.41883405742</t>
  </si>
  <si>
    <t>-499.671134708768 860.809141811501 -625.260131028567</t>
  </si>
  <si>
    <t>-483.445298643383 866.787613643018 -733.407187047882</t>
  </si>
  <si>
    <t>-454.17573814175 873.622519397889 -882.727641887836</t>
  </si>
  <si>
    <t>-406.599160726759 855.618916391204 -971.018704319413</t>
  </si>
  <si>
    <t>-453.658970970015 899.12747315887 -812.712188787791</t>
  </si>
  <si>
    <t>-376.568828461847 1017.49168412383 -771.879551666634</t>
  </si>
  <si>
    <t>-296.972958790977 1014.15862406219 -465.547022501279</t>
  </si>
  <si>
    <t>-173.255173176727 798.870076530811 -388.171962505526</t>
  </si>
  <si>
    <t>-480.59413642362 842.069567627937 -820.603805772143</t>
  </si>
  <si>
    <t>-547.604361103104 711.251368049427 -816.413711875777</t>
  </si>
  <si>
    <t>-498.297972056703 494.478286518636 -591.103969604265</t>
  </si>
  <si>
    <t>-272.207141252208 443.723397324574 -709.209594314892</t>
  </si>
  <si>
    <t>-462.932920307195 920.98932288805 -270.031842865804</t>
  </si>
  <si>
    <t>-500.51161169902 923.015965456632 184.106381550748</t>
  </si>
  <si>
    <t>-533.605165029893 894.713831600639 652.102686648668</t>
  </si>
  <si>
    <t>-378.989709226376 871.762135568147 732.792119673217</t>
  </si>
  <si>
    <t>-537.189275482975 741.739863638082 -280.841924663293</t>
  </si>
  <si>
    <t>-397.850975990588 671.464403160001 147.29802755849</t>
  </si>
  <si>
    <t>-529.138932363061 722.747299538831 595.475370735643</t>
  </si>
  <si>
    <t>-478.706226139338 586.955629267444 695.278400142951</t>
  </si>
  <si>
    <t>9763-20170724T170004.461656100.bin</t>
  </si>
  <si>
    <t>-502.886572300414 824.212563128521 -276.427949580102</t>
  </si>
  <si>
    <t>-515.070277389665 836.518224475577 -396.294301633805</t>
  </si>
  <si>
    <t>-510.390380397998 845.415839112924 -517.081272469422</t>
  </si>
  <si>
    <t>-499.270032349996 851.851496470583 -625.845982757493</t>
  </si>
  <si>
    <t>-481.406892962286 856.628645592485 -733.794765950141</t>
  </si>
  <si>
    <t>-449.609705073364 861.463457776688 -882.675765516258</t>
  </si>
  <si>
    <t>-400.915808471374 842.261682229937 -970.101191810905</t>
  </si>
  <si>
    <t>-450.081094512919 887.807331593592 -812.971387728266</t>
  </si>
  <si>
    <t>-372.784986678524 1006.15320371889 -772.469646469144</t>
  </si>
  <si>
    <t>-302.022766651647 1009.33784089357 -463.975357552923</t>
  </si>
  <si>
    <t>-178.643186455854 796.411407710856 -379.821226885904</t>
  </si>
  <si>
    <t>-477.276840723767 830.841138627689 -820.629736593698</t>
  </si>
  <si>
    <t>-545.327085570491 700.543082601623 -816.627006528227</t>
  </si>
  <si>
    <t>-500.901340239046 477.546087823232 -596.434288216474</t>
  </si>
  <si>
    <t>-273.598219036474 420.969625098736 -709.458341333416</t>
  </si>
  <si>
    <t>-465.196997440171 913.863801982677 -270.320165434012</t>
  </si>
  <si>
    <t>-503.382517201352 919.258550849979 183.739751532109</t>
  </si>
  <si>
    <t>-533.898116660064 894.861129116617 652.268811841372</t>
  </si>
  <si>
    <t>-379.109212737037 871.734062503568 732.574738946586</t>
  </si>
  <si>
    <t>-540.679387354033 734.081277378543 -281.552243751071</t>
  </si>
  <si>
    <t>-405.582577031966 676.317534815099 149.806037951528</t>
  </si>
  <si>
    <t>-513.482529601284 707.833477408005 606.145927409595</t>
  </si>
  <si>
    <t>-446.517333215304 569.795589296172 692.196558973146</t>
  </si>
  <si>
    <t>9763-20170724T170004.503768800.bin</t>
  </si>
  <si>
    <t>-504.050961878123 819.848547181689 -276.514093681786</t>
  </si>
  <si>
    <t>-516.001626235879 832.113881628208 -396.407886359945</t>
  </si>
  <si>
    <t>-510.754512608363 840.691832023451 -517.194777506509</t>
  </si>
  <si>
    <t>-498.994454036046 846.717020446602 -625.915739261601</t>
  </si>
  <si>
    <t>-480.370896651842 850.958902247778 -733.758410932966</t>
  </si>
  <si>
    <t>-447.398102240069 854.915626846725 -882.409314760744</t>
  </si>
  <si>
    <t>-398.195622063903 835.13510478729 -969.419913277588</t>
  </si>
  <si>
    <t>-448.333099083071 881.626673593983 -812.849572062829</t>
  </si>
  <si>
    <t>-370.988110543091 1000.01788873321 -772.606126543004</t>
  </si>
  <si>
    <t>-303.877328280799 1005.81558327452 -463.334988592751</t>
  </si>
  <si>
    <t>-181.112762385226 793.662079030856 -376.375889640841</t>
  </si>
  <si>
    <t>-475.642007170522 824.703075278541 -820.42228995663</t>
  </si>
  <si>
    <t>-544.144931628788 694.629569129544 -816.718830958249</t>
  </si>
  <si>
    <t>-501.858050478807 467.867564203264 -599.977247345898</t>
  </si>
  <si>
    <t>-273.987105852318 409.179747511065 -710.759097285784</t>
  </si>
  <si>
    <t>-466.31095233795 909.789382575142 -270.438478140012</t>
  </si>
  <si>
    <t>-504.307014055186 916.982609146906 183.6124554791</t>
  </si>
  <si>
    <t>-533.993572649535 894.831127591174 652.316513659987</t>
  </si>
  <si>
    <t>-379.125803946551 871.768932555842 732.488974981872</t>
  </si>
  <si>
    <t>-541.625794870133 729.58391800869 -281.817835079868</t>
  </si>
  <si>
    <t>-409.191833924054 680.081870605167 151.389454596942</t>
  </si>
  <si>
    <t>-507.549119950102 703.890387614772 610.542427297485</t>
  </si>
  <si>
    <t>-426.113173636312 570.248401341564 690.863436946621</t>
  </si>
  <si>
    <t>9763-20170724T170004.565452100.bin</t>
  </si>
  <si>
    <t>-504.471720929525 810.789013634437 -275.912051188893</t>
  </si>
  <si>
    <t>-516.0491528563 822.480502348569 -395.899933634751</t>
  </si>
  <si>
    <t>-509.911372579987 830.263129889602 -516.698653477318</t>
  </si>
  <si>
    <t>-497.151140407119 835.458896658798 -625.349522040309</t>
  </si>
  <si>
    <t>-477.344098191686 838.748271826102 -733.014316237769</t>
  </si>
  <si>
    <t>-442.547523108459 841.241711565231 -881.280986240643</t>
  </si>
  <si>
    <t>-392.42833858156 820.489815407348 -967.538836855982</t>
  </si>
  <si>
    <t>-444.259541282375 868.59842873622 -811.987450324115</t>
  </si>
  <si>
    <t>-367.079868719308 987.301260370859 -772.323996744422</t>
  </si>
  <si>
    <t>-303.445780561719 997.412571010804 -462.429316828531</t>
  </si>
  <si>
    <t>-181.95307744807 786.821777541742 -370.05496514986</t>
  </si>
  <si>
    <t>-471.628313293722 811.678435160023 -819.36780617808</t>
  </si>
  <si>
    <t>-540.459419853466 681.783804957756 -816.248358887119</t>
  </si>
  <si>
    <t>-499.738490961338 448.043237880589 -606.740976862396</t>
  </si>
  <si>
    <t>-271.275542137071 389.126825533013 -716.173901913512</t>
  </si>
  <si>
    <t>-467.201664019322 901.311979015086 -270.321728238718</t>
  </si>
  <si>
    <t>-505.081577931092 912.128248138592 183.667001355979</t>
  </si>
  <si>
    <t>-534.131044633393 894.524560932422 652.467828126302</t>
  </si>
  <si>
    <t>-379.057943789778 872.112010215927 732.427324772112</t>
  </si>
  <si>
    <t>-541.72390735072 720.887530984704 -280.761746787475</t>
  </si>
  <si>
    <t>-417.34586753698 684.765372647435 156.139880684735</t>
  </si>
  <si>
    <t>-499.206846520193 700.785019682092 618.717726105458</t>
  </si>
  <si>
    <t>-389.434230203845 583.044404318527 689.644730360544</t>
  </si>
  <si>
    <t>9763-20170724T170004.641671000.bin</t>
  </si>
  <si>
    <t>-503.603957343568 806.142519330656 -275.283769493557</t>
  </si>
  <si>
    <t>-514.963699079078 817.203553799923 -395.352082592262</t>
  </si>
  <si>
    <t>-508.541307886378 824.446263990287 -516.16968166194</t>
  </si>
  <si>
    <t>-495.500969602482 829.18146854992 -624.808342545246</t>
  </si>
  <si>
    <t>-475.394411399309 832.030542325213 -732.430212620975</t>
  </si>
  <si>
    <t>-440.164407845661 833.927204773178 -880.603257365221</t>
  </si>
  <si>
    <t>-389.728507177574 812.824420762599 -966.590900534243</t>
  </si>
  <si>
    <t>-442.09946077482 861.573176916912 -811.430437485487</t>
  </si>
  <si>
    <t>-365.228312865253 980.583224716645 -772.129146960405</t>
  </si>
  <si>
    <t>-301.76855306572 992.534414062516 -462.264371852328</t>
  </si>
  <si>
    <t>-180.320783097216 783.090658772991 -367.260233434834</t>
  </si>
  <si>
    <t>-469.405726148655 804.60277281586 -818.652056069439</t>
  </si>
  <si>
    <t>-537.946826814671 674.531980820272 -815.647427398925</t>
  </si>
  <si>
    <t>-497.027807151748 437.324324159488 -610.11312199621</t>
  </si>
  <si>
    <t>-268.275474820902 380.835592949052 -720.219609706165</t>
  </si>
  <si>
    <t>-466.910864673694 896.887062701515 -270.122212797432</t>
  </si>
  <si>
    <t>-504.952986250699 909.77858415604 183.798736462334</t>
  </si>
  <si>
    <t>-534.183100191437 894.341232904975 652.563330036666</t>
  </si>
  <si>
    <t>-379.00816362513 872.322279982413 732.434564104884</t>
  </si>
  <si>
    <t>-540.470780461009 715.871419998739 -279.699277121929</t>
  </si>
  <si>
    <t>-421.451750249843 685.728630903645 159.144226852534</t>
  </si>
  <si>
    <t>-496.009348989015 700.99472309153 622.289191485281</t>
  </si>
  <si>
    <t>-376.64725964095 591.668713619933 691.166377570763</t>
  </si>
  <si>
    <t>9763-20170724T170004.663716600.bin</t>
  </si>
  <si>
    <t>-500.140604513871 795.891255431767 -274.499885012446</t>
  </si>
  <si>
    <t>-511.511201050362 805.922983157358 -394.657541459049</t>
  </si>
  <si>
    <t>-504.941994170623 812.338553923537 -515.513960226064</t>
  </si>
  <si>
    <t>-491.706648492527 816.402775135396 -624.156250532697</t>
  </si>
  <si>
    <t>-471.345323903579 818.652029771265 -731.744400383733</t>
  </si>
  <si>
    <t>-435.701246230277 819.784839904191 -879.826273598914</t>
  </si>
  <si>
    <t>-384.731934803778 798.227176356985 -965.385508473835</t>
  </si>
  <si>
    <t>-438.008030493844 847.877163308897 -810.844895879672</t>
  </si>
  <si>
    <t>-362.103883794948 967.668556865431 -772.212127349978</t>
  </si>
  <si>
    <t>-297.51304475045 982.466810988885 -462.70403929354</t>
  </si>
  <si>
    <t>-175.428693799232 775.325125081978 -363.558572498031</t>
  </si>
  <si>
    <t>-464.937270877901 790.690064041519 -817.764302862746</t>
  </si>
  <si>
    <t>-532.496755747615 660.090915219456 -814.439701767166</t>
  </si>
  <si>
    <t>-486.824699142531 416.75433483378 -617.240196370316</t>
  </si>
  <si>
    <t>-257.741324645303 369.01407949706 -730.746698520599</t>
  </si>
  <si>
    <t>-464.641062334931 887.060943599342 -269.833846583932</t>
  </si>
  <si>
    <t>-502.92982286453 903.80531991638 183.940573587509</t>
  </si>
  <si>
    <t>-534.281451256534 893.581092543331 652.782470305666</t>
  </si>
  <si>
    <t>-378.885718608674 872.449068759616 732.463775999658</t>
  </si>
  <si>
    <t>-535.363910927788 704.556775425996 -278.90275432124</t>
  </si>
  <si>
    <t>-427.422217895828 686.250099117191 163.444429089294</t>
  </si>
  <si>
    <t>-494.143574360023 697.562145975834 628.414148163065</t>
  </si>
  <si>
    <t>-367.240382604275 601.2815652668 703.040888681811</t>
  </si>
  <si>
    <t>9763-20170724T170004.696805100.bin</t>
  </si>
  <si>
    <t>-498.55437789594 790.536150267078 -274.187428143528</t>
  </si>
  <si>
    <t>-509.476023105028 800.279718177232 -394.410551684307</t>
  </si>
  <si>
    <t>-502.760202339772 806.378940939657 -515.275122693284</t>
  </si>
  <si>
    <t>-489.513892010355 810.155702474882 -623.926417795621</t>
  </si>
  <si>
    <t>-469.260905451815 812.121034309482 -731.540627394441</t>
  </si>
  <si>
    <t>-433.888655089921 812.866992967679 -879.690184833689</t>
  </si>
  <si>
    <t>-382.964733779577 791.078130235803 -965.21787553281</t>
  </si>
  <si>
    <t>-436.180803715616 841.194803134652 -810.804748241818</t>
  </si>
  <si>
    <t>-360.549298026379 961.472023282867 -772.80269075866</t>
  </si>
  <si>
    <t>-295.901584144014 977.53394048706 -463.369591352771</t>
  </si>
  <si>
    <t>-172.185995879692 772.175020553714 -362.551918845868</t>
  </si>
  <si>
    <t>-462.898751020749 783.878993981277 -817.472426708509</t>
  </si>
  <si>
    <t>-529.840910747068 653.012238541228 -814.154433115495</t>
  </si>
  <si>
    <t>-479.459072395343 407.691597313709 -620.593668856314</t>
  </si>
  <si>
    <t>-250.560195355368 366.071401686558 -736.848275034985</t>
  </si>
  <si>
    <t>-463.233667263237 881.872179443229 -269.684512756565</t>
  </si>
  <si>
    <t>-500.731998477733 900.050963871473 184.100701666624</t>
  </si>
  <si>
    <t>-534.334588084567 892.706512298378 652.918588134373</t>
  </si>
  <si>
    <t>-378.802466783696 872.443746771934 732.55964863648</t>
  </si>
  <si>
    <t>-534.652005686576 699.521152407031 -277.965681371664</t>
  </si>
  <si>
    <t>-425.141925176686 680.293844384197 163.956849643094</t>
  </si>
  <si>
    <t>-491.293103931348 694.116532907818 629.270942516071</t>
  </si>
  <si>
    <t>-364.001328990295 600.24697146782 706.269919850303</t>
  </si>
  <si>
    <t>9763-20170724T170004.766520000.bin</t>
  </si>
  <si>
    <t>-491.475723871939 778.34189200794 -273.620380995903</t>
  </si>
  <si>
    <t>-502.86074716676 787.563895196294 -393.841582448964</t>
  </si>
  <si>
    <t>-496.986546432863 792.99163192407 -514.782045147578</t>
  </si>
  <si>
    <t>-484.650357248178 796.099882315142 -623.561648123738</t>
  </si>
  <si>
    <t>-465.454640376206 797.331417866415 -731.380268933197</t>
  </si>
  <si>
    <t>-431.702259360465 796.986406365424 -879.908680278531</t>
  </si>
  <si>
    <t>-381.490116907958 774.588174467741 -965.699388526969</t>
  </si>
  <si>
    <t>-433.570840215079 825.978529914464 -811.287261019189</t>
  </si>
  <si>
    <t>-358.870649719232 947.429512678294 -775.454062758917</t>
  </si>
  <si>
    <t>-294.434944708853 965.043576926814 -466.061221063146</t>
  </si>
  <si>
    <t>-166.446552021274 763.056729306663 -363.775264189635</t>
  </si>
  <si>
    <t>-459.702449599611 768.299514068884 -817.091621630254</t>
  </si>
  <si>
    <t>-524.88744037762 636.551055498326 -812.795001415771</t>
  </si>
  <si>
    <t>-461.86203425517 387.765138514449 -627.539568473524</t>
  </si>
  <si>
    <t>-234.581742225979 360.237852478026 -750.941273093458</t>
  </si>
  <si>
    <t>-457.964499817042 869.509771194382 -269.087275823993</t>
  </si>
  <si>
    <t>-493.941561372528 891.183161570651 184.667600954185</t>
  </si>
  <si>
    <t>-534.374966667402 890.18952484803 653.223950968777</t>
  </si>
  <si>
    <t>-378.534377393117 872.316060268337 732.834021432942</t>
  </si>
  <si>
    <t>-524.314759490216 687.381787221614 -277.665342207784</t>
  </si>
  <si>
    <t>-423.580484231007 669.861596393488 166.410411414696</t>
  </si>
  <si>
    <t>-488.574328655161 691.823910243785 630.606539420223</t>
  </si>
  <si>
    <t>-361.551401054773 598.642780503475 708.875092647672</t>
  </si>
  <si>
    <t>9763-20170724T170004.798591500.bin</t>
  </si>
  <si>
    <t>-485.639516055921 771.665523846266 -273.47292434046</t>
  </si>
  <si>
    <t>-496.949149042984 780.99647767095 -393.692822060452</t>
  </si>
  <si>
    <t>-491.526128899493 786.333527657494 -514.658435476892</t>
  </si>
  <si>
    <t>-479.807723797145 789.28734931465 -623.510670889739</t>
  </si>
  <si>
    <t>-461.436421492677 790.294439754962 -731.475100439292</t>
  </si>
  <si>
    <t>-429.040451663123 789.568100256667 -880.303941886536</t>
  </si>
  <si>
    <t>-379.463557085669 766.936485755842 -966.402142897188</t>
  </si>
  <si>
    <t>-430.561224009516 818.866377729905 -811.804048897475</t>
  </si>
  <si>
    <t>-356.815229793776 941.232936055627 -777.177883846858</t>
  </si>
  <si>
    <t>-290.741011319383 960.569915424888 -468.233794144661</t>
  </si>
  <si>
    <t>-160.510103614901 760.099797755485 -365.794913201426</t>
  </si>
  <si>
    <t>-456.188048693433 760.912707013529 -817.099462174448</t>
  </si>
  <si>
    <t>-519.866363444359 628.414436684702 -812.21161686151</t>
  </si>
  <si>
    <t>-448.942318719555 378.344916569755 -631.598146252288</t>
  </si>
  <si>
    <t>-223.097429345012 358.417134972872 -759.030594720412</t>
  </si>
  <si>
    <t>-453.885217579024 862.354801704235 -268.645718404447</t>
  </si>
  <si>
    <t>-488.614541104732 885.759342873378 185.120493217782</t>
  </si>
  <si>
    <t>-534.397155798667 888.533558794185 653.455288888059</t>
  </si>
  <si>
    <t>-378.345965578622 872.448163531011 733.03418506502</t>
  </si>
  <si>
    <t>-516.461940655499 681.393895715916 -278.22412792357</t>
  </si>
  <si>
    <t>-424.099810203319 665.25717629285 167.720315637918</t>
  </si>
  <si>
    <t>-488.556832270349 692.070542271656 631.686326814016</t>
  </si>
  <si>
    <t>-362.700722015993 597.051407393937 709.629324418118</t>
  </si>
  <si>
    <t>9763-20170724T170004.862264300.bin</t>
  </si>
  <si>
    <t>-475.224058295172 760.036149587871 -273.160888230857</t>
  </si>
  <si>
    <t>-485.448817818423 769.615265374116 -393.458596479968</t>
  </si>
  <si>
    <t>-480.57527018466 774.980685364844 -514.446144503246</t>
  </si>
  <si>
    <t>-470.004091127145 777.906775886607 -623.416573704726</t>
  </si>
  <si>
    <t>-453.418882002241 778.847725357707 -731.670448178304</t>
  </si>
  <si>
    <t>-424.155707392118 778.003850914491 -881.145942069224</t>
  </si>
  <si>
    <t>-376.058693644484 755.275591989047 -968.054504772274</t>
  </si>
  <si>
    <t>-424.948229986272 807.671944119858 -812.793419339736</t>
  </si>
  <si>
    <t>-353.595551739291 932.137964644494 -780.572270340719</t>
  </si>
  <si>
    <t>-283.250434792303 956.286102151606 -472.912392088187</t>
  </si>
  <si>
    <t>-147.571612626187 759.228647194653 -370.923370631766</t>
  </si>
  <si>
    <t>-449.259326623639 749.082391105397 -817.222107875717</t>
  </si>
  <si>
    <t>-509.513202570041 615.063921511834 -811.861129612911</t>
  </si>
  <si>
    <t>-420.8884099934 361.900965714579 -643.812298000169</t>
  </si>
  <si>
    <t>-198.102320503053 357.614738174076 -777.939107344319</t>
  </si>
  <si>
    <t>-445.756033665307 847.727213589047 -267.06630903838</t>
  </si>
  <si>
    <t>-474.77358196945 874.813031164006 186.896243214609</t>
  </si>
  <si>
    <t>-534.567433498828 884.038729332938 654.315012590131</t>
  </si>
  <si>
    <t>-377.956530365156 872.820687574156 733.628900768696</t>
  </si>
  <si>
    <t>-504.556194364665 672.951627545115 -278.768459648431</t>
  </si>
  <si>
    <t>-427.245218415484 659.700586806624 170.124691497747</t>
  </si>
  <si>
    <t>-488.615417491644 693.270649237435 633.806547990928</t>
  </si>
  <si>
    <t>-362.433824615549 597.305786806136 710.046126429926</t>
  </si>
  <si>
    <t>9763-20170724T170004.898361300.bin</t>
  </si>
  <si>
    <t>-469.761894974835 754.948696750375 -272.479805115783</t>
  </si>
  <si>
    <t>-479.651367312532 764.479582981096 -392.809066899548</t>
  </si>
  <si>
    <t>-475.124412749139 769.818996934903 -513.811482179249</t>
  </si>
  <si>
    <t>-465.13814193009 772.73929663339 -622.83708418918</t>
  </si>
  <si>
    <t>-449.405155267402 773.695280602905 -731.218060987887</t>
  </si>
  <si>
    <t>-421.599841140536 772.896563280322 -880.972016779751</t>
  </si>
  <si>
    <t>-374.204248745689 750.2710804332 -968.291589100554</t>
  </si>
  <si>
    <t>-422.107948473668 802.704987530472 -812.677576318785</t>
  </si>
  <si>
    <t>-351.94550949727 928.077429715701 -781.557977295278</t>
  </si>
  <si>
    <t>-279.676792520166 955.375067776346 -474.608021596786</t>
  </si>
  <si>
    <t>-140.568489773495 760.562819696395 -372.926456062157</t>
  </si>
  <si>
    <t>-445.697747382445 743.794899229119 -816.743416044927</t>
  </si>
  <si>
    <t>-504.150789486486 608.932663437878 -811.486955395244</t>
  </si>
  <si>
    <t>-405.892684412067 354.451315575459 -650.953927098138</t>
  </si>
  <si>
    <t>-184.784487059666 358.52679052295 -787.835779525849</t>
  </si>
  <si>
    <t>-441.964494054158 840.726454270742 -265.856540081692</t>
  </si>
  <si>
    <t>-465.239579082235 869.69706427967 188.320333846201</t>
  </si>
  <si>
    <t>-534.553932260026 881.542224836413 654.65487613332</t>
  </si>
  <si>
    <t>-377.732360061216 872.977697905152 733.883433116144</t>
  </si>
  <si>
    <t>-497.47452692825 669.560475525488 -278.824383926049</t>
  </si>
  <si>
    <t>-429.667971509483 658.911346698329 171.671513982949</t>
  </si>
  <si>
    <t>-488.394734051031 694.170230996053 635.347881331377</t>
  </si>
  <si>
    <t>-361.200612370149 598.727343383064 710.552953179461</t>
  </si>
  <si>
    <t>9763-20170724T170004.967067700.bin</t>
  </si>
  <si>
    <t>-459.370980516282 746.904578365348 -270.152797291052</t>
  </si>
  <si>
    <t>-468.763098382574 756.578708441633 -390.510632183771</t>
  </si>
  <si>
    <t>-465.075989475612 761.874230396619 -511.543353710495</t>
  </si>
  <si>
    <t>-456.381357917909 764.703525269756 -620.682024876981</t>
  </si>
  <si>
    <t>-442.465806667774 765.524843621164 -729.312168970811</t>
  </si>
  <si>
    <t>-417.725625484211 764.502668429457 -879.601615189438</t>
  </si>
  <si>
    <t>-371.608445659417 742.197804013364 -967.684874563395</t>
  </si>
  <si>
    <t>-417.733207504346 794.765008779497 -811.505088502708</t>
  </si>
  <si>
    <t>-350.597663714976 922.324311059751 -782.633413017916</t>
  </si>
  <si>
    <t>-274.29079943085 956.145285138179 -477.314606396525</t>
  </si>
  <si>
    <t>-127.066337217336 767.342323187574 -375.725142067013</t>
  </si>
  <si>
    <t>-439.611520786412 735.145115916263 -814.701199350389</t>
  </si>
  <si>
    <t>-493.875363881396 598.523849185909 -809.755397116</t>
  </si>
  <si>
    <t>-373.822893180608 343.13028307252 -666.410775949604</t>
  </si>
  <si>
    <t>-156.624290755373 364.957592320116 -807.798153252745</t>
  </si>
  <si>
    <t>-434.377505816833 828.723896299335 -262.342077787787</t>
  </si>
  <si>
    <t>-438.900964344237 861.503709104582 192.149675063565</t>
  </si>
  <si>
    <t>-533.471220152165 876.880450898974 654.163056554804</t>
  </si>
  <si>
    <t>-376.903774814042 873.827132593019 734.293022696471</t>
  </si>
  <si>
    <t>-484.611033535082 665.021010375098 -277.247369514878</t>
  </si>
  <si>
    <t>-435.019184170108 656.178315333609 175.654431270843</t>
  </si>
  <si>
    <t>-488.28909818131 695.045312113588 639.333889849873</t>
  </si>
  <si>
    <t>-358.447012707626 601.931615354938 712.916272180841</t>
  </si>
  <si>
    <t>9763-20170724T170005.000168900.bin</t>
  </si>
  <si>
    <t>-453.855734354994 744.579489716089 -268.297078045378</t>
  </si>
  <si>
    <t>-463.269516772655 754.152443233229 -388.661216112418</t>
  </si>
  <si>
    <t>-460.146990220229 759.216287893546 -509.719747884418</t>
  </si>
  <si>
    <t>-452.176158396267 761.800484593309 -618.919757626021</t>
  </si>
  <si>
    <t>-439.193942536789 762.348629307558 -727.66725614315</t>
  </si>
  <si>
    <t>-415.964869141972 760.92442935534 -878.194285307335</t>
  </si>
  <si>
    <t>-370.38446256373 738.770214414641 -966.594554569826</t>
  </si>
  <si>
    <t>-415.809697740532 791.558550943775 -810.264637171381</t>
  </si>
  <si>
    <t>-350.757100442118 920.491807874878 -782.739498342488</t>
  </si>
  <si>
    <t>-272.365276143288 957.779551264275 -478.354027235214</t>
  </si>
  <si>
    <t>-120.421024754194 772.804644332517 -376.671420107592</t>
  </si>
  <si>
    <t>-436.676333818884 731.550527988842 -812.917014853055</t>
  </si>
  <si>
    <t>-488.316400421704 593.93286238274 -807.925307642768</t>
  </si>
  <si>
    <t>-356.892130403842 339.603425250006 -672.90486770314</t>
  </si>
  <si>
    <t>-142.548723391208 370.164994793159 -817.005470661015</t>
  </si>
  <si>
    <t>-429.038168103917 824.895727319281 -260.073614900256</t>
  </si>
  <si>
    <t>-420.477800464851 859.758179302893 194.204937962325</t>
  </si>
  <si>
    <t>-531.80767754633 875.282847301059 652.272404106575</t>
  </si>
  <si>
    <t>-376.205298433468 874.927269695282 734.316709932383</t>
  </si>
  <si>
    <t>-478.500766397411 663.835331022485 -275.598481871485</t>
  </si>
  <si>
    <t>-436.827836932607 654.787366394713 178.096487014178</t>
  </si>
  <si>
    <t>-488.313165516853 695.132229149309 641.815223226725</t>
  </si>
  <si>
    <t>-356.7246623642 604.031627184079 714.81288950903</t>
  </si>
  <si>
    <t>9763-20170724T170005.065353400.bin</t>
  </si>
  <si>
    <t>-443.38799873484 750.346241509603 -258.235077731876</t>
  </si>
  <si>
    <t>-453.512614028638 759.969462822623 -378.537606344038</t>
  </si>
  <si>
    <t>-451.833729323507 764.311601094201 -499.652700029753</t>
  </si>
  <si>
    <t>-445.455051604811 765.96303240753 -608.975293107435</t>
  </si>
  <si>
    <t>-434.348216957206 765.309720627288 -717.929718417219</t>
  </si>
  <si>
    <t>-414.016410552768 761.949129789044 -868.844735789451</t>
  </si>
  <si>
    <t>-369.381041298818 739.807247901612 -957.728988304091</t>
  </si>
  <si>
    <t>-413.700440809231 793.82995701283 -801.491670627473</t>
  </si>
  <si>
    <t>-353.431194885569 925.720787786217 -777.089964456098</t>
  </si>
  <si>
    <t>-272.031616695967 969.784992085254 -474.404173096375</t>
  </si>
  <si>
    <t>-109.842829941395 793.6325372201 -372.879983719569</t>
  </si>
  <si>
    <t>-432.324843817444 733.041892690078 -802.647255718675</t>
  </si>
  <si>
    <t>-477.796538213498 593.33119428576 -796.598301764021</t>
  </si>
  <si>
    <t>-321.327883767806 345.779401741135 -676.507008630816</t>
  </si>
  <si>
    <t>-114.319803832676 392.879449874604 -826.744480414704</t>
  </si>
  <si>
    <t>-418.953916996102 835.270107372195 -251.261887935473</t>
  </si>
  <si>
    <t>-375.5620156653 874.221118091413 200.686872279379</t>
  </si>
  <si>
    <t>-526.734892784045 899.271153524908 644.626167567249</t>
  </si>
  <si>
    <t>-375.168692642538 904.971578948493 733.725526175859</t>
  </si>
  <si>
    <t>-467.948337359761 667.565140998902 -264.505423297047</t>
  </si>
  <si>
    <t>-438.682291573004 655.998069907898 190.101451909196</t>
  </si>
  <si>
    <t>-487.512654896682 695.490844134117 655.304592564388</t>
  </si>
  <si>
    <t>-352.972218606371 608.245627123543 727.627794930419</t>
  </si>
  <si>
    <t>9763-20170724T170005.097438700.bin</t>
  </si>
  <si>
    <t>-441.660845222415 767.641714891158 -255.874188386545</t>
  </si>
  <si>
    <t>-452.298908320704 777.142316841858 -376.142159251731</t>
  </si>
  <si>
    <t>-451.347955808458 780.939581960074 -497.283516003835</t>
  </si>
  <si>
    <t>-445.713973796438 781.933168819266 -606.654930916264</t>
  </si>
  <si>
    <t>-435.439655976551 780.457153736389 -715.682974087572</t>
  </si>
  <si>
    <t>-416.357816648692 775.78176307185 -866.726137703166</t>
  </si>
  <si>
    <t>-372.105980447862 753.458676945694 -955.75665432381</t>
  </si>
  <si>
    <t>-416.052021566193 808.416463849468 -799.735060691915</t>
  </si>
  <si>
    <t>-358.252392092584 941.747093283886 -776.9651319459</t>
  </si>
  <si>
    <t>-276.084477332475 989.195210864251 -474.9994583891</t>
  </si>
  <si>
    <t>-108.821225388485 817.703152492691 -373.729821791983</t>
  </si>
  <si>
    <t>-433.549811866462 747.284620218966 -800.053400696469</t>
  </si>
  <si>
    <t>-475.984710130114 606.714557242553 -793.054339979926</t>
  </si>
  <si>
    <t>-307.516436678431 363.947460026218 -679.613704336229</t>
  </si>
  <si>
    <t>-104.561403494506 417.318763374275 -833.245721904166</t>
  </si>
  <si>
    <t>-419.557535042092 862.411213202417 -249.632389079791</t>
  </si>
  <si>
    <t>-354.696525425315 904.739298669976 199.432140515305</t>
  </si>
  <si>
    <t>-526.716342257205 935.025926526756 635.031780096356</t>
  </si>
  <si>
    <t>-379.341265200066 943.432616732333 730.705329364675</t>
  </si>
  <si>
    <t>-464.633597306531 677.040809910664 -261.698708250907</t>
  </si>
  <si>
    <t>-440.579148814104 663.422096597084 193.156852647946</t>
  </si>
  <si>
    <t>-487.215127943937 695.705360764043 658.816268379163</t>
  </si>
  <si>
    <t>-351.191325778164 610.64842553237 730.971362910904</t>
  </si>
  <si>
    <t>9763-20170724T170005.168302400.bin</t>
  </si>
  <si>
    <t>-439.32280727183 788.535923638138 -253.566416773024</t>
  </si>
  <si>
    <t>-450.866597485956 797.558292910752 -373.787582410795</t>
  </si>
  <si>
    <t>-451.116262139245 800.015213948113 -494.967161259446</t>
  </si>
  <si>
    <t>-446.688137122015 799.460625122596 -604.397077410176</t>
  </si>
  <si>
    <t>-437.744302199981 796.098278704353 -713.500457615928</t>
  </si>
  <si>
    <t>-420.645228120021 788.450424900041 -864.6598207266</t>
  </si>
  <si>
    <t>-377.134907854904 765.375396975782 -953.864041572654</t>
  </si>
  <si>
    <t>-420.47654565124 822.66542087225 -798.461398330196</t>
  </si>
  <si>
    <t>-367.136412715184 958.359182333465 -778.999499337725</t>
  </si>
  <si>
    <t>-285.233902762518 1011.47305751412 -477.906337870804</t>
  </si>
  <si>
    <t>-109.316301089809 848.441059033103 -377.329883608804</t>
  </si>
  <si>
    <t>-435.945588669324 761.003135558151 -797.09158759847</t>
  </si>
  <si>
    <t>-472.971692960334 618.98140475948 -788.602015458959</t>
  </si>
  <si>
    <t>-282.156697416433 387.78564182545 -686.993147897244</t>
  </si>
  <si>
    <t>-87.0087103991953 451.027326378989 -846.867572574384</t>
  </si>
  <si>
    <t>-421.367315780395 887.02302075877 -248.093999290801</t>
  </si>
  <si>
    <t>-319.526320734743 939.687267295577 192.941814288365</t>
  </si>
  <si>
    <t>-514.734416465457 959.784371832609 618.949552731407</t>
  </si>
  <si>
    <t>-374.395510951182 972.985929347464 724.183736092467</t>
  </si>
  <si>
    <t>-457.617990695732 689.780309686075 -259.152609503202</t>
  </si>
  <si>
    <t>-445.454572419257 673.971546673623 196.105328670629</t>
  </si>
  <si>
    <t>-486.945939165065 696.054903201134 662.631442290362</t>
  </si>
  <si>
    <t>-348.837052199801 614.377770200549 734.730772827751</t>
  </si>
  <si>
    <t>9763-20170724T170005.194371000.bin</t>
  </si>
  <si>
    <t>-435.941850237228 792.630102234882 -253.433599431424</t>
  </si>
  <si>
    <t>-447.845711022305 801.206756798389 -373.652439772527</t>
  </si>
  <si>
    <t>-448.565900047989 802.988328383218 -494.841731788373</t>
  </si>
  <si>
    <t>-444.603779600589 801.741334351281 -604.284035018644</t>
  </si>
  <si>
    <t>-436.164891960248 797.608603434562 -713.40118078661</t>
  </si>
  <si>
    <t>-419.806599280729 788.813152579067 -864.580074660768</t>
  </si>
  <si>
    <t>-376.559408166976 765.376638196168 -953.817959070688</t>
  </si>
  <si>
    <t>-419.755412334224 823.635323710348 -798.698799511079</t>
  </si>
  <si>
    <t>-368.44691012829 960.24043101464 -780.406548785285</t>
  </si>
  <si>
    <t>-286.638297606936 1016.4553269427 -479.851319281034</t>
  </si>
  <si>
    <t>-107.532528579824 856.749961288584 -379.564856315243</t>
  </si>
  <si>
    <t>-434.333854710532 761.774410761474 -796.677398564354</t>
  </si>
  <si>
    <t>-468.970523205167 619.163525333448 -787.829913518438</t>
  </si>
  <si>
    <t>-269.27808340353 393.456531574684 -691.054719135927</t>
  </si>
  <si>
    <t>-76.9362637658455 458.891497257734 -853.427588661624</t>
  </si>
  <si>
    <t>-419.435722414363 890.278112030882 -248.384948402914</t>
  </si>
  <si>
    <t>-306.862526692314 947.531324121429 189.458615678418</t>
  </si>
  <si>
    <t>-498.205171315488 964.509704619858 617.712719447333</t>
  </si>
  <si>
    <t>-358.197659380932 980.376464880908 723.020126632943</t>
  </si>
  <si>
    <t>-452.634336609569 693.20082599181 -258.634708168014</t>
  </si>
  <si>
    <t>-447.641410428143 676.588540498328 196.72973886253</t>
  </si>
  <si>
    <t>-486.882846337838 696.113757814339 663.703033279953</t>
  </si>
  <si>
    <t>-348.225133248839 615.474043425616 735.916497758309</t>
  </si>
  <si>
    <t>9763-20170724T170005.262522700.bin</t>
  </si>
  <si>
    <t>-427.034584631011 797.010956398989 -254.033959785462</t>
  </si>
  <si>
    <t>-438.22995950392 803.86630500823 -374.43114754064</t>
  </si>
  <si>
    <t>-439.027968515238 804.166784522218 -495.632757514785</t>
  </si>
  <si>
    <t>-435.444312504334 801.702775655329 -605.067314417169</t>
  </si>
  <si>
    <t>-427.684519161125 796.485743368907 -714.188509194115</t>
  </si>
  <si>
    <t>-412.575678530379 786.330544698933 -865.412119927331</t>
  </si>
  <si>
    <t>-369.847377551686 762.579017915225 -954.816496026731</t>
  </si>
  <si>
    <t>-412.597971303803 821.879332813426 -799.920012064825</t>
  </si>
  <si>
    <t>-364.023674073644 959.671721721066 -783.312916879774</t>
  </si>
  <si>
    <t>-283.012146830991 1023.06407019873 -483.97242729242</t>
  </si>
  <si>
    <t>-99.4589603412323 868.204972203155 -384.128041833478</t>
  </si>
  <si>
    <t>-425.923734220355 759.768613708967 -797.080649867451</t>
  </si>
  <si>
    <t>-457.532681188906 616.414348951042 -788.326311537804</t>
  </si>
  <si>
    <t>-242.34649784976 400.842836399919 -702.244429868809</t>
  </si>
  <si>
    <t>-53.8591056889391 468.457394450367 -868.204802825428</t>
  </si>
  <si>
    <t>-411.866435168494 893.237338536361 -249.102884518592</t>
  </si>
  <si>
    <t>-284.383055713161 963.524383932099 182.713500895399</t>
  </si>
  <si>
    <t>-441.011684336183 984.760090816905 624.869091897933</t>
  </si>
  <si>
    <t>-297.303759582571 1009.5680722779 723.236437675509</t>
  </si>
  <si>
    <t>-442.247290680801 698.566804338155 -257.930788577492</t>
  </si>
  <si>
    <t>-450.361938812774 679.972475813594 197.31204446668</t>
  </si>
  <si>
    <t>-486.959557336921 696.046387502714 664.940800118678</t>
  </si>
  <si>
    <t>-347.648512642293 616.677464137651 737.304629021713</t>
  </si>
  <si>
    <t>9763-20170724T170005.298619400.bin</t>
  </si>
  <si>
    <t>-421.762134530451 799.124020294013 -254.195063029274</t>
  </si>
  <si>
    <t>-432.410613388105 805.206515206417 -374.683335314815</t>
  </si>
  <si>
    <t>-433.032475010459 804.969558410664 -495.886166447201</t>
  </si>
  <si>
    <t>-429.43571906811 802.123849018969 -605.311129855008</t>
  </si>
  <si>
    <t>-421.806061248371 796.632244822109 -714.427916613244</t>
  </si>
  <si>
    <t>-407.023865128786 786.210846445707 -865.665748700613</t>
  </si>
  <si>
    <t>-364.542859705969 762.444032614833 -955.183902554656</t>
  </si>
  <si>
    <t>-407.032625574819 821.901273233731 -800.250880098942</t>
  </si>
  <si>
    <t>-359.021794906029 959.958215879451 -784.092643479243</t>
  </si>
  <si>
    <t>-278.75954164556 1026.07035746515 -485.138752136298</t>
  </si>
  <si>
    <t>-93.9387657485568 872.561668853158 -385.547444551703</t>
  </si>
  <si>
    <t>-420.096422439667 759.742766549923 -797.244541624789</t>
  </si>
  <si>
    <t>-450.932148273172 616.217050199093 -788.871759928827</t>
  </si>
  <si>
    <t>-230.157651605813 404.296673316753 -708.035079465717</t>
  </si>
  <si>
    <t>-42.9647254377758 472.789987275073 -875.09659487293</t>
  </si>
  <si>
    <t>-406.654301359582 895.548300540927 -249.650971035893</t>
  </si>
  <si>
    <t>-275.530281966576 970.780971731655 180.237660099393</t>
  </si>
  <si>
    <t>-404.665704496921 1001.25679046358 630.713113002465</t>
  </si>
  <si>
    <t>-257.110882071084 1029.13021909692 722.33276741297</t>
  </si>
  <si>
    <t>-437.032229300816 701.281400842916 -257.521400583338</t>
  </si>
  <si>
    <t>-449.836140225324 681.424840876507 197.560370332567</t>
  </si>
  <si>
    <t>-487.023509645312 696.029604709006 665.267743816929</t>
  </si>
  <si>
    <t>-347.75420628903 616.597853061997 737.643010815314</t>
  </si>
  <si>
    <t>9763-20170724T170005.364812700.bin</t>
  </si>
  <si>
    <t>-410.68042697564 805.09988231285 -254.504699985532</t>
  </si>
  <si>
    <t>-419.869928076402 809.915208196567 -375.170143148942</t>
  </si>
  <si>
    <t>-419.889787232234 808.930836036331 -496.370876435432</t>
  </si>
  <si>
    <t>-416.092943332916 805.626938868589 -605.776129030918</t>
  </si>
  <si>
    <t>-408.603934269126 799.89807269364 -714.890517403695</t>
  </si>
  <si>
    <t>-394.368156187476 789.379703658296 -866.174088660483</t>
  </si>
  <si>
    <t>-352.453409362724 765.552453597553 -955.942589370501</t>
  </si>
  <si>
    <t>-394.113746414377 825.106614412125 -800.779569749859</t>
  </si>
  <si>
    <t>-346.171105065276 963.224321779509 -784.83473958</t>
  </si>
  <si>
    <t>-267.150460142936 1031.70830264749 -486.084257264804</t>
  </si>
  <si>
    <t>-80.7628461688532 879.690666195718 -387.128171458064</t>
  </si>
  <si>
    <t>-407.220342369303 762.96094400187 -797.692020472084</t>
  </si>
  <si>
    <t>-437.919388613773 619.367417762437 -790.176894336322</t>
  </si>
  <si>
    <t>-208.606041006012 413.214050912832 -718.746365355369</t>
  </si>
  <si>
    <t>-22.7073138156281 481.762998258588 -887.224081226101</t>
  </si>
  <si>
    <t>-395.165674421596 901.640311928197 -250.878870454362</t>
  </si>
  <si>
    <t>-263.534723989904 982.790500848159 177.776730827247</t>
  </si>
  <si>
    <t>-326.575096607523 1039.1329489627 639.954731500157</t>
  </si>
  <si>
    <t>-170.119556969355 1065.95169568306 715.756715986084</t>
  </si>
  <si>
    <t>-426.502897351816 708.017204783162 -256.884178221296</t>
  </si>
  <si>
    <t>-445.911517522916 685.377938570616 197.83378226559</t>
  </si>
  <si>
    <t>-486.973190958458 695.992886293035 665.640038466869</t>
  </si>
  <si>
    <t>-348.113462362513 615.958604755471 738.138363598529</t>
  </si>
  <si>
    <t>9763-20170724T170005.396893800.bin</t>
  </si>
  <si>
    <t>-404.422538956165 809.317481180386 -254.321046808616</t>
  </si>
  <si>
    <t>-412.719826364243 813.846087107145 -375.062288202565</t>
  </si>
  <si>
    <t>-412.424942748356 812.763263348381 -496.261719286929</t>
  </si>
  <si>
    <t>-408.576623667333 809.448739392769 -605.664967875886</t>
  </si>
  <si>
    <t>-401.268119473447 803.788548570661 -714.795007550413</t>
  </si>
  <si>
    <t>-387.523621256324 793.449009092458 -866.136398605069</t>
  </si>
  <si>
    <t>-346.061081038298 769.618362899468 -956.113828520991</t>
  </si>
  <si>
    <t>-386.929844476584 829.07221255901 -800.687427730063</t>
  </si>
  <si>
    <t>-338.591549103782 967.017121714316 -784.622325734839</t>
  </si>
  <si>
    <t>-260.371036053102 1034.81925483298 -485.505902973783</t>
  </si>
  <si>
    <t>-73.3284856440571 883.10928739125 -387.316232449645</t>
  </si>
  <si>
    <t>-400.280432629752 766.975611806504 -797.657673216527</t>
  </si>
  <si>
    <t>-431.500920203541 623.432627047101 -790.810874577999</t>
  </si>
  <si>
    <t>-199.64289180579 418.488105840317 -724.283510003298</t>
  </si>
  <si>
    <t>-13.5504813496516 485.979112617338 -892.974555548921</t>
  </si>
  <si>
    <t>-387.971171067009 905.630834387549 -251.107149971818</t>
  </si>
  <si>
    <t>-262.610847454678 990.326612829521 178.740622990658</t>
  </si>
  <si>
    <t>-290.831019086615 1054.78434111986 643.230753009806</t>
  </si>
  <si>
    <t>-130.199656536947 1078.93608037672 710.742050545389</t>
  </si>
  <si>
    <t>-420.838988430972 712.688532185917 -256.472020001362</t>
  </si>
  <si>
    <t>-442.877066852938 687.349357839168 197.983611070386</t>
  </si>
  <si>
    <t>-487.002266708773 695.858778661931 665.722814430672</t>
  </si>
  <si>
    <t>-348.542276604878 615.216100749045 738.31141874527</t>
  </si>
  <si>
    <t>9763-20170724T170005.464080300.bin</t>
  </si>
  <si>
    <t>-389.847147914047 821.704597788051 -252.860540915831</t>
  </si>
  <si>
    <t>-396.809755050408 826.237399902586 -373.685909218796</t>
  </si>
  <si>
    <t>-396.167606969781 825.528077804781 -494.88692141687</t>
  </si>
  <si>
    <t>-392.402711437719 822.70166663011 -604.306623940554</t>
  </si>
  <si>
    <t>-385.572326320486 817.68336145135 -713.499160996654</t>
  </si>
  <si>
    <t>-372.901623038328 808.396798674245 -865.002355905866</t>
  </si>
  <si>
    <t>-332.695289857244 784.829181881217 -955.616874141167</t>
  </si>
  <si>
    <t>-371.419939796219 843.471895899194 -799.27229726713</t>
  </si>
  <si>
    <t>-321.66078710152 980.779689275188 -782.274226273408</t>
  </si>
  <si>
    <t>-245.098393453781 1044.50608248976 -481.835613922752</t>
  </si>
  <si>
    <t>-56.5977240081927 892.469837982821 -386.995761614922</t>
  </si>
  <si>
    <t>-385.596084218752 781.539771965601 -796.661595164052</t>
  </si>
  <si>
    <t>-418.657576316716 638.33728778622 -791.602982048369</t>
  </si>
  <si>
    <t>-185.220052812639 432.043409477988 -735.602515484487</t>
  </si>
  <si>
    <t>3.01373257897353 496.037501855076 -903.277345464421</t>
  </si>
  <si>
    <t>-372.285176576982 918.780164131986 -250.079215868023</t>
  </si>
  <si>
    <t>-264.120008496091 1004.96699529608 184.120981025125</t>
  </si>
  <si>
    <t>-234.048008323424 1074.8073678608 648.139817640865</t>
  </si>
  <si>
    <t>-66.1108805064882 1089.61485900923 698.353281616851</t>
  </si>
  <si>
    <t>-407.759085158871 725.389342525102 -255.108218526083</t>
  </si>
  <si>
    <t>-435.451913910862 692.658857400897 198.565026176693</t>
  </si>
  <si>
    <t>-487.053380875193 695.640717151635 665.781026118462</t>
  </si>
  <si>
    <t>-349.477621826451 613.626826568457 738.514502184996</t>
  </si>
  <si>
    <t>9763-20170724T170005.498177700.bin</t>
  </si>
  <si>
    <t>-381.292820543472 829.910277625771 -251.805074899188</t>
  </si>
  <si>
    <t>-387.630252198488 834.414868599973 -372.665955972744</t>
  </si>
  <si>
    <t>-386.915035827564 834.025680451075 -493.867928584496</t>
  </si>
  <si>
    <t>-383.304888327199 831.630101334455 -603.30312678776</t>
  </si>
  <si>
    <t>-376.848454897642 827.184813926793 -712.543258875554</t>
  </si>
  <si>
    <t>-364.923968698748 818.844416654207 -864.162115002822</t>
  </si>
  <si>
    <t>-325.473939623387 795.613489909994 -955.195100907193</t>
  </si>
  <si>
    <t>-362.896349135722 853.457700097574 -798.202094303756</t>
  </si>
  <si>
    <t>-312.370453523988 990.388304710332 -780.453820795242</t>
  </si>
  <si>
    <t>-235.992977659977 1051.58873954143 -479.443574187603</t>
  </si>
  <si>
    <t>-46.8073291018209 898.83822346238 -387.149755191418</t>
  </si>
  <si>
    <t>-377.504105469328 791.611532211649 -795.948862261523</t>
  </si>
  <si>
    <t>-411.59392855685 648.622016436892 -792.120303120278</t>
  </si>
  <si>
    <t>-179.067936386837 439.889512383921 -741.636690535929</t>
  </si>
  <si>
    <t>10.8319688825138 502.203268677534 -908.060966458162</t>
  </si>
  <si>
    <t>-362.91917293405 926.72896416068 -249.279451204933</t>
  </si>
  <si>
    <t>-263.281453429921 1009.37548927558 187.641124130327</t>
  </si>
  <si>
    <t>-219.769910565501 1078.70491562974 650.734892213893</t>
  </si>
  <si>
    <t>-50.1538856941581 1088.37652341021 696.346012072346</t>
  </si>
  <si>
    <t>-399.826514910352 733.672930090812 -254.078135703091</t>
  </si>
  <si>
    <t>-430.695277089065 696.394142655723 199.038946273836</t>
  </si>
  <si>
    <t>-487.03639239172 695.576390536401 665.7865617378</t>
  </si>
  <si>
    <t>-349.939381331204 612.827562341157 738.591495876848</t>
  </si>
  <si>
    <t>9763-20170724T170005.563026400.bin</t>
  </si>
  <si>
    <t>-359.75514535368 848.7416967048 -248.847939068801</t>
  </si>
  <si>
    <t>-366.199689539405 853.174138923921 -369.705881859192</t>
  </si>
  <si>
    <t>-366.142713924738 853.597612478838 -490.90970219984</t>
  </si>
  <si>
    <t>-363.339653222413 852.297567194896 -600.387061861236</t>
  </si>
  <si>
    <t>-357.895153519278 849.314608463512 -709.732120217295</t>
  </si>
  <si>
    <t>-347.584506497142 843.393336843451 -861.582730670262</t>
  </si>
  <si>
    <t>-309.578404509099 821.137583425138 -953.469627928164</t>
  </si>
  <si>
    <t>-344.483455587593 876.862183001557 -795.076111448748</t>
  </si>
  <si>
    <t>-292.290498246508 1012.9577979081 -775.368043319248</t>
  </si>
  <si>
    <t>-214.592683734547 1067.70159099334 -473.453600390941</t>
  </si>
  <si>
    <t>-24.2699652746358 912.708995715263 -387.449815862229</t>
  </si>
  <si>
    <t>-359.809827741803 815.164314149636 -793.711028223714</t>
  </si>
  <si>
    <t>-395.982067536414 672.655394570763 -792.807055495148</t>
  </si>
  <si>
    <t>-165.860449479856 459.048872938298 -752.776228015932</t>
  </si>
  <si>
    <t>27.3757101552937 515.92115786926 -917.297887702833</t>
  </si>
  <si>
    <t>-339.805232254987 944.260664521057 -246.665901813891</t>
  </si>
  <si>
    <t>-257.66621292433 1015.55351189735 195.858749432449</t>
  </si>
  <si>
    <t>-215.508063977053 1077.99379202534 659.153967419456</t>
  </si>
  <si>
    <t>-45.3726477818227 1080.20712729124 703.792268382563</t>
  </si>
  <si>
    <t>-379.956673776734 752.905746221162 -250.839337863216</t>
  </si>
  <si>
    <t>-416.295589902159 706.079977952645 200.984202793789</t>
  </si>
  <si>
    <t>-486.613070446378 695.701733316041 665.806670085099</t>
  </si>
  <si>
    <t>-350.909270108008 610.957288563559 738.925422966019</t>
  </si>
  <si>
    <t>9763-20170724T170005.599127000.bin</t>
  </si>
  <si>
    <t>-346.419854841285 858.611782635322 -247.944448967372</t>
  </si>
  <si>
    <t>-353.957628412656 862.256624847879 -368.765429904711</t>
  </si>
  <si>
    <t>-354.823755219937 862.830471428853 -489.965468471677</t>
  </si>
  <si>
    <t>-352.775942502757 862.050406547963 -599.46468648264</t>
  </si>
  <si>
    <t>-348.000184341359 859.979132623611 -708.861904574263</t>
  </si>
  <si>
    <t>-338.52297999359 855.738761461129 -860.823027157652</t>
  </si>
  <si>
    <t>-301.025929299719 834.16903346279 -953.081903373679</t>
  </si>
  <si>
    <t>-334.94393555797 888.441935553876 -793.960459653141</t>
  </si>
  <si>
    <t>-282.278993558038 1024.13758503331 -772.808096355496</t>
  </si>
  <si>
    <t>-202.845205895245 1075.33802964835 -470.723760093256</t>
  </si>
  <si>
    <t>-12.2007676277196 918.91490562453 -388.0885325867</t>
  </si>
  <si>
    <t>-350.488726203868 826.788136232751 -793.20950046658</t>
  </si>
  <si>
    <t>-387.843769369267 684.617100002367 -794.612337509662</t>
  </si>
  <si>
    <t>-158.000430766483 470.184753494649 -757.505111205021</t>
  </si>
  <si>
    <t>35.767364531582 523.939024568162 -922.449279737535</t>
  </si>
  <si>
    <t>-325.288101241215 953.747726352854 -246.870223880271</t>
  </si>
  <si>
    <t>-256.889792662356 1019.34666943324 198.860809744166</t>
  </si>
  <si>
    <t>-215.824214368888 1076.05388052477 663.10184121162</t>
  </si>
  <si>
    <t>-46.7933439376566 1080.45773282422 711.60630299344</t>
  </si>
  <si>
    <t>-368.001855197459 762.873342468565 -248.674532924293</t>
  </si>
  <si>
    <t>-405.348634793689 712.083768392239 202.63843950749</t>
  </si>
  <si>
    <t>-485.672001558168 696.229986118918 665.893281912064</t>
  </si>
  <si>
    <t>-351.474705686244 609.528349471781 739.496287274063</t>
  </si>
  <si>
    <t>9763-20170724T170005.662337900.bin</t>
  </si>
  <si>
    <t>-318.170630342123 879.548726254382 -250.276916801689</t>
  </si>
  <si>
    <t>-327.767222674231 880.21936751006 -371.005033334507</t>
  </si>
  <si>
    <t>-330.511081131027 880.1435090644 -492.178580093236</t>
  </si>
  <si>
    <t>-330.074022992703 879.735720460411 -601.697924251168</t>
  </si>
  <si>
    <t>-326.813931209133 879.014304917549 -711.168114085849</t>
  </si>
  <si>
    <t>-319.336883032629 877.685962018074 -863.294035860492</t>
  </si>
  <si>
    <t>-282.997943456822 857.897962580199 -956.411819746412</t>
  </si>
  <si>
    <t>-314.695836079617 909.057818654475 -795.861214607444</t>
  </si>
  <si>
    <t>-261.460323327977 1044.04195786884 -772.116168933977</t>
  </si>
  <si>
    <t>-177.984367037684 1090.9396459685 -470.423339094008</t>
  </si>
  <si>
    <t>14.0409001096109 932.116747867853 -395.967580475636</t>
  </si>
  <si>
    <t>-330.594565226882 847.4898532212 -796.104923359306</t>
  </si>
  <si>
    <t>-369.358235084757 705.742770192668 -801.227181576598</t>
  </si>
  <si>
    <t>-138.983024495429 490.963167428221 -769.871844289078</t>
  </si>
  <si>
    <t>56.3025445433289 538.186730304255 -935.024968177273</t>
  </si>
  <si>
    <t>-293.643979489221 975.174921981889 -253.704378021899</t>
  </si>
  <si>
    <t>-251.178747895324 1030.54544834164 196.616054717877</t>
  </si>
  <si>
    <t>-215.233570554474 1076.04686093767 660.879272443884</t>
  </si>
  <si>
    <t>-48.5638546522719 1071.03881315963 716.911675850012</t>
  </si>
  <si>
    <t>-342.134011681158 784.114916282694 -245.890031483017</t>
  </si>
  <si>
    <t>-373.438751290638 722.597207754983 204.546664979306</t>
  </si>
  <si>
    <t>-481.197001274463 698.921405987132 663.681941187168</t>
  </si>
  <si>
    <t>-351.891382347515 606.430882738062 738.975267009002</t>
  </si>
  <si>
    <t>9763-20170724T170005.697430700.bin</t>
  </si>
  <si>
    <t>-302.251838854884 891.045729527942 -251.748862606121</t>
  </si>
  <si>
    <t>-313.198978543696 890.581874003238 -372.36281085623</t>
  </si>
  <si>
    <t>-316.954079480627 890.285438068669 -493.508955260043</t>
  </si>
  <si>
    <t>-317.293561157635 890.061568390331 -603.029236022775</t>
  </si>
  <si>
    <t>-314.672493328047 889.918036990266 -712.518694964199</t>
  </si>
  <si>
    <t>-307.940968280522 889.8139760354 -864.68535244577</t>
  </si>
  <si>
    <t>-272.235551081637 871.004692930268 -958.249998076243</t>
  </si>
  <si>
    <t>-302.865465965711 920.61500963967 -797.021144163857</t>
  </si>
  <si>
    <t>-249.27356953577 1055.30329042648 -772.370590503802</t>
  </si>
  <si>
    <t>-164.312181793752 1100.79520078424 -470.877274930212</t>
  </si>
  <si>
    <t>28.8291183012516 941.067104766082 -401.412043827798</t>
  </si>
  <si>
    <t>-318.973422730317 859.105094525503 -797.691602604395</t>
  </si>
  <si>
    <t>-357.957421198414 717.443104042664 -804.054364930749</t>
  </si>
  <si>
    <t>-127.654172447272 502.029670913838 -776.784494143945</t>
  </si>
  <si>
    <t>69.1696717484069 545.280142649445 -941.198066835572</t>
  </si>
  <si>
    <t>-275.549003672072 987.815220697105 -257.349718842504</t>
  </si>
  <si>
    <t>-246.765340109778 1036.22487433129 194.851153395107</t>
  </si>
  <si>
    <t>-212.740924728386 1076.30326363193 659.376905468884</t>
  </si>
  <si>
    <t>-47.3634063144839 1065.53533322856 718.350135849196</t>
  </si>
  <si>
    <t>-328.184273813185 794.562882439747 -245.210644554004</t>
  </si>
  <si>
    <t>-351.855178765517 727.792356582034 204.943793531056</t>
  </si>
  <si>
    <t>-478.191098876653 700.248292650747 659.940927085705</t>
  </si>
  <si>
    <t>-351.811378817755 604.880082574226 736.600054581222</t>
  </si>
  <si>
    <t>9763-20170724T170005.769226600.bin</t>
  </si>
  <si>
    <t>-272.668670980402 909.755233522746 -256.513950391555</t>
  </si>
  <si>
    <t>-286.566635113782 907.835149617329 -376.809205838767</t>
  </si>
  <si>
    <t>-292.102515913845 907.600638134348 -497.887184042937</t>
  </si>
  <si>
    <t>-293.58403652597 908.062908626505 -607.397260532935</t>
  </si>
  <si>
    <t>-291.641151876471 909.2505921626 -716.894542516883</t>
  </si>
  <si>
    <t>-285.373571814499 911.68217420003 -869.061560039049</t>
  </si>
  <si>
    <t>-250.661710072332 894.591412980708 -963.326941547447</t>
  </si>
  <si>
    <t>-279.860620844583 941.290007932044 -800.900770897632</t>
  </si>
  <si>
    <t>-225.638225493421 1075.24627806421 -773.988162301795</t>
  </si>
  <si>
    <t>-136.19897393332 1119.01225012294 -473.53641324121</t>
  </si>
  <si>
    <t>59.4140930634178 958.051042734042 -414.636861217174</t>
  </si>
  <si>
    <t>-296.433006744453 879.922415723867 -802.564026387357</t>
  </si>
  <si>
    <t>-335.721983404745 738.444358824095 -811.449650053156</t>
  </si>
  <si>
    <t>-107.630652935758 520.045709000065 -789.9441591782</t>
  </si>
  <si>
    <t>93.1736046099927 553.348680684855 -951.841021251906</t>
  </si>
  <si>
    <t>-245.150458779769 1009.29451604313 -263.605979110204</t>
  </si>
  <si>
    <t>-236.427005811954 1051.01680975888 190.0908374846</t>
  </si>
  <si>
    <t>-210.270430169544 1079.00716535755 654.96307651005</t>
  </si>
  <si>
    <t>-46.6723669346852 1063.805824245 717.796883614186</t>
  </si>
  <si>
    <t>-300.212966406553 809.287450518093 -249.04194107503</t>
  </si>
  <si>
    <t>-299.273878248417 735.935544031142 200.709457101303</t>
  </si>
  <si>
    <t>-465.751887858692 705.319771204418 639.624770491711</t>
  </si>
  <si>
    <t>-351.936621999694 601.211057077981 724.188183642843</t>
  </si>
  <si>
    <t>9763-20170724T170005.796297100.bin</t>
  </si>
  <si>
    <t>-258.508004629981 915.627505302518 -260.871247659033</t>
  </si>
  <si>
    <t>-273.873804871848 914.193698485134 -380.994578904538</t>
  </si>
  <si>
    <t>-280.127999834629 914.677724143045 -502.036896841659</t>
  </si>
  <si>
    <t>-281.954346986482 915.881575786102 -611.536044688275</t>
  </si>
  <si>
    <t>-280.051177254107 917.904105350235 -721.02177407775</t>
  </si>
  <si>
    <t>-273.521587009229 921.591491839901 -873.152607160624</t>
  </si>
  <si>
    <t>-238.911300990494 905.212141430029 -967.581600569333</t>
  </si>
  <si>
    <t>-268.010131452251 950.603970975423 -804.736168420378</t>
  </si>
  <si>
    <t>-213.358684031464 1084.17273766297 -776.525785730968</t>
  </si>
  <si>
    <t>-120.797515039588 1126.76474456945 -476.851752997292</t>
  </si>
  <si>
    <t>76.1306453127133 965.764390227321 -422.62774167307</t>
  </si>
  <si>
    <t>-284.811348712271 889.315647582716 -806.942811773663</t>
  </si>
  <si>
    <t>-324.527035079735 748.079918295127 -817.008996659745</t>
  </si>
  <si>
    <t>-97.2072412136167 528.764523127858 -796.696138088703</t>
  </si>
  <si>
    <t>105.757812073177 556.324855864865 -956.969770374223</t>
  </si>
  <si>
    <t>-231.339302427365 1017.98882506752 -267.458594450931</t>
  </si>
  <si>
    <t>-231.743836082625 1057.87104624725 186.487307646923</t>
  </si>
  <si>
    <t>-209.387615902828 1081.24344116253 652.390761058151</t>
  </si>
  <si>
    <t>-46.8772955703325 1061.84029813527 716.868949914944</t>
  </si>
  <si>
    <t>-284.624724528668 813.004960944741 -254.05464770456</t>
  </si>
  <si>
    <t>-268.461738918558 741.826755057221 195.756474918005</t>
  </si>
  <si>
    <t>-455.269453356485 714.39572370751 625.715214659698</t>
  </si>
  <si>
    <t>-351.686496453976 606.511336550026 718.316857785781</t>
  </si>
  <si>
    <t>9763-20170724T170005.861439200.bin</t>
  </si>
  <si>
    <t>-240.370305707764 947.371277669639 -271.834220480131</t>
  </si>
  <si>
    <t>-257.515676729024 947.552993817041 -391.725083632085</t>
  </si>
  <si>
    <t>-264.495226115256 949.518003844518 -512.712598700716</t>
  </si>
  <si>
    <t>-266.542121122793 951.977736632251 -622.186926054285</t>
  </si>
  <si>
    <t>-264.420010333684 955.156312327629 -731.641083422953</t>
  </si>
  <si>
    <t>-257.12453960916 960.33180271849 -883.693764746389</t>
  </si>
  <si>
    <t>-222.287559245826 944.805401292524 -978.183513246877</t>
  </si>
  <si>
    <t>-251.693429279758 988.59924432982 -814.95967468167</t>
  </si>
  <si>
    <t>-195.999374633126 1121.39298728824 -784.991388813318</t>
  </si>
  <si>
    <t>-97.8628854846461 1160.93759334857 -486.676694757784</t>
  </si>
  <si>
    <t>102.1636194536 1001.33941758723 -440.202176498567</t>
  </si>
  <si>
    <t>-269.011608135932 927.484702498839 -817.870799540291</t>
  </si>
  <si>
    <t>-310.023587886681 786.849424147334 -830.406906653676</t>
  </si>
  <si>
    <t>-85.1038195058525 565.001911375621 -810.888065962444</t>
  </si>
  <si>
    <t>122.844711939132 580.07308257513 -966.362769805735</t>
  </si>
  <si>
    <t>-213.727590113598 1043.97834855749 -275.891727610077</t>
  </si>
  <si>
    <t>-223.077199256012 1075.23933197557 178.633343263529</t>
  </si>
  <si>
    <t>-207.570817905705 1082.34006915407 647.610888193064</t>
  </si>
  <si>
    <t>-46.3730330024439 1061.52434182862 714.882674858034</t>
  </si>
  <si>
    <t>-267.312567814626 854.279206685926 -267.988531707604</t>
  </si>
  <si>
    <t>-211.384340237991 788.194512436824 179.40674855867</t>
  </si>
  <si>
    <t>-428.300420719606 792.893971518681 595.475217474684</t>
  </si>
  <si>
    <t>-358.182698817491 674.357311152832 704.910555573543</t>
  </si>
  <si>
    <t>9763-20170724T170005.898537700.bin</t>
  </si>
  <si>
    <t>-232.566161941912 961.152934781018 -276.429273197761</t>
  </si>
  <si>
    <t>-250.235316528436 962.065485196682 -396.240624120537</t>
  </si>
  <si>
    <t>-257.239939699648 964.683696076999 -517.214374368996</t>
  </si>
  <si>
    <t>-259.104125258548 967.686299179459 -626.678404321274</t>
  </si>
  <si>
    <t>-256.592527584427 971.348945315843 -736.109238271614</t>
  </si>
  <si>
    <t>-248.53889875995 977.126981478762 -888.101832808379</t>
  </si>
  <si>
    <t>-213.376291859313 962.020691212844 -982.539051383561</t>
  </si>
  <si>
    <t>-243.357054979089 1005.09463601941 -819.226112057751</t>
  </si>
  <si>
    <t>-187.288325433037 1137.47205585206 -788.510929120742</t>
  </si>
  <si>
    <t>-86.9164740710653 1176.05264131349 -490.814431977533</t>
  </si>
  <si>
    <t>114.570658975262 1017.21528548615 -448.20349432393</t>
  </si>
  <si>
    <t>-260.847693543882 944.04625857073 -822.473589217554</t>
  </si>
  <si>
    <t>-302.232237043875 803.537944441277 -835.967574466904</t>
  </si>
  <si>
    <t>-78.1044082363603 580.821941980592 -817.246330764718</t>
  </si>
  <si>
    <t>132.277529324728 589.801839328173 -969.892524972758</t>
  </si>
  <si>
    <t>-205.735933229558 1055.4360910318 -279.143435232641</t>
  </si>
  <si>
    <t>-218.728293160006 1082.98330949499 175.532322846294</t>
  </si>
  <si>
    <t>-206.607292539173 1082.61738317687 645.283753629391</t>
  </si>
  <si>
    <t>-46.2473854171435 1061.54943450233 714.452676145651</t>
  </si>
  <si>
    <t>-259.156727824564 868.35097424405 -273.568186954314</t>
  </si>
  <si>
    <t>-181.968705375901 802.944870671493 170.753424168436</t>
  </si>
  <si>
    <t>-408.45430732591 823.74302096373 582.377868799422</t>
  </si>
  <si>
    <t>-348.466343161675 702.91976429312 695.279031378841</t>
  </si>
  <si>
    <t>9763-20170724T170005.964729900.bin</t>
  </si>
  <si>
    <t>-215.087598351945 977.966350528081 -283.702235625964</t>
  </si>
  <si>
    <t>-232.918387157508 980.787563578986 -403.459842915082</t>
  </si>
  <si>
    <t>-239.421564677456 985.035971382591 -524.415403663477</t>
  </si>
  <si>
    <t>-240.562538593495 989.377598429401 -633.844290907485</t>
  </si>
  <si>
    <t>-237.057476793483 994.231788984293 -743.201595560986</t>
  </si>
  <si>
    <t>-227.341139296617 1001.50073712254 -895.032838362013</t>
  </si>
  <si>
    <t>-191.568361976419 987.379652550685 -989.393369869914</t>
  </si>
  <si>
    <t>-222.833233021226 1028.76705733418 -825.829199542356</t>
  </si>
  <si>
    <t>-166.809828032539 1160.72871942048 -793.053060891745</t>
  </si>
  <si>
    <t>-61.6434439242 1200.31942750537 -497.149695650788</t>
  </si>
  <si>
    <t>143.03734444869 1043.73228673832 -462.102254484344</t>
  </si>
  <si>
    <t>-240.447352272145 967.80192295562 -829.875169443592</t>
  </si>
  <si>
    <t>-281.821706564544 827.567239671029 -845.267432820711</t>
  </si>
  <si>
    <t>-60.5707852258445 601.95748951357 -826.97920590946</t>
  </si>
  <si>
    <t>154.305955277426 599.697599385943 -973.48832814857</t>
  </si>
  <si>
    <t>-188.486544576475 1071.56602972062 -284.348102473804</t>
  </si>
  <si>
    <t>-208.165741244284 1092.11034420106 170.457725519189</t>
  </si>
  <si>
    <t>-204.797922213375 1083.72644488855 641.306666257412</t>
  </si>
  <si>
    <t>-45.7495249525753 1063.5871686214 713.705156844971</t>
  </si>
  <si>
    <t>-241.601389043861 883.075332216657 -281.991064215713</t>
  </si>
  <si>
    <t>-121.39827204647 840.547317711 155.502029286677</t>
  </si>
  <si>
    <t>-348.244603060578 887.222272356226 563.407693905275</t>
  </si>
  <si>
    <t>-271.94049152527 780.576798086158 680.659230142918</t>
  </si>
  <si>
    <t>9763-20170724T170006.000825200.bin</t>
  </si>
  <si>
    <t>-206.174500634339 982.534820788213 -285.889503718192</t>
  </si>
  <si>
    <t>-223.98192712006 986.059743795173 -405.632117543879</t>
  </si>
  <si>
    <t>-230.138492238263 990.942639883112 -526.581679228278</t>
  </si>
  <si>
    <t>-230.833899261204 995.810944715332 -635.992197666208</t>
  </si>
  <si>
    <t>-226.751027628723 1001.13168568983 -745.30777325654</t>
  </si>
  <si>
    <t>-216.09367758515 1008.97545930163 -897.047254510139</t>
  </si>
  <si>
    <t>-180.291608222361 995.428495157775 -991.480738969861</t>
  </si>
  <si>
    <t>-211.956469327056 1035.96235747892 -827.711068065277</t>
  </si>
  <si>
    <t>-155.847135978399 1167.7356894145 -794.11875262352</t>
  </si>
  <si>
    <t>-50.4139432964164 1207.11394486151 -498.281958470048</t>
  </si>
  <si>
    <t>155.96326797239 1051.96249139122 -467.000386642992</t>
  </si>
  <si>
    <t>-229.661960099902 975.04744757795 -832.103531974664</t>
  </si>
  <si>
    <t>-271.222596157966 834.988116523664 -848.421777204394</t>
  </si>
  <si>
    <t>-50.9418056678644 608.413459488388 -830.350759257397</t>
  </si>
  <si>
    <t>165.900038697963 600.801336734296 -973.75142227501</t>
  </si>
  <si>
    <t>-180.625026889159 1076.21213451385 -285.58159648767</t>
  </si>
  <si>
    <t>-203.000973199704 1094.32314110377 169.202962704195</t>
  </si>
  <si>
    <t>-204.45486317867 1083.75707119233 640.28314945007</t>
  </si>
  <si>
    <t>-45.6221659401931 1064.66346634376 713.434542462175</t>
  </si>
  <si>
    <t>-231.336730504964 888.092609551637 -285.060749661123</t>
  </si>
  <si>
    <t>-93.8697885920087 859.794655438626 148.48247385799</t>
  </si>
  <si>
    <t>-310.612843783353 917.402342155395 560.379116000339</t>
  </si>
  <si>
    <t>-222.873250983354 818.638785216292 676.529997760453</t>
  </si>
  <si>
    <t>9763-20170724T170006.065862500.bin</t>
  </si>
  <si>
    <t>-189.366256969035 988.034095924693 -287.927943370896</t>
  </si>
  <si>
    <t>-207.177018507968 992.647767243975 -407.632996481927</t>
  </si>
  <si>
    <t>-212.485984532034 998.52855133738 -528.578377794627</t>
  </si>
  <si>
    <t>-212.068546181518 1004.20894946208 -637.951083680528</t>
  </si>
  <si>
    <t>-206.526809993171 1010.21749012735 -747.166671589921</t>
  </si>
  <si>
    <t>-193.482058748523 1018.85848636232 -898.676337224543</t>
  </si>
  <si>
    <t>-157.987570596475 1006.62898352015 -993.405166329044</t>
  </si>
  <si>
    <t>-190.329831222855 1045.44794825622 -829.135240410573</t>
  </si>
  <si>
    <t>-134.055407423399 1176.62669528675 -794.001415870485</t>
  </si>
  <si>
    <t>-29.2949124245604 1214.98620946576 -497.791977475838</t>
  </si>
  <si>
    <t>179.85258062014 1062.23868907624 -473.967681888023</t>
  </si>
  <si>
    <t>-208.178135539972 984.622115742399 -834.140926039657</t>
  </si>
  <si>
    <t>-249.910284300142 844.719699508743 -852.073954284761</t>
  </si>
  <si>
    <t>-30.5256785322917 617.174913699759 -835.342147644248</t>
  </si>
  <si>
    <t>188.805270086587 600.958748257378 -974.169660302881</t>
  </si>
  <si>
    <t>-166.796988199413 1082.53499682323 -286.007275312039</t>
  </si>
  <si>
    <t>-194.641391273061 1097.14444766789 168.601286996671</t>
  </si>
  <si>
    <t>-204.482691956126 1082.97766073607 639.498043874342</t>
  </si>
  <si>
    <t>-45.6939953542521 1065.41189914329 713.126262588305</t>
  </si>
  <si>
    <t>-211.816735524242 893.796739620374 -288.684668478194</t>
  </si>
  <si>
    <t>-49.9363895955933 890.794307414857 137.277018969059</t>
  </si>
  <si>
    <t>-226.314802891528 961.375860207371 566.298502817827</t>
  </si>
  <si>
    <t>-126.283532666909 863.687879345899 673.042695111179</t>
  </si>
  <si>
    <t>9763-20170724T170006.100967700.bin</t>
  </si>
  <si>
    <t>-181.501178826669 989.921456976794 -287.799216672915</t>
  </si>
  <si>
    <t>-199.069521916531 994.870274275492 -407.526664652323</t>
  </si>
  <si>
    <t>-203.79156244263 1001.09099427092 -528.479471478709</t>
  </si>
  <si>
    <t>-202.704296600844 1007.05864918137 -637.832378912455</t>
  </si>
  <si>
    <t>-196.35434211612 1013.32075631849 -746.989784770352</t>
  </si>
  <si>
    <t>-182.043778272224 1022.26483089328 -898.367441562885</t>
  </si>
  <si>
    <t>-146.743137835933 1010.68768201005 -993.250573763607</t>
  </si>
  <si>
    <t>-179.484080948102 1048.71848196086 -828.750031297476</t>
  </si>
  <si>
    <t>-123.437046956556 1179.80796617403 -792.823756131089</t>
  </si>
  <si>
    <t>-18.0473863964448 1217.84526061524 -496.796068795867</t>
  </si>
  <si>
    <t>191.956021333059 1065.76617720777 -476.483545401274</t>
  </si>
  <si>
    <t>-197.267381344283 987.896408811131 -834.024923750128</t>
  </si>
  <si>
    <t>-238.773250703135 848.038142972685 -852.573443839741</t>
  </si>
  <si>
    <t>-19.9462579463354 619.974207596028 -835.611790117652</t>
  </si>
  <si>
    <t>199.869384676312 600.959009711155 -973.312714431797</t>
  </si>
  <si>
    <t>-160.093596126061 1084.95094357072 -285.72024870779</t>
  </si>
  <si>
    <t>-190.780945862125 1097.78354145686 168.75887157067</t>
  </si>
  <si>
    <t>-204.408960286258 1082.27220359495 639.387178676338</t>
  </si>
  <si>
    <t>-45.6217190057314 1065.76379989557 713.262676331316</t>
  </si>
  <si>
    <t>-202.727123002172 894.709503309794 -289.139170566741</t>
  </si>
  <si>
    <t>-33.7875300502706 905.283177365737 133.95096406419</t>
  </si>
  <si>
    <t>-180.486046491202 975.245950880295 574.391469406371</t>
  </si>
  <si>
    <t>-74.5208225848814 876.811800059027 674.519419531425</t>
  </si>
  <si>
    <t>9763-20170724T170006.165676800.bin</t>
  </si>
  <si>
    <t>-164.980784946916 993.202575557486 -286.751907986417</t>
  </si>
  <si>
    <t>-181.767793712673 997.708250603849 -406.608857215585</t>
  </si>
  <si>
    <t>-185.166251516934 1003.84975863602 -527.61013372293</t>
  </si>
  <si>
    <t>-182.660732893747 1009.85087536911 -636.937785162963</t>
  </si>
  <si>
    <t>-174.671729737962 1016.22194841813 -745.981015389937</t>
  </si>
  <si>
    <t>-157.853589870238 1025.37250967935 -897.088455856206</t>
  </si>
  <si>
    <t>-122.832827440424 1014.94973980809 -992.208938000409</t>
  </si>
  <si>
    <t>-156.482826883443 1051.74121730285 -827.405312832148</t>
  </si>
  <si>
    <t>-100.92687137041 1182.66693318904 -790.12024089268</t>
  </si>
  <si>
    <t>7.61077185303088 1218.9542976216 -495.011801442868</t>
  </si>
  <si>
    <t>218.09912115851 1066.76234066587 -481.808160972313</t>
  </si>
  <si>
    <t>-174.107364692776 990.90617453009 -833.050880072288</t>
  </si>
  <si>
    <t>-214.633979094806 850.875072729282 -852.393885961207</t>
  </si>
  <si>
    <t>2.96683399868107 621.650468806631 -835.299350518626</t>
  </si>
  <si>
    <t>223.409785736615 599.221081656955 -971.475238574617</t>
  </si>
  <si>
    <t>-145.804946439725 1088.99191539547 -284.906986186043</t>
  </si>
  <si>
    <t>-182.939035580718 1099.05071502661 169.160800385596</t>
  </si>
  <si>
    <t>-204.020244930603 1080.74118862951 638.894190966286</t>
  </si>
  <si>
    <t>-45.4156478744769 1066.31952348579 713.594375173179</t>
  </si>
  <si>
    <t>-184.25418205738 896.935998166361 -287.574020227265</t>
  </si>
  <si>
    <t>-11.8977459030616 933.19086841135 132.70736883053</t>
  </si>
  <si>
    <t>-88.7358207034138 990.529536661689 592.877720054652</t>
  </si>
  <si>
    <t>35.8166539406848 898.666342893884 676.49219620853</t>
  </si>
  <si>
    <t>9763-20170724T170006.197726100.bin</t>
  </si>
  <si>
    <t>-155.799908659727 994.629848942651 -285.944755356887</t>
  </si>
  <si>
    <t>-172.047689050918 998.641282364101 -405.893519120185</t>
  </si>
  <si>
    <t>-174.870085965963 1004.53502577776 -526.921949525742</t>
  </si>
  <si>
    <t>-171.825992934225 1010.39365050335 -636.243804205579</t>
  </si>
  <si>
    <t>-163.279814151505 1016.68939636659 -745.249194380799</t>
  </si>
  <si>
    <t>-145.666944851955 1025.79362326569 -896.26866761179</t>
  </si>
  <si>
    <t>-110.9208360895 1015.90655641584 -991.546945172268</t>
  </si>
  <si>
    <t>-144.740759250461 1052.20670312987 -826.595142864749</t>
  </si>
  <si>
    <t>-89.4629740750763 1183.17536159621 -789.021970976956</t>
  </si>
  <si>
    <t>21.7401557184162 1217.62015617705 -494.68610113055</t>
  </si>
  <si>
    <t>231.503950734212 1064.13845566858 -485.489036255515</t>
  </si>
  <si>
    <t>-162.179451987171 991.323815119702 -832.299306969795</t>
  </si>
  <si>
    <t>-202.161909495877 851.134524728482 -851.724542772912</t>
  </si>
  <si>
    <t>14.5065030822516 621.068973393257 -834.09403762448</t>
  </si>
  <si>
    <t>235.188522393653 596.948350501837 -969.591875980096</t>
  </si>
  <si>
    <t>-137.963944618693 1090.77169215867 -284.38234594945</t>
  </si>
  <si>
    <t>-178.6102088567 1099.230538726 169.417206517922</t>
  </si>
  <si>
    <t>-203.738266689027 1079.72077387763 638.743738870051</t>
  </si>
  <si>
    <t>-45.2097284785295 1066.70813447543 713.862758813336</t>
  </si>
  <si>
    <t>-173.899845041464 898.529139922621 -286.271879713849</t>
  </si>
  <si>
    <t>-4.72461021145295 943.486710325947 134.461086040214</t>
  </si>
  <si>
    <t>-40.8818583639109 992.388080809003 600.547269120959</t>
  </si>
  <si>
    <t>94.6077685654093 907.587204442123 673.997138087483</t>
  </si>
  <si>
    <t>9763-20170724T170006.265046400.bin</t>
  </si>
  <si>
    <t>-135.10907341373 997.102743468639 -283.914403315101</t>
  </si>
  <si>
    <t>-149.45312060742 999.799032484519 -404.142433700867</t>
  </si>
  <si>
    <t>-150.935813261604 1004.86503970809 -525.232169276318</t>
  </si>
  <si>
    <t>-146.901906482234 1010.14877357236 -634.551239546105</t>
  </si>
  <si>
    <t>-137.582718504056 1016.02415577898 -743.51668651646</t>
  </si>
  <si>
    <t>-119.116916392205 1024.68788908413 -894.460275152902</t>
  </si>
  <si>
    <t>-85.0793560302261 1015.5015675926 -990.063844674265</t>
  </si>
  <si>
    <t>-118.903651163824 1051.39673350725 -824.893684248663</t>
  </si>
  <si>
    <t>-64.3424111638806 1182.73455234758 -787.541762326364</t>
  </si>
  <si>
    <t>56.5227095953519 1211.65334253652 -496.437841905919</t>
  </si>
  <si>
    <t>262.943273211396 1053.44168627995 -497.742591125763</t>
  </si>
  <si>
    <t>-135.671384404644 990.311901172868 -830.451052326807</t>
  </si>
  <si>
    <t>-174.095879813401 849.640173549183 -849.419473251866</t>
  </si>
  <si>
    <t>40.483503092107 617.667120802941 -831.244582023569</t>
  </si>
  <si>
    <t>260.631249965351 593.110629963434 -967.530869574998</t>
  </si>
  <si>
    <t>-120.300845576501 1093.80264457102 -282.966883092247</t>
  </si>
  <si>
    <t>-169.495881652312 1099.68532900189 170.026405840022</t>
  </si>
  <si>
    <t>-203.187346645927 1077.96204833275 638.374549211546</t>
  </si>
  <si>
    <t>-44.8378535081768 1067.78490046894 714.304560933571</t>
  </si>
  <si>
    <t>-149.772581993204 900.469429804672 -283.659256822546</t>
  </si>
  <si>
    <t>4.88469948746206 957.558365273675 141.169720949964</t>
  </si>
  <si>
    <t>49.2336095361495 988.316192529948 607.91268984413</t>
  </si>
  <si>
    <t>199.343680626369 915.120676114424 663.165819179911</t>
  </si>
  <si>
    <t>9763-20170724T170006.296132400.bin</t>
  </si>
  <si>
    <t>-123.35946627227 997.957576949369 -282.588011742568</t>
  </si>
  <si>
    <t>-136.593628553049 999.819767275363 -402.959209032175</t>
  </si>
  <si>
    <t>-137.470030594554 1004.27599198482 -524.078702550498</t>
  </si>
  <si>
    <t>-133.086522795016 1009.09089653183 -633.40599663929</t>
  </si>
  <si>
    <t>-123.612742826766 1014.5722248605 -742.378710741528</t>
  </si>
  <si>
    <t>-105.131361942437 1022.76040734985 -893.346789211846</t>
  </si>
  <si>
    <t>-71.5512108177293 1013.67352899082 -989.121541259454</t>
  </si>
  <si>
    <t>-105.092626777955 1049.73531324324 -823.882738390855</t>
  </si>
  <si>
    <t>-50.8980830052853 1181.32999689379 -786.90169143017</t>
  </si>
  <si>
    <t>77.4888725167439 1207.71411591604 -498.792520022858</t>
  </si>
  <si>
    <t>281.599647380982 1046.75701908357 -507.377296435144</t>
  </si>
  <si>
    <t>-121.525040617311 988.539316732358 -829.213422141527</t>
  </si>
  <si>
    <t>-158.967983266362 847.53865688734 -847.603314254662</t>
  </si>
  <si>
    <t>54.2624919591246 614.319924797363 -829.491876126436</t>
  </si>
  <si>
    <t>273.734001651111 590.971348387212 -967.075232617988</t>
  </si>
  <si>
    <t>-110.323738608845 1094.91196195192 -282.131651351874</t>
  </si>
  <si>
    <t>-164.135959637385 1099.80206856723 170.348206067993</t>
  </si>
  <si>
    <t>-202.862984457863 1077.08624819155 638.178391791332</t>
  </si>
  <si>
    <t>-44.6398201422721 1068.28490544589 714.542446818699</t>
  </si>
  <si>
    <t>-136.272325695175 901.205555963627 -282.117942290926</t>
  </si>
  <si>
    <t>7.82321165225426 962.401837310604 145.841363455592</t>
  </si>
  <si>
    <t>85.3645760553641 984.686140055699 608.896857189648</t>
  </si>
  <si>
    <t>238.154205097737 911.121176516242 655.662656123953</t>
  </si>
  <si>
    <t>9763-20170724T170006.364969900.bin</t>
  </si>
  <si>
    <t>-95.4536029479393 998.416751577024 -279.5776533365</t>
  </si>
  <si>
    <t>-106.874781871592 999.077851562086 -400.146846608324</t>
  </si>
  <si>
    <t>-107.237360294747 1002.39881145861 -521.305452542733</t>
  </si>
  <si>
    <t>-102.906248649582 1006.20994609696 -630.674466448188</t>
  </si>
  <si>
    <t>-93.9960549713326 1010.70099581664 -739.739911099505</t>
  </si>
  <si>
    <t>-76.8244270898726 1017.52155047992 -890.930624205078</t>
  </si>
  <si>
    <t>-44.6909985632751 1008.19288479302 -987.177110768083</t>
  </si>
  <si>
    <t>-76.4760684677613 1045.20343298185 -821.745977897233</t>
  </si>
  <si>
    <t>-22.5598610455304 1177.28583299818 -786.159854437616</t>
  </si>
  <si>
    <t>124.967551996433 1199.10146246229 -506.97188237681</t>
  </si>
  <si>
    <t>321.686371060576 1031.06117560731 -533.546824758027</t>
  </si>
  <si>
    <t>-92.3685382120016 983.803954288299 -826.320819882459</t>
  </si>
  <si>
    <t>-128.335453471851 842.185056318622 -842.991574421383</t>
  </si>
  <si>
    <t>82.0515727581178 606.385428809574 -825.046196744473</t>
  </si>
  <si>
    <t>298.411693483596 587.520029908617 -968.135149962101</t>
  </si>
  <si>
    <t>-85.444964565396 1095.69098246818 -279.796917096254</t>
  </si>
  <si>
    <t>-148.790781406135 1099.04668568255 171.461077822941</t>
  </si>
  <si>
    <t>-202.067474067355 1074.85350850454 637.785347415697</t>
  </si>
  <si>
    <t>-44.1077693987959 1069.43413603669 715.00494264662</t>
  </si>
  <si>
    <t>-105.619473866706 901.724562247133 -278.690526232949</t>
  </si>
  <si>
    <t>15.4302952492098 965.433227425584 155.988420146751</t>
  </si>
  <si>
    <t>134.506096993175 978.104513159453 610.436435084615</t>
  </si>
  <si>
    <t>283.819007363956 892.796503809508 647.473037349514</t>
  </si>
  <si>
    <t>9763-20170724T170006.409101000.bin</t>
  </si>
  <si>
    <t>-78.5057779840549 997.307803511314 -277.954027190021</t>
  </si>
  <si>
    <t>-89.0057172462268 997.692595509777 -398.608167795577</t>
  </si>
  <si>
    <t>-89.313619989721 1000.46139417177 -519.78074062236</t>
  </si>
  <si>
    <t>-85.2849824814004 1003.66831517319 -629.180760658645</t>
  </si>
  <si>
    <t>-77.0292821221574 1007.45299577036 -738.324607387404</t>
  </si>
  <si>
    <t>-61.1338925234706 1013.18764339598 -889.699819163339</t>
  </si>
  <si>
    <t>-30.0422530481997 1003.43825329495 -986.246382353377</t>
  </si>
  <si>
    <t>-60.2456496216178 1041.37677355379 -820.725049638552</t>
  </si>
  <si>
    <t>-6.00853312752861 1173.65788208723 -786.33354990942</t>
  </si>
  <si>
    <t>152.029865247048 1193.65974325295 -512.819503494509</t>
  </si>
  <si>
    <t>343.933726285236 1021.91829474469 -549.149691396221</t>
  </si>
  <si>
    <t>-76.088645568615 979.923668120643 -824.716651817628</t>
  </si>
  <si>
    <t>-111.920005258686 838.13827599083 -840.182028294563</t>
  </si>
  <si>
    <t>97.959441074808 601.917842837794 -821.83097976206</t>
  </si>
  <si>
    <t>311.935848020016 585.633528378724 -968.769616105284</t>
  </si>
  <si>
    <t>-69.4165727575989 1094.47190097247 -278.123630066094</t>
  </si>
  <si>
    <t>-136.638649306945 1097.97239477596 172.57204297043</t>
  </si>
  <si>
    <t>-201.483825867831 1073.24315833102 637.461898620806</t>
  </si>
  <si>
    <t>-43.7433130779436 1070.39524235815 715.265003679608</t>
  </si>
  <si>
    <t>-87.3282085289418 900.404144348734 -277.13134538228</t>
  </si>
  <si>
    <t>24.2973933930625 962.888320691502 160.239296641202</t>
  </si>
  <si>
    <t>144.733397366384 975.602794834883 614.415098715641</t>
  </si>
  <si>
    <t>290.023411062876 883.418800260656 650.972755354758</t>
  </si>
  <si>
    <t>9763-20170724T170006.463247100.bin</t>
  </si>
  <si>
    <t>-36.1747121115161 990.815031784894 -274.783602704911</t>
  </si>
  <si>
    <t>-46.3113380459783 991.916021377128 -395.464317997191</t>
  </si>
  <si>
    <t>-47.6370616349368 994.087052097836 -516.64220305363</t>
  </si>
  <si>
    <t>-45.108821300679 996.238991948062 -626.11297991047</t>
  </si>
  <si>
    <t>-38.9471629165366 998.463128795635 -735.437816640652</t>
  </si>
  <si>
    <t>-26.593402605539 1001.50883713398 -887.220975860016</t>
  </si>
  <si>
    <t>1.85132755621703 990.400709011153 -984.434591046523</t>
  </si>
  <si>
    <t>-23.9759066595072 1030.88370205531 -818.787158686141</t>
  </si>
  <si>
    <t>32.3787508432588 1163.18052005268 -788.048598554081</t>
  </si>
  <si>
    <t>212.240442407807 1178.64496876147 -528.054707859412</t>
  </si>
  <si>
    <t>390.663274296966 997.887783764526 -584.038248137803</t>
  </si>
  <si>
    <t>-40.1431746453604 969.438459586355 -821.336025309649</t>
  </si>
  <si>
    <t>-76.4643938835193 827.438128539869 -833.453755325435</t>
  </si>
  <si>
    <t>133.03127369609 590.768370344569 -816.566371931585</t>
  </si>
  <si>
    <t>340.730356602994 581.937902316406 -972.85187394178</t>
  </si>
  <si>
    <t>-28.1762641288178 1087.9697984077 -273.901982225948</t>
  </si>
  <si>
    <t>-99.0613497197273 1092.63443420891 176.221697409953</t>
  </si>
  <si>
    <t>-198.778207142373 1069.93029112247 635.051075836437</t>
  </si>
  <si>
    <t>-42.6485015950148 1072.55913291328 716.04553466383</t>
  </si>
  <si>
    <t>-44.3672003831216 893.26700341654 -274.813489965097</t>
  </si>
  <si>
    <t>49.166660090312 950.991232692494 167.427426722283</t>
  </si>
  <si>
    <t>153.711662320732 969.571981825508 624.196010936125</t>
  </si>
  <si>
    <t>290.71449731379 868.317940706211 668.029374567699</t>
  </si>
  <si>
    <t>9763-20170724T170006.504357000.bin</t>
  </si>
  <si>
    <t>-12.050867344725 985.81565846156 -273.609229755829</t>
  </si>
  <si>
    <t>-22.7007604311348 988.369752183353 -394.223667423629</t>
  </si>
  <si>
    <t>-25.2056840127677 990.878316884333 -515.376530034387</t>
  </si>
  <si>
    <t>-24.036038370795 992.893090294785 -624.872848914932</t>
  </si>
  <si>
    <t>-19.5410756256811 994.542482586308 -734.289016958769</t>
  </si>
  <si>
    <t>-9.8389976600331 996.339028991789 -886.284656671476</t>
  </si>
  <si>
    <t>16.9720055581013 984.401479136147 -983.863599714962</t>
  </si>
  <si>
    <t>-5.86582114380462 1026.23167840015 -818.140917719885</t>
  </si>
  <si>
    <t>52.072049968697 1158.21610928039 -789.336407849003</t>
  </si>
  <si>
    <t>243.524502628134 1170.70271033922 -537.590093260438</t>
  </si>
  <si>
    <t>413.238746395622 984.708050733198 -602.744548130835</t>
  </si>
  <si>
    <t>-22.3978622724862 964.856524393125 -819.921592637854</t>
  </si>
  <si>
    <t>-59.9716379697161 823.03845986575 -830.435475014554</t>
  </si>
  <si>
    <t>148.570963177451 585.521472208202 -813.646832826591</t>
  </si>
  <si>
    <t>353.172872901748 580.341848191913 -974.12518817726</t>
  </si>
  <si>
    <t>-4.39588136269481 1083.09117721647 -271.14761143829</t>
  </si>
  <si>
    <t>-74.1847175111507 1087.74547453761 179.147372326398</t>
  </si>
  <si>
    <t>-196.726506954045 1068.39332024647 633.093475938324</t>
  </si>
  <si>
    <t>-41.9125663201903 1072.54582475392 716.513651025784</t>
  </si>
  <si>
    <t>-19.3211039475768 889.102670544287 -275.018309887084</t>
  </si>
  <si>
    <t>61.3759674717408 940.937710150897 170.468759992564</t>
  </si>
  <si>
    <t>166.007892203546 958.328739898034 627.12446116064</t>
  </si>
  <si>
    <t>298.680465074059 856.403349682481 681.463157306511</t>
  </si>
  <si>
    <t>9763-20170724T170006.566043400.bin</t>
  </si>
  <si>
    <t>31.4702731303873 976.831228404288 -269.58848630793</t>
  </si>
  <si>
    <t>21.7942119904544 983.971919277993 -390.100710005518</t>
  </si>
  <si>
    <t>18.2160511027228 987.985420365419 -511.186098948903</t>
  </si>
  <si>
    <t>17.5123291483603 990.162186866272 -620.683102541742</t>
  </si>
  <si>
    <t>19.184007019089 990.807199123661 -730.189427187252</t>
  </si>
  <si>
    <t>23.9284795524522 990.020735443013 -882.428950861966</t>
  </si>
  <si>
    <t>47.4221228364115 976.286918961394 -980.62470974456</t>
  </si>
  <si>
    <t>30.7021506101087 1020.89914023735 -814.948883851471</t>
  </si>
  <si>
    <t>93.060054770837 1151.80173578911 -790.255883226941</t>
  </si>
  <si>
    <t>306.457244613167 1153.83178733003 -556.495942775941</t>
  </si>
  <si>
    <t>455.808903492819 957.09611471506 -637.927791025166</t>
  </si>
  <si>
    <t>12.956341835416 959.838422198353 -815.186496388477</t>
  </si>
  <si>
    <t>-28.0468971025653 818.840269443023 -821.9605395887</t>
  </si>
  <si>
    <t>175.505642098675 577.002395586263 -805.618661260314</t>
  </si>
  <si>
    <t>374.413421027909 581.152469849886 -973.131553555116</t>
  </si>
  <si>
    <t>41.6086693109801 1073.91609989029 -263.698175865146</t>
  </si>
  <si>
    <t>-19.8737983925153 1079.42955470649 187.796175631034</t>
  </si>
  <si>
    <t>-190.694543474303 1066.1381702398 625.6835259679</t>
  </si>
  <si>
    <t>-40.3141390711783 1072.45380481212 716.729379427667</t>
  </si>
  <si>
    <t>20.5107123394109 880.683820654609 -274.465238582865</t>
  </si>
  <si>
    <t>88.8697657827768 925.89425476159 173.798906029653</t>
  </si>
  <si>
    <t>177.596476803191 947.201286571692 634.985547295058</t>
  </si>
  <si>
    <t>311.817070672987 857.426314941921 704.762294225598</t>
  </si>
  <si>
    <t>9763-20170724T170006.598132300.bin</t>
  </si>
  <si>
    <t>47.7341815290179 974.347963325102 -267.980293373647</t>
  </si>
  <si>
    <t>38.6834080554247 982.882129199892 -388.450455771173</t>
  </si>
  <si>
    <t>34.6438190381139 987.182805138013 -509.511337017712</t>
  </si>
  <si>
    <t>33.0517767192039 989.194986478925 -619.002361724718</t>
  </si>
  <si>
    <t>33.344344241897 989.269156443885 -728.522924542001</t>
  </si>
  <si>
    <t>35.6412188884108 987.279057415447 -880.808085730383</t>
  </si>
  <si>
    <t>57.3806548456612 972.741908897497 -979.291802073844</t>
  </si>
  <si>
    <t>43.9819536040291 1018.54435439719 -813.682523132714</t>
  </si>
  <si>
    <t>109.37383605016 1148.49945016346 -791.451518195236</t>
  </si>
  <si>
    <t>331.678724379834 1143.3747274328 -566.195136747008</t>
  </si>
  <si>
    <t>469.301677706588 941.176258613137 -654.613087793269</t>
  </si>
  <si>
    <t>25.2678320724651 957.774836959465 -813.170585535095</t>
  </si>
  <si>
    <t>-18.5663352667077 817.645807832631 -818.349436312354</t>
  </si>
  <si>
    <t>180.417616048844 572.048953838945 -801.806127299808</t>
  </si>
  <si>
    <t>377.192248657902 581.485525183707 -971.608108445436</t>
  </si>
  <si>
    <t>58.2965362077314 1070.50525501275 -260.780679117675</t>
  </si>
  <si>
    <t>3.93751737607363 1079.32389716629 191.574241178563</t>
  </si>
  <si>
    <t>-191.246755958026 1066.66489633334 619.996939630563</t>
  </si>
  <si>
    <t>-44.624196355787 1074.96522204506 716.828968038798</t>
  </si>
  <si>
    <t>35.987949175252 878.925245828007 -274.006442427561</t>
  </si>
  <si>
    <t>99.2369425812849 920.464776583137 175.361655411041</t>
  </si>
  <si>
    <t>180.123038966829 943.978225681495 636.648941041086</t>
  </si>
  <si>
    <t>314.913693951821 859.693315824875 711.955489439322</t>
  </si>
  <si>
    <t>9763-20170724T170006.665423600.bin</t>
  </si>
  <si>
    <t>83.3460623569827 963.990552706418 -269.738194821947</t>
  </si>
  <si>
    <t>75.7605352865594 972.420230698916 -390.31681345748</t>
  </si>
  <si>
    <t>70.7983912053999 976.155017002869 -511.362311200687</t>
  </si>
  <si>
    <t>67.3917374934745 977.528338900647 -620.821617029239</t>
  </si>
  <si>
    <t>64.8800541690107 976.878803365464 -730.3119297553</t>
  </si>
  <si>
    <t>62.2381578518364 973.830541662594 -882.574015925679</t>
  </si>
  <si>
    <t>80.8458578238553 958.287094533565 -981.54441597182</t>
  </si>
  <si>
    <t>73.9932040560534 1005.14858223432 -815.98641625876</t>
  </si>
  <si>
    <t>146.095922120931 1131.87131764126 -797.814805711483</t>
  </si>
  <si>
    <t>384.637231633895 1109.5928168929 -590.962456999273</t>
  </si>
  <si>
    <t>496.971739004256 897.406860039989 -690.963212066585</t>
  </si>
  <si>
    <t>52.8209899188437 945.209758610386 -814.419076313706</t>
  </si>
  <si>
    <t>2.40797116252634 807.017661713228 -817.308927327093</t>
  </si>
  <si>
    <t>190.918218018198 553.355851262647 -799.822407802723</t>
  </si>
  <si>
    <t>385.132952687575 572.11673320001 -971.783931851337</t>
  </si>
  <si>
    <t>97.2385113262794 1056.38898101046 -261.27508529901</t>
  </si>
  <si>
    <t>65.180425183263 1078.39232654689 192.757727915035</t>
  </si>
  <si>
    <t>-173.719062220889 1067.58493784898 598.265570343943</t>
  </si>
  <si>
    <t>-42.4020904043925 1072.8931479104 715.189456477507</t>
  </si>
  <si>
    <t>69.9025821052139 869.738126734087 -277.798590992815</t>
  </si>
  <si>
    <t>119.666983742757 908.986181365668 173.467076853986</t>
  </si>
  <si>
    <t>183.33027111252 942.949733406719 635.239918936643</t>
  </si>
  <si>
    <t>315.808444969724 859.614840783416 715.541597317123</t>
  </si>
  <si>
    <t>9763-20170724T170006.695502500.bin</t>
  </si>
  <si>
    <t>98.9449175353675 963.890711755434 -271.790307267857</t>
  </si>
  <si>
    <t>91.9214685463423 972.056634650088 -392.421042159891</t>
  </si>
  <si>
    <t>86.4008698631098 975.55850208794 -513.449281827471</t>
  </si>
  <si>
    <t>82.0432843827771 976.76439947602 -622.877015056434</t>
  </si>
  <si>
    <t>78.139449901226 976.01309537882 -732.325728306495</t>
  </si>
  <si>
    <t>73.1060784784738 972.909614195637 -884.526483344706</t>
  </si>
  <si>
    <t>90.3785544194791 957.186732387532 -983.710246986025</t>
  </si>
  <si>
    <t>86.5765733026997 1004.00623733489 -818.160319878867</t>
  </si>
  <si>
    <t>162.088405449741 1129.04459381956 -801.638817793251</t>
  </si>
  <si>
    <t>407.373394031607 1097.34544803733 -604.112720925218</t>
  </si>
  <si>
    <t>508.309950988192 881.602802041108 -708.558386496068</t>
  </si>
  <si>
    <t>64.0898350256025 944.559201913763 -816.204483114315</t>
  </si>
  <si>
    <t>10.459082604385 807.625893874789 -818.27893049255</t>
  </si>
  <si>
    <t>193.434642098036 549.881393697746 -801.728368092884</t>
  </si>
  <si>
    <t>387.004513252292 572.428698304032 -973.961881577806</t>
  </si>
  <si>
    <t>114.025386769765 1058.3514324018 -263.767027162354</t>
  </si>
  <si>
    <t>99.6138063710689 1087.97368830581 190.735451412573</t>
  </si>
  <si>
    <t>-164.311083702998 1084.09941569777 579.885861380489</t>
  </si>
  <si>
    <t>-44.7738212762786 1088.47980502054 708.863266299722</t>
  </si>
  <si>
    <t>83.6611940515149 869.690448437811 -279.473424244535</t>
  </si>
  <si>
    <t>127.922325656507 905.9027442244 172.618790587155</t>
  </si>
  <si>
    <t>184.461446622777 943.762700948541 635.437333144824</t>
  </si>
  <si>
    <t>316.023166921569 859.33400158708 716.102042458586</t>
  </si>
  <si>
    <t>9763-20170724T170006.766203700.bin</t>
  </si>
  <si>
    <t>125.993078629158 966.305287087018 -275.140565858782</t>
  </si>
  <si>
    <t>118.448935564504 975.883606533327 -395.636020396827</t>
  </si>
  <si>
    <t>111.512350319105 979.910090870525 -516.575051142216</t>
  </si>
  <si>
    <t>105.500423495891 981.2500352955 -625.922714106621</t>
  </si>
  <si>
    <t>99.5620753643414 980.314384131615 -735.278608546091</t>
  </si>
  <si>
    <t>91.2975970585182 976.638678786097 -887.325245050414</t>
  </si>
  <si>
    <t>106.338500124604 960.559485379938 -986.81502389822</t>
  </si>
  <si>
    <t>107.665486122545 1007.37428153871 -821.443956297979</t>
  </si>
  <si>
    <t>190.121560731579 1128.42094673153 -808.298738012134</t>
  </si>
  <si>
    <t>444.569930251285 1074.51032288653 -627.921951846713</t>
  </si>
  <si>
    <t>527.587987676214 856.352760572579 -742.627168880143</t>
  </si>
  <si>
    <t>82.2433279588749 949.15617943154 -818.65472758433</t>
  </si>
  <si>
    <t>22.0780188150541 814.964158646275 -818.86431250748</t>
  </si>
  <si>
    <t>194.927939068185 550.209039764602 -804.241699461833</t>
  </si>
  <si>
    <t>387.338609099574 577.381786597665 -977.105259642916</t>
  </si>
  <si>
    <t>146.518292314581 1062.57739984734 -268.276059161151</t>
  </si>
  <si>
    <t>173.711946746189 1105.56844293396 184.570403882428</t>
  </si>
  <si>
    <t>-140.200612258234 1112.43357925509 532.921810366044</t>
  </si>
  <si>
    <t>-47.4189229744311 1120.50086422823 682.153066608459</t>
  </si>
  <si>
    <t>104.986739515894 870.898593542574 -282.285639233864</t>
  </si>
  <si>
    <t>140.598164268916 902.874403203877 170.888817928118</t>
  </si>
  <si>
    <t>186.424575296595 945.131704151928 635.07801792836</t>
  </si>
  <si>
    <t>315.817000853285 857.863484764207 716.228075432564</t>
  </si>
  <si>
    <t>9763-20170724T170006.795280100.bin</t>
  </si>
  <si>
    <t>136.842048148627 966.151702213118 -276.29071821264</t>
  </si>
  <si>
    <t>129.123858903755 977.181082422607 -396.650875627869</t>
  </si>
  <si>
    <t>121.854970150504 981.876592358624 -517.546243516742</t>
  </si>
  <si>
    <t>115.462164593975 983.5047772224 -626.868329596087</t>
  </si>
  <si>
    <t>109.054170360167 982.54715459007 -736.197624753347</t>
  </si>
  <si>
    <t>100.035561097818 978.520486603949 -888.192603462311</t>
  </si>
  <si>
    <t>114.276144390072 962.132767471586 -987.749639715139</t>
  </si>
  <si>
    <t>117.535073173883 1009.04087528535 -822.502360998967</t>
  </si>
  <si>
    <t>203.631673793906 1127.69192743867 -810.713903293013</t>
  </si>
  <si>
    <t>460.373174408285 1062.55407780501 -637.430780872238</t>
  </si>
  <si>
    <t>535.48926410954 844.969288758605 -758.494741051749</t>
  </si>
  <si>
    <t>90.5169613590797 951.563517077221 -819.376593787398</t>
  </si>
  <si>
    <t>27.0177437511654 818.968556324524 -818.504342318436</t>
  </si>
  <si>
    <t>195.453744275417 551.319153744129 -805.111529008827</t>
  </si>
  <si>
    <t>387.863430809311 579.467665336085 -977.82012435846</t>
  </si>
  <si>
    <t>160.859064023187 1061.20265965685 -269.04654900611</t>
  </si>
  <si>
    <t>207.570492517295 1108.25664715637 181.798872519296</t>
  </si>
  <si>
    <t>-128.428192088496 1119.90776793521 509.608679804724</t>
  </si>
  <si>
    <t>-40.6686500735925 1133.0761256488 661.491432031863</t>
  </si>
  <si>
    <t>112.681681587265 871.14559406222 -283.561274188507</t>
  </si>
  <si>
    <t>144.020661083934 900.991489223225 170.073737128294</t>
  </si>
  <si>
    <t>186.898410286362 945.611181417501 635.011833884807</t>
  </si>
  <si>
    <t>315.981277641647 857.802308197849 716.071713106523</t>
  </si>
  <si>
    <t>9763-20170724T170006.863966700.bin</t>
  </si>
  <si>
    <t>156.509127102659 964.917273186865 -279.630042535465</t>
  </si>
  <si>
    <t>149.963614721715 975.970139442599 -400.05765193823</t>
  </si>
  <si>
    <t>142.836656634954 980.483668954787 -520.968320613019</t>
  </si>
  <si>
    <t>136.156095542532 981.881981800224 -630.2764506541</t>
  </si>
  <si>
    <t>129.048633395169 980.650335703331 -739.559709050553</t>
  </si>
  <si>
    <t>118.630643932137 976.211643915437 -891.453701219047</t>
  </si>
  <si>
    <t>131.235349434793 958.913782338133 -991.077363748449</t>
  </si>
  <si>
    <t>138.385310502944 1006.06920816498 -826.099153326189</t>
  </si>
  <si>
    <t>231.673877359121 1119.43720611191 -816.717695228471</t>
  </si>
  <si>
    <t>487.843330431541 1030.43744397841 -653.492612614391</t>
  </si>
  <si>
    <t>549.574172434769 815.987790743901 -787.068946844366</t>
  </si>
  <si>
    <t>108.095301865565 950.282200384685 -822.391438586727</t>
  </si>
  <si>
    <t>37.0094704545415 821.643079378184 -820.550620575501</t>
  </si>
  <si>
    <t>194.858155732845 547.727800628828 -805.044830774927</t>
  </si>
  <si>
    <t>387.856687822447 575.87316270799 -977.095697347699</t>
  </si>
  <si>
    <t>186.185069447835 1057.4245074148 -272.558655421457</t>
  </si>
  <si>
    <t>266.349210372836 1107.8812903311 173.18289247406</t>
  </si>
  <si>
    <t>-73.9219651898452 1125.53794503117 495.449014960465</t>
  </si>
  <si>
    <t>22.8408841870462 1150.82285507513 640.159562046625</t>
  </si>
  <si>
    <t>127.087637030188 871.256226823714 -285.6276081606</t>
  </si>
  <si>
    <t>150.385027563445 900.948227284565 168.50144943687</t>
  </si>
  <si>
    <t>188.250611763115 947.35001940859 634.988793202274</t>
  </si>
  <si>
    <t>315.739666906696 856.729575667861 715.474703032256</t>
  </si>
  <si>
    <t>9763-20170724T170006.901065900.bin</t>
  </si>
  <si>
    <t>167.572752737914 964.303657120168 -280.770661524839</t>
  </si>
  <si>
    <t>161.62977337443 974.514049578306 -401.303834077502</t>
  </si>
  <si>
    <t>154.589483414337 978.555259862689 -522.236301724727</t>
  </si>
  <si>
    <t>147.791234985972 979.682896678812 -631.540309462351</t>
  </si>
  <si>
    <t>140.380623514097 978.347296247378 -740.802128996771</t>
  </si>
  <si>
    <t>129.355587411169 973.943425249226 -892.654133438483</t>
  </si>
  <si>
    <t>141.187409206363 956.276217236016 -992.307995122864</t>
  </si>
  <si>
    <t>150.197936804768 1003.31778052066 -827.418897725041</t>
  </si>
  <si>
    <t>247.099208658625 1113.57894770413 -819.05587322351</t>
  </si>
  <si>
    <t>502.061764355312 1014.63105999462 -659.714828442563</t>
  </si>
  <si>
    <t>559.738888943889 802.573191784781 -798.807467002286</t>
  </si>
  <si>
    <t>118.269694849596 948.466160742948 -823.509874474859</t>
  </si>
  <si>
    <t>43.1825063207989 822.035222615002 -821.423699332149</t>
  </si>
  <si>
    <t>196.369007925844 545.544863644961 -804.898937809012</t>
  </si>
  <si>
    <t>389.679814252448 572.824573817581 -976.738106814069</t>
  </si>
  <si>
    <t>200.493224985269 1055.44235573099 -274.587221357106</t>
  </si>
  <si>
    <t>293.938400552686 1104.92953247013 168.669711531296</t>
  </si>
  <si>
    <t>-33.1695897707036 1137.22763990597 503.319329596498</t>
  </si>
  <si>
    <t>72.9828522861858 1167.08968218003 640.372046098638</t>
  </si>
  <si>
    <t>135.321213481662 871.794614495366 -285.99797403552</t>
  </si>
  <si>
    <t>154.817232116381 901.820479963136 168.28832381398</t>
  </si>
  <si>
    <t>189.422260876862 948.787369990627 635.250984337729</t>
  </si>
  <si>
    <t>314.837083780915 854.90390895881 715.254438673553</t>
  </si>
  <si>
    <t>9763-20170724T170006.968251500.bin</t>
  </si>
  <si>
    <t>189.478630459771 962.242955574502 -281.149313996166</t>
  </si>
  <si>
    <t>183.876527117978 971.428027556582 -401.78128520907</t>
  </si>
  <si>
    <t>176.82276718338 974.91506606447 -522.730176735234</t>
  </si>
  <si>
    <t>169.8896511167 975.726651420267 -632.028476313869</t>
  </si>
  <si>
    <t>162.239807393075 974.267518243075 -741.272322991198</t>
  </si>
  <si>
    <t>150.787263920845 969.893518485923 -893.093624032435</t>
  </si>
  <si>
    <t>161.483559601196 951.571489990086 -992.757311109336</t>
  </si>
  <si>
    <t>173.467344967758 998.215745885473 -828.006148411228</t>
  </si>
  <si>
    <t>277.204199377624 1102.19218867808 -821.181530461626</t>
  </si>
  <si>
    <t>528.174689235126 983.635294534907 -669.048852408665</t>
  </si>
  <si>
    <t>580.991214744761 774.010715297632 -813.651507034329</t>
  </si>
  <si>
    <t>138.241871395574 945.441631488387 -823.828463489344</t>
  </si>
  <si>
    <t>55.453588165288 823.920405956369 -821.357118109015</t>
  </si>
  <si>
    <t>198.117808105507 541.818448139608 -805.497208537624</t>
  </si>
  <si>
    <t>393.850110078623 567.159090188326 -974.874804609047</t>
  </si>
  <si>
    <t>229.298417546256 1051.22259526166 -276.10622009569</t>
  </si>
  <si>
    <t>341.753380565324 1089.74929603648 163.811177709368</t>
  </si>
  <si>
    <t>71.2025069244899 1167.64251986929 539.147210226503</t>
  </si>
  <si>
    <t>200.083473205326 1189.44393945912 656.866780983508</t>
  </si>
  <si>
    <t>149.366500619615 872.535549364138 -285.16309064232</t>
  </si>
  <si>
    <t>165.717461065595 902.244115852923 169.268095700461</t>
  </si>
  <si>
    <t>191.825604990006 951.763861794417 636.312099510909</t>
  </si>
  <si>
    <t>313.685741115754 852.342657325256 715.109610394972</t>
  </si>
  <si>
    <t>9763-20170724T170007.001339300.bin</t>
  </si>
  <si>
    <t>198.327496683807 960.396285429163 -280.802650405742</t>
  </si>
  <si>
    <t>192.941804223871 969.564945341351 -401.445692693411</t>
  </si>
  <si>
    <t>186.094506304454 973.048434719874 -522.406476937145</t>
  </si>
  <si>
    <t>179.34790831023 973.855150366928 -631.716551010106</t>
  </si>
  <si>
    <t>171.890103874118 972.391092274831 -740.973585570583</t>
  </si>
  <si>
    <t>160.71425181361 968.008772204189 -892.815348082519</t>
  </si>
  <si>
    <t>171.060750030071 949.402369030857 -992.463413409708</t>
  </si>
  <si>
    <t>184.102475584583 995.760043210531 -827.732447178981</t>
  </si>
  <si>
    <t>291.321524274492 1096.23498399558 -821.492497562331</t>
  </si>
  <si>
    <t>539.218088758384 966.949051837325 -673.105795252599</t>
  </si>
  <si>
    <t>588.788388011073 755.001626308293 -815.454513221427</t>
  </si>
  <si>
    <t>147.215931480998 944.135613840909 -823.527596850333</t>
  </si>
  <si>
    <t>60.5747352039762 825.360741272148 -821.075414296237</t>
  </si>
  <si>
    <t>195.479239487277 539.428814412299 -805.913839121342</t>
  </si>
  <si>
    <t>393.316787493016 562.792827403805 -973.115894615336</t>
  </si>
  <si>
    <t>242.022072589852 1047.83346851074 -275.830416606034</t>
  </si>
  <si>
    <t>360.730665545002 1080.38742610468 162.924782312169</t>
  </si>
  <si>
    <t>129.823149612868 1183.91397898154 558.337018941989</t>
  </si>
  <si>
    <t>268.215440951851 1192.02755299225 666.620182766189</t>
  </si>
  <si>
    <t>154.103899757811 872.560167032046 -284.671038176407</t>
  </si>
  <si>
    <t>170.065711618542 901.526668222301 169.821917998034</t>
  </si>
  <si>
    <t>192.106361033193 952.348425775656 636.564430666041</t>
  </si>
  <si>
    <t>312.291855076434 850.631997053279 715.003751186067</t>
  </si>
  <si>
    <t>9763-20170724T170007.066515900.bin</t>
  </si>
  <si>
    <t>211.458706536018 956.095370971389 -280.173911730426</t>
  </si>
  <si>
    <t>206.964209160959 965.720984105466 -400.817830405968</t>
  </si>
  <si>
    <t>200.722842153871 969.417853349048 -521.805240812799</t>
  </si>
  <si>
    <t>194.401343271013 970.313676089914 -631.140041615863</t>
  </si>
  <si>
    <t>187.24969391012 968.843545309488 -740.417278057195</t>
  </si>
  <si>
    <t>176.375290443321 964.356134517047 -892.277882556857</t>
  </si>
  <si>
    <t>185.955077507009 945.15511399451 -991.889772784062</t>
  </si>
  <si>
    <t>201.394893779116 990.79124251493 -827.253822018272</t>
  </si>
  <si>
    <t>315.783912572722 1083.1418063403 -822.041691518411</t>
  </si>
  <si>
    <t>554.054462232334 931.104232876492 -679.570904464572</t>
  </si>
  <si>
    <t>593.246828789345 712.432389451977 -814.806169778048</t>
  </si>
  <si>
    <t>160.97895464861 941.892234554673 -822.914838755336</t>
  </si>
  <si>
    <t>66.2263397407016 829.526545091357 -820.306239769672</t>
  </si>
  <si>
    <t>183.168772537495 535.778582804617 -805.378442781899</t>
  </si>
  <si>
    <t>385.742278286775 553.197574810335 -967.559292139925</t>
  </si>
  <si>
    <t>261.712138301071 1040.15415380744 -274.829727386938</t>
  </si>
  <si>
    <t>396.533433774734 1062.90097735476 159.869538596303</t>
  </si>
  <si>
    <t>251.491328521871 1203.25970668011 584.089784759376</t>
  </si>
  <si>
    <t>398.309097982976 1173.68816405752 676.358899186537</t>
  </si>
  <si>
    <t>160.504636635717 872.2460293343 -284.391887844023</t>
  </si>
  <si>
    <t>174.739041612206 899.314773210124 170.275445011457</t>
  </si>
  <si>
    <t>191.731470260738 952.535039228795 636.787562929369</t>
  </si>
  <si>
    <t>309.130566636769 847.269444008643 714.762911840148</t>
  </si>
  <si>
    <t>9763-20170724T170007.100606600.bin</t>
  </si>
  <si>
    <t>217.055402643719 954.494187081511 -280.169106601555</t>
  </si>
  <si>
    <t>213.177060751773 964.085606720021 -400.837019429227</t>
  </si>
  <si>
    <t>207.352845421696 967.785720319734 -521.845072228079</t>
  </si>
  <si>
    <t>201.324835684726 968.698619906079 -631.196287667133</t>
  </si>
  <si>
    <t>194.385410834127 967.265336279656 -740.487826155858</t>
  </si>
  <si>
    <t>183.721675170868 962.852115591028 -892.365422648874</t>
  </si>
  <si>
    <t>192.909078024355 943.394623619007 -991.964671835182</t>
  </si>
  <si>
    <t>209.560210161456 988.470807597347 -827.334896632963</t>
  </si>
  <si>
    <t>327.478257288759 1076.18042368907 -822.496150124822</t>
  </si>
  <si>
    <t>560.805101883569 916.289767443888 -680.440789030967</t>
  </si>
  <si>
    <t>593.1503518219 695.550900687659 -814.120419535566</t>
  </si>
  <si>
    <t>167.319955310744 941.138883077575 -822.993759822403</t>
  </si>
  <si>
    <t>68.3162392981394 832.431692777682 -820.432715196114</t>
  </si>
  <si>
    <t>177.045344622934 535.548535565488 -805.444518625106</t>
  </si>
  <si>
    <t>381.646936607291 549.062380669233 -965.43695058703</t>
  </si>
  <si>
    <t>270.524365681215 1036.77540643989 -274.905921488245</t>
  </si>
  <si>
    <t>412.937244954091 1052.58781938673 157.674895277701</t>
  </si>
  <si>
    <t>309.087433379177 1200.5951411017 591.572422439732</t>
  </si>
  <si>
    <t>455.514387552465 1149.99586763591 674.893171154093</t>
  </si>
  <si>
    <t>163.127556922452 872.564516735454 -284.487343270989</t>
  </si>
  <si>
    <t>176.0794391602 899.064475486472 170.251762790636</t>
  </si>
  <si>
    <t>191.478959707142 952.557138364956 636.806270365327</t>
  </si>
  <si>
    <t>307.871230407319 846.007974864579 714.546931709107</t>
  </si>
  <si>
    <t>9763-20170724T170007.163778600.bin</t>
  </si>
  <si>
    <t>229.37955208259 951.158626034812 -281.156161261741</t>
  </si>
  <si>
    <t>225.922027088159 960.34645604615 -401.868329385443</t>
  </si>
  <si>
    <t>220.829110454002 963.929905573782 -522.912894016617</t>
  </si>
  <si>
    <t>215.589829084143 964.834805909262 -632.304792046343</t>
  </si>
  <si>
    <t>209.578642739279 963.491763675122 -741.652472364134</t>
  </si>
  <si>
    <t>200.357095987717 959.300556560051 -893.630722837966</t>
  </si>
  <si>
    <t>208.939914723025 939.41503183525 -993.199252401504</t>
  </si>
  <si>
    <t>227.276322654439 983.183608076316 -828.378472135372</t>
  </si>
  <si>
    <t>351.680365510578 1061.37290291761 -822.682103311164</t>
  </si>
  <si>
    <t>573.211351876809 886.079453108029 -679.915034941471</t>
  </si>
  <si>
    <t>596.843663984059 668.107506736995 -819.814301598713</t>
  </si>
  <si>
    <t>181.5984048119 939.126372070977 -824.391802373618</t>
  </si>
  <si>
    <t>74.5348666285529 838.318022444656 -822.590381677723</t>
  </si>
  <si>
    <t>161.705309472969 534.562073512129 -804.712264815212</t>
  </si>
  <si>
    <t>369.750776339671 537.354275913098 -960.761384231187</t>
  </si>
  <si>
    <t>289.92529821024 1028.03737468076 -276.514505711767</t>
  </si>
  <si>
    <t>431.517045644136 1036.54109227464 156.541062637782</t>
  </si>
  <si>
    <t>405.650956873876 1184.71619292511 601.774960435725</t>
  </si>
  <si>
    <t>540.208436675213 1092.30029563025 667.327161090347</t>
  </si>
  <si>
    <t>168.670248308141 873.897308815706 -284.89053444643</t>
  </si>
  <si>
    <t>179.191544539315 899.331302906061 169.972170611944</t>
  </si>
  <si>
    <t>190.647590678508 952.394961680556 636.742932069835</t>
  </si>
  <si>
    <t>303.978102903878 842.345150718661 714.12975586068</t>
  </si>
  <si>
    <t>9763-20170724T170007.195865700.bin</t>
  </si>
  <si>
    <t>236.3422730762 949.09609590198 -281.775334050952</t>
  </si>
  <si>
    <t>232.821777928895 958.286973676583 -402.485437334668</t>
  </si>
  <si>
    <t>228.006105461326 962.001535978607 -523.537514345078</t>
  </si>
  <si>
    <t>223.160352711793 963.063605685201 -632.946144822896</t>
  </si>
  <si>
    <t>217.694201590763 961.912894355101 -742.324407388541</t>
  </si>
  <si>
    <t>209.393955094162 958.02023784425 -894.363886901392</t>
  </si>
  <si>
    <t>217.763664133291 938.062021506203 -993.935902161956</t>
  </si>
  <si>
    <t>236.633510584322 981.00499797325 -828.92214897214</t>
  </si>
  <si>
    <t>363.759363592733 1054.5975492808 -822.594221243073</t>
  </si>
  <si>
    <t>577.753489592135 870.082684540869 -679.951541910959</t>
  </si>
  <si>
    <t>595.319840689121 653.628759456821 -823.064112824566</t>
  </si>
  <si>
    <t>189.4995460396 938.480123957301 -825.26008493308</t>
  </si>
  <si>
    <t>78.655582448029 841.822920399418 -824.208154317368</t>
  </si>
  <si>
    <t>153.628008412466 534.899095555003 -805.155699116361</t>
  </si>
  <si>
    <t>363.057482363057 531.702122616465 -959.33448811712</t>
  </si>
  <si>
    <t>300.231474739162 1023.22932931123 -277.448371792973</t>
  </si>
  <si>
    <t>436.186028005845 1032.39226900724 157.396473801115</t>
  </si>
  <si>
    <t>444.453132187004 1174.36592947236 605.447293084785</t>
  </si>
  <si>
    <t>566.828323353276 1062.96550663097 665.094556801821</t>
  </si>
  <si>
    <t>172.23745739205 874.791843440886 -285.121812859261</t>
  </si>
  <si>
    <t>181.496678316382 899.248215968492 169.821931520498</t>
  </si>
  <si>
    <t>190.125520963029 952.235116838606 636.708422768454</t>
  </si>
  <si>
    <t>301.142626917276 839.76554781297 713.969675680176</t>
  </si>
  <si>
    <t>9763-20170724T170007.267108800.bin</t>
  </si>
  <si>
    <t>251.69320085828 946.476174157769 -282.16707478524</t>
  </si>
  <si>
    <t>248.7678854695 955.497326027224 -402.905988766264</t>
  </si>
  <si>
    <t>244.636335338063 959.490158289217 -523.974346513152</t>
  </si>
  <si>
    <t>240.449305254417 960.972411238032 -633.405255688702</t>
  </si>
  <si>
    <t>235.695367330127 960.413082928717 -742.82161990069</t>
  </si>
  <si>
    <t>228.4487478674 957.518641986228 -894.937068317033</t>
  </si>
  <si>
    <t>236.393821720039 937.583810761999 -994.548698545184</t>
  </si>
  <si>
    <t>256.613558925066 978.432825067973 -829.193286925397</t>
  </si>
  <si>
    <t>388.596600029136 1042.86135866626 -822.301016799718</t>
  </si>
  <si>
    <t>588.866037470909 841.08684889275 -683.141398998636</t>
  </si>
  <si>
    <t>592.146236883131 625.890763668187 -829.161714979798</t>
  </si>
  <si>
    <t>206.696773976666 939.165544685425 -826.068089571245</t>
  </si>
  <si>
    <t>89.1993952819485 850.75162802568 -825.928514048968</t>
  </si>
  <si>
    <t>143.732922726761 539.481764490279 -807.943353418085</t>
  </si>
  <si>
    <t>355.49270047136 523.31179214664 -958.071274067011</t>
  </si>
  <si>
    <t>320.506145836107 1016.09144968764 -278.35528128443</t>
  </si>
  <si>
    <t>447.544855316566 1023.89178654497 159.203768251328</t>
  </si>
  <si>
    <t>497.104482148501 1138.57392930549 612.351493825066</t>
  </si>
  <si>
    <t>586.389880383113 997.754071519078 668.399573553876</t>
  </si>
  <si>
    <t>182.643038974531 877.450817448389 -285.372303137559</t>
  </si>
  <si>
    <t>188.790480165444 898.383454297883 169.799857606579</t>
  </si>
  <si>
    <t>189.217850339553 951.974019891414 636.648096058184</t>
  </si>
  <si>
    <t>295.673512662644 835.057246136581 713.726949165766</t>
  </si>
  <si>
    <t>9763-20170724T170007.299193800.bin</t>
  </si>
  <si>
    <t>260.590787003438 946.021598297351 -282.216471009776</t>
  </si>
  <si>
    <t>258.24681130825 954.756805622755 -402.989061066282</t>
  </si>
  <si>
    <t>254.466494552427 958.830581527641 -524.066169638411</t>
  </si>
  <si>
    <t>250.503930486098 960.533652579455 -633.502248913299</t>
  </si>
  <si>
    <t>245.886773936527 960.347840595795 -742.925668817917</t>
  </si>
  <si>
    <t>238.741249797627 958.134535721613 -895.057367992057</t>
  </si>
  <si>
    <t>246.393666972506 938.22247174634 -994.696348760571</t>
  </si>
  <si>
    <t>267.511102909991 977.89907516618 -829.219914309491</t>
  </si>
  <si>
    <t>401.709575102145 1037.62870735666 -822.275440187455</t>
  </si>
  <si>
    <t>595.03028243065 826.974205858559 -686.488692765068</t>
  </si>
  <si>
    <t>588.781987863511 611.513579443043 -832.021517955328</t>
  </si>
  <si>
    <t>216.294639900451 940.328308402557 -826.267759121703</t>
  </si>
  <si>
    <t>95.8866778052393 855.949920488958 -826.509745229611</t>
  </si>
  <si>
    <t>139.837168751716 542.992567350635 -808.837148557586</t>
  </si>
  <si>
    <t>352.544112690444 519.95579375496 -956.712643567538</t>
  </si>
  <si>
    <t>331.819718550061 1013.30177558481 -278.40142569748</t>
  </si>
  <si>
    <t>453.025214634952 1019.70800965372 160.831906688611</t>
  </si>
  <si>
    <t>508.075932977684 1119.57119901939 616.770011297093</t>
  </si>
  <si>
    <t>581.38436583956 969.989656243198 673.291845636102</t>
  </si>
  <si>
    <t>189.474649026689 879.181747274356 -285.41825687787</t>
  </si>
  <si>
    <t>194.029124307622 897.746756028374 169.875367932481</t>
  </si>
  <si>
    <t>188.887050872412 951.859847823791 636.643496487356</t>
  </si>
  <si>
    <t>293.533532780024 833.307388517548 713.70141302169</t>
  </si>
  <si>
    <t>9763-20170724T170007.361334100.bin</t>
  </si>
  <si>
    <t>280.880253271136 944.686649933033 -281.934945920778</t>
  </si>
  <si>
    <t>279.589222001853 953.007059563887 -402.752529512078</t>
  </si>
  <si>
    <t>276.241657982122 957.361689554525 -523.832799906426</t>
  </si>
  <si>
    <t>272.422032232072 959.603491433345 -633.264177531295</t>
  </si>
  <si>
    <t>267.710175741995 960.251576576987 -742.681797776717</t>
  </si>
  <si>
    <t>260.190315370476 959.511630269322 -894.809749154846</t>
  </si>
  <si>
    <t>266.918648012948 939.580406888007 -994.511640243898</t>
  </si>
  <si>
    <t>290.260140764891 976.977127104613 -828.903192430456</t>
  </si>
  <si>
    <t>428.115875013878 1027.80000823278 -821.914652241894</t>
  </si>
  <si>
    <t>606.868135269812 800.682807343059 -692.874171785841</t>
  </si>
  <si>
    <t>583.440398529225 583.504609620344 -834.03653910631</t>
  </si>
  <si>
    <t>236.775125486261 942.701137088343 -826.092587323643</t>
  </si>
  <si>
    <t>111.326039575782 866.083134390766 -826.912960052495</t>
  </si>
  <si>
    <t>133.801126775674 550.899460874565 -808.472142330795</t>
  </si>
  <si>
    <t>347.425258247659 513.710297166832 -952.081756778469</t>
  </si>
  <si>
    <t>355.830917996136 1007.15043085123 -278.410391557339</t>
  </si>
  <si>
    <t>459.777057210415 1013.88008048855 165.21967482022</t>
  </si>
  <si>
    <t>515.0869379283 1110.54214168432 621.624692105619</t>
  </si>
  <si>
    <t>570.474357735829 956.957771918326 687.104286823269</t>
  </si>
  <si>
    <t>206.017439880273 882.164058882056 -285.058852876689</t>
  </si>
  <si>
    <t>207.977255029138 895.42993751315 170.438549148476</t>
  </si>
  <si>
    <t>188.308708303282 951.601915763494 636.635447541396</t>
  </si>
  <si>
    <t>288.868388259202 829.641637501589 713.816750175945</t>
  </si>
  <si>
    <t>9763-20170724T170007.399434000.bin</t>
  </si>
  <si>
    <t>291.489559264026 943.449263397844 -281.66338751304</t>
  </si>
  <si>
    <t>290.52181734204 951.379385412717 -402.510291705097</t>
  </si>
  <si>
    <t>287.213288958942 955.800058267584 -523.589139831582</t>
  </si>
  <si>
    <t>283.31808795016 958.287602727618 -633.012512940264</t>
  </si>
  <si>
    <t>278.426690206314 959.371504677345 -742.418859630487</t>
  </si>
  <si>
    <t>270.553081931576 959.438387584667 -894.530687878417</t>
  </si>
  <si>
    <t>276.679612474172 939.552175333811 -994.280337693787</t>
  </si>
  <si>
    <t>301.290791361526 975.721311963585 -828.629473598521</t>
  </si>
  <si>
    <t>440.598045561603 1022.35276128182 -821.943900742198</t>
  </si>
  <si>
    <t>612.126883106058 788.288899006227 -695.539138353657</t>
  </si>
  <si>
    <t>581.35122992564 569.673026722601 -833.023648000201</t>
  </si>
  <si>
    <t>246.782945093218 943.096097848603 -825.822449873673</t>
  </si>
  <si>
    <t>118.981518102731 870.404340341654 -826.985141598196</t>
  </si>
  <si>
    <t>130.611639203177 554.635537588195 -808.518977060236</t>
  </si>
  <si>
    <t>344.121106911933 510.641795367535 -950.365105608499</t>
  </si>
  <si>
    <t>368.147327012603 1003.71524278693 -278.204088238921</t>
  </si>
  <si>
    <t>466.085756625417 1017.98569417063 166.612780169462</t>
  </si>
  <si>
    <t>519.671137682337 1109.89706155879 623.421379251996</t>
  </si>
  <si>
    <t>576.084907681619 959.775059752528 695.701120371269</t>
  </si>
  <si>
    <t>214.522434628992 882.949211406956 -284.500083223545</t>
  </si>
  <si>
    <t>216.177171238404 893.020900836972 171.080274781428</t>
  </si>
  <si>
    <t>188.136114108333 951.520645157852 636.627380309965</t>
  </si>
  <si>
    <t>285.895740214696 827.406003778941 713.971872996849</t>
  </si>
  <si>
    <t>9763-20170724T170007.468506700.bin</t>
  </si>
  <si>
    <t>312.55148929066 940.778454597775 -280.804374008021</t>
  </si>
  <si>
    <t>310.988285214355 948.413655711107 -401.664019023604</t>
  </si>
  <si>
    <t>307.324335548788 953.212059914895 -522.718165221085</t>
  </si>
  <si>
    <t>303.203779074276 956.304645901332 -632.117888959745</t>
  </si>
  <si>
    <t>298.191736844632 958.260183887418 -741.506721322814</t>
  </si>
  <si>
    <t>290.263664447948 959.816575851821 -893.607801631898</t>
  </si>
  <si>
    <t>295.292647742374 940.091985335399 -993.450847461828</t>
  </si>
  <si>
    <t>322.018044263221 973.661594553217 -827.631403774456</t>
  </si>
  <si>
    <t>464.060941055938 1011.21040701892 -820.850727865664</t>
  </si>
  <si>
    <t>621.848411674879 765.854490531376 -698.009981170299</t>
  </si>
  <si>
    <t>578.165192195696 544.175916209646 -826.821539293126</t>
  </si>
  <si>
    <t>265.525127032541 944.593999492927 -824.98420712893</t>
  </si>
  <si>
    <t>133.53941074176 879.798794252587 -826.459816600121</t>
  </si>
  <si>
    <t>126.209411084388 563.970798103427 -806.834859722517</t>
  </si>
  <si>
    <t>338.266707706198 504.238870811657 -945.058702111442</t>
  </si>
  <si>
    <t>393.302905806307 997.761475399089 -278.362390829344</t>
  </si>
  <si>
    <t>471.270036568694 1019.54691575404 170.083997624367</t>
  </si>
  <si>
    <t>520.144364774147 1105.31629960186 629.892082900655</t>
  </si>
  <si>
    <t>573.322753336476 955.716823141547 705.625647537985</t>
  </si>
  <si>
    <t>232.065517146756 884.142378204162 -282.572006974272</t>
  </si>
  <si>
    <t>233.717077728066 887.241376897151 173.109159689435</t>
  </si>
  <si>
    <t>188.052934186843 951.432353456954 636.596375866853</t>
  </si>
  <si>
    <t>281.221161506773 824.060740698708 714.311768553708</t>
  </si>
  <si>
    <t>9763-20170724T170007.513179800.bin</t>
  </si>
  <si>
    <t>322.428336994873 939.521016623845 -280.062603679987</t>
  </si>
  <si>
    <t>320.395341205204 946.991840564991 -400.925584434997</t>
  </si>
  <si>
    <t>316.52228691365 951.918711208229 -521.96798491594</t>
  </si>
  <si>
    <t>312.316479820923 955.240264200982 -631.357856898161</t>
  </si>
  <si>
    <t>307.326307647068 957.536666128955 -740.740990775577</t>
  </si>
  <si>
    <t>299.541909967408 959.682867457686 -892.842307540832</t>
  </si>
  <si>
    <t>304.04803262493 940.046510476952 -992.727762074744</t>
  </si>
  <si>
    <t>331.688519250143 972.349358903399 -826.819077601975</t>
  </si>
  <si>
    <t>474.823154135565 1005.33499552115 -819.884146432217</t>
  </si>
  <si>
    <t>622.903240357521 753.886988101532 -697.277935486422</t>
  </si>
  <si>
    <t>576.001647041188 531.652099959145 -823.9819207689</t>
  </si>
  <si>
    <t>274.283980810687 945.116925758085 -824.265344386035</t>
  </si>
  <si>
    <t>140.309281945786 884.458971262978 -826.208029124589</t>
  </si>
  <si>
    <t>123.854460313937 568.954213353453 -806.915036571534</t>
  </si>
  <si>
    <t>334.963703695081 501.14144234177 -942.842885739551</t>
  </si>
  <si>
    <t>404.150807867612 993.75889204977 -277.850531438225</t>
  </si>
  <si>
    <t>471.260149145212 1020.18887740386 172.099994273541</t>
  </si>
  <si>
    <t>517.036943147557 1102.10320209909 632.689083172611</t>
  </si>
  <si>
    <t>567.508797239456 952.005620726162 709.284295097724</t>
  </si>
  <si>
    <t>240.558573061824 884.999603065466 -281.311732476613</t>
  </si>
  <si>
    <t>242.490931961771 884.338563322972 174.378409986888</t>
  </si>
  <si>
    <t>188.117805501061 951.35315116954 636.591376811894</t>
  </si>
  <si>
    <t>279.295288475101 822.730431282216 714.606691063986</t>
  </si>
  <si>
    <t>9763-20170724T170007.532302200.bin</t>
  </si>
  <si>
    <t>331.774292599509 938.598540181797 -278.777933234948</t>
  </si>
  <si>
    <t>329.526054719262 945.878751637746 -399.648777336805</t>
  </si>
  <si>
    <t>325.651168957891 950.834049681279 -520.689975079811</t>
  </si>
  <si>
    <t>321.527705510363 954.263859696399 -630.079624631271</t>
  </si>
  <si>
    <t>316.707936916354 956.750980829272 -739.46628220127</t>
  </si>
  <si>
    <t>309.253543264192 959.246747352792 -891.578744557838</t>
  </si>
  <si>
    <t>313.337960652252 939.672821125111 -991.494484229562</t>
  </si>
  <si>
    <t>341.676479785833 970.835763488124 -825.492559969433</t>
  </si>
  <si>
    <t>485.726772319345 999.298023241224 -818.293360998224</t>
  </si>
  <si>
    <t>623.928052177457 742.664936449293 -694.899176014244</t>
  </si>
  <si>
    <t>572.751526049609 520.671948635083 -820.366535042072</t>
  </si>
  <si>
    <t>283.427331496599 945.44909397324 -823.054683885028</t>
  </si>
  <si>
    <t>147.705008612438 888.816034402359 -825.425782942869</t>
  </si>
  <si>
    <t>123.166359517566 573.712517291618 -808.284801697562</t>
  </si>
  <si>
    <t>333.349226041816 498.859560744273 -941.934389332828</t>
  </si>
  <si>
    <t>414.35433686516 990.639930417245 -276.662920669654</t>
  </si>
  <si>
    <t>472.54251026737 1021.79548044958 174.226282929942</t>
  </si>
  <si>
    <t>514.10270609159 1099.48554692803 635.697365180241</t>
  </si>
  <si>
    <t>563.664710183423 949.169380728047 712.457982510126</t>
  </si>
  <si>
    <t>248.638521225971 886.366920675208 -279.712499823117</t>
  </si>
  <si>
    <t>250.778863282159 881.453554110919 175.95065871848</t>
  </si>
  <si>
    <t>188.2789799565 951.238766969873 636.633431287199</t>
  </si>
  <si>
    <t>277.486505528144 821.498295326346 715.073991106196</t>
  </si>
  <si>
    <t>9763-20170724T170007.601730700.bin</t>
  </si>
  <si>
    <t>349.33163448647 937.386801617858 -281.550357977456</t>
  </si>
  <si>
    <t>347.114620521658 944.923749371555 -402.405957105178</t>
  </si>
  <si>
    <t>343.602792096112 950.220212365803 -523.443855509487</t>
  </si>
  <si>
    <t>339.933132810265 953.98225943916 -632.838779024992</t>
  </si>
  <si>
    <t>335.698668303412 956.823686034233 -742.240853658235</t>
  </si>
  <si>
    <t>329.195355792798 959.831176694735 -894.387800794997</t>
  </si>
  <si>
    <t>332.551319227704 940.315317854232 -994.342060786776</t>
  </si>
  <si>
    <t>361.92298439278 969.395039403173 -828.128058622731</t>
  </si>
  <si>
    <t>507.412385536315 989.222829071113 -819.898429362023</t>
  </si>
  <si>
    <t>624.519073943195 724.014985096672 -692.867022679378</t>
  </si>
  <si>
    <t>562.625378737697 503.925665663745 -816.850291879348</t>
  </si>
  <si>
    <t>302.222740343577 947.606015957228 -826.006976804817</t>
  </si>
  <si>
    <t>163.500711831595 898.989667793071 -829.610502889462</t>
  </si>
  <si>
    <t>120.496303383301 585.720963054598 -815.485880735778</t>
  </si>
  <si>
    <t>328.188194991275 497.990931944484 -945.1376673295</t>
  </si>
  <si>
    <t>435.932369988069 984.567728254442 -282.079435724045</t>
  </si>
  <si>
    <t>478.052788406871 1024.63397216099 169.892026104918</t>
  </si>
  <si>
    <t>512.796186717013 1096.70712777277 630.352356451189</t>
  </si>
  <si>
    <t>559.787680311657 945.76992029411 707.509483793167</t>
  </si>
  <si>
    <t>263.279426429457 890.212613358442 -280.742856153417</t>
  </si>
  <si>
    <t>265.632997757283 875.365247616293 174.703719805404</t>
  </si>
  <si>
    <t>188.697932771736 950.862474754831 633.738431933333</t>
  </si>
  <si>
    <t>273.4786097867 818.858769671453 713.304514754643</t>
  </si>
  <si>
    <t>9763-20170724T170007.662897500.bin</t>
  </si>
  <si>
    <t>368.768373645592 938.521655834541 -287.435939616643</t>
  </si>
  <si>
    <t>366.957799094866 947.772533775755 -408.179277014389</t>
  </si>
  <si>
    <t>364.170029922139 954.049162381715 -529.189185355284</t>
  </si>
  <si>
    <t>361.259873516637 958.390253448436 -638.585441191404</t>
  </si>
  <si>
    <t>357.887592965848 961.503293843498 -748.010222527314</t>
  </si>
  <si>
    <t>352.682687291256 964.563223890299 -900.206018638467</t>
  </si>
  <si>
    <t>355.53183705395 944.792378660346 -1000.12583694476</t>
  </si>
  <si>
    <t>385.421925896559 972.360940510757 -833.721027975684</t>
  </si>
  <si>
    <t>531.682993159516 984.081671577603 -824.280689797522</t>
  </si>
  <si>
    <t>631.757194548984 713.944016957584 -693.143251098534</t>
  </si>
  <si>
    <t>557.637557046376 496.611560447896 -815.269775303753</t>
  </si>
  <si>
    <t>324.549486405397 954.057625768774 -832.007202986102</t>
  </si>
  <si>
    <t>183.311923465019 913.373907509773 -836.829431232996</t>
  </si>
  <si>
    <t>121.43998139626 603.30092017427 -822.241816570862</t>
  </si>
  <si>
    <t>323.521580335735 500.950011310417 -950.028167752705</t>
  </si>
  <si>
    <t>460.359365610959 981.625812670839 -288.29919585778</t>
  </si>
  <si>
    <t>487.790991009249 1030.06031349984 163.983134999254</t>
  </si>
  <si>
    <t>516.627529742749 1097.57759207041 625.409133531024</t>
  </si>
  <si>
    <t>560.196730923257 945.955952236015 703.230190179952</t>
  </si>
  <si>
    <t>277.304362258709 895.913902776481 -286.229048646146</t>
  </si>
  <si>
    <t>279.100945480018 871.885200989211 168.828228117352</t>
  </si>
  <si>
    <t>189.242339897034 950.2400648662 626.715288180283</t>
  </si>
  <si>
    <t>269.752330536357 816.459450198752 707.736311383255</t>
  </si>
  <si>
    <t>9763-20170724T170007.698992000.bin</t>
  </si>
  <si>
    <t>377.204242269233 939.2908712985 -290.092433921197</t>
  </si>
  <si>
    <t>375.920845501854 949.413359798416 -410.772471436281</t>
  </si>
  <si>
    <t>373.687009988965 956.141624072729 -531.769753246809</t>
  </si>
  <si>
    <t>371.277574638758 960.718679655111 -641.168495134697</t>
  </si>
  <si>
    <t>368.405127337839 963.895244890989 -750.605694881894</t>
  </si>
  <si>
    <t>363.891438173899 966.864482698959 -902.825262530645</t>
  </si>
  <si>
    <t>366.594942457175 946.925334577299 -1002.71572308694</t>
  </si>
  <si>
    <t>396.566416102293 973.8674504993 -836.220269036023</t>
  </si>
  <si>
    <t>543.063365509335 981.719515195145 -826.13609567628</t>
  </si>
  <si>
    <t>635.822299702945 709.907976644737 -693.093176532723</t>
  </si>
  <si>
    <t>557.215120643904 493.807496233026 -814.598380837754</t>
  </si>
  <si>
    <t>335.210819527671 957.234138909498 -834.725330930597</t>
  </si>
  <si>
    <t>192.966192157956 920.274849725962 -840.139544485619</t>
  </si>
  <si>
    <t>122.83391809221 612.030728612875 -824.223215682684</t>
  </si>
  <si>
    <t>321.604029751458 502.322682808983 -951.095770326556</t>
  </si>
  <si>
    <t>470.858165901647 979.828729775328 -290.258246008749</t>
  </si>
  <si>
    <t>492.915850328963 1032.60817564673 161.831802722426</t>
  </si>
  <si>
    <t>518.783494826452 1098.05788779771 623.830967190259</t>
  </si>
  <si>
    <t>560.110774026685 946.020015651017 702.062035381117</t>
  </si>
  <si>
    <t>283.574198734846 899.246251018344 -289.144586675682</t>
  </si>
  <si>
    <t>284.014415982417 870.834436128945 165.663399785274</t>
  </si>
  <si>
    <t>189.516561186561 949.884722647837 622.925268249976</t>
  </si>
  <si>
    <t>267.55106013251 815.126790889607 704.744672838875</t>
  </si>
  <si>
    <t>9763-20170724T170007.763696900.bin</t>
  </si>
  <si>
    <t>393.10148224181 941.852439086456 -294.952402967006</t>
  </si>
  <si>
    <t>393.310615353088 952.135476249423 -415.625650315408</t>
  </si>
  <si>
    <t>392.420398227053 958.915747159902 -536.637184716523</t>
  </si>
  <si>
    <t>391.159129429169 963.494801385275 -646.055324383301</t>
  </si>
  <si>
    <t>389.375255182864 966.630632600107 -755.516860322807</t>
  </si>
  <si>
    <t>386.314733627153 969.498839145394 -907.774597816755</t>
  </si>
  <si>
    <t>388.887564078999 949.284861126262 -1007.61309677567</t>
  </si>
  <si>
    <t>418.713567238588 975.07327889202 -840.900268302385</t>
  </si>
  <si>
    <t>565.320669212643 976.196325538021 -829.271483424588</t>
  </si>
  <si>
    <t>643.649514953544 701.764303417278 -692.385181300978</t>
  </si>
  <si>
    <t>555.479430522749 488.615442861135 -812.533546361068</t>
  </si>
  <si>
    <t>356.624308088366 961.386360232178 -839.910168047944</t>
  </si>
  <si>
    <t>212.837748137062 931.320071022958 -846.282559073682</t>
  </si>
  <si>
    <t>127.908158736189 627.11156799513 -825.541596788414</t>
  </si>
  <si>
    <t>318.52975572892 502.712915991458 -951.360874249689</t>
  </si>
  <si>
    <t>490.255435690902 977.257669192854 -293.941788140348</t>
  </si>
  <si>
    <t>501.313791278892 1038.2392588385 157.518767640508</t>
  </si>
  <si>
    <t>522.413531069793 1098.50357331237 621.098284745163</t>
  </si>
  <si>
    <t>559.953799098541 946.029504790103 700.38179973578</t>
  </si>
  <si>
    <t>295.975337672636 906.187981555184 -294.768899605787</t>
  </si>
  <si>
    <t>292.486502238659 869.911701362846 159.466242049432</t>
  </si>
  <si>
    <t>191.471893291692 949.705052747019 615.197242137419</t>
  </si>
  <si>
    <t>263.865078276684 812.562457699111 698.231464111247</t>
  </si>
  <si>
    <t>9763-20170724T170007.794778700.bin</t>
  </si>
  <si>
    <t>399.132079053788 942.928620991326 -297.12401540863</t>
  </si>
  <si>
    <t>400.193293532397 953.028737170616 -417.808153710145</t>
  </si>
  <si>
    <t>400.002528087207 959.652063947367 -538.831622471563</t>
  </si>
  <si>
    <t>399.30895054372 964.101314394989 -648.259954279639</t>
  </si>
  <si>
    <t>398.030709066663 967.121210391407 -757.731929525008</t>
  </si>
  <si>
    <t>395.609307805187 969.844533197522 -910.003697469022</t>
  </si>
  <si>
    <t>398.110977663361 949.503298784449 -1009.81827611736</t>
  </si>
  <si>
    <t>427.871435049481 974.790098062999 -843.014059749702</t>
  </si>
  <si>
    <t>574.414996925433 972.753267999951 -830.617546414075</t>
  </si>
  <si>
    <t>646.166022345484 697.43363802508 -691.919599263994</t>
  </si>
  <si>
    <t>552.919948311739 486.234366775685 -811.677700212626</t>
  </si>
  <si>
    <t>365.489817613453 962.488755210394 -842.242203319927</t>
  </si>
  <si>
    <t>221.119061311663 935.613650241089 -849.044981820326</t>
  </si>
  <si>
    <t>128.313179927372 633.901775049007 -825.741184329795</t>
  </si>
  <si>
    <t>314.294582120489 501.915304376393 -950.771401606868</t>
  </si>
  <si>
    <t>497.468469216722 976.453715766627 -295.505183584982</t>
  </si>
  <si>
    <t>505.196606708075 1039.86792782051 155.689427787379</t>
  </si>
  <si>
    <t>523.932019652206 1098.57855408063 619.823942579454</t>
  </si>
  <si>
    <t>559.422146754866 945.942797015789 699.738242480061</t>
  </si>
  <si>
    <t>300.871384006604 909.224592616049 -297.704294728646</t>
  </si>
  <si>
    <t>295.279985947506 869.497522183218 156.22096978068</t>
  </si>
  <si>
    <t>195.024597274845 950.055437325724 611.576314289876</t>
  </si>
  <si>
    <t>263.194624245261 810.904746166417 694.843879545212</t>
  </si>
  <si>
    <t>9763-20170724T170007.863468800.bin</t>
  </si>
  <si>
    <t>408.773116719449 943.089906834829 -301.214818629471</t>
  </si>
  <si>
    <t>411.68868354145 952.667126470091 -421.911034300245</t>
  </si>
  <si>
    <t>413.01048054526 958.938945906438 -542.946030121874</t>
  </si>
  <si>
    <t>413.541033428501 963.144154790045 -652.385031719745</t>
  </si>
  <si>
    <t>413.349585951752 965.998781209846 -761.868710674874</t>
  </si>
  <si>
    <t>412.2977731305 968.578218309105 -914.158798278672</t>
  </si>
  <si>
    <t>414.741734573856 948.05495894018 -1013.93759334319</t>
  </si>
  <si>
    <t>444.185800792635 972.279146707984 -846.910176707205</t>
  </si>
  <si>
    <t>590.328091567543 964.317663332868 -832.974238833005</t>
  </si>
  <si>
    <t>648.169237525096 686.926361810252 -691.925526104607</t>
  </si>
  <si>
    <t>546.023372748295 479.278716438905 -810.629494899655</t>
  </si>
  <si>
    <t>381.3405447716 962.594614776457 -846.640026909153</t>
  </si>
  <si>
    <t>235.976082846543 941.740758344237 -854.586894717041</t>
  </si>
  <si>
    <t>130.163318152525 644.852097221245 -825.482897081702</t>
  </si>
  <si>
    <t>307.051244593456 499.000708198446 -948.283932303766</t>
  </si>
  <si>
    <t>508.209896743586 974.032286366787 -298.070269660251</t>
  </si>
  <si>
    <t>511.164618045903 1040.09376387894 152.800954137599</t>
  </si>
  <si>
    <t>525.060847402666 1098.27240387183 617.997978749362</t>
  </si>
  <si>
    <t>558.924381010598 945.706631280711 698.747421446242</t>
  </si>
  <si>
    <t>309.497626667927 911.767817222873 -303.303876312212</t>
  </si>
  <si>
    <t>300.790147884823 868.095174622769 150.209760317695</t>
  </si>
  <si>
    <t>210.083790325534 951.300406760859 605.93090922843</t>
  </si>
  <si>
    <t>262.43501648518 805.697039331567 689.612319880447</t>
  </si>
  <si>
    <t>9763-20170724T170007.896558400.bin</t>
  </si>
  <si>
    <t>413.245443276178 942.4128328136 -302.856659100033</t>
  </si>
  <si>
    <t>416.999422857234 951.773734785374 -423.546589271598</t>
  </si>
  <si>
    <t>419.089764136773 957.889254314017 -544.578844084743</t>
  </si>
  <si>
    <t>420.284611615672 961.977338608013 -654.016938990766</t>
  </si>
  <si>
    <t>420.730067036737 964.740832834939 -763.502320999792</t>
  </si>
  <si>
    <t>420.535884189609 967.22041199566 -915.79745723442</t>
  </si>
  <si>
    <t>423.109603163835 946.635435649727 -1015.5602194403</t>
  </si>
  <si>
    <t>452.130613015543 970.371240925195 -848.382572520964</t>
  </si>
  <si>
    <t>598.011423662977 959.555600294123 -833.670533735333</t>
  </si>
  <si>
    <t>648.938904028091 681.119679524064 -692.016052765873</t>
  </si>
  <si>
    <t>541.828221327378 475.489243480626 -809.85255505833</t>
  </si>
  <si>
    <t>389.112984962652 961.875163897093 -848.440376595116</t>
  </si>
  <si>
    <t>243.427028648584 943.675314504715 -857.07528751623</t>
  </si>
  <si>
    <t>131.581918765214 649.255996767456 -825.546262454835</t>
  </si>
  <si>
    <t>304.412940961328 497.844336445921 -947.390473659284</t>
  </si>
  <si>
    <t>512.848170216236 972.549598309391 -299.053247573783</t>
  </si>
  <si>
    <t>513.62034586449 1038.97674650176 151.773211736664</t>
  </si>
  <si>
    <t>525.228451242614 1097.95362424497 617.196486886421</t>
  </si>
  <si>
    <t>558.50672511235 945.482536309697 698.367046827825</t>
  </si>
  <si>
    <t>313.820677831005 911.827590612434 -305.731895537149</t>
  </si>
  <si>
    <t>304.359528495643 867.430667665038 147.696306552395</t>
  </si>
  <si>
    <t>219.453911711875 951.489813474969 603.908860340925</t>
  </si>
  <si>
    <t>261.599800605966 802.719937217562 687.782165719139</t>
  </si>
  <si>
    <t>9763-20170724T170007.964247800.bin</t>
  </si>
  <si>
    <t>424.532265568361 943.542668366758 -306.402924833905</t>
  </si>
  <si>
    <t>429.62968931221 952.676876875862 -427.061077672104</t>
  </si>
  <si>
    <t>433.187464468355 958.654167829719 -548.065970203073</t>
  </si>
  <si>
    <t>435.755879855926 962.648506196393 -657.483916786165</t>
  </si>
  <si>
    <t>437.628606225577 965.347780281375 -766.955657576184</t>
  </si>
  <si>
    <t>439.477678117917 967.766188216011 -919.240668211176</t>
  </si>
  <si>
    <t>442.585735065203 947.111664757942 -1018.97397487119</t>
  </si>
  <si>
    <t>470.295609650263 969.829435589746 -851.425339881681</t>
  </si>
  <si>
    <t>615.503269810446 953.515571478987 -835.101966539993</t>
  </si>
  <si>
    <t>653.165133911267 673.477137499581 -692.461726880178</t>
  </si>
  <si>
    <t>538.547898888867 471.788589666272 -810.048345542845</t>
  </si>
  <si>
    <t>407.023472780342 963.562953009758 -852.293167616601</t>
  </si>
  <si>
    <t>260.8297755077 950.873329184147 -862.47901601342</t>
  </si>
  <si>
    <t>139.431494836772 661.040983323476 -824.454643804715</t>
  </si>
  <si>
    <t>302.718117441494 499.774461541917 -946.817437235546</t>
  </si>
  <si>
    <t>523.550032821323 969.552616340216 -301.380775298036</t>
  </si>
  <si>
    <t>521.509311995742 1037.85599538998 149.16131719725</t>
  </si>
  <si>
    <t>527.683566320095 1097.16092149087 614.621343149367</t>
  </si>
  <si>
    <t>557.882573314796 945.041530671599 697.635144192604</t>
  </si>
  <si>
    <t>326.545056981308 918.321973382342 -310.732481175801</t>
  </si>
  <si>
    <t>315.2659477222 871.628049952762 142.423240447607</t>
  </si>
  <si>
    <t>241.562761496057 960.001557095524 598.834042725617</t>
  </si>
  <si>
    <t>266.705692764457 807.550342901468 682.917478804848</t>
  </si>
  <si>
    <t>9763-20170724T170007.996333500.bin</t>
  </si>
  <si>
    <t>433.313922760451 949.474212835869 -308.727372585423</t>
  </si>
  <si>
    <t>438.913318458064 958.670412888692 -429.358638802181</t>
  </si>
  <si>
    <t>443.053657558719 964.616854049481 -550.346480101859</t>
  </si>
  <si>
    <t>446.177750563928 968.544270869008 -659.752397532595</t>
  </si>
  <si>
    <t>448.636871824865 971.135575519187 -769.215234967421</t>
  </si>
  <si>
    <t>451.333486323282 973.360604593027 -921.490440587728</t>
  </si>
  <si>
    <t>454.679776332995 952.646423136894 -1021.20361328187</t>
  </si>
  <si>
    <t>481.822584718067 974.969313695786 -853.514461022199</t>
  </si>
  <si>
    <t>626.683743134351 956.078850097071 -836.531809272424</t>
  </si>
  <si>
    <t>657.643026623173 675.759207144434 -692.835795937217</t>
  </si>
  <si>
    <t>540.07789913469 476.108457115068 -810.988735727835</t>
  </si>
  <si>
    <t>418.457998476401 969.782926013569 -854.712344916931</t>
  </si>
  <si>
    <t>272.140926862378 959.714292054096 -865.437305319683</t>
  </si>
  <si>
    <t>146.508476984007 671.999170767497 -825.152594180664</t>
  </si>
  <si>
    <t>304.997059984297 506.415724850976 -948.056806183539</t>
  </si>
  <si>
    <t>530.341368726203 971.155759463529 -302.989603201981</t>
  </si>
  <si>
    <t>526.90483731833 1040.09068787871 147.447841242053</t>
  </si>
  <si>
    <t>528.166945865041 1096.84751825979 613.693125583701</t>
  </si>
  <si>
    <t>557.32845677646 944.860098188544 697.316835956</t>
  </si>
  <si>
    <t>337.429920979191 929.616455696216 -314.084597975305</t>
  </si>
  <si>
    <t>325.376343577266 880.637008106183 138.809856935806</t>
  </si>
  <si>
    <t>255.573116442761 970.965516025967 594.702188175105</t>
  </si>
  <si>
    <t>275.121431776432 817.698272800566 678.788844576222</t>
  </si>
  <si>
    <t>9763-20170724T170008.062037400.bin</t>
  </si>
  <si>
    <t>444.376560667659 956.670394305294 -312.614152564591</t>
  </si>
  <si>
    <t>450.891996000253 965.838164063407 -433.201469836141</t>
  </si>
  <si>
    <t>455.981176042554 971.652329151489 -554.159612433412</t>
  </si>
  <si>
    <t>459.968486033355 975.416672514551 -663.543205901929</t>
  </si>
  <si>
    <t>463.298773295308 977.802024125631 -772.987471050527</t>
  </si>
  <si>
    <t>467.214155272953 979.695370610425 -925.240962990134</t>
  </si>
  <si>
    <t>470.818028089544 958.898639618446 -1024.92800995556</t>
  </si>
  <si>
    <t>497.224842583775 980.445104550968 -857.03754973768</t>
  </si>
  <si>
    <t>641.250868246223 956.872735902954 -838.956941537654</t>
  </si>
  <si>
    <t>661.344831914734 676.555542387965 -693.338545304727</t>
  </si>
  <si>
    <t>539.060239576884 480.003026715583 -811.895088827412</t>
  </si>
  <si>
    <t>433.738577495411 977.269876566014 -858.709501127343</t>
  </si>
  <si>
    <t>287.236269860517 972.087390717697 -870.213646617619</t>
  </si>
  <si>
    <t>152.641236894261 688.87272182179 -827.089445899088</t>
  </si>
  <si>
    <t>302.324242933509 516.437064526883 -951.600536395822</t>
  </si>
  <si>
    <t>539.92540451741 972.584406337531 -305.6288846113</t>
  </si>
  <si>
    <t>534.038354404644 1043.12607966211 144.534298390241</t>
  </si>
  <si>
    <t>530.035619440308 1096.37655349804 611.558108198131</t>
  </si>
  <si>
    <t>557.028974111052 944.75182310436 696.557085026172</t>
  </si>
  <si>
    <t>348.579075863233 940.799886140936 -318.965860334905</t>
  </si>
  <si>
    <t>334.791022040889 887.678066984729 133.411976112512</t>
  </si>
  <si>
    <t>266.749619968615 977.215602966725 589.50256779907</t>
  </si>
  <si>
    <t>278.534738398763 823.11369569617 673.510164073987</t>
  </si>
  <si>
    <t>9763-20170724T170008.138871500.bin</t>
  </si>
  <si>
    <t>447.255360407633 957.357453187127 -314.334045664779</t>
  </si>
  <si>
    <t>454.726541178233 965.848091756537 -434.915503089018</t>
  </si>
  <si>
    <t>460.681769475563 971.374587591882 -555.847645910491</t>
  </si>
  <si>
    <t>465.41663332173 975.037909472389 -665.204800330872</t>
  </si>
  <si>
    <t>469.464501428834 977.482564595671 -774.623782450591</t>
  </si>
  <si>
    <t>474.34908936116 979.627618801642 -926.845687429562</t>
  </si>
  <si>
    <t>478.052843975591 958.872525477842 -1026.53772970447</t>
  </si>
  <si>
    <t>503.953708407738 979.525936225062 -858.460927162198</t>
  </si>
  <si>
    <t>647.247068507141 952.501090038011 -839.426529955482</t>
  </si>
  <si>
    <t>659.69621060794 671.900179991417 -693.500356566076</t>
  </si>
  <si>
    <t>532.722567986673 477.898732625204 -811.327563461246</t>
  </si>
  <si>
    <t>440.422030938622 977.831380400011 -860.523596282235</t>
  </si>
  <si>
    <t>293.901156060555 976.417448840501 -872.736595286405</t>
  </si>
  <si>
    <t>149.092507967944 698.478972366996 -828.387432963323</t>
  </si>
  <si>
    <t>292.574595646534 521.39860058036 -953.677132116998</t>
  </si>
  <si>
    <t>543.077182134327 971.293325156608 -306.54407178769</t>
  </si>
  <si>
    <t>535.80620002187 1043.26868648669 143.371918419671</t>
  </si>
  <si>
    <t>530.229496086346 1096.21333473625 610.722806325945</t>
  </si>
  <si>
    <t>556.668584221654 944.709611366527 696.1108662684</t>
  </si>
  <si>
    <t>350.882411642552 942.851140706412 -321.115463894565</t>
  </si>
  <si>
    <t>333.742323335091 888.732308431613 131.029477162746</t>
  </si>
  <si>
    <t>267.072853297023 977.018828582055 588.056187236894</t>
  </si>
  <si>
    <t>272.992108109003 822.524622432279 671.960714462989</t>
  </si>
  <si>
    <t>9763-20170724T170008.162936200.bin</t>
  </si>
  <si>
    <t>448.167187337053 957.535238634927 -314.684008508354</t>
  </si>
  <si>
    <t>456.079376142389 965.662153988058 -435.262588611019</t>
  </si>
  <si>
    <t>462.430250113369 971.08452010519 -556.179134381728</t>
  </si>
  <si>
    <t>467.506505248941 974.759599779166 -665.520647589201</t>
  </si>
  <si>
    <t>471.882335092776 977.322623824594 -774.924166948412</t>
  </si>
  <si>
    <t>477.210922217037 979.743891601468 -927.127154291352</t>
  </si>
  <si>
    <t>480.986230599329 959.098837481238 -1026.83941141444</t>
  </si>
  <si>
    <t>506.622137346619 979.244574166717 -858.660806310226</t>
  </si>
  <si>
    <t>649.603101789635 950.932013189044 -839.238040224793</t>
  </si>
  <si>
    <t>659.03527805935 670.228601404262 -693.283484213824</t>
  </si>
  <si>
    <t>529.250079750853 477.798798949941 -810.623792554173</t>
  </si>
  <si>
    <t>443.084303076335 978.1008986583 -860.903485781872</t>
  </si>
  <si>
    <t>296.566930334232 978.065586640221 -873.486749214752</t>
  </si>
  <si>
    <t>147.351518020059 702.706192946643 -827.681556820771</t>
  </si>
  <si>
    <t>287.143651926478 523.182173670258 -953.662735908393</t>
  </si>
  <si>
    <t>544.140855062428 970.625868076697 -306.664644881926</t>
  </si>
  <si>
    <t>536.193542177156 1043.17565599984 143.147509772497</t>
  </si>
  <si>
    <t>530.219002593505 1096.12203082173 610.420139935245</t>
  </si>
  <si>
    <t>556.681427131098 944.726350056374 695.992356057248</t>
  </si>
  <si>
    <t>351.704799780231 943.972493700228 -321.627310596734</t>
  </si>
  <si>
    <t>332.9820534753 890.403201167678 130.520357914402</t>
  </si>
  <si>
    <t>266.904914300314 977.598959801363 588.105119759325</t>
  </si>
  <si>
    <t>270.520001050096 823.013395354125 671.972294142133</t>
  </si>
  <si>
    <t>9763-20170724T170008.195020500.bin</t>
  </si>
  <si>
    <t>448.293867232716 957.133353852162 -314.753521174317</t>
  </si>
  <si>
    <t>456.56317687575 964.951970878634 -435.328501040774</t>
  </si>
  <si>
    <t>463.262799002291 970.284175429492 -556.230106937161</t>
  </si>
  <si>
    <t>468.653104424849 973.96639488004 -665.556499188436</t>
  </si>
  <si>
    <t>473.343917249901 976.625017122546 -774.944646024067</t>
  </si>
  <si>
    <t>479.113512168899 979.272157845228 -927.127871003089</t>
  </si>
  <si>
    <t>482.981867904949 958.69906386581 -1026.851245195</t>
  </si>
  <si>
    <t>508.329507163898 978.464136561251 -858.580698854385</t>
  </si>
  <si>
    <t>651.042017098732 949.132302837535 -838.798423362248</t>
  </si>
  <si>
    <t>658.204620197494 668.200272963196 -693.15484872357</t>
  </si>
  <si>
    <t>526.125637924961 477.227412337634 -810.315319188491</t>
  </si>
  <si>
    <t>444.791997618283 977.737790038618 -861.00230977421</t>
  </si>
  <si>
    <t>298.287506834485 978.935935628855 -873.892630718044</t>
  </si>
  <si>
    <t>146.412740102498 705.386734090254 -826.028702427944</t>
  </si>
  <si>
    <t>282.934509302416 524.180240032528 -953.182398783412</t>
  </si>
  <si>
    <t>544.835810060208 969.713720313559 -306.628906814881</t>
  </si>
  <si>
    <t>536.154942125513 1042.51079399691 143.129840037517</t>
  </si>
  <si>
    <t>530.205428926783 1096.04477267404 610.20712543667</t>
  </si>
  <si>
    <t>556.637373744706 944.740396700579 695.950162898104</t>
  </si>
  <si>
    <t>351.476633527806 944.275971157549 -321.878073100466</t>
  </si>
  <si>
    <t>331.504840452149 891.643237923956 130.325992529782</t>
  </si>
  <si>
    <t>266.554297124716 977.882072557519 588.218498475286</t>
  </si>
  <si>
    <t>268.619611085932 823.266489053174 672.082705812478</t>
  </si>
  <si>
    <t>9763-20170724T170008.262769900.bin</t>
  </si>
  <si>
    <t>448.888721954134 955.94232384705 -314.737289427707</t>
  </si>
  <si>
    <t>457.619761775226 963.233470340921 -435.312716405058</t>
  </si>
  <si>
    <t>464.724280286202 968.436488102997 -556.196970621174</t>
  </si>
  <si>
    <t>470.462442120365 972.162509306814 -665.504086946628</t>
  </si>
  <si>
    <t>475.488040966272 975.027743153065 -774.872199351576</t>
  </si>
  <si>
    <t>481.713332226165 978.131877490464 -927.028744002167</t>
  </si>
  <si>
    <t>485.775802551114 957.835170129667 -1026.8010807819</t>
  </si>
  <si>
    <t>510.725923642064 976.823441807279 -858.403234709386</t>
  </si>
  <si>
    <t>653.139267394088 946.159221316691 -838.379923451124</t>
  </si>
  <si>
    <t>656.437167352959 664.544377589322 -693.92129939415</t>
  </si>
  <si>
    <t>520.856300594912 475.823780090023 -810.730683396542</t>
  </si>
  <si>
    <t>447.191602537018 976.693533908177 -861.005195075049</t>
  </si>
  <si>
    <t>300.736834773942 979.122817214267 -874.023587004732</t>
  </si>
  <si>
    <t>144.522979534303 708.369446022519 -824.264346007667</t>
  </si>
  <si>
    <t>276.005135769446 524.35350481506 -952.687796460968</t>
  </si>
  <si>
    <t>546.137623293496 967.587563356214 -306.48442650491</t>
  </si>
  <si>
    <t>536.116824624605 1041.05084534301 143.138099951816</t>
  </si>
  <si>
    <t>530.316038638566 1095.80309453574 609.814530484923</t>
  </si>
  <si>
    <t>556.397298495639 944.723636878917 696.060021866617</t>
  </si>
  <si>
    <t>351.827269456017 944.293033836621 -322.18947465994</t>
  </si>
  <si>
    <t>329.961089317702 893.879114134567 130.179773499384</t>
  </si>
  <si>
    <t>265.902337256244 978.078046290963 588.325932025988</t>
  </si>
  <si>
    <t>265.609086429055 823.50232176294 672.289136321428</t>
  </si>
  <si>
    <t>9763-20170724T170008.300869400.bin</t>
  </si>
  <si>
    <t>449.975656031047 955.348940680859 -314.942222827065</t>
  </si>
  <si>
    <t>458.828457770121 962.343268412936 -435.526387858189</t>
  </si>
  <si>
    <t>466.038724185266 967.515164127054 -556.405757816126</t>
  </si>
  <si>
    <t>471.869657163603 971.320961951523 -665.705112115674</t>
  </si>
  <si>
    <t>476.988325627832 974.373915627982 -775.063831715403</t>
  </si>
  <si>
    <t>483.34576241427 977.851269153147 -927.206858563268</t>
  </si>
  <si>
    <t>487.480682465788 957.757269580282 -1027.01722074992</t>
  </si>
  <si>
    <t>512.298994716169 976.275043307253 -858.561863644289</t>
  </si>
  <si>
    <t>654.61226612248 945.179591863106 -838.52880465214</t>
  </si>
  <si>
    <t>656.435714468873 663.045314355151 -695.060524660489</t>
  </si>
  <si>
    <t>519.394016042011 474.876913825747 -811.05295031738</t>
  </si>
  <si>
    <t>448.766689821396 976.350415189874 -861.214845909333</t>
  </si>
  <si>
    <t>302.304198601389 979.165360688133 -874.194487812717</t>
  </si>
  <si>
    <t>146.005641371104 708.603991705123 -823.661246137513</t>
  </si>
  <si>
    <t>275.770232544552 523.654499323759 -952.490004297985</t>
  </si>
  <si>
    <t>547.348028500293 966.71006255939 -306.713129483837</t>
  </si>
  <si>
    <t>536.789988743938 1040.54079187752 142.836849206906</t>
  </si>
  <si>
    <t>531.200619412806 1095.71954051376 609.093703057557</t>
  </si>
  <si>
    <t>556.541532451438 944.878783262872 695.975257009991</t>
  </si>
  <si>
    <t>353.055584904431 944.02380426835 -322.496209462762</t>
  </si>
  <si>
    <t>330.062829102091 895.056276782242 129.976061156625</t>
  </si>
  <si>
    <t>265.719841901356 978.08658862137 588.307083736514</t>
  </si>
  <si>
    <t>265.497242702614 823.483220477027 672.218712944674</t>
  </si>
  <si>
    <t>9763-20170724T170008.362601400.bin</t>
  </si>
  <si>
    <t>451.433297458345 954.284989451586 -315.4440560979</t>
  </si>
  <si>
    <t>460.55608417633 960.582275138511 -436.046418964056</t>
  </si>
  <si>
    <t>467.908151147042 965.471001630331 -556.929084789362</t>
  </si>
  <si>
    <t>473.82208768568 969.191276822617 -666.227052382057</t>
  </si>
  <si>
    <t>478.982387559505 972.330949632122 -775.581279735221</t>
  </si>
  <si>
    <t>485.357875985791 976.110763419999 -927.716315342416</t>
  </si>
  <si>
    <t>489.458874825032 956.227671862399 -1027.57047202549</t>
  </si>
  <si>
    <t>514.302646357449 974.272939234143 -859.074168680561</t>
  </si>
  <si>
    <t>656.534830512401 942.672924115923 -839.11026378642</t>
  </si>
  <si>
    <t>655.364874230567 659.107869517196 -698.484411759528</t>
  </si>
  <si>
    <t>516.029984645213 470.057992952093 -810.23398065938</t>
  </si>
  <si>
    <t>450.771154828897 974.603775550119 -861.728406389391</t>
  </si>
  <si>
    <t>304.330229965247 977.550677372941 -874.669504176326</t>
  </si>
  <si>
    <t>147.514882026842 707.464687315374 -823.203554235292</t>
  </si>
  <si>
    <t>275.44607297477 522.341546719657 -953.606979756804</t>
  </si>
  <si>
    <t>548.213234070971 965.506969433446 -306.975337252767</t>
  </si>
  <si>
    <t>537.191852899398 1039.28082909151 142.572915425959</t>
  </si>
  <si>
    <t>530.812589453672 1095.53369162523 609.034931545574</t>
  </si>
  <si>
    <t>556.563795378936 944.898154300853 696.151764511979</t>
  </si>
  <si>
    <t>354.761077874119 943.048401584414 -323.206554061144</t>
  </si>
  <si>
    <t>329.347578348118 897.880757640234 129.531408872287</t>
  </si>
  <si>
    <t>264.97632538939 977.994238608551 588.321206589603</t>
  </si>
  <si>
    <t>265.125157631004 823.317468268754 672.098215456462</t>
  </si>
  <si>
    <t>9763-20170724T170008.400702000.bin</t>
  </si>
  <si>
    <t>451.438332595933 953.563380296521 -315.582641306987</t>
  </si>
  <si>
    <t>460.7001708153 959.482779519723 -436.193589137987</t>
  </si>
  <si>
    <t>468.06410005493 964.227135952939 -557.081209025301</t>
  </si>
  <si>
    <t>473.941803761288 967.913992828789 -666.382226346911</t>
  </si>
  <si>
    <t>479.02098185464 971.118875561288 -775.738509913376</t>
  </si>
  <si>
    <t>485.239448998561 975.094664435949 -927.87504225282</t>
  </si>
  <si>
    <t>489.294087705598 955.357178685173 -1027.75984612923</t>
  </si>
  <si>
    <t>514.25499243422 973.167213450055 -859.265314234135</t>
  </si>
  <si>
    <t>656.508222818582 941.488083424135 -839.48861672509</t>
  </si>
  <si>
    <t>654.127970639737 656.934252331087 -700.889909903589</t>
  </si>
  <si>
    <t>512.597032402816 467.33591601899 -808.887584976096</t>
  </si>
  <si>
    <t>450.72081770706 973.503582237534 -861.853371057045</t>
  </si>
  <si>
    <t>304.278926895264 976.234183920955 -874.649257300902</t>
  </si>
  <si>
    <t>146.859112611054 706.453938168755 -823.425741409783</t>
  </si>
  <si>
    <t>276.299641852186 522.905829990577 -954.564251674368</t>
  </si>
  <si>
    <t>547.834914158699 964.955645541076 -306.940350466491</t>
  </si>
  <si>
    <t>536.807181262223 1038.7322547637 142.607262856775</t>
  </si>
  <si>
    <t>530.467893275327 1095.52299854249 609.053445456115</t>
  </si>
  <si>
    <t>556.550861378361 944.933379351942 696.150730358381</t>
  </si>
  <si>
    <t>355.031862403586 942.051986118704 -323.435320475341</t>
  </si>
  <si>
    <t>328.47370740424 898.864257780127 129.430170898811</t>
  </si>
  <si>
    <t>264.707137543516 977.931617465971 588.351262751597</t>
  </si>
  <si>
    <t>264.754302857403 823.220513697864 672.06537099428</t>
  </si>
  <si>
    <t>9763-20170724T170008.463902600.bin</t>
  </si>
  <si>
    <t>450.846237498266 952.035564376721 -315.578658752888</t>
  </si>
  <si>
    <t>460.47416243928 957.264284743329 -436.192746255271</t>
  </si>
  <si>
    <t>467.856799972382 961.733727639891 -557.089703436967</t>
  </si>
  <si>
    <t>473.619047805477 965.347056703933 -666.399308844947</t>
  </si>
  <si>
    <t>478.455409488113 968.658653624329 -775.763397222791</t>
  </si>
  <si>
    <t>484.207599950775 972.973517970025 -927.90901964187</t>
  </si>
  <si>
    <t>488.084335649913 953.473010279949 -1027.84751855687</t>
  </si>
  <si>
    <t>513.433157286857 970.852167615254 -859.394143293041</t>
  </si>
  <si>
    <t>655.724736486183 939.153400948387 -840.127679664509</t>
  </si>
  <si>
    <t>652.677584919085 652.876041214503 -705.138192945169</t>
  </si>
  <si>
    <t>506.411276261952 462.744773925225 -805.628599963401</t>
  </si>
  <si>
    <t>449.891804972925 971.276592045485 -861.784454932038</t>
  </si>
  <si>
    <t>303.397330141944 973.592433304214 -874.430558195913</t>
  </si>
  <si>
    <t>145.72473248279 703.632807070615 -824.960081187624</t>
  </si>
  <si>
    <t>277.616053495829 521.505423464422 -955.636351444612</t>
  </si>
  <si>
    <t>546.551933090282 963.702089393456 -306.669916728517</t>
  </si>
  <si>
    <t>536.019769535423 1037.59503156887 142.870491432761</t>
  </si>
  <si>
    <t>529.913331431413 1095.60651128294 609.135708504347</t>
  </si>
  <si>
    <t>556.449069970801 945.047145706106 696.148785656756</t>
  </si>
  <si>
    <t>355.052362899405 940.269964930136 -323.730120287962</t>
  </si>
  <si>
    <t>326.54958827793 900.204940869715 129.304190405777</t>
  </si>
  <si>
    <t>263.976959271168 977.876380916812 588.484331408297</t>
  </si>
  <si>
    <t>263.680441221958 823.037075950535 671.960190022394</t>
  </si>
  <si>
    <t>9763-20170724T170008.499998600.bin</t>
  </si>
  <si>
    <t>450.335166561381 951.370001522144 -315.503988665848</t>
  </si>
  <si>
    <t>460.054744510094 956.321281612633 -436.122447597714</t>
  </si>
  <si>
    <t>467.437345330716 960.662581959138 -557.024094848478</t>
  </si>
  <si>
    <t>473.165546600229 964.222352853027 -666.337312170041</t>
  </si>
  <si>
    <t>477.935359869055 967.542389238337 -775.704046272543</t>
  </si>
  <si>
    <t>483.563035457363 971.93623496995 -927.85201100838</t>
  </si>
  <si>
    <t>487.364722338306 952.504854424722 -1027.80680262118</t>
  </si>
  <si>
    <t>512.844447867865 969.767133399784 -859.362601255884</t>
  </si>
  <si>
    <t>655.174354837485 938.144718835227 -840.26648464327</t>
  </si>
  <si>
    <t>652.330918237803 651.334202661645 -706.408729475943</t>
  </si>
  <si>
    <t>502.798122994608 462.091727312554 -803.719299024578</t>
  </si>
  <si>
    <t>449.30136631501 970.217158443294 -861.699962090808</t>
  </si>
  <si>
    <t>302.809810108916 972.345628421316 -874.361630902506</t>
  </si>
  <si>
    <t>144.984129042715 702.21531261672 -826.330828597848</t>
  </si>
  <si>
    <t>277.663587696029 519.712842694079 -955.679411824815</t>
  </si>
  <si>
    <t>545.77169220309 962.961964423425 -306.543578987079</t>
  </si>
  <si>
    <t>535.580719502996 1036.96695586228 142.986325909971</t>
  </si>
  <si>
    <t>529.711957635457 1095.63535386319 609.15764953586</t>
  </si>
  <si>
    <t>556.582506590647 945.116276737348 696.13716634716</t>
  </si>
  <si>
    <t>354.651275820073 939.711134562421 -323.743271536722</t>
  </si>
  <si>
    <t>325.659786735371 900.877068446874 129.367135717878</t>
  </si>
  <si>
    <t>263.733629381742 977.844372117087 588.633466972079</t>
  </si>
  <si>
    <t>263.250363156933 822.929251388318 671.967915395664</t>
  </si>
  <si>
    <t>9763-20170724T170008.563692900.bin</t>
  </si>
  <si>
    <t>448.925540306962 950.030895179177 -315.313911966279</t>
  </si>
  <si>
    <t>458.702195182889 954.654346095229 -435.940901832129</t>
  </si>
  <si>
    <t>466.104078974042 958.762727761815 -556.849510572541</t>
  </si>
  <si>
    <t>471.835820814509 962.150008765112 -666.167926519833</t>
  </si>
  <si>
    <t>476.597178437307 965.336643020529 -775.538928115058</t>
  </si>
  <si>
    <t>482.2011280761 969.585314236567 -927.692049907698</t>
  </si>
  <si>
    <t>485.942271768281 950.140791251847 -1027.64648223522</t>
  </si>
  <si>
    <t>511.492830747869 967.407634357081 -859.207188828702</t>
  </si>
  <si>
    <t>653.911806439728 935.988275534885 -840.241933601226</t>
  </si>
  <si>
    <t>652.267635257463 649.631570880209 -705.396423167793</t>
  </si>
  <si>
    <t>496.041964099908 464.762303321481 -800.574771694707</t>
  </si>
  <si>
    <t>447.950365033445 968.003181869187 -861.53089616356</t>
  </si>
  <si>
    <t>301.474688876569 970.051807068354 -874.398512103086</t>
  </si>
  <si>
    <t>144.668622294344 699.058428896743 -827.91515321927</t>
  </si>
  <si>
    <t>277.680340254297 515.907202766359 -955.99908800428</t>
  </si>
  <si>
    <t>544.15060038313 961.602845250617 -306.352222381879</t>
  </si>
  <si>
    <t>534.762106366453 1035.77172124403 143.168122471142</t>
  </si>
  <si>
    <t>529.451108908283 1095.7585290724 609.211278092771</t>
  </si>
  <si>
    <t>556.365504359982 945.228516039553 696.1589749333</t>
  </si>
  <si>
    <t>353.52551401694 938.368454123819 -323.629004338796</t>
  </si>
  <si>
    <t>323.924323474868 902.060918945066 129.651486249209</t>
  </si>
  <si>
    <t>263.588680564846 977.848054387316 589.208187967364</t>
  </si>
  <si>
    <t>262.165611992267 822.809126457905 672.30086404604</t>
  </si>
  <si>
    <t>9763-20170724T170008.595779300.bin</t>
  </si>
  <si>
    <t>448.027016401915 949.633587888511 -315.191565696433</t>
  </si>
  <si>
    <t>457.788483002283 954.050571296682 -435.827524076958</t>
  </si>
  <si>
    <t>465.176785149221 957.961982301421 -556.74343441214</t>
  </si>
  <si>
    <t>470.896891343584 961.175370247394 -666.067828428881</t>
  </si>
  <si>
    <t>475.647436597793 964.191457342328 -775.444063273521</t>
  </si>
  <si>
    <t>481.237693038561 968.206199111697 -927.604069242147</t>
  </si>
  <si>
    <t>484.928033712557 948.690225005927 -1027.54642942573</t>
  </si>
  <si>
    <t>510.534909105827 966.066747122735 -859.120334041975</t>
  </si>
  <si>
    <t>652.919332253778 934.643153107362 -839.99468820365</t>
  </si>
  <si>
    <t>651.714546418716 649.119795666939 -703.388933971436</t>
  </si>
  <si>
    <t>492.849140180284 466.60492151091 -798.742671142247</t>
  </si>
  <si>
    <t>446.993498097881 966.792815907937 -861.435657332947</t>
  </si>
  <si>
    <t>300.528206617178 968.874794621542 -874.378125610483</t>
  </si>
  <si>
    <t>144.33650826933 697.497421811584 -828.068261430142</t>
  </si>
  <si>
    <t>278.091889073062 514.632414247097 -955.786491742667</t>
  </si>
  <si>
    <t>543.156124148539 961.074806607078 -306.271226873496</t>
  </si>
  <si>
    <t>534.315608892205 1035.31254678422 143.248815551774</t>
  </si>
  <si>
    <t>529.241158382641 1095.77607613983 609.256046808425</t>
  </si>
  <si>
    <t>556.210504549379 945.248942527918 696.191495751672</t>
  </si>
  <si>
    <t>352.694142551422 938.123349334244 -323.426093698664</t>
  </si>
  <si>
    <t>323.010505894169 902.705870567482 129.919365795819</t>
  </si>
  <si>
    <t>263.524380194209 977.934069898426 589.618527649151</t>
  </si>
  <si>
    <t>261.828707934683 822.799292232375 672.526830865775</t>
  </si>
  <si>
    <t>9763-20170724T170008.662779000.bin</t>
  </si>
  <si>
    <t>445.641523134957 949.271204541862 -314.947248530522</t>
  </si>
  <si>
    <t>455.344163792834 953.491424754065 -435.594797318243</t>
  </si>
  <si>
    <t>462.753999559688 957.113757588231 -556.518576070169</t>
  </si>
  <si>
    <t>468.523431250124 960.025887920133 -665.848702126945</t>
  </si>
  <si>
    <t>473.352834703849 962.699857521339 -775.230459115361</t>
  </si>
  <si>
    <t>479.082483172727 966.194973608489 -927.398045403913</t>
  </si>
  <si>
    <t>482.7398614783 946.43272658795 -1027.29328849666</t>
  </si>
  <si>
    <t>508.316178815472 964.22423815972 -858.882120842223</t>
  </si>
  <si>
    <t>650.685864523412 932.985339439565 -839.40968675344</t>
  </si>
  <si>
    <t>648.515091054783 648.918833219701 -699.811083265505</t>
  </si>
  <si>
    <t>483.500975991128 472.071154642108 -795.400735279813</t>
  </si>
  <si>
    <t>444.778512201597 965.073018940597 -861.255063438956</t>
  </si>
  <si>
    <t>298.311967861004 967.055573468556 -874.299036941055</t>
  </si>
  <si>
    <t>142.910946232235 695.076835934378 -828.862886590075</t>
  </si>
  <si>
    <t>278.752292126195 512.920554101808 -955.38645018303</t>
  </si>
  <si>
    <t>540.641253993598 960.522518160195 -306.075422463174</t>
  </si>
  <si>
    <t>532.927044905127 1034.70384119487 143.474696205885</t>
  </si>
  <si>
    <t>528.528710893172 1095.82437136571 609.477207249089</t>
  </si>
  <si>
    <t>556.305891512197 945.331922371318 696.217806712026</t>
  </si>
  <si>
    <t>350.492479040717 938.059737535456 -323.222617889726</t>
  </si>
  <si>
    <t>321.062060374036 904.411574124089 130.2741100989</t>
  </si>
  <si>
    <t>263.385462894508 978.126201127302 590.268481365301</t>
  </si>
  <si>
    <t>260.697764270102 822.826412725203 672.841419099403</t>
  </si>
  <si>
    <t>9763-20170724T170008.694866800.bin</t>
  </si>
  <si>
    <t>444.363174524632 949.401335108985 -314.926405252204</t>
  </si>
  <si>
    <t>454.046451591863 953.630921335642 -435.575338790538</t>
  </si>
  <si>
    <t>461.492931147348 957.164790735416 -556.499338010128</t>
  </si>
  <si>
    <t>467.316384284114 959.956784824005 -665.829640731026</t>
  </si>
  <si>
    <t>472.219538554677 962.469661405793 -775.211997018378</t>
  </si>
  <si>
    <t>478.07106279488 965.696822057063 -927.380843818818</t>
  </si>
  <si>
    <t>481.726780191542 945.747731975314 -1027.23896743579</t>
  </si>
  <si>
    <t>507.249493986393 963.814246400786 -858.838871406059</t>
  </si>
  <si>
    <t>649.59462914475 932.514354564667 -839.191326325013</t>
  </si>
  <si>
    <t>647.078407872074 648.833465156865 -698.816903417903</t>
  </si>
  <si>
    <t>479.778397614023 473.86563426599 -793.89056714564</t>
  </si>
  <si>
    <t>443.714488144949 964.72366023407 -861.262870532686</t>
  </si>
  <si>
    <t>297.282258904644 966.755483694476 -874.426906308789</t>
  </si>
  <si>
    <t>142.195128542625 694.541174194831 -829.331116184231</t>
  </si>
  <si>
    <t>279.429699353644 512.910496618598 -955.10478859104</t>
  </si>
  <si>
    <t>539.33426816731 960.667901240628 -306.018029616328</t>
  </si>
  <si>
    <t>532.140766631599 1034.51116184689 143.596372144027</t>
  </si>
  <si>
    <t>528.189658437044 1095.91809258603 609.645434147939</t>
  </si>
  <si>
    <t>556.07977349389 945.355832688743 696.228780021711</t>
  </si>
  <si>
    <t>349.30363955395 938.226091361895 -323.204442578905</t>
  </si>
  <si>
    <t>320.179978183524 905.554317054017 130.383577331771</t>
  </si>
  <si>
    <t>263.398240000913 978.19367888191 590.619384261531</t>
  </si>
  <si>
    <t>260.644493104884 822.812587653413 673.036962074115</t>
  </si>
  <si>
    <t>9763-20170724T170008.764059000.bin</t>
  </si>
  <si>
    <t>441.73953883068 950.096193605593 -314.850225773967</t>
  </si>
  <si>
    <t>451.449290142607 954.269798381362 -435.498962119646</t>
  </si>
  <si>
    <t>458.970299971426 957.635529161537 -556.423171513354</t>
  </si>
  <si>
    <t>464.877755781626 960.229632784731 -665.754022176281</t>
  </si>
  <si>
    <t>469.880634326545 962.497426803054 -775.137178962269</t>
  </si>
  <si>
    <t>475.886417293259 965.334362866103 -927.307754397634</t>
  </si>
  <si>
    <t>479.575324336151 945.05146970487 -1027.09743175074</t>
  </si>
  <si>
    <t>504.994339224034 963.56467633494 -858.732840813878</t>
  </si>
  <si>
    <t>647.243196103224 931.99195396329 -838.918512709126</t>
  </si>
  <si>
    <t>643.528816601346 648.627440432655 -697.932885003625</t>
  </si>
  <si>
    <t>472.102241813239 477.021092941735 -791.774410786512</t>
  </si>
  <si>
    <t>441.463654065265 964.59337859119 -861.220993588839</t>
  </si>
  <si>
    <t>295.029695299942 966.816029271894 -874.593059074016</t>
  </si>
  <si>
    <t>139.427798479862 694.709029005805 -830.639567869749</t>
  </si>
  <si>
    <t>279.287412301356 514.194242465899 -955.121747847157</t>
  </si>
  <si>
    <t>536.489032060057 961.037761696538 -305.876567400982</t>
  </si>
  <si>
    <t>530.689269198583 1034.88230785991 143.757768104291</t>
  </si>
  <si>
    <t>527.783575882571 1096.04552803988 609.812476947592</t>
  </si>
  <si>
    <t>556.220966551106 945.452414357181 696.163433473552</t>
  </si>
  <si>
    <t>346.869673664868 939.126046492232 -323.088947951588</t>
  </si>
  <si>
    <t>318.394362896975 907.656419469178 130.625087864236</t>
  </si>
  <si>
    <t>263.304698929731 978.349741949005 591.352861559631</t>
  </si>
  <si>
    <t>260.482179845358 822.80929007211 673.466690460695</t>
  </si>
  <si>
    <t>9763-20170724T170008.796144000.bin</t>
  </si>
  <si>
    <t>440.583172173817 950.554194521942 -314.830896943779</t>
  </si>
  <si>
    <t>450.286979631219 954.633512583777 -435.48335508891</t>
  </si>
  <si>
    <t>457.841472135753 957.877146215597 -556.408930499724</t>
  </si>
  <si>
    <t>463.7941689999 960.34847430331 -665.73995313064</t>
  </si>
  <si>
    <t>468.857026283388 962.481056203928 -775.12312670796</t>
  </si>
  <si>
    <t>474.961469783086 965.117343808646 -927.293350945851</t>
  </si>
  <si>
    <t>478.69220719913 944.654873590157 -1027.04479572888</t>
  </si>
  <si>
    <t>504.023934069175 963.371809308569 -858.698622665213</t>
  </si>
  <si>
    <t>646.219632718109 931.533658204811 -838.834415785345</t>
  </si>
  <si>
    <t>642.030801237477 648.335712031523 -697.527401858746</t>
  </si>
  <si>
    <t>467.475126068042 480.017178377781 -791.554890747146</t>
  </si>
  <si>
    <t>440.496993549056 964.529900389773 -861.226963663724</t>
  </si>
  <si>
    <t>294.080414128399 966.987971377067 -874.66720722162</t>
  </si>
  <si>
    <t>138.190252951504 694.976464142634 -831.144604902475</t>
  </si>
  <si>
    <t>278.65701265277 514.370495368243 -954.808100076382</t>
  </si>
  <si>
    <t>535.274955241104 961.37712759874 -305.872730145903</t>
  </si>
  <si>
    <t>530.167118937082 1034.92217797541 143.819147409294</t>
  </si>
  <si>
    <t>527.891874921432 1096.20382727363 609.885429660641</t>
  </si>
  <si>
    <t>555.919895226521 945.496167664158 696.170399914044</t>
  </si>
  <si>
    <t>345.747249573138 939.666780695351 -323.028839643529</t>
  </si>
  <si>
    <t>317.555981856107 908.630377810153 130.732811043589</t>
  </si>
  <si>
    <t>263.204731439115 978.416919661597 591.701739752019</t>
  </si>
  <si>
    <t>260.375974778083 822.803811751332 673.678163055631</t>
  </si>
  <si>
    <t>9763-20170724T170008.861595400.bin</t>
  </si>
  <si>
    <t>438.034404883181 951.568550678209 -314.692801949553</t>
  </si>
  <si>
    <t>447.722292138469 955.586521007557 -435.348459959746</t>
  </si>
  <si>
    <t>455.340649202467 958.582520393039 -556.276452897502</t>
  </si>
  <si>
    <t>461.378855913572 960.753105536718 -665.609230713736</t>
  </si>
  <si>
    <t>466.553515615997 962.507982040896 -774.993810286579</t>
  </si>
  <si>
    <t>472.838828986357 964.536810677429 -927.166154913569</t>
  </si>
  <si>
    <t>476.598410272596 943.729962397887 -1026.84520016831</t>
  </si>
  <si>
    <t>501.816604011385 962.909556009174 -858.532623424469</t>
  </si>
  <si>
    <t>643.829953522323 930.464083454054 -838.439999512147</t>
  </si>
  <si>
    <t>639.911921695426 647.667369637096 -696.324465611512</t>
  </si>
  <si>
    <t>462.518942271259 484.42047652203 -793.916332345178</t>
  </si>
  <si>
    <t>438.298935943963 964.368420492631 -861.13656369196</t>
  </si>
  <si>
    <t>291.911493622133 967.462332446061 -874.721515688414</t>
  </si>
  <si>
    <t>134.264002460214 696.303762713265 -832.219717718056</t>
  </si>
  <si>
    <t>275.320625086053 514.985379239866 -954.156958245459</t>
  </si>
  <si>
    <t>532.734571424671 961.953056076572 -305.821481306926</t>
  </si>
  <si>
    <t>529.150588805122 1035.10624424751 143.948896403922</t>
  </si>
  <si>
    <t>527.875533999872 1096.37957113395 610.01604090561</t>
  </si>
  <si>
    <t>555.981385349171 945.605513642147 696.159688588445</t>
  </si>
  <si>
    <t>343.133694860302 941.158648548434 -322.858718517062</t>
  </si>
  <si>
    <t>315.886011667094 910.51412879581 130.987279390433</t>
  </si>
  <si>
    <t>263.002876130079 978.558971212287 592.379184921893</t>
  </si>
  <si>
    <t>259.737212237569 822.833068249543 674.124859946977</t>
  </si>
  <si>
    <t>9763-20170724T170008.895688500.bin</t>
  </si>
  <si>
    <t>436.788964674958 952.217810165117 -314.596345045939</t>
  </si>
  <si>
    <t>446.492969397009 956.302150745937 -435.248566151275</t>
  </si>
  <si>
    <t>454.160894239187 959.199302280166 -556.175755834808</t>
  </si>
  <si>
    <t>460.254266278989 961.213452607618 -665.50847506282</t>
  </si>
  <si>
    <t>465.49285775965 962.74355522099 -774.893466778757</t>
  </si>
  <si>
    <t>471.874727040898 964.388284088724 -927.066284187444</t>
  </si>
  <si>
    <t>475.646153368077 943.380144674302 -1026.70270885511</t>
  </si>
  <si>
    <t>500.807711207444 962.875033995456 -858.411122821156</t>
  </si>
  <si>
    <t>642.740407749323 930.14359435682 -838.164892382922</t>
  </si>
  <si>
    <t>638.821049224348 647.456843832555 -695.830604310688</t>
  </si>
  <si>
    <t>461.929551509582 484.008131813683 -793.993557290929</t>
  </si>
  <si>
    <t>437.29438141721 964.446055502318 -861.057783736931</t>
  </si>
  <si>
    <t>290.911899742708 967.790860061678 -874.692408223997</t>
  </si>
  <si>
    <t>132.521562732131 696.940775114 -832.992752836241</t>
  </si>
  <si>
    <t>273.996544660103 515.387629378057 -954.093509371107</t>
  </si>
  <si>
    <t>531.546164718471 962.363825228079 -305.745142727257</t>
  </si>
  <si>
    <t>528.590539302536 1035.19957964965 144.081465321837</t>
  </si>
  <si>
    <t>527.817756791628 1096.49721146493 610.150465376406</t>
  </si>
  <si>
    <t>555.76086821318 945.629579075672 696.183503332333</t>
  </si>
  <si>
    <t>341.886994883742 942.128149985425 -322.776022283137</t>
  </si>
  <si>
    <t>315.179577211462 911.484005023543 131.102037802026</t>
  </si>
  <si>
    <t>262.976444263296 978.610601956433 592.697878375104</t>
  </si>
  <si>
    <t>259.861608332364 822.818855846745 674.323669464605</t>
  </si>
  <si>
    <t>9763-20170724T170008.964520400.bin</t>
  </si>
  <si>
    <t>434.390344327551 953.727927461725 -314.525449093725</t>
  </si>
  <si>
    <t>444.127041273769 958.051218185449 -435.166685216042</t>
  </si>
  <si>
    <t>451.907380377504 960.871826810864 -556.088481300527</t>
  </si>
  <si>
    <t>458.128395267564 962.687813972412 -665.4175241948</t>
  </si>
  <si>
    <t>463.518207216275 963.88927644952 -774.79928837342</t>
  </si>
  <si>
    <t>470.131665021732 964.939864056798 -926.967404296664</t>
  </si>
  <si>
    <t>473.934848497192 943.600200175164 -1026.53221156126</t>
  </si>
  <si>
    <t>498.956983108932 963.581227301408 -858.263993705569</t>
  </si>
  <si>
    <t>640.740812995319 930.363868067956 -837.770387643835</t>
  </si>
  <si>
    <t>637.547388867383 647.967096491779 -694.843710097287</t>
  </si>
  <si>
    <t>460.193710993404 484.693915742689 -792.463921327304</t>
  </si>
  <si>
    <t>435.453848673553 965.368771089272 -861.011597962718</t>
  </si>
  <si>
    <t>289.116028376799 969.256497960644 -874.885117205594</t>
  </si>
  <si>
    <t>129.626533863057 698.760380073201 -835.122079219396</t>
  </si>
  <si>
    <t>271.246925027021 516.109042789865 -954.387450312226</t>
  </si>
  <si>
    <t>529.346557149609 963.299280279999 -305.65251026276</t>
  </si>
  <si>
    <t>527.569327236489 1035.71542606635 144.247935643331</t>
  </si>
  <si>
    <t>527.684494870307 1096.65489240778 610.348633291872</t>
  </si>
  <si>
    <t>555.812606255011 945.700156112892 696.168248871779</t>
  </si>
  <si>
    <t>339.33406233097 944.274759415939 -322.721259333689</t>
  </si>
  <si>
    <t>313.845507517138 913.746133150167 131.234671385924</t>
  </si>
  <si>
    <t>262.794049231002 978.740185593336 593.316224604446</t>
  </si>
  <si>
    <t>259.45795448738 822.844700039068 674.734785616429</t>
  </si>
  <si>
    <t>9763-20170724T170008.995603200.bin</t>
  </si>
  <si>
    <t>433.437020192096 954.605583864115 -314.480574201617</t>
  </si>
  <si>
    <t>443.200642548898 958.968186010757 -435.118090509733</t>
  </si>
  <si>
    <t>451.014384332311 961.685007105437 -556.040108439148</t>
  </si>
  <si>
    <t>457.265162968566 963.349021905934 -665.370024625557</t>
  </si>
  <si>
    <t>462.68329255458 964.340115985818 -774.75252998239</t>
  </si>
  <si>
    <t>469.333304827388 965.037657177948 -926.921001980649</t>
  </si>
  <si>
    <t>473.098068920173 943.481552771323 -1026.44057373999</t>
  </si>
  <si>
    <t>498.139918907934 963.761316026542 -858.20807271927</t>
  </si>
  <si>
    <t>639.849726017534 930.259324365248 -837.67609685942</t>
  </si>
  <si>
    <t>637.639966545747 647.976031434054 -694.506644222482</t>
  </si>
  <si>
    <t>459.213926311405 485.526820870251 -791.544900248325</t>
  </si>
  <si>
    <t>434.641815994418 965.696881862835 -860.974128074014</t>
  </si>
  <si>
    <t>288.320835091144 969.88983924794 -874.939258989797</t>
  </si>
  <si>
    <t>128.703496492821 699.348967012294 -836.002837135631</t>
  </si>
  <si>
    <t>270.6153270228 516.245289674304 -954.223677764086</t>
  </si>
  <si>
    <t>528.504473116306 963.935833582978 -305.621275705397</t>
  </si>
  <si>
    <t>527.23446237939 1036.10179461684 144.32113070554</t>
  </si>
  <si>
    <t>527.772221602966 1096.78100311671 610.440470915024</t>
  </si>
  <si>
    <t>555.625345396013 945.725498099752 696.172312222859</t>
  </si>
  <si>
    <t>338.382295518869 945.37078571569 -322.704006720077</t>
  </si>
  <si>
    <t>313.225686989836 915.166579138886 131.292151760315</t>
  </si>
  <si>
    <t>262.772721585564 978.799699182272 593.610187397323</t>
  </si>
  <si>
    <t>259.699742570313 822.832116345885 674.900786652272</t>
  </si>
  <si>
    <t>9763-20170724T170009.063797300.bin</t>
  </si>
  <si>
    <t>431.945217697372 956.040681122131 -314.431835894754</t>
  </si>
  <si>
    <t>441.741318023496 960.399957249837 -435.066862614534</t>
  </si>
  <si>
    <t>449.653519577069 962.792475275363 -555.989291265469</t>
  </si>
  <si>
    <t>456.013928477729 964.033327157013 -665.318572560443</t>
  </si>
  <si>
    <t>461.559707681321 964.469879645536 -774.698109785848</t>
  </si>
  <si>
    <t>468.403127553933 964.257984900674 -926.85956908782</t>
  </si>
  <si>
    <t>472.122315576067 942.265782586316 -1026.28540736151</t>
  </si>
  <si>
    <t>497.118426978929 963.271455727008 -858.103728631803</t>
  </si>
  <si>
    <t>638.655869561499 929.232558424098 -837.323044479687</t>
  </si>
  <si>
    <t>637.805026358754 648.045778236224 -691.997549164068</t>
  </si>
  <si>
    <t>458.681094660056 486.168438289952 -788.705509481694</t>
  </si>
  <si>
    <t>433.631760198902 965.432370626457 -860.961944759261</t>
  </si>
  <si>
    <t>287.333808855511 970.152005095678 -875.215889704122</t>
  </si>
  <si>
    <t>128.791273881556 698.792228863516 -837.607670191245</t>
  </si>
  <si>
    <t>271.020788316069 514.789096320317 -954.036252499904</t>
  </si>
  <si>
    <t>526.985461124911 964.630547674674 -305.534696346735</t>
  </si>
  <si>
    <t>526.588760283619 1036.65428403596 144.432104738149</t>
  </si>
  <si>
    <t>527.764437505596 1096.93938676699 610.584814890945</t>
  </si>
  <si>
    <t>555.637213483901 945.793711133675 696.150698579064</t>
  </si>
  <si>
    <t>336.830577481432 947.419037557188 -322.671564343882</t>
  </si>
  <si>
    <t>312.098510892636 918.245541355512 131.415270424942</t>
  </si>
  <si>
    <t>262.669533222527 978.940764452911 594.211984639292</t>
  </si>
  <si>
    <t>259.926036227881 822.832110509906 675.243115643814</t>
  </si>
  <si>
    <t>9763-20170724T170009.095912600.bin</t>
  </si>
  <si>
    <t>431.372545089529 956.561396074527 -314.452027855927</t>
  </si>
  <si>
    <t>441.180847720343 960.79246920926 -435.090826838072</t>
  </si>
  <si>
    <t>449.15068268719 963.00887408043 -556.012802750139</t>
  </si>
  <si>
    <t>455.580847076757 964.070068592008 -665.339769098625</t>
  </si>
  <si>
    <t>461.213562251512 964.306542320914 -774.715627001099</t>
  </si>
  <si>
    <t>468.195660331238 963.79393836592 -926.870070385343</t>
  </si>
  <si>
    <t>471.914690974524 941.614376215158 -1026.25430840182</t>
  </si>
  <si>
    <t>496.846978460777 962.904133681883 -858.086131674723</t>
  </si>
  <si>
    <t>638.340130412865 928.682181298727 -837.086835903418</t>
  </si>
  <si>
    <t>636.360598658068 647.943470712815 -690.908850044159</t>
  </si>
  <si>
    <t>459.009661263699 484.12026398431 -787.608045856298</t>
  </si>
  <si>
    <t>433.365605390534 965.136989055026 -861.006646495668</t>
  </si>
  <si>
    <t>287.093847901577 969.965591984555 -875.375596096121</t>
  </si>
  <si>
    <t>129.296070732304 698.099683720337 -838.294449697152</t>
  </si>
  <si>
    <t>271.003608399318 513.465132633954 -954.359733757932</t>
  </si>
  <si>
    <t>526.432150607653 964.913691534711 -305.526672993943</t>
  </si>
  <si>
    <t>526.390448476363 1036.89569888779 144.447008336674</t>
  </si>
  <si>
    <t>527.920213373022 1097.06156415868 610.622909552766</t>
  </si>
  <si>
    <t>555.526909969721 945.842837989651 696.146297600357</t>
  </si>
  <si>
    <t>336.299264296153 948.174154216891 -322.676931159837</t>
  </si>
  <si>
    <t>311.592393655356 919.753942910763 131.459116393961</t>
  </si>
  <si>
    <t>262.622900245538 978.999923039715 594.513178477168</t>
  </si>
  <si>
    <t>260.149371875562 822.823024928652 675.421435993391</t>
  </si>
  <si>
    <t>9763-20170724T170009.130647800.bin</t>
  </si>
  <si>
    <t>430.85934161967 956.819441576597 -314.453223736454</t>
  </si>
  <si>
    <t>440.678202501475 960.854272613756 -435.097619802651</t>
  </si>
  <si>
    <t>448.692081579897 962.903879759886 -556.019750810262</t>
  </si>
  <si>
    <t>455.175780115783 963.82562790093 -665.344817037539</t>
  </si>
  <si>
    <t>460.876225146941 963.933227380814 -774.717207498878</t>
  </si>
  <si>
    <t>467.96755015695 963.252711082157 -926.866114642251</t>
  </si>
  <si>
    <t>471.695752478738 940.937835740047 -1026.21963472338</t>
  </si>
  <si>
    <t>496.568549748853 962.414566789754 -858.060663661996</t>
  </si>
  <si>
    <t>637.996210912507 928.060802807405 -836.87222338651</t>
  </si>
  <si>
    <t>633.977578818939 647.740901875979 -689.93384542194</t>
  </si>
  <si>
    <t>459.344452233011 481.358731331028 -787.208022673625</t>
  </si>
  <si>
    <t>433.091097225725 964.693358083324 -861.029354438739</t>
  </si>
  <si>
    <t>286.846142535132 969.753117171761 -875.515091032424</t>
  </si>
  <si>
    <t>129.995396029733 697.369485283929 -838.216632920867</t>
  </si>
  <si>
    <t>271.389268974804 512.233978482424 -953.865303993278</t>
  </si>
  <si>
    <t>525.791596147025 964.947032856281 -305.510113796436</t>
  </si>
  <si>
    <t>526.150966536289 1036.90058528792 144.468025072428</t>
  </si>
  <si>
    <t>527.845859366096 1097.06644794474 610.645914876737</t>
  </si>
  <si>
    <t>555.662147918701 945.864471137938 696.131422172155</t>
  </si>
  <si>
    <t>335.936081666367 948.60118384703 -322.666845799702</t>
  </si>
  <si>
    <t>310.959838031256 921.04861157249 131.507955240846</t>
  </si>
  <si>
    <t>262.513807049284 979.054992758247 594.819403724257</t>
  </si>
  <si>
    <t>260.069325180233 822.82638258439 675.628602134181</t>
  </si>
  <si>
    <t>9763-20170724T170009.197826600.bin</t>
  </si>
  <si>
    <t>429.953281142268 957.098034779438 -314.386212312767</t>
  </si>
  <si>
    <t>439.870125558087 960.754069362559 -435.034925945731</t>
  </si>
  <si>
    <t>447.936766766012 962.406283671803 -555.959462574609</t>
  </si>
  <si>
    <t>454.448480986587 962.963901278842 -665.285293372157</t>
  </si>
  <si>
    <t>460.156366528968 962.702970233915 -774.657133318103</t>
  </si>
  <si>
    <t>467.236226424742 961.50665129742 -926.803311179278</t>
  </si>
  <si>
    <t>470.953043720979 938.946644682013 -1026.1018211431</t>
  </si>
  <si>
    <t>495.838847864179 960.801149412837 -857.997000804723</t>
  </si>
  <si>
    <t>637.162037120637 926.333972527067 -836.47041951628</t>
  </si>
  <si>
    <t>630.009644220612 646.543945644934 -688.644352573446</t>
  </si>
  <si>
    <t>459.539444067157 476.848804229372 -787.566339322321</t>
  </si>
  <si>
    <t>432.368496221322 963.270710051267 -860.969863717335</t>
  </si>
  <si>
    <t>286.162060037407 968.69133769087 -875.553237550161</t>
  </si>
  <si>
    <t>129.540161385081 696.170795321029 -838.29449965548</t>
  </si>
  <si>
    <t>273.6279695102 512.305941206235 -952.638070287099</t>
  </si>
  <si>
    <t>524.65274510663 965.230863352971 -305.44670315759</t>
  </si>
  <si>
    <t>525.776334738887 1037.04539062393 144.552294396863</t>
  </si>
  <si>
    <t>527.899564424482 1097.14250755957 610.695948852209</t>
  </si>
  <si>
    <t>556.026039875216 945.97578156063 696.142252774433</t>
  </si>
  <si>
    <t>335.210738114529 948.932798533284 -322.573843625879</t>
  </si>
  <si>
    <t>309.720222129713 922.911767205367 131.662606271469</t>
  </si>
  <si>
    <t>262.16674813514 979.1139152813 595.359167357501</t>
  </si>
  <si>
    <t>259.276631028248 822.83282057857 676.05235425606</t>
  </si>
  <si>
    <t>9763-20170724T170009.263004700.bin</t>
  </si>
  <si>
    <t>428.913487702743 957.106281901273 -314.242316901516</t>
  </si>
  <si>
    <t>438.911026081798 960.368277277299 -434.895471482009</t>
  </si>
  <si>
    <t>446.993740143723 961.518604977132 -555.824934214752</t>
  </si>
  <si>
    <t>453.490508820503 961.581487476694 -665.153071304191</t>
  </si>
  <si>
    <t>459.152249703762 960.787144863714 -774.524694465279</t>
  </si>
  <si>
    <t>466.133265016507 958.809536110561 -926.667283523771</t>
  </si>
  <si>
    <t>469.80441459417 936.030883856514 -1025.91768507149</t>
  </si>
  <si>
    <t>494.777231087126 958.377221065128 -857.875806890112</t>
  </si>
  <si>
    <t>636.124918977235 924.147425303955 -836.168206381335</t>
  </si>
  <si>
    <t>630.42988534842 644.599955770701 -687.820945479887</t>
  </si>
  <si>
    <t>460.41720928819 474.996578009644 -787.683260614062</t>
  </si>
  <si>
    <t>431.311484867973 960.991894830717 -860.822072331721</t>
  </si>
  <si>
    <t>285.081540759312 966.399929707921 -875.326243561737</t>
  </si>
  <si>
    <t>128.352690597893 693.853912404476 -838.709118404264</t>
  </si>
  <si>
    <t>279.218607181698 513.356419633019 -949.624319334097</t>
  </si>
  <si>
    <t>523.324514422132 965.35136486313 -305.295347230269</t>
  </si>
  <si>
    <t>525.136022100363 1037.28907287663 144.681676167402</t>
  </si>
  <si>
    <t>527.766017828907 1097.1542866136 610.790214899877</t>
  </si>
  <si>
    <t>556.720852264713 946.105267680644 696.167910524896</t>
  </si>
  <si>
    <t>334.412075205398 948.859970242019 -322.41977804564</t>
  </si>
  <si>
    <t>308.604969597098 923.921787288353 131.85964106394</t>
  </si>
  <si>
    <t>261.858587538022 979.095076089505 595.792256155159</t>
  </si>
  <si>
    <t>258.858376506047 822.790259679276 676.434952494706</t>
  </si>
  <si>
    <t>9763-20170724T170009.302116300.bin</t>
  </si>
  <si>
    <t>428.388094284368 957.07578736705 -314.189614095948</t>
  </si>
  <si>
    <t>438.436752302134 960.105353010851 -434.844623315355</t>
  </si>
  <si>
    <t>446.808062915774 961.065178198002 -555.755938776609</t>
  </si>
  <si>
    <t>453.662740550044 960.968180751252 -665.062255961265</t>
  </si>
  <si>
    <t>459.78018484068 960.022764889866 -774.408238338221</t>
  </si>
  <si>
    <t>467.49751710192 957.841965484485 -926.512337941508</t>
  </si>
  <si>
    <t>471.561056610539 934.977218004015 -1025.72779776988</t>
  </si>
  <si>
    <t>495.813003223471 957.626350021971 -857.584184041447</t>
  </si>
  <si>
    <t>637.003690269769 923.315337912801 -835.808513009104</t>
  </si>
  <si>
    <t>631.854000026804 643.884958716964 -687.220598879819</t>
  </si>
  <si>
    <t>461.441554139341 474.900053671024 -787.449120651535</t>
  </si>
  <si>
    <t>432.352487596389 959.987054830425 -860.837826983176</t>
  </si>
  <si>
    <t>285.968725946987 965.345443642725 -875.303400013556</t>
  </si>
  <si>
    <t>129.398004712265 692.599479002594 -839.506265968971</t>
  </si>
  <si>
    <t>284.150967627332 514.423175147402 -948.807751198686</t>
  </si>
  <si>
    <t>522.689708549523 965.48386562416 -305.237790929556</t>
  </si>
  <si>
    <t>524.882132855129 1037.48558191619 144.727414242917</t>
  </si>
  <si>
    <t>527.92401005604 1097.24476629097 610.823515411887</t>
  </si>
  <si>
    <t>556.662854750429 946.156518552584 696.204301762776</t>
  </si>
  <si>
    <t>334.03374031415 948.683901103551 -322.365727684453</t>
  </si>
  <si>
    <t>308.039680108045 924.217675307279 131.928679186394</t>
  </si>
  <si>
    <t>261.722156989626 979.065919130441 595.955959763111</t>
  </si>
  <si>
    <t>258.896429521014 822.750902756515 676.585622438765</t>
  </si>
  <si>
    <t>9763-20170724T170009.362789700.bin</t>
  </si>
  <si>
    <t>427.230840673673 956.889807307965 -314.042493154674</t>
  </si>
  <si>
    <t>437.351848115345 959.437388921103 -434.702681525743</t>
  </si>
  <si>
    <t>446.69616595451 960.635099482896 -555.540663824181</t>
  </si>
  <si>
    <t>454.808732628624 961.025586049849 -664.760127735415</t>
  </si>
  <si>
    <t>462.570656000499 960.828654935009 -774.005537037854</t>
  </si>
  <si>
    <t>472.986176850529 959.950120790959 -925.961901226986</t>
  </si>
  <si>
    <t>478.511434143288 937.57219369879 -1025.21759576088</t>
  </si>
  <si>
    <t>500.088303001915 959.599914946891 -856.54821170249</t>
  </si>
  <si>
    <t>641.118600259921 924.0889063481 -834.279706708762</t>
  </si>
  <si>
    <t>635.367668155712 644.906937940059 -685.247747723945</t>
  </si>
  <si>
    <t>462.952790203658 479.117413686528 -787.370172038121</t>
  </si>
  <si>
    <t>436.667077805901 961.077831564398 -860.903788506088</t>
  </si>
  <si>
    <t>290.485238154931 966.816405527032 -874.755976656383</t>
  </si>
  <si>
    <t>136.879687460547 691.97803347107 -842.271532602339</t>
  </si>
  <si>
    <t>299.759316505397 520.648713918773 -950.708486954574</t>
  </si>
  <si>
    <t>521.281266100145 965.545885290196 -305.125945388492</t>
  </si>
  <si>
    <t>524.181835049187 1037.63691968128 144.820826594024</t>
  </si>
  <si>
    <t>527.822981709745 1097.24503078408 610.90343290543</t>
  </si>
  <si>
    <t>557.143942298716 946.258427294317 696.266097480576</t>
  </si>
  <si>
    <t>333.097299480165 948.199335361587 -322.218666810239</t>
  </si>
  <si>
    <t>306.901298098697 924.391474875747 132.099041152926</t>
  </si>
  <si>
    <t>261.379529117594 979.023116095511 596.209230922921</t>
  </si>
  <si>
    <t>258.247278697571 822.709767182821 676.830965300403</t>
  </si>
  <si>
    <t>9763-20170724T170009.394868300.bin</t>
  </si>
  <si>
    <t>426.487024242203 956.740550778354 -313.975226887256</t>
  </si>
  <si>
    <t>436.602158283103 958.991482217994 -434.64177461308</t>
  </si>
  <si>
    <t>446.107130359464 960.205999154845 -555.467087132051</t>
  </si>
  <si>
    <t>454.436144923422 960.734608888218 -664.669628855838</t>
  </si>
  <si>
    <t>462.488802909422 960.797566641612 -773.89415417202</t>
  </si>
  <si>
    <t>473.388901385056 960.406483288144 -925.818626417158</t>
  </si>
  <si>
    <t>479.063056635941 938.222379822837 -1025.10930261451</t>
  </si>
  <si>
    <t>500.267401893916 959.748474065818 -856.320087619753</t>
  </si>
  <si>
    <t>640.942245695766 923.157512530328 -833.590906626478</t>
  </si>
  <si>
    <t>633.728634278485 644.084459057657 -684.418738805211</t>
  </si>
  <si>
    <t>460.388947339884 480.465206385941 -788.458202885521</t>
  </si>
  <si>
    <t>436.864606769761 961.410724396022 -860.87336591471</t>
  </si>
  <si>
    <t>290.652376490746 968.165393857221 -874.518374882985</t>
  </si>
  <si>
    <t>142.66879808253 690.802539957176 -837.680912153832</t>
  </si>
  <si>
    <t>306.830449481052 522.181533599417 -948.405558970235</t>
  </si>
  <si>
    <t>520.399541666392 965.477737098912 -305.08504160414</t>
  </si>
  <si>
    <t>523.800982460603 1037.49912435333 144.869387697624</t>
  </si>
  <si>
    <t>527.749919323712 1097.20919158032 610.917040018069</t>
  </si>
  <si>
    <t>557.389917719316 946.290251916861 696.289208587148</t>
  </si>
  <si>
    <t>332.465550083415 947.942480145459 -322.137905801241</t>
  </si>
  <si>
    <t>306.292929836394 924.299061862756 132.189754690505</t>
  </si>
  <si>
    <t>261.208908775425 979.007703135924 596.312703106185</t>
  </si>
  <si>
    <t>257.967688932135 822.698000326639 676.937552866456</t>
  </si>
  <si>
    <t>9763-20170724T170009.432221700.bin</t>
  </si>
  <si>
    <t>425.669500322123 956.504013131379 -313.839842351461</t>
  </si>
  <si>
    <t>435.836974150063 958.485223733319 -434.506766087278</t>
  </si>
  <si>
    <t>445.376087255883 959.585419352192 -555.330480742904</t>
  </si>
  <si>
    <t>453.729898651603 960.073521152599 -664.53118950523</t>
  </si>
  <si>
    <t>461.803002207483 960.159762857344 -773.7543096674</t>
  </si>
  <si>
    <t>472.727990020239 959.86728311017 -925.677171492809</t>
  </si>
  <si>
    <t>478.255767317999 937.751769323721 -1024.99153152437</t>
  </si>
  <si>
    <t>499.589441293935 958.975874381263 -856.174904960473</t>
  </si>
  <si>
    <t>639.899013387927 921.294111763881 -833.249206637867</t>
  </si>
  <si>
    <t>631.161823172032 642.470208488269 -683.692785686109</t>
  </si>
  <si>
    <t>456.580717280535 481.256779543076 -789.398514794818</t>
  </si>
  <si>
    <t>436.198580077432 961.017731573237 -860.737256390699</t>
  </si>
  <si>
    <t>289.957445287669 969.311568138459 -873.92656193819</t>
  </si>
  <si>
    <t>149.82619672618 689.011539988187 -829.414145948802</t>
  </si>
  <si>
    <t>314.105028939782 524.512795748382 -946.010471565392</t>
  </si>
  <si>
    <t>519.524180790825 965.222757519638 -304.978708632556</t>
  </si>
  <si>
    <t>523.446912314156 1037.38665012298 144.948772819604</t>
  </si>
  <si>
    <t>527.913167877366 1097.29737923243 610.948074644115</t>
  </si>
  <si>
    <t>557.341997096837 946.34266443289 696.329948147829</t>
  </si>
  <si>
    <t>331.637492558435 947.728121622433 -322.061952498605</t>
  </si>
  <si>
    <t>305.662574027468 924.078780887748 132.276660653415</t>
  </si>
  <si>
    <t>261.081354300793 978.991523799176 596.41612479889</t>
  </si>
  <si>
    <t>257.720755308606 822.679263134611 677.030386303504</t>
  </si>
  <si>
    <t>9763-20170724T170009.498395600.bin</t>
  </si>
  <si>
    <t>423.245665422468 955.4525121171 -313.549383066307</t>
  </si>
  <si>
    <t>433.663653542044 957.241601293925 -434.197888951301</t>
  </si>
  <si>
    <t>443.222874299714 958.100002180522 -555.022023808705</t>
  </si>
  <si>
    <t>451.500300702764 958.354543952468 -664.229512238369</t>
  </si>
  <si>
    <t>459.402480621244 958.193658054367 -773.464941025858</t>
  </si>
  <si>
    <t>469.9911841225 957.546363264998 -925.410642556574</t>
  </si>
  <si>
    <t>475.054272531054 935.51109691137 -1024.76741628136</t>
  </si>
  <si>
    <t>496.99631596166 956.538738776261 -855.965418836591</t>
  </si>
  <si>
    <t>636.828749807986 917.277417352605 -833.040568758819</t>
  </si>
  <si>
    <t>627.913126976365 638.830815781831 -682.793623437967</t>
  </si>
  <si>
    <t>450.544678388422 482.625835122865 -791.340743230603</t>
  </si>
  <si>
    <t>433.615710238035 959.126502589535 -860.393249658043</t>
  </si>
  <si>
    <t>287.408465943762 969.7778995175 -871.99978880143</t>
  </si>
  <si>
    <t>165.587662067491 684.152953775523 -810.645268311955</t>
  </si>
  <si>
    <t>325.126536698406 529.506818267507 -945.826326647449</t>
  </si>
  <si>
    <t>516.993408795141 963.415115741319 -304.540451405082</t>
  </si>
  <si>
    <t>522.096921948041 1036.82199430455 145.174001890548</t>
  </si>
  <si>
    <t>528.013434653479 1097.35916117342 610.994394200437</t>
  </si>
  <si>
    <t>557.432850454009 946.429743796436 696.424864893594</t>
  </si>
  <si>
    <t>329.144455785681 947.468809326836 -322.001620324733</t>
  </si>
  <si>
    <t>304.155343128847 923.916254159165 132.397378689878</t>
  </si>
  <si>
    <t>260.814199120047 979.01993599707 596.568100030605</t>
  </si>
  <si>
    <t>257.342043209944 822.655343388376 677.076245385417</t>
  </si>
  <si>
    <t>9763-20170724T170009.566289200.bin</t>
  </si>
  <si>
    <t>420.679767066788 954.145093127041 -313.503070831882</t>
  </si>
  <si>
    <t>431.339916604735 955.816636934144 -434.132243938782</t>
  </si>
  <si>
    <t>440.722962533111 956.498473825409 -554.971081813254</t>
  </si>
  <si>
    <t>448.670678087966 956.577027368889 -664.20331721277</t>
  </si>
  <si>
    <t>456.073461677378 956.227967816355 -773.473394178765</t>
  </si>
  <si>
    <t>465.789807891591 955.30967777453 -925.475710741155</t>
  </si>
  <si>
    <t>470.120207589532 933.435716680878 -1024.90294491772</t>
  </si>
  <si>
    <t>493.180494223554 954.144759080407 -856.18429311966</t>
  </si>
  <si>
    <t>632.843779265146 913.8965723117 -834.013355319505</t>
  </si>
  <si>
    <t>624.522966464568 635.854660874153 -682.98481316928</t>
  </si>
  <si>
    <t>445.359068895519 483.46127361869 -793.974223185572</t>
  </si>
  <si>
    <t>429.800960855991 957.287555291494 -860.254646797215</t>
  </si>
  <si>
    <t>283.665513732237 969.990438904001 -870.495863676951</t>
  </si>
  <si>
    <t>170.987801992863 683.834130325595 -795.633074467042</t>
  </si>
  <si>
    <t>322.928507862858 533.264553893364 -943.568687131471</t>
  </si>
  <si>
    <t>514.637826046329 961.084506788228 -304.259271694812</t>
  </si>
  <si>
    <t>520.735403468323 1035.39345106741 145.294510042453</t>
  </si>
  <si>
    <t>527.829796792637 1097.30378359581 611.009417357492</t>
  </si>
  <si>
    <t>557.362213093763 946.439173842401 696.514764093162</t>
  </si>
  <si>
    <t>326.593219965537 947.293535533758 -322.082303154534</t>
  </si>
  <si>
    <t>302.33235805653 924.205926348541 132.380087167668</t>
  </si>
  <si>
    <t>260.345081802707 979.079145648279 596.764852278516</t>
  </si>
  <si>
    <t>256.132369540731 822.677572106194 677.165843834433</t>
  </si>
  <si>
    <t>9763-20170724T170009.594363500.bin</t>
  </si>
  <si>
    <t>419.466339143606 953.626599510348 -313.469516964432</t>
  </si>
  <si>
    <t>430.181362655464 955.165461426055 -434.095657910127</t>
  </si>
  <si>
    <t>439.47672713162 955.766635755696 -554.941803123387</t>
  </si>
  <si>
    <t>447.288033329018 955.794907348543 -664.183805918102</t>
  </si>
  <si>
    <t>454.498152654231 955.419650373291 -773.466548890457</t>
  </si>
  <si>
    <t>463.889355769219 954.492031951802 -925.489532246856</t>
  </si>
  <si>
    <t>467.915255873323 932.707311774445 -1024.94899134655</t>
  </si>
  <si>
    <t>491.419638154239 953.168905840304 -856.256188866611</t>
  </si>
  <si>
    <t>630.95593029803 912.357438532977 -834.368483618677</t>
  </si>
  <si>
    <t>625.351261306768 634.460865065612 -682.94747438787</t>
  </si>
  <si>
    <t>445.625730898029 483.58569313862 -795.096960744065</t>
  </si>
  <si>
    <t>428.048602058444 956.636070939426 -860.192050426249</t>
  </si>
  <si>
    <t>281.967736579058 970.642973217265 -870.153369460678</t>
  </si>
  <si>
    <t>177.002846025912 682.979032341839 -790.040034655954</t>
  </si>
  <si>
    <t>323.79998814765 533.328266310953 -943.979089222109</t>
  </si>
  <si>
    <t>513.420117485651 960.023262183324 -304.152205372369</t>
  </si>
  <si>
    <t>520.256513402506 1034.56709204868 145.352126600802</t>
  </si>
  <si>
    <t>527.811137925297 1097.27079858897 610.975846770323</t>
  </si>
  <si>
    <t>557.429179006622 946.455970955319 696.539924842138</t>
  </si>
  <si>
    <t>325.378301854196 947.299190383782 -322.060515387082</t>
  </si>
  <si>
    <t>301.505572748304 924.4842629262 132.436209738209</t>
  </si>
  <si>
    <t>260.135375953224 979.127576536629 596.86257239439</t>
  </si>
  <si>
    <t>255.484633272771 822.69477977988 677.178710408873</t>
  </si>
  <si>
    <t>9763-20170724T170009.663086800.bin</t>
  </si>
  <si>
    <t>417.504071175103 952.456775725766 -313.319854581799</t>
  </si>
  <si>
    <t>428.164405146839 953.690638456582 -433.954110742353</t>
  </si>
  <si>
    <t>437.371891996238 954.235291669425 -554.807290517379</t>
  </si>
  <si>
    <t>445.093829792927 954.311388710768 -664.055768583356</t>
  </si>
  <si>
    <t>452.208836042428 954.082867366696 -773.345123629808</t>
  </si>
  <si>
    <t>461.464120275567 953.460929149447 -925.377906478865</t>
  </si>
  <si>
    <t>464.88596227166 931.873054962798 -1024.90292511262</t>
  </si>
  <si>
    <t>489.046774237649 951.833954410978 -856.171842207906</t>
  </si>
  <si>
    <t>628.381019283456 910.140695532178 -834.393615166128</t>
  </si>
  <si>
    <t>625.960679135108 633.039654659138 -681.438576690982</t>
  </si>
  <si>
    <t>447.469791926823 482.53030912933 -796.025111391828</t>
  </si>
  <si>
    <t>425.691139697778 955.638391023097 -860.044266412662</t>
  </si>
  <si>
    <t>279.785295609731 971.055456477637 -869.440963041425</t>
  </si>
  <si>
    <t>185.325709676356 681.009030743991 -784.962629849335</t>
  </si>
  <si>
    <t>324.788860082116 531.591968160651 -945.793832338443</t>
  </si>
  <si>
    <t>511.480352002122 957.844870358984 -304.008275752436</t>
  </si>
  <si>
    <t>519.349888741877 1032.80222177338 145.41045732331</t>
  </si>
  <si>
    <t>527.686069498661 1097.13633091654 610.848756714211</t>
  </si>
  <si>
    <t>557.395520363575 946.446325881045 696.600894003811</t>
  </si>
  <si>
    <t>323.465605195976 947.148143104206 -321.935134288357</t>
  </si>
  <si>
    <t>299.999622685609 925.137188817705 132.622319561586</t>
  </si>
  <si>
    <t>259.710808768727 979.246668232313 597.15528810886</t>
  </si>
  <si>
    <t>254.087127984566 822.758424967793 677.300626402872</t>
  </si>
  <si>
    <t>9763-20170724T170009.698179600.bin</t>
  </si>
  <si>
    <t>416.498632598612 951.849590651311 -313.225791941094</t>
  </si>
  <si>
    <t>427.140229531835 952.902228796735 -433.863644153535</t>
  </si>
  <si>
    <t>436.366431366667 953.384976293424 -554.715477896824</t>
  </si>
  <si>
    <t>444.122358997435 953.45225439348 -663.961629470735</t>
  </si>
  <si>
    <t>451.290182778393 953.260936611634 -773.247629255687</t>
  </si>
  <si>
    <t>460.639298533469 952.737664457413 -925.274980981399</t>
  </si>
  <si>
    <t>463.802836269396 931.225984998722 -1024.82508973152</t>
  </si>
  <si>
    <t>488.178872865268 951.060043839755 -856.052979458621</t>
  </si>
  <si>
    <t>627.359734267875 909.079634701101 -834.032437899948</t>
  </si>
  <si>
    <t>625.541008926192 632.623019572627 -679.90675897819</t>
  </si>
  <si>
    <t>448.414216922963 481.860666234254 -796.2632789227</t>
  </si>
  <si>
    <t>424.826359903718 954.878078919829 -859.962132511859</t>
  </si>
  <si>
    <t>278.92965317636 971.272490566238 -869.157094635956</t>
  </si>
  <si>
    <t>192.455652723931 679.296032444717 -782.795603199955</t>
  </si>
  <si>
    <t>326.117074032283 528.762210825417 -947.465815481887</t>
  </si>
  <si>
    <t>510.454584022632 956.856607055896 -303.956982052603</t>
  </si>
  <si>
    <t>518.702663137753 1031.85221616838 145.448506218377</t>
  </si>
  <si>
    <t>527.442260074997 1096.95276625464 610.778567141339</t>
  </si>
  <si>
    <t>557.430844754841 946.383307750563 696.644958039306</t>
  </si>
  <si>
    <t>322.552597391181 946.897774442276 -321.842993228461</t>
  </si>
  <si>
    <t>299.114544689814 925.534353486196 132.746854884417</t>
  </si>
  <si>
    <t>259.516875157544 979.310908185463 597.346669931807</t>
  </si>
  <si>
    <t>253.758511562076 822.762603057354 677.365468971998</t>
  </si>
  <si>
    <t>9763-20170724T170009.763860900.bin</t>
  </si>
  <si>
    <t>414.637929511842 950.841712131386 -313.084731558646</t>
  </si>
  <si>
    <t>425.316374434042 951.514644587638 -433.721932747319</t>
  </si>
  <si>
    <t>434.722351944706 951.865978252422 -554.560590102604</t>
  </si>
  <si>
    <t>442.70236194413 951.911345228895 -663.790455807249</t>
  </si>
  <si>
    <t>450.158048989576 951.793348325425 -773.057392339168</t>
  </si>
  <si>
    <t>459.976808574979 951.470097445704 -925.05557672598</t>
  </si>
  <si>
    <t>462.843190186756 930.148936749017 -1024.6556676964</t>
  </si>
  <si>
    <t>487.309512815384 949.824142181043 -855.75112298981</t>
  </si>
  <si>
    <t>626.42374182398 907.772321101408 -832.953469614599</t>
  </si>
  <si>
    <t>624.057161496565 632.64144339594 -676.480593647066</t>
  </si>
  <si>
    <t>450.503189113084 479.995321982625 -795.728946651558</t>
  </si>
  <si>
    <t>423.955085826909 953.4020117649 -859.851180039777</t>
  </si>
  <si>
    <t>278.357578608286 971.682649634812 -868.921082676363</t>
  </si>
  <si>
    <t>204.061760209344 677.13762296997 -779.985676340674</t>
  </si>
  <si>
    <t>321.156136424145 518.579466977702 -949.662837933462</t>
  </si>
  <si>
    <t>508.581410356391 956.047130902874 -303.784774639327</t>
  </si>
  <si>
    <t>517.442126002225 1030.98265473285 145.619039490617</t>
  </si>
  <si>
    <t>527.236245137976 1096.95123612259 610.838409792909</t>
  </si>
  <si>
    <t>557.509170560304 946.435734080414 696.699704709425</t>
  </si>
  <si>
    <t>320.920790199976 945.818613545383 -321.711978491719</t>
  </si>
  <si>
    <t>297.239094713957 926.355509792861 132.950505027803</t>
  </si>
  <si>
    <t>258.99174088102 979.421850339543 597.773633953652</t>
  </si>
  <si>
    <t>252.824017232266 822.775987891345 677.570575197724</t>
  </si>
  <si>
    <t>9763-20170724T170009.795944400.bin</t>
  </si>
  <si>
    <t>413.660799852938 950.527847057673 -313.018856399904</t>
  </si>
  <si>
    <t>424.413269890834 951.035010951472 -433.65032109277</t>
  </si>
  <si>
    <t>433.838201802686 951.324376583519 -554.487517079653</t>
  </si>
  <si>
    <t>441.815570943338 951.357287521434 -663.717597332569</t>
  </si>
  <si>
    <t>449.24901480489 951.270483477143 -772.986106474079</t>
  </si>
  <si>
    <t>459.017367846728 951.037856552262 -924.987796390937</t>
  </si>
  <si>
    <t>461.650959886002 929.770865433799 -1024.60587829096</t>
  </si>
  <si>
    <t>486.375627361897 949.396155006086 -855.693136505491</t>
  </si>
  <si>
    <t>625.400597201292 907.303828279165 -832.659475521864</t>
  </si>
  <si>
    <t>622.155250865448 632.764352694925 -675.167712132268</t>
  </si>
  <si>
    <t>450.918063617871 477.649288324033 -794.579332420042</t>
  </si>
  <si>
    <t>423.01477442267 952.8853412349 -859.770277625816</t>
  </si>
  <si>
    <t>277.500758084707 972.018706002868 -869.028981330752</t>
  </si>
  <si>
    <t>210.35350167523 676.230906337713 -778.546651621194</t>
  </si>
  <si>
    <t>319.504485174942 516.168224377358 -952.063559813263</t>
  </si>
  <si>
    <t>507.411383943363 956.155241107709 -303.671877537437</t>
  </si>
  <si>
    <t>516.986631810696 1030.93626516456 145.743118753342</t>
  </si>
  <si>
    <t>527.175253836419 1097.00009752595 610.906807437881</t>
  </si>
  <si>
    <t>557.580310557639 946.473135047225 696.70144128837</t>
  </si>
  <si>
    <t>320.058293420332 945.083339407051 -321.642631531779</t>
  </si>
  <si>
    <t>296.304751788952 926.395116818851 133.048714031189</t>
  </si>
  <si>
    <t>258.855596076536 979.400540567537 597.969116928211</t>
  </si>
  <si>
    <t>253.148512926429 822.702724838094 677.698524648489</t>
  </si>
  <si>
    <t>9763-20170724T170009.865145900.bin</t>
  </si>
  <si>
    <t>411.537409614513 949.9877256996 -312.715946764966</t>
  </si>
  <si>
    <t>422.444151734213 950.515033273794 -433.333256148276</t>
  </si>
  <si>
    <t>431.870011592191 950.755726541325 -554.170640352875</t>
  </si>
  <si>
    <t>439.786184500007 950.720004501281 -663.405215094203</t>
  </si>
  <si>
    <t>447.095527299088 950.54332498406 -772.681855517602</t>
  </si>
  <si>
    <t>456.624403375223 950.164061334991 -924.698477644933</t>
  </si>
  <si>
    <t>458.87726485445 928.895409792284 -1024.32557449317</t>
  </si>
  <si>
    <t>484.101123605235 948.769495210097 -855.445390748985</t>
  </si>
  <si>
    <t>623.268642178962 907.349562069247 -832.057907042766</t>
  </si>
  <si>
    <t>618.628814849922 633.989352135778 -672.562594391797</t>
  </si>
  <si>
    <t>452.378572779858 473.988467791344 -792.574247410568</t>
  </si>
  <si>
    <t>420.715241455381 951.894283189145 -859.426379442304</t>
  </si>
  <si>
    <t>275.229477317997 970.987289215418 -869.126769992792</t>
  </si>
  <si>
    <t>216.790625160839 674.99779449632 -773.412179897457</t>
  </si>
  <si>
    <t>307.032889378468 512.784871275132 -955.580697737023</t>
  </si>
  <si>
    <t>504.969909962802 956.601704323627 -303.336730944959</t>
  </si>
  <si>
    <t>515.892932877978 1031.11039976735 146.092739318745</t>
  </si>
  <si>
    <t>527.121181558106 1097.16574099701 611.133765716781</t>
  </si>
  <si>
    <t>558.126057653824 946.643688808839 696.721836158055</t>
  </si>
  <si>
    <t>318.054563900303 943.436815778125 -321.449093433127</t>
  </si>
  <si>
    <t>294.808337510475 925.498483389107 133.29858776055</t>
  </si>
  <si>
    <t>258.666195726179 979.327787861812 598.245576562523</t>
  </si>
  <si>
    <t>253.885903479258 822.572769290634 677.923851740904</t>
  </si>
  <si>
    <t>9763-20170724T170009.897230200.bin</t>
  </si>
  <si>
    <t>410.637930088393 949.680682326029 -312.615197448925</t>
  </si>
  <si>
    <t>421.543571840857 950.209300073683 -433.232744729219</t>
  </si>
  <si>
    <t>430.904480885155 950.48427213705 -554.075049632708</t>
  </si>
  <si>
    <t>438.737653840089 950.494378978881 -663.315540347099</t>
  </si>
  <si>
    <t>445.93927462154 950.378936383016 -772.599563936126</t>
  </si>
  <si>
    <t>455.29315395039 950.102210498918 -924.627236155518</t>
  </si>
  <si>
    <t>457.358279126619 928.922234222641 -1024.27730637053</t>
  </si>
  <si>
    <t>482.854924062583 948.77145724082 -855.406658411437</t>
  </si>
  <si>
    <t>622.16997835561 907.926043042884 -832.0128193812</t>
  </si>
  <si>
    <t>617.091569165873 634.464092808259 -672.705206597342</t>
  </si>
  <si>
    <t>452.367157660572 472.637963017997 -792.372880644281</t>
  </si>
  <si>
    <t>419.453752276512 951.677710506654 -859.312745577828</t>
  </si>
  <si>
    <t>273.949625189802 970.616668425824 -869.116131066002</t>
  </si>
  <si>
    <t>220.712316161636 674.168017157587 -771.801559579395</t>
  </si>
  <si>
    <t>295.870703808652 510.707029937557 -959.614823568115</t>
  </si>
  <si>
    <t>504.01822361801 956.750710758125 -303.218410720013</t>
  </si>
  <si>
    <t>515.346606446709 1031.3221836305 146.190536572511</t>
  </si>
  <si>
    <t>527.075686140647 1097.2020067806 611.203807919341</t>
  </si>
  <si>
    <t>558.348342288762 946.691420250987 696.714431016771</t>
  </si>
  <si>
    <t>317.128015957529 942.585086684681 -321.338133277992</t>
  </si>
  <si>
    <t>294.195425698295 924.968491783054 133.438079569451</t>
  </si>
  <si>
    <t>258.589885609027 979.274644880162 598.357212510827</t>
  </si>
  <si>
    <t>254.185973291757 822.515271038975 678.048333314712</t>
  </si>
  <si>
    <t>9763-20170724T170009.964944300.bin</t>
  </si>
  <si>
    <t>408.796600389858 949.094206357998 -312.527620429719</t>
  </si>
  <si>
    <t>419.675008933896 949.627234568988 -433.147622674653</t>
  </si>
  <si>
    <t>428.983024009808 949.87462663102 -553.994126006888</t>
  </si>
  <si>
    <t>436.760023997868 949.846917188044 -663.238572864594</t>
  </si>
  <si>
    <t>443.895539128652 949.678909376445 -772.526822919686</t>
  </si>
  <si>
    <t>453.146942167462 949.313747424863 -924.560484835352</t>
  </si>
  <si>
    <t>455.165580181733 928.048123745665 -1024.19327772307</t>
  </si>
  <si>
    <t>480.773222620086 948.489177513703 -855.357817185659</t>
  </si>
  <si>
    <t>620.617612215395 909.518470195731 -831.989142201576</t>
  </si>
  <si>
    <t>619.575405784876 636.173308626559 -672.404134777198</t>
  </si>
  <si>
    <t>456.465415662413 471.263316671418 -790.056007969114</t>
  </si>
  <si>
    <t>417.333782317334 950.461537088062 -859.222907750504</t>
  </si>
  <si>
    <t>271.617412198963 967.748127650334 -869.087158059835</t>
  </si>
  <si>
    <t>225.945639491672 671.612022417616 -767.088907292198</t>
  </si>
  <si>
    <t>289.902810633542 515.681537072114 -965.172621006374</t>
  </si>
  <si>
    <t>501.937277962366 957.117972302253 -303.098093109724</t>
  </si>
  <si>
    <t>514.40677076957 1031.2695983608 146.350140532732</t>
  </si>
  <si>
    <t>527.007803388015 1097.27310811654 611.348243758252</t>
  </si>
  <si>
    <t>558.998870484032 946.826125570053 696.704730316641</t>
  </si>
  <si>
    <t>315.489340479774 941.157998966117 -321.209014646019</t>
  </si>
  <si>
    <t>292.904557699721 924.559463038083 133.622988471427</t>
  </si>
  <si>
    <t>258.412052748298 979.220292383133 598.590742622099</t>
  </si>
  <si>
    <t>254.741104900621 822.429059311773 678.255903227566</t>
  </si>
  <si>
    <t>9763-20170724T170009.996025000.bin</t>
  </si>
  <si>
    <t>408.168950584513 948.944306871017 -312.480525529064</t>
  </si>
  <si>
    <t>419.056255883021 949.369201063652 -433.100031576142</t>
  </si>
  <si>
    <t>428.314648773053 949.5295686606 -553.950496121271</t>
  </si>
  <si>
    <t>436.024344781748 949.431106891622 -663.199661034264</t>
  </si>
  <si>
    <t>443.070122984554 949.201564538781 -772.493536482193</t>
  </si>
  <si>
    <t>452.173496967079 948.759709547443 -924.536159381366</t>
  </si>
  <si>
    <t>454.217809221035 927.493595393793 -1024.16824906202</t>
  </si>
  <si>
    <t>479.873951230964 948.214803171378 -855.360260476736</t>
  </si>
  <si>
    <t>620.047022131218 910.282288086096 -832.050651965124</t>
  </si>
  <si>
    <t>620.23539814199 637.117198284294 -672.153583120187</t>
  </si>
  <si>
    <t>458.242028771908 470.808026285531 -789.377428891297</t>
  </si>
  <si>
    <t>416.417282059347 949.695993183789 -859.163886026301</t>
  </si>
  <si>
    <t>270.56536845402 966.049271857741 -868.644335649141</t>
  </si>
  <si>
    <t>225.785566250145 670.516282435058 -764.52350471967</t>
  </si>
  <si>
    <t>288.57615464214 520.367899566298 -967.390079751158</t>
  </si>
  <si>
    <t>501.436155206502 957.288291892904 -303.054195225926</t>
  </si>
  <si>
    <t>514.111255218518 1031.43254655795 146.389477566428</t>
  </si>
  <si>
    <t>527.132030799253 1097.36252508322 611.381131139357</t>
  </si>
  <si>
    <t>559.128728392323 946.887948371338 696.687593679332</t>
  </si>
  <si>
    <t>314.919369395001 940.549361476827 -321.154446912591</t>
  </si>
  <si>
    <t>292.348784882248 924.682060423496 133.704416054912</t>
  </si>
  <si>
    <t>258.310591519831 979.197869998507 598.707959789247</t>
  </si>
  <si>
    <t>255.051025863215 822.386874725285 678.35194306884</t>
  </si>
  <si>
    <t>9763-20170724T170010.064742600.bin</t>
  </si>
  <si>
    <t>407.559559203551 948.455007201318 -312.412465369638</t>
  </si>
  <si>
    <t>418.434483912716 948.454165965547 -433.033974689121</t>
  </si>
  <si>
    <t>427.462614744819 948.252113270248 -553.901756553143</t>
  </si>
  <si>
    <t>434.879396871463 947.856132578582 -663.170688489588</t>
  </si>
  <si>
    <t>441.546930651138 947.361195807398 -772.487387320243</t>
  </si>
  <si>
    <t>450.035869614294 946.586106079104 -924.564183907251</t>
  </si>
  <si>
    <t>452.061869742726 925.260089979418 -1024.18390816088</t>
  </si>
  <si>
    <t>478.0208142472 946.46808330517 -855.500771565215</t>
  </si>
  <si>
    <t>618.593587925455 909.986187384896 -832.341097566286</t>
  </si>
  <si>
    <t>619.781927241188 637.47478664807 -671.337017065872</t>
  </si>
  <si>
    <t>459.284996452248 468.798942123424 -787.230077382083</t>
  </si>
  <si>
    <t>414.538821670019 947.389898319661 -859.049159791675</t>
  </si>
  <si>
    <t>268.445604045075 961.979137482844 -867.306396244672</t>
  </si>
  <si>
    <t>217.44564535195 670.007360967971 -756.231825693009</t>
  </si>
  <si>
    <t>275.814131731783 540.806768690287 -974.274005154028</t>
  </si>
  <si>
    <t>500.522414606588 957.935869915501 -303.020970310593</t>
  </si>
  <si>
    <t>513.79065969113 1032.26742172705 146.374739581615</t>
  </si>
  <si>
    <t>527.306964517959 1097.51014625864 611.466112797732</t>
  </si>
  <si>
    <t>559.637333476748 947.021204261057 696.620907297133</t>
  </si>
  <si>
    <t>314.56811902505 939.047892147441 -321.06202268367</t>
  </si>
  <si>
    <t>291.324869608253 925.287793232968 133.831460164035</t>
  </si>
  <si>
    <t>258.07356139494 979.188004490089 598.970467132155</t>
  </si>
  <si>
    <t>255.534368645346 822.309379241099 678.507567880239</t>
  </si>
  <si>
    <t>9763-20170724T170010.099836100.bin</t>
  </si>
  <si>
    <t>407.346690920124 948.243080268161 -312.386902417591</t>
  </si>
  <si>
    <t>418.208132111562 948.036079254183 -433.009383376082</t>
  </si>
  <si>
    <t>427.148827827325 947.750036756463 -553.883422511921</t>
  </si>
  <si>
    <t>434.459586156845 947.329416984746 -663.159533248808</t>
  </si>
  <si>
    <t>440.994837957305 946.861428378491 -772.484363618177</t>
  </si>
  <si>
    <t>449.273771488032 946.179271740548 -924.573073977759</t>
  </si>
  <si>
    <t>451.293022946031 924.911468448154 -1024.20534636692</t>
  </si>
  <si>
    <t>477.355512990029 946.148194824105 -855.548888498218</t>
  </si>
  <si>
    <t>618.111683959711 910.408725646436 -832.400429383092</t>
  </si>
  <si>
    <t>620.249231028397 638.114722105865 -671.039078925071</t>
  </si>
  <si>
    <t>458.95956920553 469.437452335477 -785.824689559576</t>
  </si>
  <si>
    <t>413.865462436077 946.813977144328 -859.007906010469</t>
  </si>
  <si>
    <t>267.608803628277 960.494462969918 -866.61778827439</t>
  </si>
  <si>
    <t>211.672308947719 671.715624305601 -749.724726643509</t>
  </si>
  <si>
    <t>271.86479674121 555.063160079116 -974.248836829343</t>
  </si>
  <si>
    <t>500.063771305898 958.419925887329 -303.027390811831</t>
  </si>
  <si>
    <t>513.769607667568 1032.76596861508 146.352796982686</t>
  </si>
  <si>
    <t>527.595745877493 1097.68125277452 611.498701448403</t>
  </si>
  <si>
    <t>559.714874986784 947.097474158078 696.565733797603</t>
  </si>
  <si>
    <t>314.506213215986 938.166246499359 -320.99618412663</t>
  </si>
  <si>
    <t>290.948330328916 925.45808252407 133.911752948614</t>
  </si>
  <si>
    <t>258.011814089978 979.152154701458 599.097941418794</t>
  </si>
  <si>
    <t>255.953098633417 822.248076115984 678.598840579761</t>
  </si>
  <si>
    <t>9763-20170724T170010.166067800.bin</t>
  </si>
  <si>
    <t>407.120694055118 947.606905955547 -312.229075834134</t>
  </si>
  <si>
    <t>417.953727032431 947.059723347972 -432.853133679365</t>
  </si>
  <si>
    <t>426.771750353955 946.424646240366 -553.735014248954</t>
  </si>
  <si>
    <t>433.935956207046 945.687199794593 -663.018918257093</t>
  </si>
  <si>
    <t>440.287588644717 944.902970307789 -772.35270461254</t>
  </si>
  <si>
    <t>448.272271926411 943.782714849392 -924.454648905258</t>
  </si>
  <si>
    <t>450.471082751234 922.433006813823 -1024.06553802486</t>
  </si>
  <si>
    <t>476.489351295906 944.372714491625 -855.488230474106</t>
  </si>
  <si>
    <t>617.777144472905 910.717582004117 -832.419982754136</t>
  </si>
  <si>
    <t>623.781954455309 639.588226024219 -669.205229089837</t>
  </si>
  <si>
    <t>460.293635939204 470.918308603495 -780.84781215223</t>
  </si>
  <si>
    <t>412.989333331202 944.184352000887 -858.820361439106</t>
  </si>
  <si>
    <t>266.544539029894 956.175154388465 -864.720512759332</t>
  </si>
  <si>
    <t>191.88473086125 680.221552935588 -728.846713420687</t>
  </si>
  <si>
    <t>250.503432907878 576.377632150631 -959.979493069931</t>
  </si>
  <si>
    <t>499.70694324217 959.244003588436 -302.968939902312</t>
  </si>
  <si>
    <t>513.637229517005 1034.06058554151 146.326245782786</t>
  </si>
  <si>
    <t>528.164323750735 1098.00678840619 611.566776186537</t>
  </si>
  <si>
    <t>560.457444634549 947.329990084151 696.402841964714</t>
  </si>
  <si>
    <t>314.634583317957 936.019669586508 -320.767438903945</t>
  </si>
  <si>
    <t>290.257303564925 924.949946929982 134.140128266316</t>
  </si>
  <si>
    <t>257.852635400197 979.057855988361 599.359407824265</t>
  </si>
  <si>
    <t>256.261355139314 822.162499657446 678.888078108909</t>
  </si>
  <si>
    <t>9763-20170724T170010.203145900.bin</t>
  </si>
  <si>
    <t>407.258121048752 947.050787051627 -312.059144836194</t>
  </si>
  <si>
    <t>418.072236730192 946.576700596582 -432.685059189485</t>
  </si>
  <si>
    <t>426.846257244183 945.940257480037 -553.570133909843</t>
  </si>
  <si>
    <t>433.960584822158 945.173422326802 -662.857075756428</t>
  </si>
  <si>
    <t>440.250601266501 944.332379566358 -772.194042122801</t>
  </si>
  <si>
    <t>448.13665427543 943.105192309466 -924.300314986831</t>
  </si>
  <si>
    <t>450.57599148054 921.72708893366 -1023.89961087822</t>
  </si>
  <si>
    <t>476.397627747872 943.895011110304 -855.353870459435</t>
  </si>
  <si>
    <t>617.860773984686 910.876236320607 -832.499720230199</t>
  </si>
  <si>
    <t>625.380343645139 640.382057929686 -668.297023808539</t>
  </si>
  <si>
    <t>460.909364172289 471.64977920244 -778.391756043096</t>
  </si>
  <si>
    <t>412.896967344352 943.401388417737 -858.642239097018</t>
  </si>
  <si>
    <t>266.306714499449 955.176917809041 -863.316594277533</t>
  </si>
  <si>
    <t>184.580182377893 687.189807074802 -716.042404021586</t>
  </si>
  <si>
    <t>233.786893834333 582.673001886094 -949.059562772628</t>
  </si>
  <si>
    <t>499.766807504191 959.473483515858 -302.948287790274</t>
  </si>
  <si>
    <t>513.770777313533 1034.76593390645 146.265078939924</t>
  </si>
  <si>
    <t>528.713663788268 1098.21549892287 611.516308486952</t>
  </si>
  <si>
    <t>560.801073332584 947.469412468761 696.308028637872</t>
  </si>
  <si>
    <t>314.787159023455 934.641446034539 -320.605702974921</t>
  </si>
  <si>
    <t>290.247512542936 924.321805126437 134.310852606432</t>
  </si>
  <si>
    <t>257.874726689692 978.987454000902 599.458649310022</t>
  </si>
  <si>
    <t>256.959860614376 822.092625092732 678.998870759496</t>
  </si>
  <si>
    <t>9763-20170724T170010.267329600.bin</t>
  </si>
  <si>
    <t>407.474086346933 945.948097132517 -311.872628280454</t>
  </si>
  <si>
    <t>418.008476765822 945.948958986769 -432.524310382809</t>
  </si>
  <si>
    <t>426.743804428236 945.590735572075 -553.413236680546</t>
  </si>
  <si>
    <t>433.918212404771 944.991378752562 -662.697324994899</t>
  </si>
  <si>
    <t>440.360376740791 944.231440028219 -772.026070706866</t>
  </si>
  <si>
    <t>448.552207522596 943.024865396341 -924.116285005229</t>
  </si>
  <si>
    <t>451.720838195896 921.544999852962 -1023.67321305868</t>
  </si>
  <si>
    <t>476.670438909976 944.136337252112 -855.115890737255</t>
  </si>
  <si>
    <t>618.406420683375 911.743768278006 -832.725924570436</t>
  </si>
  <si>
    <t>629.13996198117 642.312876764257 -666.960972090169</t>
  </si>
  <si>
    <t>465.687753819853 471.746592295393 -775.738581287338</t>
  </si>
  <si>
    <t>413.184691875588 942.980781511049 -858.526197224199</t>
  </si>
  <si>
    <t>266.671966942394 955.231916397393 -859.644616355952</t>
  </si>
  <si>
    <t>174.378074594413 704.348099409982 -690.158886667049</t>
  </si>
  <si>
    <t>192.255782350785 583.922760400945 -919.985243935084</t>
  </si>
  <si>
    <t>499.910461616402 959.218736445719 -302.994983497396</t>
  </si>
  <si>
    <t>514.260670658316 1034.92813860601 146.137336926221</t>
  </si>
  <si>
    <t>529.70574634175 1098.38276215454 611.271225967487</t>
  </si>
  <si>
    <t>561.450290916627 947.63440262214 696.187215100837</t>
  </si>
  <si>
    <t>314.640636129568 932.694455575531 -320.247844235496</t>
  </si>
  <si>
    <t>290.756071994827 922.730799819593 134.711355816655</t>
  </si>
  <si>
    <t>258.037992658003 978.843343232081 599.604790381163</t>
  </si>
  <si>
    <t>258.158037259082 821.985697369694 679.223590051912</t>
  </si>
  <si>
    <t>9763-20170724T170010.300418800.bin</t>
  </si>
  <si>
    <t>407.535497150024 945.513458025157 -311.893731467308</t>
  </si>
  <si>
    <t>417.797062603287 945.705096655845 -432.568761518877</t>
  </si>
  <si>
    <t>426.315572093606 945.433452828201 -553.473362591557</t>
  </si>
  <si>
    <t>433.315286233605 944.868859554882 -662.76905632512</t>
  </si>
  <si>
    <t>439.602916178681 944.099166831493 -772.106703663797</t>
  </si>
  <si>
    <t>447.599731993301 942.831402977303 -924.206814884743</t>
  </si>
  <si>
    <t>450.874231784293 921.287859877141 -1023.74633877248</t>
  </si>
  <si>
    <t>475.804814539694 944.050633065051 -855.243730947771</t>
  </si>
  <si>
    <t>617.619657245454 911.89847196971 -833.287824059333</t>
  </si>
  <si>
    <t>630.194354303968 643.125200477587 -666.587812467203</t>
  </si>
  <si>
    <t>468.264229427685 470.667276422687 -774.657423789655</t>
  </si>
  <si>
    <t>412.317882701389 942.734010821533 -858.570646292848</t>
  </si>
  <si>
    <t>265.83207397349 955.154987973358 -857.885626653259</t>
  </si>
  <si>
    <t>171.554495055691 710.902304415325 -680.013701108143</t>
  </si>
  <si>
    <t>174.665539036743 577.693518869763 -903.369676505604</t>
  </si>
  <si>
    <t>500.200733361212 958.789987573679 -303.149218771923</t>
  </si>
  <si>
    <t>514.578848340758 1034.29990295246 146.015709033754</t>
  </si>
  <si>
    <t>530.258853700521 1098.46424964167 611.110325398658</t>
  </si>
  <si>
    <t>561.444967466196 947.672305772668 696.155506710254</t>
  </si>
  <si>
    <t>314.389950960881 932.174401149132 -320.06620949953</t>
  </si>
  <si>
    <t>291.090827783781 922.167099869025 134.922349560697</t>
  </si>
  <si>
    <t>258.148289144852 978.81147554606 599.70653047081</t>
  </si>
  <si>
    <t>258.643432754267 821.961800513975 679.33992033481</t>
  </si>
  <si>
    <t>9763-20170724T170010.363601100.bin</t>
  </si>
  <si>
    <t>406.683590959979 944.587223676394 -311.860656953661</t>
  </si>
  <si>
    <t>416.584764534482 945.070460483547 -432.565034204828</t>
  </si>
  <si>
    <t>424.533879870869 944.884332376894 -553.508518919855</t>
  </si>
  <si>
    <t>430.931717815962 944.315215270678 -662.840985040247</t>
  </si>
  <si>
    <t>436.529090383634 943.460518516301 -772.21560559891</t>
  </si>
  <si>
    <t>443.472200938937 941.991177008698 -924.365612660976</t>
  </si>
  <si>
    <t>446.46739828927 920.468948476465 -1023.91874524163</t>
  </si>
  <si>
    <t>472.154045790865 943.309949010282 -855.60146868405</t>
  </si>
  <si>
    <t>614.183676092449 911.36099548975 -834.781483507984</t>
  </si>
  <si>
    <t>631.395866562906 643.718698558615 -666.681427952509</t>
  </si>
  <si>
    <t>471.866385538704 467.35998122421 -771.990620676623</t>
  </si>
  <si>
    <t>408.646053513365 941.972392885545 -858.486551823858</t>
  </si>
  <si>
    <t>262.253520589426 954.773932497637 -854.772137527018</t>
  </si>
  <si>
    <t>165.546376161757 721.627534137951 -663.783727818586</t>
  </si>
  <si>
    <t>152.001236569766 565.394109831161 -871.268017953815</t>
  </si>
  <si>
    <t>499.859083917644 957.261610650329 -303.240355793644</t>
  </si>
  <si>
    <t>514.627505157092 1032.49663274056 145.958147549754</t>
  </si>
  <si>
    <t>530.482075440558 1098.38728603592 610.909823197332</t>
  </si>
  <si>
    <t>561.416252066537 947.651848685783 696.147593914529</t>
  </si>
  <si>
    <t>313.148753110823 931.840813405885 -319.792936554777</t>
  </si>
  <si>
    <t>290.882015404171 921.95624051291 135.250143095868</t>
  </si>
  <si>
    <t>258.083292036802 978.87347497263 600.038658663765</t>
  </si>
  <si>
    <t>258.372953859396 821.989950785033 679.605959666575</t>
  </si>
  <si>
    <t>9763-20170724T170010.397684000.bin</t>
  </si>
  <si>
    <t>405.934206476257 944.263287741327 -311.832672670037</t>
  </si>
  <si>
    <t>415.73622442195 944.752401533005 -432.544969314592</t>
  </si>
  <si>
    <t>423.374982359777 944.414752770475 -553.508243325269</t>
  </si>
  <si>
    <t>429.404915024703 943.648199288372 -662.860421500694</t>
  </si>
  <si>
    <t>434.545764998039 942.536429730305 -772.255088995448</t>
  </si>
  <si>
    <t>440.760729618759 940.649484374129 -924.432014956495</t>
  </si>
  <si>
    <t>443.385678605963 919.088464686834 -1023.98714671483</t>
  </si>
  <si>
    <t>469.77245595726 942.10736943784 -855.809007050048</t>
  </si>
  <si>
    <t>611.939264495138 910.354651272271 -835.576400459939</t>
  </si>
  <si>
    <t>631.139792377362 643.436116258009 -666.543889194363</t>
  </si>
  <si>
    <t>473.199697913371 464.758289610454 -770.327916673644</t>
  </si>
  <si>
    <t>406.249245550204 940.861259561736 -858.387772133644</t>
  </si>
  <si>
    <t>259.902522462276 953.9188118218 -853.363606761437</t>
  </si>
  <si>
    <t>161.353225689139 726.345823877455 -656.679325318415</t>
  </si>
  <si>
    <t>147.0728881047 560.979562458754 -856.909472006695</t>
  </si>
  <si>
    <t>499.342462500331 956.593142689831 -303.22162417213</t>
  </si>
  <si>
    <t>514.341585516815 1031.69840512175 145.990984769146</t>
  </si>
  <si>
    <t>530.489716847637 1098.35827169713 610.864202194718</t>
  </si>
  <si>
    <t>561.395291316145 947.649160981336 696.158836527893</t>
  </si>
  <si>
    <t>312.357817351231 931.939426648695 -319.684501296832</t>
  </si>
  <si>
    <t>290.323841373472 922.408777369378 135.377420834001</t>
  </si>
  <si>
    <t>257.98011327001 978.931992302574 600.248650327179</t>
  </si>
  <si>
    <t>258.229723788882 822.002767321893 679.726414430177</t>
  </si>
  <si>
    <t>9763-20170724T170010.462864200.bin</t>
  </si>
  <si>
    <t>404.003491647833 944.010975912515 -311.731191916924</t>
  </si>
  <si>
    <t>413.62138655048 944.244334258342 -432.459157320421</t>
  </si>
  <si>
    <t>420.620923412625 943.547008667776 -553.459491944661</t>
  </si>
  <si>
    <t>425.88867474325 942.420362804484 -662.847845125384</t>
  </si>
  <si>
    <t>430.082112293717 940.917396732708 -772.278298016601</t>
  </si>
  <si>
    <t>434.785778742342 938.457340209651 -924.501197776404</t>
  </si>
  <si>
    <t>436.589539267762 917.018114160129 -1024.1008625926</t>
  </si>
  <si>
    <t>464.479129395146 940.073646055652 -856.174062557214</t>
  </si>
  <si>
    <t>606.827850708657 908.384089413342 -837.169944140142</t>
  </si>
  <si>
    <t>632.114080281523 643.14074753769 -666.311209844623</t>
  </si>
  <si>
    <t>474.016213281134 463.340464385759 -767.893484969277</t>
  </si>
  <si>
    <t>400.929968833917 939.017969079474 -858.120494651804</t>
  </si>
  <si>
    <t>254.668842929146 952.192445295612 -850.852086405999</t>
  </si>
  <si>
    <t>154.624915538037 735.497680590351 -642.955980115578</t>
  </si>
  <si>
    <t>144.119429162248 558.419424749154 -833.153034056861</t>
  </si>
  <si>
    <t>497.473636381348 955.958275694879 -303.208023890173</t>
  </si>
  <si>
    <t>513.584043805749 1030.91222376387 145.991379455369</t>
  </si>
  <si>
    <t>530.518260351554 1098.36614169872 610.798859945097</t>
  </si>
  <si>
    <t>561.533574372848 947.688522432164 696.108800732281</t>
  </si>
  <si>
    <t>310.535580016644 932.129524980513 -319.4270463261</t>
  </si>
  <si>
    <t>288.77259834923 923.876586126607 135.672838438143</t>
  </si>
  <si>
    <t>257.777586304788 979.048772937261 600.766648021688</t>
  </si>
  <si>
    <t>257.992969567746 822.004144198598 680.016128441667</t>
  </si>
  <si>
    <t>9763-20170724T170010.499964400.bin</t>
  </si>
  <si>
    <t>402.89353741642 943.96505721724 -311.634227787632</t>
  </si>
  <si>
    <t>412.440058522379 944.035986589437 -432.368074261354</t>
  </si>
  <si>
    <t>419.104236669862 943.192089672513 -553.386467948081</t>
  </si>
  <si>
    <t>423.962770951498 941.943124814332 -662.792479806029</t>
  </si>
  <si>
    <t>427.641263988437 940.330897546974 -772.239903750034</t>
  </si>
  <si>
    <t>431.518539323484 937.735086032794 -924.483884262979</t>
  </si>
  <si>
    <t>432.865440576508 916.352675355572 -1024.10293863478</t>
  </si>
  <si>
    <t>461.582582554126 939.395074840383 -856.319951553576</t>
  </si>
  <si>
    <t>604.090153387663 907.931506632133 -838.111059286545</t>
  </si>
  <si>
    <t>631.185990841914 643.494323558682 -666.282890967332</t>
  </si>
  <si>
    <t>473.116885926629 463.364383024403 -767.324313963331</t>
  </si>
  <si>
    <t>398.023238083195 938.372229189528 -857.921178783561</t>
  </si>
  <si>
    <t>251.820019293965 951.349585862009 -849.407277265512</t>
  </si>
  <si>
    <t>152.424707889617 738.206001872637 -637.566556525307</t>
  </si>
  <si>
    <t>142.751143171566 557.74318765287 -824.600300478672</t>
  </si>
  <si>
    <t>496.214702467791 955.936552049783 -303.171933797328</t>
  </si>
  <si>
    <t>513.104312676574 1030.75452581684 146.021522334953</t>
  </si>
  <si>
    <t>530.489263161219 1098.37872423961 610.806201975405</t>
  </si>
  <si>
    <t>561.817582626027 947.739104332088 696.068919846617</t>
  </si>
  <si>
    <t>309.570241085499 932.079119886528 -319.298982449</t>
  </si>
  <si>
    <t>287.877742626793 924.667245117582 135.818715734983</t>
  </si>
  <si>
    <t>257.671913500252 979.089554849108 601.060685888412</t>
  </si>
  <si>
    <t>258.107201323297 821.992415630603 680.205293816964</t>
  </si>
  <si>
    <t>9763-20170724T170010.563969300.bin</t>
  </si>
  <si>
    <t>400.661415010513 943.922213640796 -311.351265638857</t>
  </si>
  <si>
    <t>410.118277061532 943.766797440705 -432.09209279671</t>
  </si>
  <si>
    <t>416.237808945664 942.62637948101 -553.13687654014</t>
  </si>
  <si>
    <t>420.420869835309 941.088528512635 -662.567092677116</t>
  </si>
  <si>
    <t>423.239797417827 939.170807504031 -772.035059548515</t>
  </si>
  <si>
    <t>425.728935532379 936.135941228014 -924.299845471</t>
  </si>
  <si>
    <t>426.35457451191 914.720180812606 -1023.91902977895</t>
  </si>
  <si>
    <t>456.411213625976 938.102811689378 -856.420243518809</t>
  </si>
  <si>
    <t>599.204400455881 907.370836434261 -839.39123732767</t>
  </si>
  <si>
    <t>629.164606878753 645.372139339148 -664.333380630648</t>
  </si>
  <si>
    <t>471.77900342288 463.623963494799 -763.527442233571</t>
  </si>
  <si>
    <t>392.843896923144 936.854555559067 -857.43447363923</t>
  </si>
  <si>
    <t>246.650013544711 949.037615473434 -847.118884678933</t>
  </si>
  <si>
    <t>151.178085548303 739.985461481827 -629.475967184048</t>
  </si>
  <si>
    <t>141.835654095146 556.910788391528 -813.971256115346</t>
  </si>
  <si>
    <t>493.839650332577 956.252459955877 -303.079183693102</t>
  </si>
  <si>
    <t>512.133884751057 1030.89303339693 146.08864347308</t>
  </si>
  <si>
    <t>530.636703389356 1098.48436363892 610.819371772225</t>
  </si>
  <si>
    <t>562.022780547313 947.815105585892 696.008603095805</t>
  </si>
  <si>
    <t>307.551435469261 931.619173202409 -318.932774326919</t>
  </si>
  <si>
    <t>286.098157812512 925.731138399789 136.218599076434</t>
  </si>
  <si>
    <t>257.439650202364 979.143785611021 601.66601280344</t>
  </si>
  <si>
    <t>258.273176660165 821.963112492279 680.640985748807</t>
  </si>
  <si>
    <t>9763-20170724T170010.596053600.bin</t>
  </si>
  <si>
    <t>399.629965439431 943.828674529992 -311.203588601543</t>
  </si>
  <si>
    <t>409.011997737208 943.610640129418 -431.95004686671</t>
  </si>
  <si>
    <t>414.958106549389 942.393244483481 -553.002652952643</t>
  </si>
  <si>
    <t>418.945537524347 940.781821190571 -662.439265515443</t>
  </si>
  <si>
    <t>421.529374496535 938.786053647908 -771.911652008213</t>
  </si>
  <si>
    <t>423.650782031879 935.639672794116 -924.179804275818</t>
  </si>
  <si>
    <t>424.069757132518 914.238629906906 -1023.80312282733</t>
  </si>
  <si>
    <t>454.49374564346 937.805497432364 -856.378973251938</t>
  </si>
  <si>
    <t>597.43513907241 907.678222321717 -839.687090119494</t>
  </si>
  <si>
    <t>629.0987703481 647.03576575433 -662.912849891522</t>
  </si>
  <si>
    <t>471.928515311241 464.174935386389 -760.388344935872</t>
  </si>
  <si>
    <t>390.930555500957 936.258445531056 -857.232593765185</t>
  </si>
  <si>
    <t>244.711108870428 947.801349820979 -846.341871692138</t>
  </si>
  <si>
    <t>151.249428400771 740.013710620626 -626.625120012322</t>
  </si>
  <si>
    <t>144.119391460988 555.466334214921 -809.746294828088</t>
  </si>
  <si>
    <t>492.71299938434 956.492725052928 -303.012570023879</t>
  </si>
  <si>
    <t>511.637476983489 1031.0038661631 146.150689808025</t>
  </si>
  <si>
    <t>530.669182158453 1098.51741212168 610.848021204859</t>
  </si>
  <si>
    <t>562.311177561647 947.871315355115 695.983568567391</t>
  </si>
  <si>
    <t>306.614154982438 931.210921772312 -318.717415128597</t>
  </si>
  <si>
    <t>285.345556171318 925.99063788 136.450729470636</t>
  </si>
  <si>
    <t>257.353242051927 979.141843320691 601.956052530986</t>
  </si>
  <si>
    <t>258.759821109197 821.934591459882 680.869749942962</t>
  </si>
  <si>
    <t>9763-20170724T170010.664802300.bin</t>
  </si>
  <si>
    <t>397.540122711192 943.354567437825 -310.952090854833</t>
  </si>
  <si>
    <t>406.714595894216 942.939224219788 -431.714092688677</t>
  </si>
  <si>
    <t>412.400131991217 941.511744690184 -552.776901339038</t>
  </si>
  <si>
    <t>416.132618741202 939.705048500911 -662.219387462171</t>
  </si>
  <si>
    <t>418.441011000199 937.509413144291 -771.694008838685</t>
  </si>
  <si>
    <t>420.158028188835 934.079575270784 -923.96127078563</t>
  </si>
  <si>
    <t>420.341053558161 912.589591800436 -1023.56610947653</t>
  </si>
  <si>
    <t>451.169646842611 936.748781673226 -856.255351413807</t>
  </si>
  <si>
    <t>594.491450949797 908.151076685688 -839.925785089934</t>
  </si>
  <si>
    <t>630.613505928965 650.513318830891 -659.636931666449</t>
  </si>
  <si>
    <t>473.732007381701 465.059926340018 -752.574444798653</t>
  </si>
  <si>
    <t>387.627057589547 934.445666572492 -856.919936618082</t>
  </si>
  <si>
    <t>241.35512233187 944.308601793527 -845.469053685081</t>
  </si>
  <si>
    <t>151.056968528159 738.009081791835 -623.04392023523</t>
  </si>
  <si>
    <t>145.350737937303 550.817532863245 -803.511916343854</t>
  </si>
  <si>
    <t>490.339261965971 957.094404741481 -302.92757526558</t>
  </si>
  <si>
    <t>510.869353308348 1030.86244965344 146.287829665131</t>
  </si>
  <si>
    <t>530.910613789146 1098.66946057197 610.903752417468</t>
  </si>
  <si>
    <t>562.582384029005 947.969949339243 695.933386002157</t>
  </si>
  <si>
    <t>304.779881420218 929.676423254655 -318.248706188884</t>
  </si>
  <si>
    <t>283.740637241732 926.145957015776 136.946413058307</t>
  </si>
  <si>
    <t>257.251568842994 979.113788055183 602.553265845376</t>
  </si>
  <si>
    <t>259.469794811666 821.878374378749 681.392586046945</t>
  </si>
  <si>
    <t>9763-20170724T170010.696888300.bin</t>
  </si>
  <si>
    <t>396.324130619467 942.965298027008 -310.769364312829</t>
  </si>
  <si>
    <t>405.368863882084 942.477561752633 -431.540826807671</t>
  </si>
  <si>
    <t>410.942927880764 940.961918891841 -552.6077291215</t>
  </si>
  <si>
    <t>414.583230570722 939.069409165812 -662.05186353349</t>
  </si>
  <si>
    <t>416.806908220314 936.781137112611 -771.526394914211</t>
  </si>
  <si>
    <t>418.414098305015 933.215493757445 -923.791635527315</t>
  </si>
  <si>
    <t>418.579221896766 911.661235079644 -1023.38267237606</t>
  </si>
  <si>
    <t>449.465690659897 936.166611002232 -856.115987609722</t>
  </si>
  <si>
    <t>592.956430787438 908.431959980486 -839.900630727382</t>
  </si>
  <si>
    <t>631.173639028166 652.743700055167 -657.282724277347</t>
  </si>
  <si>
    <t>475.290615666876 465.384484066493 -748.051737253126</t>
  </si>
  <si>
    <t>385.940245632678 933.419740479303 -856.72207726935</t>
  </si>
  <si>
    <t>239.622705401195 942.266549359346 -844.988214466631</t>
  </si>
  <si>
    <t>150.806874256377 736.350081783291 -621.613667832862</t>
  </si>
  <si>
    <t>145.532623863808 548.715137468217 -801.634108215029</t>
  </si>
  <si>
    <t>488.882645678133 957.35707760655 -302.88199027638</t>
  </si>
  <si>
    <t>510.255557272161 1030.79836213016 146.347557175746</t>
  </si>
  <si>
    <t>530.83662992381 1098.63543593868 610.918500515898</t>
  </si>
  <si>
    <t>563.046423665151 948.013184996417 695.882823372845</t>
  </si>
  <si>
    <t>303.736989120292 928.614048243006 -317.982531857203</t>
  </si>
  <si>
    <t>282.860776429035 926.120690233828 137.226962867022</t>
  </si>
  <si>
    <t>257.251986394733 979.086921111823 602.868966527389</t>
  </si>
  <si>
    <t>260.188614614429 821.84783237775 681.677145541535</t>
  </si>
  <si>
    <t>9763-20170724T170010.763065400.bin</t>
  </si>
  <si>
    <t>393.784635499149 941.825748394767 -310.342591177714</t>
  </si>
  <si>
    <t>402.630398852308 941.209844553106 -431.128286368473</t>
  </si>
  <si>
    <t>408.01904266521 939.622585259219 -552.202600514774</t>
  </si>
  <si>
    <t>411.500462119679 937.688471039721 -661.6512859808</t>
  </si>
  <si>
    <t>413.573167778616 935.382324051299 -771.128413978256</t>
  </si>
  <si>
    <t>414.97877053747 931.816131148559 -923.395516439572</t>
  </si>
  <si>
    <t>415.143338289164 910.19006600259 -1022.97109662183</t>
  </si>
  <si>
    <t>446.095522031584 935.248493652844 -855.772625029378</t>
  </si>
  <si>
    <t>589.976726800737 909.385434889151 -839.708115332282</t>
  </si>
  <si>
    <t>630.76479298583 656.636221317523 -653.588798488681</t>
  </si>
  <si>
    <t>476.329247487391 467.165298157513 -742.428208904568</t>
  </si>
  <si>
    <t>382.618099188734 931.539515279827 -856.271623079547</t>
  </si>
  <si>
    <t>236.25335287374 938.194591731734 -844.025281678732</t>
  </si>
  <si>
    <t>149.789092646763 734.391914802664 -617.807318752389</t>
  </si>
  <si>
    <t>147.508101874875 545.617048538196 -796.695296104356</t>
  </si>
  <si>
    <t>485.877707737321 957.74864577721 -302.649095537038</t>
  </si>
  <si>
    <t>509.076156538039 1030.59679903679 146.586429737983</t>
  </si>
  <si>
    <t>531.084994141308 1098.83052997387 611.03674775933</t>
  </si>
  <si>
    <t>563.607325035662 948.163983755551 695.803570424313</t>
  </si>
  <si>
    <t>301.678510322734 925.92762222511 -317.378045533137</t>
  </si>
  <si>
    <t>281.12031169935 925.734499062671 137.85258125396</t>
  </si>
  <si>
    <t>257.255281792422 979.024857572462 603.521347700718</t>
  </si>
  <si>
    <t>261.424231439208 821.806463486321 682.31489899223</t>
  </si>
  <si>
    <t>9763-20170724T170010.827742000.bin</t>
  </si>
  <si>
    <t>392.322558663293 941.126269059186 -310.11974540931</t>
  </si>
  <si>
    <t>401.05729642103 940.444259060207 -430.913142858692</t>
  </si>
  <si>
    <t>406.303726785168 938.8223949321 -551.993372325602</t>
  </si>
  <si>
    <t>409.645526087397 936.87102326268 -661.445921412018</t>
  </si>
  <si>
    <t>411.566998678995 934.562276583474 -770.925765443632</t>
  </si>
  <si>
    <t>412.750361672781 931.008836666728 -923.195188118053</t>
  </si>
  <si>
    <t>412.883976362941 909.3205799408 -1022.75717218569</t>
  </si>
  <si>
    <t>443.952727265841 934.648724008023 -855.622384734299</t>
  </si>
  <si>
    <t>588.01021942438 909.664752650818 -839.796380098282</t>
  </si>
  <si>
    <t>629.793461142017 658.104406063654 -652.292402380025</t>
  </si>
  <si>
    <t>476.727508124251 467.469605648319 -741.011848237995</t>
  </si>
  <si>
    <t>380.500810035269 930.513424648424 -856.018886716241</t>
  </si>
  <si>
    <t>234.101730665076 936.237333270426 -843.463442947926</t>
  </si>
  <si>
    <t>149.533399763174 732.795803752258 -616.20588618241</t>
  </si>
  <si>
    <t>148.086340204505 544.212851934583 -795.304728711774</t>
  </si>
  <si>
    <t>484.13267404246 957.877124275748 -302.516847853079</t>
  </si>
  <si>
    <t>508.527636900826 1030.2817003185 146.727161468225</t>
  </si>
  <si>
    <t>531.234245692003 1098.94876178697 611.084582302782</t>
  </si>
  <si>
    <t>563.710166966069 948.211803917199 695.74372868308</t>
  </si>
  <si>
    <t>300.462230744946 924.393200487182 -317.050670244818</t>
  </si>
  <si>
    <t>280.181056836806 925.303633499861 138.191536839188</t>
  </si>
  <si>
    <t>257.297846010341 978.963514707069 603.866702961838</t>
  </si>
  <si>
    <t>262.254637211464 821.776062721322 682.676657511045</t>
  </si>
  <si>
    <t>9763-20170724T170010.862128200.bin</t>
  </si>
  <si>
    <t>388.752728731572 939.233234685856 -309.564778178184</t>
  </si>
  <si>
    <t>397.243237925831 938.524432198911 -430.375623105254</t>
  </si>
  <si>
    <t>402.127810926771 936.924108671424 -551.471224993501</t>
  </si>
  <si>
    <t>405.098414983889 935.015245175529 -660.935177917819</t>
  </si>
  <si>
    <t>406.603482424606 932.77456247886 -770.422904110517</t>
  </si>
  <si>
    <t>407.160659657961 929.343229307916 -922.698718697592</t>
  </si>
  <si>
    <t>407.082921730167 907.512764663011 -1022.22968608082</t>
  </si>
  <si>
    <t>438.610917097809 933.343054905561 -855.261391155519</t>
  </si>
  <si>
    <t>583.041473730948 910.194448089514 -840.098879618118</t>
  </si>
  <si>
    <t>628.413948506379 660.393509189538 -651.082789959629</t>
  </si>
  <si>
    <t>479.151713002547 466.300110761275 -738.778331095815</t>
  </si>
  <si>
    <t>375.217306984827 928.379857762461 -855.381550932902</t>
  </si>
  <si>
    <t>228.813689751516 932.292683280618 -842.116948381542</t>
  </si>
  <si>
    <t>147.762465605776 730.13745004452 -612.443119968339</t>
  </si>
  <si>
    <t>147.847021540478 542.57278238143 -792.614283228641</t>
  </si>
  <si>
    <t>479.925027055693 957.32760913643 -302.158473886296</t>
  </si>
  <si>
    <t>507.036081111006 1028.88465498412 147.065628084327</t>
  </si>
  <si>
    <t>531.242353358894 1098.93283503483 611.077234757262</t>
  </si>
  <si>
    <t>564.742513194832 948.356710540389 695.623203984792</t>
  </si>
  <si>
    <t>297.443620899619 921.089534039705 -316.286748051201</t>
  </si>
  <si>
    <t>278.138079094158 924.074560442371 138.989055081461</t>
  </si>
  <si>
    <t>257.450606273908 978.812901350449 604.599411799681</t>
  </si>
  <si>
    <t>263.884913703414 821.726229152646 683.50382739381</t>
  </si>
  <si>
    <t>9763-20170724T170010.895216000.bin</t>
  </si>
  <si>
    <t>386.75590214086 938.124072429605 -309.269260447266</t>
  </si>
  <si>
    <t>395.08454457218 937.441178782892 -430.091209753429</t>
  </si>
  <si>
    <t>399.748472616937 935.887904583552 -551.196133888658</t>
  </si>
  <si>
    <t>402.497523635279 934.031241500126 -660.666937274293</t>
  </si>
  <si>
    <t>403.758272957891 931.852945439494 -770.159012229663</t>
  </si>
  <si>
    <t>403.952346504874 928.520713436261 -922.43787609853</t>
  </si>
  <si>
    <t>403.705521582093 906.612172812542 -1021.95137684473</t>
  </si>
  <si>
    <t>435.546194734774 932.686515286416 -855.077672726424</t>
  </si>
  <si>
    <t>580.167597014665 910.533637787203 -840.316468850397</t>
  </si>
  <si>
    <t>628.605295573247 661.629731635226 -650.87859159026</t>
  </si>
  <si>
    <t>482.089068134783 465.066597819626 -737.700154636836</t>
  </si>
  <si>
    <t>372.186719983051 927.30382138492 -855.040700872175</t>
  </si>
  <si>
    <t>225.800164114326 930.31544729005 -841.352840385194</t>
  </si>
  <si>
    <t>146.911384043349 728.912384124058 -610.269373915285</t>
  </si>
  <si>
    <t>147.771101772821 541.864961845745 -790.975328406322</t>
  </si>
  <si>
    <t>477.690927703271 956.870165327417 -301.986891605131</t>
  </si>
  <si>
    <t>506.471883790445 1027.85772438257 147.22367411217</t>
  </si>
  <si>
    <t>531.506178151001 1098.99232494608 611.01587387698</t>
  </si>
  <si>
    <t>564.767791843214 948.382498702932 695.596029278711</t>
  </si>
  <si>
    <t>295.672713888209 919.357837334015 -315.898888984645</t>
  </si>
  <si>
    <t>277.036040962607 923.425453360079 139.396451619048</t>
  </si>
  <si>
    <t>257.539243466643 978.740775200273 604.994996122368</t>
  </si>
  <si>
    <t>264.929748681285 821.716578941926 683.939761123709</t>
  </si>
  <si>
    <t>9763-20170724T170010.963405100.bin</t>
  </si>
  <si>
    <t>382.143195387567 935.743857834966 -308.704935161599</t>
  </si>
  <si>
    <t>390.115471164427 935.068263546655 -429.551142493698</t>
  </si>
  <si>
    <t>394.294203482529 933.462887248037 -550.673028934481</t>
  </si>
  <si>
    <t>396.554577697216 931.538595271919 -660.153818343516</t>
  </si>
  <si>
    <t>397.274448141794 929.272624952403 -769.649045197963</t>
  </si>
  <si>
    <t>396.661703647317 925.799072300076 -921.923635475935</t>
  </si>
  <si>
    <t>395.919518677457 903.619642811857 -1021.37472705482</t>
  </si>
  <si>
    <t>428.570484674994 930.476758220172 -854.745768361999</t>
  </si>
  <si>
    <t>573.64108097111 910.745500456184 -840.966328259698</t>
  </si>
  <si>
    <t>629.189550244558 664.738566444975 -649.704582901435</t>
  </si>
  <si>
    <t>490.549206669864 462.175580026763 -735.664600919053</t>
  </si>
  <si>
    <t>365.29503312474 924.195020603715 -854.347921963912</t>
  </si>
  <si>
    <t>218.988890043952 925.275212552825 -839.676514167434</t>
  </si>
  <si>
    <t>143.438973061154 726.745125659777 -605.018871101027</t>
  </si>
  <si>
    <t>146.321031981698 540.211606846646 -786.23420460429</t>
  </si>
  <si>
    <t>472.62589055527 955.705022065346 -301.695691765</t>
  </si>
  <si>
    <t>504.818766649203 1025.18066982918 147.519738358337</t>
  </si>
  <si>
    <t>531.598669177094 1098.78263922899 610.782768351917</t>
  </si>
  <si>
    <t>565.602999986115 948.442729562347 695.547524764645</t>
  </si>
  <si>
    <t>291.607047828691 915.733842004422 -315.06050355255</t>
  </si>
  <si>
    <t>274.425731669799 922.240420537181 140.263729346189</t>
  </si>
  <si>
    <t>257.764756561632 978.59181840509 605.824112003378</t>
  </si>
  <si>
    <t>266.735950906688 821.691937374693 684.852171145743</t>
  </si>
  <si>
    <t>9763-20170724T170011.001505400.bin</t>
  </si>
  <si>
    <t>379.634680546397 934.467656242263 -308.407131143152</t>
  </si>
  <si>
    <t>387.374502330572 933.837358146983 -429.268680888762</t>
  </si>
  <si>
    <t>391.27292574174 932.182772542958 -550.399364681766</t>
  </si>
  <si>
    <t>393.260925202953 930.17708655049 -659.883922279344</t>
  </si>
  <si>
    <t>393.687548593019 927.793330550868 -769.378245062661</t>
  </si>
  <si>
    <t>392.644533761547 924.118209174394 -921.64570891335</t>
  </si>
  <si>
    <t>391.597746328536 901.771998866058 -1021.05654957744</t>
  </si>
  <si>
    <t>424.717396074026 929.132498021181 -854.570373766198</t>
  </si>
  <si>
    <t>570.019538097004 910.752398623354 -841.253289837236</t>
  </si>
  <si>
    <t>629.568005133985 666.498045444221 -648.95155400058</t>
  </si>
  <si>
    <t>496.401842124406 460.142164279749 -734.544017223912</t>
  </si>
  <si>
    <t>361.494652389289 922.356074214068 -853.973645021157</t>
  </si>
  <si>
    <t>215.230368558646 922.255254910938 -838.752055622018</t>
  </si>
  <si>
    <t>141.475667612266 725.830722929823 -601.763331558317</t>
  </si>
  <si>
    <t>146.804888878886 539.072624482634 -782.691660292655</t>
  </si>
  <si>
    <t>469.877162250584 955.054617350295 -301.555176181554</t>
  </si>
  <si>
    <t>504.137077873171 1023.61471613937 147.648008825057</t>
  </si>
  <si>
    <t>531.9483731817 1098.77585193106 610.596911821717</t>
  </si>
  <si>
    <t>565.801395335199 948.499429825113 695.534956638515</t>
  </si>
  <si>
    <t>289.382214131311 913.820692496995 -314.594561811425</t>
  </si>
  <si>
    <t>273.148204947007 921.672236013007 140.743215116276</t>
  </si>
  <si>
    <t>257.968010232416 978.519799915315 606.283331258176</t>
  </si>
  <si>
    <t>267.88371405227 821.694299278674 685.345855462864</t>
  </si>
  <si>
    <t>9763-20170724T170011.065703200.bin</t>
  </si>
  <si>
    <t>373.355495940769 932.017994887306 -307.748913280827</t>
  </si>
  <si>
    <t>380.531850493357 931.519085060673 -428.645908555005</t>
  </si>
  <si>
    <t>383.772111940128 929.621804178473 -549.792265933955</t>
  </si>
  <si>
    <t>385.124448289356 927.249540150402 -659.279262727487</t>
  </si>
  <si>
    <t>384.869329860498 924.353024272339 -768.761682394428</t>
  </si>
  <si>
    <t>382.826741640363 919.814332622334 -920.995862714353</t>
  </si>
  <si>
    <t>381.109114271263 896.935352179283 -1020.27617698221</t>
  </si>
  <si>
    <t>415.274543055574 925.764129080737 -854.177736751582</t>
  </si>
  <si>
    <t>561.002460714469 910.521167935581 -841.682269548285</t>
  </si>
  <si>
    <t>628.292581319333 671.507340744587 -645.390109659758</t>
  </si>
  <si>
    <t>506.877127269633 457.692796216626 -730.146769274702</t>
  </si>
  <si>
    <t>352.186564731863 917.880902088646 -853.096119667576</t>
  </si>
  <si>
    <t>206.115767130847 915.317547844715 -836.363187477927</t>
  </si>
  <si>
    <t>135.198377920488 724.270297492106 -594.16977074808</t>
  </si>
  <si>
    <t>144.185407815902 537.473283011091 -774.91327821771</t>
  </si>
  <si>
    <t>462.682079548852 953.898272864557 -301.224950242591</t>
  </si>
  <si>
    <t>502.445205991123 1019.84516754547 147.915955204512</t>
  </si>
  <si>
    <t>532.270925290592 1098.4863025459 610.103992591415</t>
  </si>
  <si>
    <t>566.422837611006 948.528510603794 695.484357767827</t>
  </si>
  <si>
    <t>283.930672282415 910.096250300389 -313.543041736257</t>
  </si>
  <si>
    <t>270.015333434459 920.386347137152 141.822916819415</t>
  </si>
  <si>
    <t>258.41672479811 978.374086090294 607.324204664458</t>
  </si>
  <si>
    <t>270.62615941673 821.727105631273 686.420401885611</t>
  </si>
  <si>
    <t>9763-20170724T170011.096763800.bin</t>
  </si>
  <si>
    <t>369.517656113472 931.005077649986 -307.358060081984</t>
  </si>
  <si>
    <t>376.407732324793 930.518164429709 -428.271491713122</t>
  </si>
  <si>
    <t>379.314273873757 928.328360929067 -549.421528302785</t>
  </si>
  <si>
    <t>380.342798590983 925.571674680949 -658.903098366046</t>
  </si>
  <si>
    <t>379.737545959523 922.17114334394 -768.369654209549</t>
  </si>
  <si>
    <t>377.177818042243 916.808041054073 -920.569059777335</t>
  </si>
  <si>
    <t>375.119788061966 893.49391331127 -1019.74169636127</t>
  </si>
  <si>
    <t>409.811024800481 923.435522272713 -853.90530086226</t>
  </si>
  <si>
    <t>555.72049786539 909.854024021751 -841.770010120048</t>
  </si>
  <si>
    <t>626.808696874981 674.518494815079 -642.396214788625</t>
  </si>
  <si>
    <t>511.20248336794 457.845582612856 -728.012329413447</t>
  </si>
  <si>
    <t>346.809862283904 914.92641860855 -852.545816468169</t>
  </si>
  <si>
    <t>200.860254392637 910.939468671447 -834.887266666183</t>
  </si>
  <si>
    <t>131.986287531866 722.760053925516 -589.875057250842</t>
  </si>
  <si>
    <t>143.609254150145 535.875751597797 -770.377795595621</t>
  </si>
  <si>
    <t>458.290023104043 953.687254249938 -301.013669397087</t>
  </si>
  <si>
    <t>501.345687234543 1017.69002210169 148.104915167163</t>
  </si>
  <si>
    <t>532.24268097735 1098.2348277519 609.843427289183</t>
  </si>
  <si>
    <t>567.136766242328 948.582289406093 695.459180921779</t>
  </si>
  <si>
    <t>280.702424136288 908.252808717404 -312.953936780084</t>
  </si>
  <si>
    <t>268.059315282488 919.843828213531 142.417853163653</t>
  </si>
  <si>
    <t>258.627369039927 978.287650482769 607.91122748441</t>
  </si>
  <si>
    <t>272.151221472003 821.759781639865 687.029502620901</t>
  </si>
  <si>
    <t>9763-20170724T170011.165736000.bin</t>
  </si>
  <si>
    <t>360.903665952359 929.507438627948 -306.423039380391</t>
  </si>
  <si>
    <t>367.205789792512 928.945151506083 -427.368334890052</t>
  </si>
  <si>
    <t>369.447969316559 925.885748616854 -548.513514880629</t>
  </si>
  <si>
    <t>369.837217548015 922.026006566444 -657.965856724307</t>
  </si>
  <si>
    <t>368.544126647952 917.206634025314 -767.373129845176</t>
  </si>
  <si>
    <t>364.970434154917 909.541934813239 -919.453671522243</t>
  </si>
  <si>
    <t>362.253656464341 885.142651408619 -1018.34893092419</t>
  </si>
  <si>
    <t>397.925681645444 917.986754613538 -853.15464908362</t>
  </si>
  <si>
    <t>544.247536800227 908.772759059652 -841.671265502943</t>
  </si>
  <si>
    <t>621.119278053873 685.135244889661 -631.283245878162</t>
  </si>
  <si>
    <t>523.320929968676 462.614565387569 -723.814747100015</t>
  </si>
  <si>
    <t>335.177735756248 907.880021844534 -851.170844079902</t>
  </si>
  <si>
    <t>189.645722279601 900.538086786883 -831.447077164141</t>
  </si>
  <si>
    <t>123.442184970404 720.926752283982 -579.369454484194</t>
  </si>
  <si>
    <t>139.422830682803 534.950899216745 -760.476104959129</t>
  </si>
  <si>
    <t>448.366229975938 953.963576490091 -300.463501514876</t>
  </si>
  <si>
    <t>499.242111712061 1013.33121732455 148.473963781251</t>
  </si>
  <si>
    <t>532.370497393417 1097.81892716739 609.275213941277</t>
  </si>
  <si>
    <t>567.774138468097 948.596284748633 695.429935753517</t>
  </si>
  <si>
    <t>273.378095352731 904.927892791608 -311.614341641611</t>
  </si>
  <si>
    <t>263.472920266369 919.354044654207 143.744315276537</t>
  </si>
  <si>
    <t>258.989793498787 978.104396467027 609.262042868592</t>
  </si>
  <si>
    <t>275.160716884341 821.837201739294 688.398363616264</t>
  </si>
  <si>
    <t>9763-20170724T170011.199827000.bin</t>
  </si>
  <si>
    <t>355.843713262532 929.097677538873 -305.82741076452</t>
  </si>
  <si>
    <t>361.828098618074 928.365033399103 -426.787868022164</t>
  </si>
  <si>
    <t>363.712591600496 924.659351927143 -547.921266929407</t>
  </si>
  <si>
    <t>363.75740159698 920.025819207051 -657.344271665742</t>
  </si>
  <si>
    <t>362.093185296361 914.244125577158 -766.699811720283</t>
  </si>
  <si>
    <t>357.971009156948 905.044303255338 -918.681315416409</t>
  </si>
  <si>
    <t>354.92208700431 879.959184723559 -1017.39513312748</t>
  </si>
  <si>
    <t>391.087580565664 914.612541871272 -852.615732267026</t>
  </si>
  <si>
    <t>537.559969589512 907.991426561406 -841.298651565544</t>
  </si>
  <si>
    <t>616.934538190581 693.098605311958 -622.879542219642</t>
  </si>
  <si>
    <t>530.615564003749 467.838593706611 -720.085529383037</t>
  </si>
  <si>
    <t>328.502254723203 903.617071789633 -850.252668987214</t>
  </si>
  <si>
    <t>183.242982731723 894.246252244333 -829.333557750681</t>
  </si>
  <si>
    <t>117.927795476346 720.209991864883 -573.147224240696</t>
  </si>
  <si>
    <t>136.552156763996 534.459353615804 -754.232624049741</t>
  </si>
  <si>
    <t>442.396083719951 954.511347950717 -300.044304055183</t>
  </si>
  <si>
    <t>498.379706615544 1010.80794281125 148.680791700389</t>
  </si>
  <si>
    <t>532.362897458529 1097.55038328229 608.94170726848</t>
  </si>
  <si>
    <t>568.301609121613 948.623486003301 695.386707891159</t>
  </si>
  <si>
    <t>269.240807430093 903.562744810748 -310.789621220335</t>
  </si>
  <si>
    <t>260.60810154365 919.612748861302 144.54058417506</t>
  </si>
  <si>
    <t>259.186845806116 978.012950761257 610.075094806524</t>
  </si>
  <si>
    <t>276.789268771833 821.887627913701 689.18608330859</t>
  </si>
  <si>
    <t>9763-20170724T170011.263705700.bin</t>
  </si>
  <si>
    <t>344.488929081194 929.637533610805 -304.269542425675</t>
  </si>
  <si>
    <t>349.859528448131 928.47520623118 -425.25548810895</t>
  </si>
  <si>
    <t>351.221145843832 922.990038949123 -546.328397085575</t>
  </si>
  <si>
    <t>350.81626275195 916.206517712231 -655.638361983967</t>
  </si>
  <si>
    <t>348.710082922451 907.730933247501 -764.810551471772</t>
  </si>
  <si>
    <t>343.971351228814 894.219375375405 -916.451557367204</t>
  </si>
  <si>
    <t>340.436213881859 867.219213875453 -1014.64247829653</t>
  </si>
  <si>
    <t>377.140512436465 906.750742198965 -850.910019357951</t>
  </si>
  <si>
    <t>523.760227624874 906.674415162306 -840.020426625252</t>
  </si>
  <si>
    <t>609.51454263251 717.173954120578 -601.437029566266</t>
  </si>
  <si>
    <t>551.420080397426 488.354494169027 -710.563586396547</t>
  </si>
  <si>
    <t>314.995757553507 893.644890104292 -847.800226019278</t>
  </si>
  <si>
    <t>170.443395099112 880.319418848839 -824.311280388704</t>
  </si>
  <si>
    <t>105.170060398007 722.882087360682 -557.59225789144</t>
  </si>
  <si>
    <t>132.358211762668 537.318671157356 -737.783970712169</t>
  </si>
  <si>
    <t>429.063837739648 957.260001264294 -299.014477345733</t>
  </si>
  <si>
    <t>496.177857931309 1005.54339242325 149.117232517291</t>
  </si>
  <si>
    <t>531.846102385642 1096.82674238863 608.269742494083</t>
  </si>
  <si>
    <t>568.680022175201 948.545054895926 695.443809872155</t>
  </si>
  <si>
    <t>259.937305125876 901.92928230598 -308.855606929132</t>
  </si>
  <si>
    <t>253.965690031558 921.426579136978 146.38267869773</t>
  </si>
  <si>
    <t>259.683227463602 977.889220714534 612.006726934057</t>
  </si>
  <si>
    <t>280.235935836788 822.049834236339 690.969967200519</t>
  </si>
  <si>
    <t>9763-20170724T170011.297793200.bin</t>
  </si>
  <si>
    <t>338.328112855022 930.923103739059 -303.32348577238</t>
  </si>
  <si>
    <t>343.457961006859 929.374517122354 -424.315659259989</t>
  </si>
  <si>
    <t>344.60680098197 922.666271216861 -545.329038248502</t>
  </si>
  <si>
    <t>344.012648248655 914.44265406044 -654.539197628421</t>
  </si>
  <si>
    <t>341.711795875684 904.192792596869 -763.555217514289</t>
  </si>
  <si>
    <t>336.690688167904 887.865847338868 -914.909796524962</t>
  </si>
  <si>
    <t>332.879729428941 859.629185045245 -1012.74212321607</t>
  </si>
  <si>
    <t>369.842570099491 902.227482584616 -849.736237876351</t>
  </si>
  <si>
    <t>516.476724460092 906.296010521905 -839.3417580677</t>
  </si>
  <si>
    <t>605.148243949585 733.792517461498 -589.209595032271</t>
  </si>
  <si>
    <t>563.237876542799 503.803609691827 -703.186232532876</t>
  </si>
  <si>
    <t>307.982195016774 887.952560622381 -846.144042219335</t>
  </si>
  <si>
    <t>163.843811288226 872.682787763432 -821.326488331479</t>
  </si>
  <si>
    <t>98.4476045859888 725.663574646765 -548.755652371291</t>
  </si>
  <si>
    <t>132.730204258839 539.351883149998 -726.954398284253</t>
  </si>
  <si>
    <t>421.976286063673 959.718006206151 -298.372434318349</t>
  </si>
  <si>
    <t>494.841991081852 1003.28032785957 149.344637463089</t>
  </si>
  <si>
    <t>531.438171196882 1096.39805454332 607.981502434247</t>
  </si>
  <si>
    <t>569.161402550739 948.506963743866 695.438270173013</t>
  </si>
  <si>
    <t>254.83397524698 901.989153427071 -307.727565200338</t>
  </si>
  <si>
    <t>250.176569892999 922.882952079878 147.464062448226</t>
  </si>
  <si>
    <t>260.025543465856 977.850488636681 613.128956621859</t>
  </si>
  <si>
    <t>282.248445795779 822.175433090064 691.964285754769</t>
  </si>
  <si>
    <t>9763-20170724T170011.365979100.bin</t>
  </si>
  <si>
    <t>325.672568945931 937.034662460284 -299.451047102207</t>
  </si>
  <si>
    <t>330.578936581427 934.235746919889 -420.429813296432</t>
  </si>
  <si>
    <t>331.450870201846 924.206503954176 -541.215722910817</t>
  </si>
  <si>
    <t>330.56421357573 912.158917993227 -650.068417518922</t>
  </si>
  <si>
    <t>327.90900674014 897.26687057303 -758.539770189728</t>
  </si>
  <si>
    <t>322.316173919126 873.636962160832 -908.90716652687</t>
  </si>
  <si>
    <t>317.963738044467 842.223571065982 -1005.74327965398</t>
  </si>
  <si>
    <t>355.356848475258 892.49098514123 -844.830891214762</t>
  </si>
  <si>
    <t>501.459983968212 906.973623377078 -836.626741873375</t>
  </si>
  <si>
    <t>596.292338052474 779.99369438964 -562.639280871795</t>
  </si>
  <si>
    <t>591.449225477057 548.059876969117 -680.220412953502</t>
  </si>
  <si>
    <t>294.224902612942 875.694067556872 -839.917601955657</t>
  </si>
  <si>
    <t>151.134289334615 856.611611370247 -811.94067104221</t>
  </si>
  <si>
    <t>82.1328117285987 735.286914367118 -527.853989905511</t>
  </si>
  <si>
    <t>135.273282978985 548.695600555935 -701.064601545974</t>
  </si>
  <si>
    <t>407.680032488853 969.932239865978 -295.645261127786</t>
  </si>
  <si>
    <t>493.309514079149 1002.28060834563 150.761330323989</t>
  </si>
  <si>
    <t>532.753675795411 1096.94574476843 608.265035994485</t>
  </si>
  <si>
    <t>571.83479478282 949.903823335861 696.553925183097</t>
  </si>
  <si>
    <t>243.880592812618 904.310074860742 -302.886525319445</t>
  </si>
  <si>
    <t>242.497455559106 927.622418838423 152.209295388454</t>
  </si>
  <si>
    <t>260.691814850822 977.892478618139 618.394705109969</t>
  </si>
  <si>
    <t>285.184809873222 822.438336222737 696.991939247151</t>
  </si>
  <si>
    <t>9763-20170724T170011.398064100.bin</t>
  </si>
  <si>
    <t>318.596654947306 942.088382534116 -299.023305043405</t>
  </si>
  <si>
    <t>323.507712894339 938.48444163793 -419.980749966853</t>
  </si>
  <si>
    <t>324.251602074509 926.570716193145 -540.59619911938</t>
  </si>
  <si>
    <t>323.186813985336 912.395962008145 -649.190729947522</t>
  </si>
  <si>
    <t>320.280873955673 894.95640821216 -757.275415015072</t>
  </si>
  <si>
    <t>314.257930961749 867.352655973265 -906.947479091623</t>
  </si>
  <si>
    <t>309.582968937557 834.278076952987 -1003.2138431619</t>
  </si>
  <si>
    <t>347.244398485712 888.67911641604 -843.623045380109</t>
  </si>
  <si>
    <t>492.683822081207 909.317885911063 -837.288414549865</t>
  </si>
  <si>
    <t>588.993063887797 810.867652820409 -552.300336586306</t>
  </si>
  <si>
    <t>603.098743496444 577.239548362787 -665.70649247131</t>
  </si>
  <si>
    <t>286.601357212946 870.453673867702 -837.821303275221</t>
  </si>
  <si>
    <t>144.082181574264 849.414847970352 -808.275631732886</t>
  </si>
  <si>
    <t>72.9492499309304 743.041777470465 -518.774103092783</t>
  </si>
  <si>
    <t>139.760179983127 556.654600521245 -687.410421884599</t>
  </si>
  <si>
    <t>399.493020824674 978.033045616098 -295.482720133362</t>
  </si>
  <si>
    <t>492.590709998142 1003.80030398448 149.855959363333</t>
  </si>
  <si>
    <t>532.784034768993 1096.63649263841 607.75918855859</t>
  </si>
  <si>
    <t>571.821933960333 949.75247562524 696.329424446312</t>
  </si>
  <si>
    <t>237.821347527277 906.511626782786 -302.245929434048</t>
  </si>
  <si>
    <t>238.167890067879 931.071224506175 152.786311249644</t>
  </si>
  <si>
    <t>260.984849962592 977.922197466823 619.043014495315</t>
  </si>
  <si>
    <t>286.395140556918 822.525255629102 697.462809164472</t>
  </si>
  <si>
    <t>9763-20170724T170011.464205200.bin</t>
  </si>
  <si>
    <t>307.859594271346 956.624541211995 -293.945907061714</t>
  </si>
  <si>
    <t>313.319072172872 950.717640725743 -414.789320684283</t>
  </si>
  <si>
    <t>314.052004605518 934.660670423708 -534.923380012451</t>
  </si>
  <si>
    <t>312.743795781382 916.02820128319 -642.839770943364</t>
  </si>
  <si>
    <t>309.347074606685 893.432370928754 -749.950721118404</t>
  </si>
  <si>
    <t>302.376717284613 857.94692944019 -897.910814792463</t>
  </si>
  <si>
    <t>297.051449451466 821.539800311274 -992.932661730311</t>
  </si>
  <si>
    <t>335.11977435165 884.391228518037 -836.41689292409</t>
  </si>
  <si>
    <t>478.332724477847 917.696891205126 -835.058229158105</t>
  </si>
  <si>
    <t>572.84888555012 885.354729244336 -534.713667198856</t>
  </si>
  <si>
    <t>627.170948326897 646.899066266492 -623.200961584793</t>
  </si>
  <si>
    <t>275.802118637328 862.905276862014 -828.469354618372</t>
  </si>
  <si>
    <t>134.859437292045 836.608985503652 -795.810433950125</t>
  </si>
  <si>
    <t>58.3723302220949 763.940059443694 -497.389309940393</t>
  </si>
  <si>
    <t>157.048739687478 577.335919426185 -649.322954739506</t>
  </si>
  <si>
    <t>389.875891410349 1000.3892749494 -291.513232124888</t>
  </si>
  <si>
    <t>500.81783316114 1011.88099126579 150.321052222514</t>
  </si>
  <si>
    <t>548.260376231634 1100.29852523238 609.320144356915</t>
  </si>
  <si>
    <t>589.946587848782 952.429501572363 694.996803619055</t>
  </si>
  <si>
    <t>227.65362901653 913.813704418914 -295.872486497695</t>
  </si>
  <si>
    <t>230.911310258677 941.221423423875 158.985570515512</t>
  </si>
  <si>
    <t>262.324443855034 978.437869269063 625.989645095113</t>
  </si>
  <si>
    <t>290.430016556328 823.189165674302 703.780599789265</t>
  </si>
  <si>
    <t>9763-20170724T170011.496290100.bin</t>
  </si>
  <si>
    <t>309.94175060235 964.490455967322 -292.306799182889</t>
  </si>
  <si>
    <t>315.570138329249 957.608421823002 -413.090829266525</t>
  </si>
  <si>
    <t>316.259380249479 939.705763996756 -532.963998883827</t>
  </si>
  <si>
    <t>314.822304588648 919.071024275944 -640.513856736689</t>
  </si>
  <si>
    <t>311.200031241638 894.146958195281 -747.099587402617</t>
  </si>
  <si>
    <t>303.811314732684 855.094104425192 -894.138138591403</t>
  </si>
  <si>
    <t>298.072364446714 817.180806455863 -988.544773306147</t>
  </si>
  <si>
    <t>336.305316448427 884.032509690078 -833.643182545491</t>
  </si>
  <si>
    <t>478.052700467916 923.13969670862 -834.752948169046</t>
  </si>
  <si>
    <t>567.829498125356 924.632794727214 -531.233385670498</t>
  </si>
  <si>
    <t>641.145286951888 684.499858450427 -599.079379614963</t>
  </si>
  <si>
    <t>277.855905919576 860.715147577119 -824.513100048965</t>
  </si>
  <si>
    <t>138.193247599981 830.469892984486 -789.870819532117</t>
  </si>
  <si>
    <t>59.181622271027 775.162669873456 -488.400413233229</t>
  </si>
  <si>
    <t>176.390495945406 588.151983745774 -625.990827310743</t>
  </si>
  <si>
    <t>395.892424922334 1012.53504715309 -290.44187795488</t>
  </si>
  <si>
    <t>516.594698883911 1014.77493128331 148.970983361912</t>
  </si>
  <si>
    <t>565.039730146766 1102.14878770369 608.398421819057</t>
  </si>
  <si>
    <t>609.866849445945 953.952277384175 691.895842137016</t>
  </si>
  <si>
    <t>226.786708710114 917.545226152025 -293.698106708058</t>
  </si>
  <si>
    <t>230.66925153628 947.373577739646 161.002843160033</t>
  </si>
  <si>
    <t>263.220457910658 978.728140037436 628.097904229499</t>
  </si>
  <si>
    <t>293.21752909246 823.686888828849 705.595445744665</t>
  </si>
  <si>
    <t>9763-20170724T170011.567034600.bin</t>
  </si>
  <si>
    <t>305.946634331921 974.919790251523 -290.279356350962</t>
  </si>
  <si>
    <t>311.913826333638 967.513230831314 -411.01611361744</t>
  </si>
  <si>
    <t>312.512743429784 947.215191406725 -530.507535877068</t>
  </si>
  <si>
    <t>310.828850070504 923.68983253015 -637.458688630961</t>
  </si>
  <si>
    <t>306.78889314476 895.164468943342 -743.122561930604</t>
  </si>
  <si>
    <t>298.643513165737 850.382954184946 -888.478189446907</t>
  </si>
  <si>
    <t>292.005085066973 809.484185305794 -981.570552231256</t>
  </si>
  <si>
    <t>330.390218254382 883.817902287938 -829.936141083777</t>
  </si>
  <si>
    <t>468.118001028949 934.952454268657 -835.612249845866</t>
  </si>
  <si>
    <t>542.021273691083 991.293791853832 -533.039738852532</t>
  </si>
  <si>
    <t>647.967777468477 754.317194827665 -549.14918103551</t>
  </si>
  <si>
    <t>274.10509485524 856.577137668995 -818.389566164074</t>
  </si>
  <si>
    <t>138.176110245936 816.563058564914 -778.928209780432</t>
  </si>
  <si>
    <t>55.0464455247979 793.211586472029 -474.41172357626</t>
  </si>
  <si>
    <t>208.300396391442 606.062163048178 -569.964705415267</t>
  </si>
  <si>
    <t>389.597076802055 1028.08920369279 -289.471316257083</t>
  </si>
  <si>
    <t>527.815915058062 1009.83614965649 144.372040526667</t>
  </si>
  <si>
    <t>541.545432035956 1099.1884205803 605.497914922518</t>
  </si>
  <si>
    <t>608.769371814475 959.206835407928 688.139262612817</t>
  </si>
  <si>
    <t>221.847594710481 921.839431302117 -291.120018752764</t>
  </si>
  <si>
    <t>226.300050215931 956.766270055352 163.212410300988</t>
  </si>
  <si>
    <t>264.109392275789 979.045747043048 630.452518803732</t>
  </si>
  <si>
    <t>298.186303235297 824.666965835799 707.585246819368</t>
  </si>
  <si>
    <t>9763-20170724T170011.595109700.bin</t>
  </si>
  <si>
    <t>300.446983881086 977.394605343962 -289.779285526706</t>
  </si>
  <si>
    <t>306.366750037171 970.257287289753 -410.534459410257</t>
  </si>
  <si>
    <t>306.80336218884 949.492864238961 -529.946512488885</t>
  </si>
  <si>
    <t>304.936531178632 925.259211979741 -636.736405959269</t>
  </si>
  <si>
    <t>300.678309268907 895.742128263943 -742.118826356092</t>
  </si>
  <si>
    <t>292.196776178776 849.293177310611 -886.930955976687</t>
  </si>
  <si>
    <t>285.230980433548 807.202748302661 -979.466573275639</t>
  </si>
  <si>
    <t>323.48483612886 884.441278501 -829.150600381506</t>
  </si>
  <si>
    <t>458.757999830236 941.609672956708 -836.969227572415</t>
  </si>
  <si>
    <t>523.839397898829 1017.27459486204 -536.593650760741</t>
  </si>
  <si>
    <t>640.009166639163 784.718559021748 -528.573289691954</t>
  </si>
  <si>
    <t>268.414416910204 855.249700075839 -816.561772891271</t>
  </si>
  <si>
    <t>134.712193851397 810.569966510206 -774.917236652413</t>
  </si>
  <si>
    <t>49.4686686837958 799.744754143515 -470.28202062758</t>
  </si>
  <si>
    <t>217.128042989243 613.400201154292 -539.622697667587</t>
  </si>
  <si>
    <t>382.109646519363 1032.04921713815 -289.144164062234</t>
  </si>
  <si>
    <t>524.070263703043 1009.10127165714 143.265573633072</t>
  </si>
  <si>
    <t>504.857731795385 1105.48225450249 603.013193393949</t>
  </si>
  <si>
    <t>592.728939248992 977.303417807831 685.429151577036</t>
  </si>
  <si>
    <t>217.895175538344 921.902694546369 -290.334918236043</t>
  </si>
  <si>
    <t>223.588191989525 958.594834563266 163.844540005575</t>
  </si>
  <si>
    <t>264.386440815991 979.100475709981 631.087618871127</t>
  </si>
  <si>
    <t>300.154784623424 825.075916850089 708.162416993371</t>
  </si>
  <si>
    <t>9763-20170724T170011.663798000.bin</t>
  </si>
  <si>
    <t>287.530489892191 980.25391960677 -288.931571173945</t>
  </si>
  <si>
    <t>292.69862691656 974.144945482627 -409.77764891972</t>
  </si>
  <si>
    <t>292.58099786112 953.412775011656 -529.195925568972</t>
  </si>
  <si>
    <t>290.290236030647 928.821983025835 -635.89606508937</t>
  </si>
  <si>
    <t>285.673048506992 898.56762984567 -741.054042465106</t>
  </si>
  <si>
    <t>276.754562130397 850.708837511838 -885.379933236527</t>
  </si>
  <si>
    <t>269.27327309541 807.28284587212 -977.25586081563</t>
  </si>
  <si>
    <t>307.081505053862 888.177310229802 -828.552926561619</t>
  </si>
  <si>
    <t>437.320187403416 955.482093158821 -839.821641504438</t>
  </si>
  <si>
    <t>483.308819013922 1059.18783715158 -544.328097275754</t>
  </si>
  <si>
    <t>609.236065343071 835.143193664266 -504.473574149914</t>
  </si>
  <si>
    <t>254.319941901263 855.592499712454 -814.487335537257</t>
  </si>
  <si>
    <t>124.621992396497 802.640185580071 -769.720006389271</t>
  </si>
  <si>
    <t>38.4920338838335 808.199390801009 -465.192694820864</t>
  </si>
  <si>
    <t>221.53993277332 624.129315197435 -481.119849818996</t>
  </si>
  <si>
    <t>364.951160396177 1040.86263458111 -288.200291468328</t>
  </si>
  <si>
    <t>506.495159164229 1016.74619484464 144.282524903376</t>
  </si>
  <si>
    <t>405.262327750064 1127.36291608217 589.158559424495</t>
  </si>
  <si>
    <t>521.743841348184 1030.31459835897 678.361662047826</t>
  </si>
  <si>
    <t>209.520073979055 919.658198944012 -289.027623160393</t>
  </si>
  <si>
    <t>218.781236922014 957.678401154782 164.983921240634</t>
  </si>
  <si>
    <t>265.167661776961 979.181570254831 631.830220849669</t>
  </si>
  <si>
    <t>304.842464487517 826.067949014615 708.808294195208</t>
  </si>
  <si>
    <t>9763-20170724T170011.697888700.bin</t>
  </si>
  <si>
    <t>280.92177313212 981.355747606049 -288.431377155595</t>
  </si>
  <si>
    <t>285.5670958762 975.861132823279 -409.32806623247</t>
  </si>
  <si>
    <t>285.086647501744 955.552841949041 -528.818299056108</t>
  </si>
  <si>
    <t>282.523283829208 931.274263375237 -635.583612466867</t>
  </si>
  <si>
    <t>277.677638325393 901.26182082638 -740.800725287326</t>
  </si>
  <si>
    <t>268.479664863517 853.669066558394 -885.197019902187</t>
  </si>
  <si>
    <t>260.784076585174 810.156607302755 -977.014353824718</t>
  </si>
  <si>
    <t>298.354924219408 891.815170277107 -828.582023975217</t>
  </si>
  <si>
    <t>426.054940176176 963.648069966945 -841.180033522294</t>
  </si>
  <si>
    <t>463.181396332714 1075.01973201204 -547.234181332045</t>
  </si>
  <si>
    <t>593.436437484225 854.929852373833 -499.946630214946</t>
  </si>
  <si>
    <t>246.744001911344 857.639487475521 -814.030299667939</t>
  </si>
  <si>
    <t>119.24658277354 800.556808493568 -768.043855091512</t>
  </si>
  <si>
    <t>37.4168159917201 813.001566107147 -462.535742136281</t>
  </si>
  <si>
    <t>221.734087372853 629.767894232456 -452.806948303756</t>
  </si>
  <si>
    <t>355.561575269417 1044.89260625884 -287.56560714142</t>
  </si>
  <si>
    <t>494.628324918759 1025.33178959487 145.949669033411</t>
  </si>
  <si>
    <t>348.423434770966 1140.88761060979 576.891665606599</t>
  </si>
  <si>
    <t>467.4833475519 1056.99030588243 675.529794576968</t>
  </si>
  <si>
    <t>205.562018855438 918.030653641726 -288.371125516926</t>
  </si>
  <si>
    <t>216.412516894575 956.401161487878 165.575659847719</t>
  </si>
  <si>
    <t>265.375203260607 979.193460135572 632.064436909626</t>
  </si>
  <si>
    <t>306.97854546135 826.574780743481 709.00743726271</t>
  </si>
  <si>
    <t>9763-20170724T170011.761068900.bin</t>
  </si>
  <si>
    <t>266.933165971633 984.189197056587 -287.267790229845</t>
  </si>
  <si>
    <t>270.358198734273 980.719824921331 -408.280387765587</t>
  </si>
  <si>
    <t>268.886792444577 962.346860841643 -528.075374810591</t>
  </si>
  <si>
    <t>265.511553449212 939.782349706697 -635.193582711908</t>
  </si>
  <si>
    <t>259.921244739475 911.443868576459 -740.836924207051</t>
  </si>
  <si>
    <t>249.747606910089 866.135808251949 -885.901361621318</t>
  </si>
  <si>
    <t>241.883426623771 823.257214357235 -978.002208731149</t>
  </si>
  <si>
    <t>278.766026665475 904.952819474224 -829.296507072112</t>
  </si>
  <si>
    <t>400.580614439023 986.243350947464 -842.69767426426</t>
  </si>
  <si>
    <t>429.841622896462 1102.01936785042 -549.566473830633</t>
  </si>
  <si>
    <t>567.694095456828 887.758918079572 -497.306213338689</t>
  </si>
  <si>
    <t>229.732333275758 867.413729031664 -814.133148674088</t>
  </si>
  <si>
    <t>107.966101108711 800.310637370002 -766.405493663096</t>
  </si>
  <si>
    <t>34.3300719260101 823.988637809587 -459.479927656038</t>
  </si>
  <si>
    <t>217.240661260184 652.485705333703 -390.396448716768</t>
  </si>
  <si>
    <t>336.575580220786 1053.2507833768 -286.475531820813</t>
  </si>
  <si>
    <t>459.512984420762 1045.44077888363 152.253393410178</t>
  </si>
  <si>
    <t>224.794391660855 1164.36524581688 541.926261304595</t>
  </si>
  <si>
    <t>335.415864774285 1103.17876818401 664.247990971788</t>
  </si>
  <si>
    <t>196.787149101782 915.704833401057 -287.244648992569</t>
  </si>
  <si>
    <t>211.496454360499 954.135626585305 166.588309720437</t>
  </si>
  <si>
    <t>265.427542162716 979.095705417556 632.380099675854</t>
  </si>
  <si>
    <t>312.196432975898 827.978522648445 709.320639502386</t>
  </si>
  <si>
    <t>9763-20170724T170011.798168400.bin</t>
  </si>
  <si>
    <t>258.838349933665 986.145991484921 -286.545570684837</t>
  </si>
  <si>
    <t>261.763090832012 983.721857284714 -407.596626455009</t>
  </si>
  <si>
    <t>259.997442780032 966.561807366085 -527.567455938149</t>
  </si>
  <si>
    <t>256.44303580494 945.154678309309 -634.917076021924</t>
  </si>
  <si>
    <t>250.75702681063 918.026552386962 -740.872647045223</t>
  </si>
  <si>
    <t>240.535950027904 874.449325276546 -886.463106025638</t>
  </si>
  <si>
    <t>232.95846419513 832.145584158433 -978.853259670359</t>
  </si>
  <si>
    <t>268.861024719372 913.40678227898 -829.604086859405</t>
  </si>
  <si>
    <t>387.566469902074 999.169720022318 -842.621290098856</t>
  </si>
  <si>
    <t>415.901260696691 1113.59076024084 -548.867623451824</t>
  </si>
  <si>
    <t>556.543982277207 901.089200705892 -496.860206231489</t>
  </si>
  <si>
    <t>221.25588198678 874.055168137475 -814.48354093257</t>
  </si>
  <si>
    <t>102.428958732359 801.804236325095 -766.614528983749</t>
  </si>
  <si>
    <t>31.6350838576291 828.110823540242 -459.234696552625</t>
  </si>
  <si>
    <t>209.992391610565 665.765707234966 -361.895795057593</t>
  </si>
  <si>
    <t>325.297130355647 1057.06541674183 -285.259177204508</t>
  </si>
  <si>
    <t>438.985087957676 1059.90582990697 156.017011568479</t>
  </si>
  <si>
    <t>164.345144938314 1177.6596925703 519.678972156528</t>
  </si>
  <si>
    <t>266.87192966634 1127.44402313303 653.507855571791</t>
  </si>
  <si>
    <t>191.421245296526 915.065663707815 -286.70970344666</t>
  </si>
  <si>
    <t>208.728496636185 953.213500405483 167.0554510066</t>
  </si>
  <si>
    <t>265.218716829756 978.914261273773 632.507432287544</t>
  </si>
  <si>
    <t>314.754121512913 828.746982568224 709.575935582355</t>
  </si>
  <si>
    <t>9763-20170724T170011.863346800.bin</t>
  </si>
  <si>
    <t>239.731280290396 990.426660165595 -284.809422669604</t>
  </si>
  <si>
    <t>241.957888775235 989.82360120839 -405.898195603914</t>
  </si>
  <si>
    <t>239.848901289701 975.066944280689 -526.182665912523</t>
  </si>
  <si>
    <t>236.128379988902 956.056592373904 -633.976949324542</t>
  </si>
  <si>
    <t>230.411420549971 931.53290767166 -740.563772311996</t>
  </si>
  <si>
    <t>220.283094953447 891.781827564 -887.251540627683</t>
  </si>
  <si>
    <t>213.335447808028 851.110464752209 -980.420877935897</t>
  </si>
  <si>
    <t>247.330569703846 930.545798073679 -829.64305748073</t>
  </si>
  <si>
    <t>360.692643837884 1023.587972428 -841.054955473547</t>
  </si>
  <si>
    <t>388.967504790705 1132.31571528688 -545.141042951063</t>
  </si>
  <si>
    <t>534.592779911848 922.655542449462 -495.36119285498</t>
  </si>
  <si>
    <t>202.198604708713 888.195334342779 -815.050349021544</t>
  </si>
  <si>
    <t>88.5407093926374 807.694931291469 -767.949491673574</t>
  </si>
  <si>
    <t>22.3684424694015 833.944053329138 -459.536769989572</t>
  </si>
  <si>
    <t>182.188182623973 687.878366335603 -315.437812397255</t>
  </si>
  <si>
    <t>301.603696973901 1066.65818821317 -283.411994127072</t>
  </si>
  <si>
    <t>386.424194550648 1086.15511004655 163.894415469831</t>
  </si>
  <si>
    <t>60.4576124413632 1198.76345669572 484.144839094795</t>
  </si>
  <si>
    <t>140.494700452156 1166.00890111494 637.326808007067</t>
  </si>
  <si>
    <t>177.312775661538 914.340716314182 -285.387188279854</t>
  </si>
  <si>
    <t>201.96981547559 951.979094822022 168.080617816178</t>
  </si>
  <si>
    <t>264.182478392117 978.399023086701 632.810867571218</t>
  </si>
  <si>
    <t>317.974372217057 829.91726668064 710.290523300198</t>
  </si>
  <si>
    <t>9763-20170724T170011.895432200.bin</t>
  </si>
  <si>
    <t>229.461330233209 992.565996199465 -284.016326791315</t>
  </si>
  <si>
    <t>231.096052999542 992.782284313789 -405.115721598231</t>
  </si>
  <si>
    <t>228.735910913955 979.147155126203 -525.527902683436</t>
  </si>
  <si>
    <t>224.922019036426 961.265529233271 -633.511911476839</t>
  </si>
  <si>
    <t>219.238765128694 937.977352054338 -740.377368348447</t>
  </si>
  <si>
    <t>209.285261508699 900.050037191366 -887.559040753964</t>
  </si>
  <si>
    <t>202.733365031866 860.324639038376 -981.164221138921</t>
  </si>
  <si>
    <t>235.785297730252 938.563899385122 -829.530189184569</t>
  </si>
  <si>
    <t>347.140041998955 1034.09698340118 -840.031302105676</t>
  </si>
  <si>
    <t>375.852473901418 1139.13183456855 -542.828657951258</t>
  </si>
  <si>
    <t>523.460609430773 930.514910051633 -494.529096246413</t>
  </si>
  <si>
    <t>191.593511937943 895.099587300761 -815.341207637398</t>
  </si>
  <si>
    <t>79.8355569368746 811.618074643292 -768.900828217142</t>
  </si>
  <si>
    <t>14.7648318291504 838.904267276065 -460.343839800845</t>
  </si>
  <si>
    <t>163.120747763605 699.176765193156 -298.761596771045</t>
  </si>
  <si>
    <t>288.93471356724 1070.2681008919 -282.886075306779</t>
  </si>
  <si>
    <t>357.91760823948 1096.49179130065 166.793013059639</t>
  </si>
  <si>
    <t>23.3168720644255 1207.03448289447 478.421203769739</t>
  </si>
  <si>
    <t>85.8502333744511 1177.38342078155 640.14289941704</t>
  </si>
  <si>
    <t>169.250376146732 914.558568737853 -284.610393383003</t>
  </si>
  <si>
    <t>197.953363839863 952.103648062971 168.627106671502</t>
  </si>
  <si>
    <t>263.617340962641 978.138023115564 632.946437867875</t>
  </si>
  <si>
    <t>319.175475023063 830.409984244202 710.62020867173</t>
  </si>
  <si>
    <t>9763-20170724T170011.962650800.bin</t>
  </si>
  <si>
    <t>204.677094725341 998.014875887677 -281.802793162375</t>
  </si>
  <si>
    <t>205.090686591059 999.508045479741 -402.903580234955</t>
  </si>
  <si>
    <t>202.457465933759 987.762678173522 -523.509233141805</t>
  </si>
  <si>
    <t>198.74762926429 971.824025131688 -631.800646206206</t>
  </si>
  <si>
    <t>193.494666704534 950.701563202854 -739.137084053113</t>
  </si>
  <si>
    <t>184.457786569902 916.007125365632 -887.172935203151</t>
  </si>
  <si>
    <t>178.758386950551 877.935185845706 -981.518187807441</t>
  </si>
  <si>
    <t>210.080218754642 953.723779440631 -828.233312281864</t>
  </si>
  <si>
    <t>319.552917573661 1051.65018172954 -836.665525354069</t>
  </si>
  <si>
    <t>348.99645568994 1149.82973471197 -537.199276907696</t>
  </si>
  <si>
    <t>498.309674332206 941.423183755474 -493.446890892678</t>
  </si>
  <si>
    <t>166.832482935993 908.993235323013 -815.109993652031</t>
  </si>
  <si>
    <t>56.955257394415 821.916892732588 -770.954476314179</t>
  </si>
  <si>
    <t>-11.3868368938854 850.159028677869 -463.191717333065</t>
  </si>
  <si>
    <t>117.85530558938 724.783752801445 -275.522916230469</t>
  </si>
  <si>
    <t>260.835037998244 1077.65799475932 -280.42923518485</t>
  </si>
  <si>
    <t>296.566103339049 1115.52225447305 172.28181963278</t>
  </si>
  <si>
    <t>-28.2056546892611 1229.00051861084 495.222349320501</t>
  </si>
  <si>
    <t>43.911011473688 1197.58166722973 652.56129098391</t>
  </si>
  <si>
    <t>148.057192438069 917.523340073537 -282.498107424483</t>
  </si>
  <si>
    <t>188.128479524154 954.855770817423 169.893688655055</t>
  </si>
  <si>
    <t>262.481890572686 977.5996394169 633.193089224148</t>
  </si>
  <si>
    <t>322.585996405669 831.834143680802 711.18904001199</t>
  </si>
  <si>
    <t>9763-20170724T170011.995706900.bin</t>
  </si>
  <si>
    <t>189.626510234129 1002.04456060121 -280.48767690585</t>
  </si>
  <si>
    <t>189.201104527591 1003.91554428744 -401.583215610282</t>
  </si>
  <si>
    <t>186.50831403313 992.841240966043 -522.250819803355</t>
  </si>
  <si>
    <t>183.032261556149 977.616540496445 -630.65262474807</t>
  </si>
  <si>
    <t>178.281738833239 957.307460987804 -738.169305321651</t>
  </si>
  <si>
    <t>170.207132855878 923.841244654154 -886.543183194208</t>
  </si>
  <si>
    <t>165.024214002814 886.319680834344 -981.138378713296</t>
  </si>
  <si>
    <t>195.387341860663 961.120835330214 -827.136852958456</t>
  </si>
  <si>
    <t>304.875646735724 1059.10972973029 -834.359832905515</t>
  </si>
  <si>
    <t>335.155206828355 1155.13893786602 -534.28028966174</t>
  </si>
  <si>
    <t>483.712266811904 945.720565297239 -492.845995645022</t>
  </si>
  <si>
    <t>152.172545637099 916.177321901097 -814.64800500568</t>
  </si>
  <si>
    <t>42.3772894177944 828.321773448587 -771.867484421005</t>
  </si>
  <si>
    <t>-30.1481504795231 857.566202460615 -465.157544642771</t>
  </si>
  <si>
    <t>90.8757189895234 739.849483645007 -267.324049289271</t>
  </si>
  <si>
    <t>244.479046119545 1083.00792974349 -279.731983937952</t>
  </si>
  <si>
    <t>260.247147530713 1123.50210862344 173.885987797322</t>
  </si>
  <si>
    <t>-37.1522514653225 1230.90365415316 520.696724013552</t>
  </si>
  <si>
    <t>45.641476005376 1192.00274478597 670.947957085435</t>
  </si>
  <si>
    <t>134.56498651359 920.312971235556 -280.932509089374</t>
  </si>
  <si>
    <t>182.036976297777 957.901914010112 170.721279535702</t>
  </si>
  <si>
    <t>262.044364680548 977.421291772118 633.264902677297</t>
  </si>
  <si>
    <t>324.293534226909 832.61950796889 711.374046420048</t>
  </si>
  <si>
    <t>9763-20170724T170012.064903100.bin</t>
  </si>
  <si>
    <t>153.396757299121 1011.85387390344 -276.529205259043</t>
  </si>
  <si>
    <t>149.75733408564 1015.52605762929 -397.529529637815</t>
  </si>
  <si>
    <t>146.666728361045 1006.03139115687 -518.322106331937</t>
  </si>
  <si>
    <t>143.896689510864 992.082160156716 -626.915827976337</t>
  </si>
  <si>
    <t>140.87080295503 972.861877216114 -734.69468150019</t>
  </si>
  <si>
    <t>136.211745725465 940.686757715778 -883.500075753534</t>
  </si>
  <si>
    <t>132.470125428887 903.701738375469 -978.374259614398</t>
  </si>
  <si>
    <t>160.20937310551 977.266176312235 -823.176274712004</t>
  </si>
  <si>
    <t>271.146809190702 1073.80426893324 -827.596365192493</t>
  </si>
  <si>
    <t>304.214246263498 1169.31793051849 -527.64661431718</t>
  </si>
  <si>
    <t>446.521129313189 955.155979259874 -488.588711422458</t>
  </si>
  <si>
    <t>116.337075759516 932.580280488269 -812.140458215426</t>
  </si>
  <si>
    <t>5.01028255486722 845.197264411686 -772.518004224351</t>
  </si>
  <si>
    <t>-76.4993721620206 882.001278068045 -468.893510504932</t>
  </si>
  <si>
    <t>27.4675583132744 775.792808504023 -255.462709092919</t>
  </si>
  <si>
    <t>206.750263408417 1093.73152576352 -275.544663388099</t>
  </si>
  <si>
    <t>179.444013126556 1134.59196979496 177.492289715218</t>
  </si>
  <si>
    <t>-59.3183479542445 1250.53198722501 565.5661913099</t>
  </si>
  <si>
    <t>40.4509893896827 1187.75071375064 696.134590283114</t>
  </si>
  <si>
    <t>99.8264843704062 928.392735388723 -276.252119279852</t>
  </si>
  <si>
    <t>167.273416663571 966.358436590112 172.821643954865</t>
  </si>
  <si>
    <t>260.436068490301 976.912570031837 633.405988251336</t>
  </si>
  <si>
    <t>325.836115049671 833.575218075199 711.640959974908</t>
  </si>
  <si>
    <t>9763-20170724T170012.097987400.bin</t>
  </si>
  <si>
    <t>131.210438761077 1017.05624651076 -273.470388523605</t>
  </si>
  <si>
    <t>125.863994395959 1020.74217354744 -394.406819064215</t>
  </si>
  <si>
    <t>122.75672879522 1011.24427830834 -515.198856980823</t>
  </si>
  <si>
    <t>120.630315493397 997.239880613654 -623.79991528521</t>
  </si>
  <si>
    <t>118.890674051185 977.887068166596 -731.583579353236</t>
  </si>
  <si>
    <t>116.673754102894 945.425445561714 -880.383130943882</t>
  </si>
  <si>
    <t>113.74510794337 908.319516560392 -975.238663065857</t>
  </si>
  <si>
    <t>139.949510278202 981.863568680971 -819.691848245611</t>
  </si>
  <si>
    <t>252.040821707256 1077.08587878637 -822.555607096582</t>
  </si>
  <si>
    <t>285.771795482498 1173.46191619259 -522.955791593477</t>
  </si>
  <si>
    <t>423.312139773163 956.219911394273 -483.833183621508</t>
  </si>
  <si>
    <t>95.3599347532556 937.714120550811 -809.396089176607</t>
  </si>
  <si>
    <t>-17.8151502667533 852.067923689963 -771.225200016093</t>
  </si>
  <si>
    <t>-103.839940617682 894.476932028282 -469.584026282357</t>
  </si>
  <si>
    <t>-10.7797638470147 790.280498944642 -250.210125482442</t>
  </si>
  <si>
    <t>184.942816394386 1098.63462356062 -273.245637155029</t>
  </si>
  <si>
    <t>140.888603830274 1139.16403199541 178.50009036741</t>
  </si>
  <si>
    <t>-74.0460220587593 1246.7545957582 583.334837143469</t>
  </si>
  <si>
    <t>36.1971629005959 1175.14076480777 700.21692571539</t>
  </si>
  <si>
    <t>77.2826585170608 932.911572750254 -272.585107237722</t>
  </si>
  <si>
    <t>159.206044408405 971.247192689414 174.042953447042</t>
  </si>
  <si>
    <t>258.712055147857 976.337777625406 633.606436455795</t>
  </si>
  <si>
    <t>324.206539812432 833.148905012522 712.034261219017</t>
  </si>
  <si>
    <t>9763-20170724T170012.164194700.bin</t>
  </si>
  <si>
    <t>80.6136544494336 1024.30992961622 -268.280888224405</t>
  </si>
  <si>
    <t>72.4498869223121 1024.35488382248 -389.116005870649</t>
  </si>
  <si>
    <t>69.8476185382394 1012.56104747588 -509.717525112205</t>
  </si>
  <si>
    <t>69.4982373263047 996.918920972311 -618.115150329702</t>
  </si>
  <si>
    <t>70.8418164948548 976.305344795978 -725.670441026883</t>
  </si>
  <si>
    <t>74.2553744248585 942.427560246859 -874.131343260534</t>
  </si>
  <si>
    <t>73.3082435588724 904.519199080029 -968.709568516967</t>
  </si>
  <si>
    <t>96.1018600148327 978.557995227227 -812.729059940864</t>
  </si>
  <si>
    <t>212.57364774878 1068.30877354966 -812.393082154768</t>
  </si>
  <si>
    <t>243.614878374214 1169.8029795119 -514.195954014986</t>
  </si>
  <si>
    <t>369.264653384008 946.32815597498 -470.457108351151</t>
  </si>
  <si>
    <t>49.3881086689446 936.276881255085 -804.154809982917</t>
  </si>
  <si>
    <t>-69.3547624716098 856.551364378523 -769.831484404868</t>
  </si>
  <si>
    <t>-157.500167805844 913.107224217338 -471.137578718953</t>
  </si>
  <si>
    <t>-90.8135538828876 810.387663191163 -241.695648980985</t>
  </si>
  <si>
    <t>135.361447693581 1106.51430717187 -271.131372454927</t>
  </si>
  <si>
    <t>77.3712973867332 1147.21616223454 179.022098842344</t>
  </si>
  <si>
    <t>-99.8823613102509 1229.56225941497 606.726129545506</t>
  </si>
  <si>
    <t>35.0336608325285 1158.69867757922 694.587042645963</t>
  </si>
  <si>
    <t>24.9758918624007 940.522200830382 -264.633064362364</t>
  </si>
  <si>
    <t>142.193996364998 975.151609062233 174.364002109065</t>
  </si>
  <si>
    <t>249.860659860387 973.501816821025 632.142527413973</t>
  </si>
  <si>
    <t>316.912123289734 831.763480806471 711.878951592303</t>
  </si>
  <si>
    <t>9763-20170724T170012.196281500.bin</t>
  </si>
  <si>
    <t>52.876376308172 1030.9864690736 -262.499206889807</t>
  </si>
  <si>
    <t>44.0675324444635 1030.621949726 -383.288592252528</t>
  </si>
  <si>
    <t>42.2348526190724 1018.2365250766 -503.845013524313</t>
  </si>
  <si>
    <t>43.1013608809355 1001.92937574336 -612.141699672637</t>
  </si>
  <si>
    <t>46.1479093208045 980.493632807941 -719.501226701396</t>
  </si>
  <si>
    <t>52.4026799082105 945.286050273425 -867.559646812844</t>
  </si>
  <si>
    <t>52.4898652969514 906.770968064382 -961.897123657628</t>
  </si>
  <si>
    <t>73.5838585566873 981.414158664676 -805.923296723596</t>
  </si>
  <si>
    <t>192.654294557721 1067.50024421215 -804.093283709995</t>
  </si>
  <si>
    <t>221.839892551968 1173.26363655285 -507.195100990703</t>
  </si>
  <si>
    <t>339.55953566705 946.268994267891 -459.680221834038</t>
  </si>
  <si>
    <t>25.6864332391933 940.314738766619 -798.173474961207</t>
  </si>
  <si>
    <t>-95.972762466585 864.073532486267 -765.898411430849</t>
  </si>
  <si>
    <t>-184.738508618701 927.362170657548 -468.742866846931</t>
  </si>
  <si>
    <t>-131.879732430727 826.053337423256 -235.109666089106</t>
  </si>
  <si>
    <t>109.14218984842 1115.31624281558 -265.705824582761</t>
  </si>
  <si>
    <t>47.3507626835356 1158.4935372083 183.710652726676</t>
  </si>
  <si>
    <t>-105.457721954605 1232.01037224645 621.482357556493</t>
  </si>
  <si>
    <t>33.9377034158656 1157.92429386024 699.094729424404</t>
  </si>
  <si>
    <t>-3.67374740079367 947.235317028726 -258.849535994558</t>
  </si>
  <si>
    <t>130.676139653819 974.827763851041 175.715165264791</t>
  </si>
  <si>
    <t>235.240080015169 970.947397083825 633.484850302605</t>
  </si>
  <si>
    <t>309.120525082829 832.865745441758 713.601129117312</t>
  </si>
  <si>
    <t>9763-20170724T170012.265111300.bin</t>
  </si>
  <si>
    <t>7.40373436149866 1054.52766576317 -263.116518733384</t>
  </si>
  <si>
    <t>-2.64368117246136 1056.35068032462 -383.795984871522</t>
  </si>
  <si>
    <t>-3.38343776139504 1044.3919318917 -504.406998573887</t>
  </si>
  <si>
    <t>-0.692773034124457 1027.67392420662 -612.611022282615</t>
  </si>
  <si>
    <t>4.94328778593695 1004.9998886792 -719.610867194431</t>
  </si>
  <si>
    <t>15.523902794924 967.188356885768 -866.778692526778</t>
  </si>
  <si>
    <t>16.9349790346926 927.301577622516 -960.534043185281</t>
  </si>
  <si>
    <t>35.7501496583741 1003.41451070209 -804.879834963425</t>
  </si>
  <si>
    <t>158.532978362689 1083.96225380718 -799.418613104799</t>
  </si>
  <si>
    <t>186.20644779332 1195.42853749731 -504.4682429788</t>
  </si>
  <si>
    <t>285.364529003435 961.805816809742 -447.633664024749</t>
  </si>
  <si>
    <t>-14.0655657782486 964.422966776836 -798.443283576747</t>
  </si>
  <si>
    <t>-140.695880938916 895.382493086033 -769.228252623937</t>
  </si>
  <si>
    <t>-231.042416499932 967.681796301145 -474.61569780704</t>
  </si>
  <si>
    <t>-204.549417394501 875.493076523243 -232.869167734229</t>
  </si>
  <si>
    <t>64.6116834272693 1138.76551847313 -269.127569651336</t>
  </si>
  <si>
    <t>-1.3176613722926 1182.85688427126 179.611750932487</t>
  </si>
  <si>
    <t>-112.294761942195 1233.90795767649 629.734731124962</t>
  </si>
  <si>
    <t>29.8559386947729 1152.85815677459 694.291655513368</t>
  </si>
  <si>
    <t>-50.6376211602039 974.658140528049 -256.462118199323</t>
  </si>
  <si>
    <t>108.196906737638 981.222194647724 170.604838906346</t>
  </si>
  <si>
    <t>190.941470007312 961.783528668157 637.514394479236</t>
  </si>
  <si>
    <t>297.07411791402 840.513904220556 708.034314675553</t>
  </si>
  <si>
    <t>9763-20170724T170012.299226200.bin</t>
  </si>
  <si>
    <t>-10.9171700256732 1069.66793519896 -263.371938192379</t>
  </si>
  <si>
    <t>-19.8203347964186 1071.60219766989 -384.13943230457</t>
  </si>
  <si>
    <t>-19.7277349667399 1059.77631218241 -504.765790899325</t>
  </si>
  <si>
    <t>-16.4147327642224 1043.19518108016 -612.973642559288</t>
  </si>
  <si>
    <t>-10.2838937090321 1020.6818161068 -719.980159013443</t>
  </si>
  <si>
    <t>0.853275820785029 983.123026415734 -867.171646833578</t>
  </si>
  <si>
    <t>2.49299182574009 942.96367750858 -960.806640271584</t>
  </si>
  <si>
    <t>21.2082300930731 1018.79265520059 -804.992214087396</t>
  </si>
  <si>
    <t>145.279225214981 1097.15912463482 -798.333198490899</t>
  </si>
  <si>
    <t>170.621127064049 1207.91587924467 -502.906496664812</t>
  </si>
  <si>
    <t>260.917210080169 971.942822724714 -441.218510676302</t>
  </si>
  <si>
    <t>-29.3573692230348 980.690740221583 -799.095739129791</t>
  </si>
  <si>
    <t>-157.896203067415 914.504938622239 -771.319092901845</t>
  </si>
  <si>
    <t>-246.764774260111 987.762550977206 -476.493839633</t>
  </si>
  <si>
    <t>-234.188921866988 905.891912120304 -229.955539850371</t>
  </si>
  <si>
    <t>47.7725251083564 1151.32825349232 -268.609981073223</t>
  </si>
  <si>
    <t>-18.820660985853 1196.61351751789 179.912322129452</t>
  </si>
  <si>
    <t>-111.990243853451 1235.50337412117 635.693225729272</t>
  </si>
  <si>
    <t>28.8481053758485 1150.97096793042 698.640199306335</t>
  </si>
  <si>
    <t>-69.1293236130255 991.758171205998 -255.989975796627</t>
  </si>
  <si>
    <t>92.5475891538078 988.250350661246 170.045161825727</t>
  </si>
  <si>
    <t>162.089949830062 963.92665848595 639.67301671232</t>
  </si>
  <si>
    <t>282.781834102214 851.868001060524 701.478208153223</t>
  </si>
  <si>
    <t>9763-20170724T170012.369147700.bin</t>
  </si>
  <si>
    <t>-41.8161475292143 1089.7345738621 -271.137786262723</t>
  </si>
  <si>
    <t>-47.2541065566306 1094.37318679845 -392.037461979402</t>
  </si>
  <si>
    <t>-45.7253183054311 1084.75005710956 -512.849762241735</t>
  </si>
  <si>
    <t>-41.9427433259777 1070.01822574406 -621.309525669195</t>
  </si>
  <si>
    <t>-36.1636814999299 1049.2531578706 -728.688537188496</t>
  </si>
  <si>
    <t>-26.3627391838893 1014.05420903378 -876.556707973622</t>
  </si>
  <si>
    <t>-25.0180392790626 973.96441332911 -970.226342895348</t>
  </si>
  <si>
    <t>-4.73978045864692 1047.79941080498 -813.734373664538</t>
  </si>
  <si>
    <t>121.94753896355 1121.98337139667 -805.966266038014</t>
  </si>
  <si>
    <t>140.530003787765 1232.15652932418 -509.81958365564</t>
  </si>
  <si>
    <t>213.111371929372 991.653731185114 -442.496080571875</t>
  </si>
  <si>
    <t>-56.6588784267278 1011.4580438409 -808.524883967281</t>
  </si>
  <si>
    <t>-187.537189790351 949.299119692485 -783.410139829699</t>
  </si>
  <si>
    <t>-271.790226628938 1019.3772195337 -486.464519929769</t>
  </si>
  <si>
    <t>-286.255924365212 965.641082863235 -232.406981440542</t>
  </si>
  <si>
    <t>20.6528046553378 1163.98391292035 -272.443805808252</t>
  </si>
  <si>
    <t>-38.8420293714144 1209.48928534792 177.0530106984</t>
  </si>
  <si>
    <t>-110.398316775931 1237.08420656457 639.093343573193</t>
  </si>
  <si>
    <t>27.8383675576649 1148.23166784854 701.857527232743</t>
  </si>
  <si>
    <t>-103.095484951758 1016.04683237884 -269.582202648901</t>
  </si>
  <si>
    <t>53.0613010675427 988.702218916687 157.647178489745</t>
  </si>
  <si>
    <t>75.6458768826915 977.720118105768 626.060762722373</t>
  </si>
  <si>
    <t>192.954311800583 861.217342662 686.138562807477</t>
  </si>
  <si>
    <t>9763-20170724T170012.395215700.bin</t>
  </si>
  <si>
    <t>-56.2726166015307 1093.15218794348 -274.837426668818</t>
  </si>
  <si>
    <t>-59.8763949384195 1099.0534260222 -395.750582926277</t>
  </si>
  <si>
    <t>-57.5082679536611 1090.37967561589 -516.621252901807</t>
  </si>
  <si>
    <t>-53.3612649127897 1076.41435310252 -625.169154578268</t>
  </si>
  <si>
    <t>-47.6003522008018 1056.34750575561 -732.681748757017</t>
  </si>
  <si>
    <t>-38.2123503382941 1022.06611599905 -880.792111301982</t>
  </si>
  <si>
    <t>-37.3200839747608 982.262676036696 -974.589037460905</t>
  </si>
  <si>
    <t>-16.1225568967857 1055.01403877477 -817.709679038753</t>
  </si>
  <si>
    <t>111.573543512379 1127.42848416632 -809.230226018913</t>
  </si>
  <si>
    <t>129.173903499868 1239.05918876255 -513.569989770861</t>
  </si>
  <si>
    <t>191.531927341544 996.56968324098 -443.196757514194</t>
  </si>
  <si>
    <t>-68.6099249994359 1019.45514421992 -812.806109161016</t>
  </si>
  <si>
    <t>-200.415855909284 959.057669591939 -788.322510671827</t>
  </si>
  <si>
    <t>-284.308390309369 1026.09797814288 -490.574666249441</t>
  </si>
  <si>
    <t>-308.899868929587 987.618695178688 -234.534250677723</t>
  </si>
  <si>
    <t>7.68533773856507 1165.43994290433 -274.298255023641</t>
  </si>
  <si>
    <t>-45.9831197919705 1210.58780879332 175.967282682879</t>
  </si>
  <si>
    <t>-110.642364940097 1237.00790277478 639.349928999887</t>
  </si>
  <si>
    <t>26.3780288288908 1145.98748921213 701.673110548525</t>
  </si>
  <si>
    <t>-119.996312225634 1019.57328665721 -275.878643147915</t>
  </si>
  <si>
    <t>29.5075283066565 980.98235953871 152.860252123117</t>
  </si>
  <si>
    <t>26.8102834993442 988.448197172972 621.501542606687</t>
  </si>
  <si>
    <t>129.804163204138 861.702847730799 686.857484115365</t>
  </si>
  <si>
    <t>9763-20170724T170012.463401200.bin</t>
  </si>
  <si>
    <t>-83.0838165436489 1093.07806404476 -280.061523939909</t>
  </si>
  <si>
    <t>-85.0501914424426 1100.1184353691 -400.951512469929</t>
  </si>
  <si>
    <t>-82.1911484334355 1092.55036491855 -521.885755158574</t>
  </si>
  <si>
    <t>-77.9912525518414 1079.61693359174 -630.559295977031</t>
  </si>
  <si>
    <t>-72.5114477914954 1060.64303022746 -738.284971661799</t>
  </si>
  <si>
    <t>-63.8119656983322 1027.96230065943 -886.798642988511</t>
  </si>
  <si>
    <t>-63.9048900215901 989.133180925286 -981.007309715597</t>
  </si>
  <si>
    <t>-40.9100630782812 1059.46542194022 -823.269220506845</t>
  </si>
  <si>
    <t>88.7278187948923 1128.10297704969 -813.391000064344</t>
  </si>
  <si>
    <t>108.916190607705 1242.02901910828 -518.773550594864</t>
  </si>
  <si>
    <t>150.620497616009 996.225929010663 -444.722567349765</t>
  </si>
  <si>
    <t>-94.4123603367336 1025.37980184198 -818.902527655964</t>
  </si>
  <si>
    <t>-227.971290681302 968.617277778295 -795.028849767571</t>
  </si>
  <si>
    <t>-310.345507741985 1032.17787845616 -496.096210355838</t>
  </si>
  <si>
    <t>-352.313125751199 1018.80685551941 -239.772252435578</t>
  </si>
  <si>
    <t>-15.1326537411276 1161.35790393275 -277.237713581106</t>
  </si>
  <si>
    <t>-58.8297178105804 1211.43352802589 173.584506857564</t>
  </si>
  <si>
    <t>-111.69511073072 1236.20816174626 639.099051646522</t>
  </si>
  <si>
    <t>22.2598395796574 1140.12907433339 700.486346702583</t>
  </si>
  <si>
    <t>-151.924993999587 1023.31198543636 -282.942394126322</t>
  </si>
  <si>
    <t>-24.4075616792682 961.270403798439 150.125549717338</t>
  </si>
  <si>
    <t>-81.8966872014205 1004.32288559878 614.486664556664</t>
  </si>
  <si>
    <t>-11.3120209630151 863.177777452875 692.199988044127</t>
  </si>
  <si>
    <t>9763-20170724T170012.496488300.bin</t>
  </si>
  <si>
    <t>-96.0347339986815 1093.07218491898 -281.543704100659</t>
  </si>
  <si>
    <t>-97.786281298612 1100.2199920928 -402.430504239074</t>
  </si>
  <si>
    <t>-95.0628934889976 1093.0261640248 -523.390891127162</t>
  </si>
  <si>
    <t>-91.076078576453 1080.55358676438 -632.126272883237</t>
  </si>
  <si>
    <t>-85.8623210032729 1062.17121207881 -739.967666688551</t>
  </si>
  <si>
    <t>-77.5551931054665 1030.45215677149 -888.712130493669</t>
  </si>
  <si>
    <t>-78.0811007171294 992.166944839143 -983.141681953501</t>
  </si>
  <si>
    <t>-54.2018857811502 1061.10468908766 -824.9313992419</t>
  </si>
  <si>
    <t>76.4715888116459 1127.47749953951 -814.302212421097</t>
  </si>
  <si>
    <t>100.331172558757 1241.58816273463 -520.030879506927</t>
  </si>
  <si>
    <t>131.946217458887 994.925999081431 -443.870919379646</t>
  </si>
  <si>
    <t>-108.25978117693 1027.86900563283 -820.863063640727</t>
  </si>
  <si>
    <t>-243.005915068386 973.789121839464 -797.158053576396</t>
  </si>
  <si>
    <t>-321.588617052163 1036.43187682797 -497.013370138735</t>
  </si>
  <si>
    <t>-370.248996934488 1031.51143570123 -241.572525141939</t>
  </si>
  <si>
    <t>-25.3741373063503 1159.49380871835 -278.546163217405</t>
  </si>
  <si>
    <t>-65.4315066573442 1211.95904544271 172.342356921927</t>
  </si>
  <si>
    <t>-112.069683530901 1235.8413675777 638.904681025286</t>
  </si>
  <si>
    <t>20.0288178905307 1137.02321196435 699.965856899784</t>
  </si>
  <si>
    <t>-167.998526737285 1026.31161774502 -284.303795447361</t>
  </si>
  <si>
    <t>-55.5593556564165 952.385367441128 151.069745334531</t>
  </si>
  <si>
    <t>-138.601548957719 1011.01259591932 610.115187033239</t>
  </si>
  <si>
    <t>-80.3651526326767 867.445704215416 693.42543174358</t>
  </si>
  <si>
    <t>9763-20170724T170012.579482400.bin</t>
  </si>
  <si>
    <t>-123.538415266627 1095.40414007747 -284.349005473976</t>
  </si>
  <si>
    <t>-123.233205239922 1101.73297390224 -405.294034284746</t>
  </si>
  <si>
    <t>-120.157427497979 1094.71252566101 -526.255938851761</t>
  </si>
  <si>
    <t>-116.452996115453 1082.83832832181 -635.068392447274</t>
  </si>
  <si>
    <t>-112.054066061801 1065.51920410944 -743.121698382912</t>
  </si>
  <si>
    <t>-105.375301529136 1035.77452845427 -892.355350321449</t>
  </si>
  <si>
    <t>-106.964954011814 998.646556556387 -987.234162027069</t>
  </si>
  <si>
    <t>-80.5330587894935 1064.26122430329 -828.134654232492</t>
  </si>
  <si>
    <t>53.3273671787597 1123.92791987185 -816.641711258558</t>
  </si>
  <si>
    <t>85.1340118213877 1237.53720268899 -522.928452420574</t>
  </si>
  <si>
    <t>97.925751263271 990.673232796692 -442.079597088497</t>
  </si>
  <si>
    <t>-136.12787049535 1033.60993049964 -824.513480710778</t>
  </si>
  <si>
    <t>-273.763675614073 987.473259548137 -800.857424500658</t>
  </si>
  <si>
    <t>-340.782185064915 1047.76911734304 -497.445044445876</t>
  </si>
  <si>
    <t>-393.935621369928 1049.39667616424 -242.85889908448</t>
  </si>
  <si>
    <t>-46.6379511873286 1155.43835362976 -280.610656762158</t>
  </si>
  <si>
    <t>-78.5303420327193 1213.17383479047 170.285303320856</t>
  </si>
  <si>
    <t>-112.754901673418 1235.16976717439 638.51867597458</t>
  </si>
  <si>
    <t>14.8761454314722 1130.26717221344 698.927823338107</t>
  </si>
  <si>
    <t>-200.472290241742 1035.58118120603 -287.454963352686</t>
  </si>
  <si>
    <t>-126.964996555165 934.969312929654 150.873341589636</t>
  </si>
  <si>
    <t>-247.782107836036 1017.13290731792 597.870431323423</t>
  </si>
  <si>
    <t>-208.336346942642 872.840720072602 690.429956470095</t>
  </si>
  <si>
    <t>9763-20170724T170012.597527500.bin</t>
  </si>
  <si>
    <t>-137.583438068875 1095.60538263573 -285.751460158159</t>
  </si>
  <si>
    <t>-135.87716700479 1101.19263602156 -406.72123284147</t>
  </si>
  <si>
    <t>-132.499132398149 1093.87171849354 -527.657284778532</t>
  </si>
  <si>
    <t>-128.940208602851 1081.9230806176 -636.466502155443</t>
  </si>
  <si>
    <t>-125.082202003874 1064.73976638868 -744.562258356837</t>
  </si>
  <si>
    <t>-119.548981370022 1035.41057409068 -893.924860524518</t>
  </si>
  <si>
    <t>-121.93277527644 998.727660119465 -988.959918508642</t>
  </si>
  <si>
    <t>-93.7228841756657 1062.81778181997 -829.622631272887</t>
  </si>
  <si>
    <t>42.0638938780244 1118.16838927535 -818.205385243089</t>
  </si>
  <si>
    <t>78.0279376290857 1231.03710145077 -524.686394725947</t>
  </si>
  <si>
    <t>81.6573749693671 985.106975333968 -440.144402089172</t>
  </si>
  <si>
    <t>-150.271565736082 1033.95807790805 -826.050595262833</t>
  </si>
  <si>
    <t>-289.386001442673 993.064758663692 -801.84774990511</t>
  </si>
  <si>
    <t>-350.628911834292 1052.6733906401 -497.081779561598</t>
  </si>
  <si>
    <t>-403.535087715498 1052.37716745164 -242.439105337513</t>
  </si>
  <si>
    <t>-58.0825335481418 1152.24411770323 -281.440114749924</t>
  </si>
  <si>
    <t>-84.5089688169933 1212.22711439294 169.515926110773</t>
  </si>
  <si>
    <t>-113.247874338741 1234.74352844492 638.273713286741</t>
  </si>
  <si>
    <t>11.9930905313245 1126.84471672814 698.407461000797</t>
  </si>
  <si>
    <t>-216.781029416847 1039.16974478278 -289.375148471001</t>
  </si>
  <si>
    <t>-166.30770841895 927.894325562389 149.632676527783</t>
  </si>
  <si>
    <t>-299.423332828196 1016.99864986498 591.662211378449</t>
  </si>
  <si>
    <t>-271.333905011133 872.409301184492 687.830876926819</t>
  </si>
  <si>
    <t>9763-20170724T170012.663710600.bin</t>
  </si>
  <si>
    <t>-166.610892313129 1092.59687583757 -287.646044595478</t>
  </si>
  <si>
    <t>-162.47591056393 1097.03979553448 -408.604447471611</t>
  </si>
  <si>
    <t>-158.947333017071 1088.89649796323 -529.483775503852</t>
  </si>
  <si>
    <t>-156.150290714135 1076.36962078558 -638.250177676968</t>
  </si>
  <si>
    <t>-153.923516775791 1058.79956263225 -746.329587569786</t>
  </si>
  <si>
    <t>-151.543440568759 1029.15144754128 -895.712656701625</t>
  </si>
  <si>
    <t>-156.110605205675 992.896190052242 -990.832145165245</t>
  </si>
  <si>
    <t>-123.317148626696 1054.50548957337 -831.577229181378</t>
  </si>
  <si>
    <t>16.4776053809271 1099.08414548888 -821.553577212602</t>
  </si>
  <si>
    <t>62.5850692468118 1210.00934417998 -528.712519478575</t>
  </si>
  <si>
    <t>47.7330581068989 967.626510197561 -435.589165924314</t>
  </si>
  <si>
    <t>-181.87602977639 1030.03377298321 -827.653291817119</t>
  </si>
  <si>
    <t>-323.482179337667 1000.13411592162 -801.810404807847</t>
  </si>
  <si>
    <t>-374.18239795775 1060.21548086612 -495.206652479395</t>
  </si>
  <si>
    <t>-428.575936007536 1050.81968305568 -241.050992978307</t>
  </si>
  <si>
    <t>-82.6378178668169 1142.09394582729 -282.361961605421</t>
  </si>
  <si>
    <t>-96.6478204154512 1205.52510184078 168.678944081105</t>
  </si>
  <si>
    <t>-114.854850099782 1233.19606366138 637.77559031597</t>
  </si>
  <si>
    <t>5.58868502853352 1119.7739129172 697.544295148853</t>
  </si>
  <si>
    <t>-250.650293732798 1042.8964229118 -292.453180555721</t>
  </si>
  <si>
    <t>-247.619528396557 920.944528359535 146.609778543069</t>
  </si>
  <si>
    <t>-393.98164399227 1014.21926269816 583.282535838994</t>
  </si>
  <si>
    <t>-391.940509047267 869.854499508467 683.771927868504</t>
  </si>
  <si>
    <t>9763-20170724T170012.695795900.bin</t>
  </si>
  <si>
    <t>-182.231849051391 1089.92667224588 -287.9620125503</t>
  </si>
  <si>
    <t>-176.936065138111 1093.47637757737 -408.904838492249</t>
  </si>
  <si>
    <t>-173.476754082419 1084.67071165083 -529.739673903471</t>
  </si>
  <si>
    <t>-171.223070175781 1071.65473463098 -638.46122112969</t>
  </si>
  <si>
    <t>-170.002408979655 1053.71676344491 -746.496249019115</t>
  </si>
  <si>
    <t>-169.490091912525 1023.69271991164 -895.822470862548</t>
  </si>
  <si>
    <t>-175.377732598753 987.515877788398 -990.899076905496</t>
  </si>
  <si>
    <t>-139.979015791225 1048.02379364909 -831.869220552097</t>
  </si>
  <si>
    <t>1.55504971753476 1086.85691892024 -822.866569060526</t>
  </si>
  <si>
    <t>55.1432606994736 1196.21624472269 -530.710647719904</t>
  </si>
  <si>
    <t>29.6385265618201 956.234144684917 -433.756561994986</t>
  </si>
  <si>
    <t>-199.454510567978 1025.93120983039 -827.631181968134</t>
  </si>
  <si>
    <t>-341.975547897087 1001.59753492627 -800.859162715068</t>
  </si>
  <si>
    <t>-387.605820104359 1062.33723250776 -493.589338139079</t>
  </si>
  <si>
    <t>-443.730366686876 1047.4219296104 -240.074779650128</t>
  </si>
  <si>
    <t>-96.0086788305421 1135.43037001837 -282.212738685393</t>
  </si>
  <si>
    <t>-103.425023794196 1201.44082081993 168.61464737797</t>
  </si>
  <si>
    <t>-115.481558831502 1232.60510069149 637.642694876511</t>
  </si>
  <si>
    <t>2.37643908953623 1116.43803708027 697.293216559737</t>
  </si>
  <si>
    <t>-268.766414348944 1044.04412812175 -293.173719816436</t>
  </si>
  <si>
    <t>-288.536548297976 922.263234307457 145.501820159006</t>
  </si>
  <si>
    <t>-435.58673762831 1014.05375746762 582.239984933466</t>
  </si>
  <si>
    <t>-447.803435953363 869.818697355213 682.192587128239</t>
  </si>
  <si>
    <t>9763-20170724T170012.765960000.bin</t>
  </si>
  <si>
    <t>-216.822332357777 1082.99421995999 -287.041545152951</t>
  </si>
  <si>
    <t>-209.816397133257 1083.77978544664 -407.946837066676</t>
  </si>
  <si>
    <t>-206.979707007461 1073.24334866079 -528.659384212802</t>
  </si>
  <si>
    <t>-206.180014181018 1059.09664107747 -637.259880536059</t>
  </si>
  <si>
    <t>-207.256472246506 1040.47390659419 -745.180575078992</t>
  </si>
  <si>
    <t>-210.780924880758 1009.9694966227 -894.368677120302</t>
  </si>
  <si>
    <t>-219.371743929628 973.923738144256 -989.289027076812</t>
  </si>
  <si>
    <t>-178.706521218504 1032.04370670641 -830.832083471967</t>
  </si>
  <si>
    <t>-34.3508866521966 1059.30271534097 -824.124530595232</t>
  </si>
  <si>
    <t>37.7719427919988 1163.02534510654 -533.907192682269</t>
  </si>
  <si>
    <t>-9.71288148742997 929.956897658518 -428.710436706448</t>
  </si>
  <si>
    <t>-239.736434739215 1014.88978770079 -825.882854631577</t>
  </si>
  <si>
    <t>-383.348964762386 1002.16507888644 -797.081205387738</t>
  </si>
  <si>
    <t>-418.693092291223 1063.93215756949 -488.663000015729</t>
  </si>
  <si>
    <t>-477.608114913782 1038.56785799216 -236.616046138768</t>
  </si>
  <si>
    <t>-126.224819244857 1119.11613534836 -280.752780713647</t>
  </si>
  <si>
    <t>-119.404908085835 1193.71642706857 168.742440600597</t>
  </si>
  <si>
    <t>-117.108901823165 1231.25378073202 637.342834894996</t>
  </si>
  <si>
    <t>-5.27618999261881 1108.9782651923 696.382240664284</t>
  </si>
  <si>
    <t>-308.205598541021 1046.80650342339 -292.500838309447</t>
  </si>
  <si>
    <t>-365.801677936346 936.332640442545 145.832182047589</t>
  </si>
  <si>
    <t>-503.320037538078 1019.68768126426 587.626333106001</t>
  </si>
  <si>
    <t>-542.385492498181 876.330357993874 681.786633735574</t>
  </si>
  <si>
    <t>9763-20170724T170012.797042800.bin</t>
  </si>
  <si>
    <t>-236.722768178501 1079.02080170225 -285.684086846306</t>
  </si>
  <si>
    <t>-229.153498353075 1078.13172359213 -406.554741395716</t>
  </si>
  <si>
    <t>-226.818459467286 1066.61829590115 -527.188643848044</t>
  </si>
  <si>
    <t>-226.877784211469 1051.86994006014 -635.712180581714</t>
  </si>
  <si>
    <t>-229.194727894346 1032.92946740796 -743.558069648771</t>
  </si>
  <si>
    <t>-234.824077410509 1002.27799674889 -892.651315033067</t>
  </si>
  <si>
    <t>-244.74870969982 966.357518737311 -987.489018651271</t>
  </si>
  <si>
    <t>-201.491067055668 1023.0900216716 -829.337183823138</t>
  </si>
  <si>
    <t>-56.0567260556054 1044.34266721109 -823.846482807162</t>
  </si>
  <si>
    <t>25.761071925484 1144.29980275851 -534.881782401418</t>
  </si>
  <si>
    <t>-32.637115139104 916.460822820633 -423.881270176742</t>
  </si>
  <si>
    <t>-263.175412055587 1008.59074687696 -824.027184145539</t>
  </si>
  <si>
    <t>-406.988219423309 1002.19197136138 -794.247433863177</t>
  </si>
  <si>
    <t>-437.948813022802 1063.8084147469 -485.328230199527</t>
  </si>
  <si>
    <t>-497.815080099049 1035.10340415894 -233.864321049272</t>
  </si>
  <si>
    <t>-144.282574752382 1109.85753405175 -279.366486328092</t>
  </si>
  <si>
    <t>-129.273068869238 1189.63446414865 169.039618923758</t>
  </si>
  <si>
    <t>-117.967513367746 1230.62964692054 637.194652982113</t>
  </si>
  <si>
    <t>-9.66828577492356 1105.02739296037 695.836784444563</t>
  </si>
  <si>
    <t>-329.582267949259 1048.57490393238 -290.891570494454</t>
  </si>
  <si>
    <t>-399.504412122937 945.848587351498 147.532674499624</t>
  </si>
  <si>
    <t>-528.984994580541 1025.67972791977 592.298148618323</t>
  </si>
  <si>
    <t>-580.927874793851 883.307071958767 681.603466445653</t>
  </si>
  <si>
    <t>9763-20170724T170012.863280900.bin</t>
  </si>
  <si>
    <t>-283.236968280475 1068.8297164207 -281.719825472161</t>
  </si>
  <si>
    <t>-274.532260023909 1064.23644063489 -402.430008738124</t>
  </si>
  <si>
    <t>-273.052832716584 1050.52412687789 -522.847401241935</t>
  </si>
  <si>
    <t>-274.664062379387 1034.39858835378 -631.162742063588</t>
  </si>
  <si>
    <t>-279.277870992531 1014.6954609508 -738.797959133083</t>
  </si>
  <si>
    <t>-288.855566889682 983.624118258369 -887.602725537515</t>
  </si>
  <si>
    <t>-301.199404904088 947.905918363593 -982.23266613187</t>
  </si>
  <si>
    <t>-253.269939745533 1001.79016509459 -824.701389300982</t>
  </si>
  <si>
    <t>-106.428190600246 1009.34287182145 -821.107209845389</t>
  </si>
  <si>
    <t>-7.62331213074299 1102.88640912896 -535.321621798924</t>
  </si>
  <si>
    <t>-87.2222471007124 889.194940475029 -410.253480992778</t>
  </si>
  <si>
    <t>-315.965597676844 992.954207152027 -818.820965531906</t>
  </si>
  <si>
    <t>-459.362132980353 999.964893075387 -787.264371879607</t>
  </si>
  <si>
    <t>-482.426120262733 1061.80856820567 -477.700875796183</t>
  </si>
  <si>
    <t>-544.254172494992 1031.70904706896 -226.875463752342</t>
  </si>
  <si>
    <t>-188.440736173367 1089.8673241497 -274.915626681643</t>
  </si>
  <si>
    <t>-153.198750474553 1179.24171656056 170.53676449497</t>
  </si>
  <si>
    <t>-119.957758649443 1229.23146584376 636.88669380745</t>
  </si>
  <si>
    <t>-19.1275691512267 1097.22993438526 694.786288887433</t>
  </si>
  <si>
    <t>-377.356715869449 1047.59080206561 -286.781689835088</t>
  </si>
  <si>
    <t>-457.790568823478 970.977055792448 155.166669677975</t>
  </si>
  <si>
    <t>-567.501183256293 1047.18535507679 605.388783157491</t>
  </si>
  <si>
    <t>-649.724801073166 912.363283029055 682.886095742477</t>
  </si>
  <si>
    <t>9763-20170724T170012.900377600.bin</t>
  </si>
  <si>
    <t>-310.319637751145 1062.03422977363 -278.843301134701</t>
  </si>
  <si>
    <t>-301.128021764507 1055.87201110639 -399.447403082865</t>
  </si>
  <si>
    <t>-300.000915965584 1041.33954441253 -519.772471908921</t>
  </si>
  <si>
    <t>-302.276169275785 1024.78901317896 -628.011716046096</t>
  </si>
  <si>
    <t>-307.895820294237 1004.98603169273 -735.580758439757</t>
  </si>
  <si>
    <t>-319.228110265921 974.123359714856 -884.305605946694</t>
  </si>
  <si>
    <t>-332.576946855129 938.700086991342 -978.909950665108</t>
  </si>
  <si>
    <t>-282.699464801402 990.716035638434 -821.510240869923</t>
  </si>
  <si>
    <t>-135.630708876573 990.56100490403 -818.476004182949</t>
  </si>
  <si>
    <t>-30.9945582783428 1081.77468892692 -534.015980018058</t>
  </si>
  <si>
    <t>-120.081609280747 876.903209674004 -400.849643387692</t>
  </si>
  <si>
    <t>-345.728418956855 984.84212215516 -815.48875984977</t>
  </si>
  <si>
    <t>-488.575097574698 998.892556075936 -783.702687779125</t>
  </si>
  <si>
    <t>-508.142992791348 1061.56077160096 -474.064122384089</t>
  </si>
  <si>
    <t>-570.379620312721 1032.39045883113 -223.230073461178</t>
  </si>
  <si>
    <t>-214.57837489346 1079.63664572134 -271.629539569818</t>
  </si>
  <si>
    <t>-166.822491878045 1172.18012673036 172.006319242227</t>
  </si>
  <si>
    <t>-120.738554940359 1228.61445549648 636.716650312371</t>
  </si>
  <si>
    <t>-22.9140034243662 1094.31324317988 694.483442245295</t>
  </si>
  <si>
    <t>-405.656507111406 1044.07486513705 -284.635586641109</t>
  </si>
  <si>
    <t>-483.431828695163 986.780276698949 160.702463881799</t>
  </si>
  <si>
    <t>-574.309090758931 1061.50609522744 615.506028271595</t>
  </si>
  <si>
    <t>-674.172329590628 934.884451720997 685.775387988932</t>
  </si>
  <si>
    <t>9763-20170724T170012.963287300.bin</t>
  </si>
  <si>
    <t>-369.088088468251 1048.73621069118 -271.168354253638</t>
  </si>
  <si>
    <t>-357.29352770011 1038.03733905406 -391.227769579025</t>
  </si>
  <si>
    <t>-355.646327697168 1020.9501397218 -511.210523099192</t>
  </si>
  <si>
    <t>-358.306634498472 1002.94752321899 -619.209039489508</t>
  </si>
  <si>
    <t>-365.160199903753 982.584872561808 -726.601932105562</t>
  </si>
  <si>
    <t>-379.092004039281 951.905851076273 -875.143906343742</t>
  </si>
  <si>
    <t>-393.941283748236 916.893578610031 -969.677509255194</t>
  </si>
  <si>
    <t>-341.279468271905 965.764867305682 -812.44567336208</t>
  </si>
  <si>
    <t>-195.250772935478 950.599859654381 -808.197995748637</t>
  </si>
  <si>
    <t>-78.5204097579142 1036.22516907543 -526.722397506263</t>
  </si>
  <si>
    <t>-183.069372984805 851.094602886172 -376.927982524716</t>
  </si>
  <si>
    <t>-404.575732784728 965.195995336137 -806.391633171111</t>
  </si>
  <si>
    <t>-545.618731554367 992.918107203343 -774.819681124438</t>
  </si>
  <si>
    <t>-558.054780582702 1060.92143715481 -465.939445792897</t>
  </si>
  <si>
    <t>-617.550413263468 1036.07379535508 -213.977185673733</t>
  </si>
  <si>
    <t>-272.201451542842 1061.56393487005 -262.327758504747</t>
  </si>
  <si>
    <t>-196.086215733103 1155.19649409224 177.10035629133</t>
  </si>
  <si>
    <t>-124.084202623254 1228.1410911056 636.365107446619</t>
  </si>
  <si>
    <t>-27.4989760665796 1091.556395081 690.766128397168</t>
  </si>
  <si>
    <t>-464.209779043305 1036.1935842899 -280.144781104727</t>
  </si>
  <si>
    <t>-543.411426073738 1015.44252128548 168.134340293984</t>
  </si>
  <si>
    <t>-610.026027346789 1069.94496369767 630.506061296515</t>
  </si>
  <si>
    <t>-724.166504992878 954.193745912706 697.715218186299</t>
  </si>
  <si>
    <t>9763-20170724T170012.999382600.bin</t>
  </si>
  <si>
    <t>-398.17836387449 1043.09761642523 -264.813209845849</t>
  </si>
  <si>
    <t>-384.4836820011 1030.89225318832 -384.52653626497</t>
  </si>
  <si>
    <t>-382.451360537015 1012.77872180661 -504.352907181018</t>
  </si>
  <si>
    <t>-385.377880670275 994.07470361877 -612.225298829972</t>
  </si>
  <si>
    <t>-393.103959896454 973.256927090621 -719.471517227914</t>
  </si>
  <si>
    <t>-408.874421285507 942.221564749573 -867.755440703238</t>
  </si>
  <si>
    <t>-424.649386258601 907.110376668554 -962.102289767567</t>
  </si>
  <si>
    <t>-370.274346862564 955.050574217549 -805.318483412763</t>
  </si>
  <si>
    <t>-224.882261586509 933.067941896536 -799.897103307723</t>
  </si>
  <si>
    <t>-104.757364638089 1013.7457600534 -518.388183117855</t>
  </si>
  <si>
    <t>-213.739859028651 839.338984409539 -359.180529408365</t>
  </si>
  <si>
    <t>-433.518571820902 956.856981260017 -798.970288594956</t>
  </si>
  <si>
    <t>-572.986357327264 990.425692704009 -767.110681049755</t>
  </si>
  <si>
    <t>-582.668711273826 1062.08623337945 -458.95940902341</t>
  </si>
  <si>
    <t>-638.40387686071 1041.45879182944 -205.759595827278</t>
  </si>
  <si>
    <t>-301.628930029771 1052.88028252042 -254.846061142765</t>
  </si>
  <si>
    <t>-210.55658700093 1141.19030260181 182.83521639702</t>
  </si>
  <si>
    <t>-129.053560371249 1228.64448894962 637.435235893137</t>
  </si>
  <si>
    <t>-30.3530389110977 1090.95650560101 684.803389659104</t>
  </si>
  <si>
    <t>-493.505978761822 1033.11661345796 -273.781075322987</t>
  </si>
  <si>
    <t>-567.218409275887 1023.13734472793 175.801646140023</t>
  </si>
  <si>
    <t>-626.562526772398 1068.33448284648 640.658281689322</t>
  </si>
  <si>
    <t>-734.99678417466 949.65068159511 712.07022893096</t>
  </si>
  <si>
    <t>9763-20170724T170013.066116100.bin</t>
  </si>
  <si>
    <t>-451.677192492269 1025.05151066656 -251.082093669285</t>
  </si>
  <si>
    <t>-436.856898669501 1010.43469976566 -370.390584718435</t>
  </si>
  <si>
    <t>-435.643901743229 990.702480423688 -489.972136705639</t>
  </si>
  <si>
    <t>-440.097137021554 970.909882691557 -597.597707053295</t>
  </si>
  <si>
    <t>-450.120423197787 949.411999339779 -704.519306759797</t>
  </si>
  <si>
    <t>-469.875900241933 917.886682795755 -852.221334464826</t>
  </si>
  <si>
    <t>-488.082738351385 882.282533794776 -945.943350985379</t>
  </si>
  <si>
    <t>-429.68193668111 928.868925936831 -790.441448483321</t>
  </si>
  <si>
    <t>-286.651651836378 895.453519826832 -784.379502408205</t>
  </si>
  <si>
    <t>-166.771200263452 967.142555082466 -500.345110162232</t>
  </si>
  <si>
    <t>-274.270360678327 815.525569919804 -318.416122019154</t>
  </si>
  <si>
    <t>-492.587475999028 934.802456184103 -783.29412455334</t>
  </si>
  <si>
    <t>-629.544454973987 977.888490022785 -751.062189013808</t>
  </si>
  <si>
    <t>-634.293650350265 1055.78918326754 -444.312900938683</t>
  </si>
  <si>
    <t>-677.900265814992 1046.68875059291 -188.075330336987</t>
  </si>
  <si>
    <t>-354.897767484536 1029.50442493758 -238.50923292178</t>
  </si>
  <si>
    <t>-231.845087529953 1087.04569937883 196.467402319914</t>
  </si>
  <si>
    <t>-147.02611307499 1220.66468169981 639.480002797364</t>
  </si>
  <si>
    <t>-42.0766529392758 1081.58732419597 663.700780020622</t>
  </si>
  <si>
    <t>-548.550556097474 1020.40533845252 -262.807630645458</t>
  </si>
  <si>
    <t>-598.855975577054 1022.68932558444 190.096171502803</t>
  </si>
  <si>
    <t>-632.167862631256 1065.46233096281 655.236012719669</t>
  </si>
  <si>
    <t>-732.692802706038 945.171983795887 735.038722316989</t>
  </si>
  <si>
    <t>9763-20170724T170013.099204900.bin</t>
  </si>
  <si>
    <t>-472.50780345951 1011.78690364168 -247.338934527933</t>
  </si>
  <si>
    <t>-457.518016623265 996.977219403622 -366.602394050778</t>
  </si>
  <si>
    <t>-456.76534093453 976.868494993921 -486.124947954225</t>
  </si>
  <si>
    <t>-461.895578246847 956.687829980391 -593.648234058906</t>
  </si>
  <si>
    <t>-472.854729925089 934.770119503072 -700.392606305811</t>
  </si>
  <si>
    <t>-494.179018885417 902.644004377853 -847.74669815509</t>
  </si>
  <si>
    <t>-513.407576257884 866.558988485525 -941.080022274332</t>
  </si>
  <si>
    <t>-453.387633818724 913.15231908364 -786.276683574057</t>
  </si>
  <si>
    <t>-311.528242909595 875.298381969674 -780.190094013895</t>
  </si>
  <si>
    <t>-192.400300660672 942.986877745482 -494.860272283161</t>
  </si>
  <si>
    <t>-294.528430828748 804.162177727844 -300.079292093561</t>
  </si>
  <si>
    <t>-516.099762680533 920.565191133182 -778.81741779539</t>
  </si>
  <si>
    <t>-652.024222051394 967.1488132116 -746.919417928138</t>
  </si>
  <si>
    <t>-652.849873356286 1047.14195212159 -440.673414628541</t>
  </si>
  <si>
    <t>-689.290426498402 1043.91971008191 -183.178220875736</t>
  </si>
  <si>
    <t>-375.421368105243 1014.21104809487 -234.010498967934</t>
  </si>
  <si>
    <t>-241.946307889915 1045.53513739039 200.570769597096</t>
  </si>
  <si>
    <t>-159.735614656519 1212.80682782927 631.969182324936</t>
  </si>
  <si>
    <t>-49.9889758383008 1075.6832064328 641.783709980596</t>
  </si>
  <si>
    <t>-568.19847238238 1009.32539222014 -259.972856694107</t>
  </si>
  <si>
    <t>-613.567166412361 1017.39073923262 193.386011048553</t>
  </si>
  <si>
    <t>-632.533629043434 1064.83672540923 658.086733231258</t>
  </si>
  <si>
    <t>-732.35013274891 944.920259752809 739.329151719332</t>
  </si>
  <si>
    <t>9763-20170724T170013.166031500.bin</t>
  </si>
  <si>
    <t>-501.664489434041 984.388226998696 -245.755302795789</t>
  </si>
  <si>
    <t>-488.057490309073 971.287197965003 -365.383892507511</t>
  </si>
  <si>
    <t>-489.386811330426 951.668323516232 -484.982986227087</t>
  </si>
  <si>
    <t>-496.679006466424 931.426492696327 -592.36973275119</t>
  </si>
  <si>
    <t>-510.069562214586 908.938215525708 -698.717461438844</t>
  </si>
  <si>
    <t>-535.046536163301 875.484786627188 -845.19968933417</t>
  </si>
  <si>
    <t>-556.644585070562 838.37912249942 -937.60998639917</t>
  </si>
  <si>
    <t>-492.83326304641 885.623325367181 -784.63415279198</t>
  </si>
  <si>
    <t>-352.125322758568 843.024804009171 -779.239195808313</t>
  </si>
  <si>
    <t>-235.807487395495 902.07909329581 -490.84888225597</t>
  </si>
  <si>
    <t>-314.834436292891 791.918106839523 -268.899796322095</t>
  </si>
  <si>
    <t>-555.156649132748 894.950788693342 -776.137534513251</t>
  </si>
  <si>
    <t>-689.144270556534 945.789318292783 -743.567178976031</t>
  </si>
  <si>
    <t>-686.141062387286 1026.3733073213 -437.489549360608</t>
  </si>
  <si>
    <t>-708.917756603644 1034.76662445319 -178.544009322377</t>
  </si>
  <si>
    <t>-404.931512472102 982.61211409913 -235.253856922419</t>
  </si>
  <si>
    <t>-273.089281003273 965.582102724378 200.619145407212</t>
  </si>
  <si>
    <t>-201.262373191769 1175.36068850735 613.722266425809</t>
  </si>
  <si>
    <t>-97.5701637834327 1033.94419669074 627.607990115049</t>
  </si>
  <si>
    <t>-599.17331055664 987.39004310009 -258.085985924472</t>
  </si>
  <si>
    <t>-632.551989615303 1014.15714108175 195.59572279952</t>
  </si>
  <si>
    <t>-633.15062624499 1065.77751750601 660.699422273086</t>
  </si>
  <si>
    <t>-731.638412042561 944.759474246699 741.929287420537</t>
  </si>
  <si>
    <t>9763-20170724T170013.198115800.bin</t>
  </si>
  <si>
    <t>-514.185530504226 971.185598451073 -247.593602563816</t>
  </si>
  <si>
    <t>-502.554452553373 958.002296925539 -367.421588235475</t>
  </si>
  <si>
    <t>-505.685059773338 938.469141810505 -487.000886018882</t>
  </si>
  <si>
    <t>-514.507810246134 918.319835614333 -594.290347579846</t>
  </si>
  <si>
    <t>-529.312556257932 895.906088659548 -700.466099982321</t>
  </si>
  <si>
    <t>-556.121210853046 862.507571275095 -846.636537544852</t>
  </si>
  <si>
    <t>-578.980089232859 824.958748180946 -938.563470291414</t>
  </si>
  <si>
    <t>-513.207732810475 872.170033959162 -786.48692147472</t>
  </si>
  <si>
    <t>-373.001014729698 828.364494243473 -781.609094975544</t>
  </si>
  <si>
    <t>-259.162525050118 886.006025203693 -491.94634533354</t>
  </si>
  <si>
    <t>-319.696278387643 790.106425294421 -257.892994965925</t>
  </si>
  <si>
    <t>-575.310733813927 882.400584030096 -777.434313860281</t>
  </si>
  <si>
    <t>-708.723545895184 934.716872294684 -744.07499185794</t>
  </si>
  <si>
    <t>-704.371891750523 1012.79068667127 -437.363865092155</t>
  </si>
  <si>
    <t>-723.157693697978 1027.37305601915 -178.372622585476</t>
  </si>
  <si>
    <t>-417.666781236098 964.277424417534 -238.234407596446</t>
  </si>
  <si>
    <t>-296.171360399537 932.595292207758 199.821253354736</t>
  </si>
  <si>
    <t>-231.976920369406 1153.33813105277 608.262290534191</t>
  </si>
  <si>
    <t>-140.660086534196 1005.74766415205 636.929420981147</t>
  </si>
  <si>
    <t>-611.921648994173 977.926803266459 -257.858891133713</t>
  </si>
  <si>
    <t>-639.54447530237 1011.5929247349 195.750295849076</t>
  </si>
  <si>
    <t>-633.203426806442 1066.35309916459 661.200147815614</t>
  </si>
  <si>
    <t>-732.805265854336 945.862436516029 741.853921196717</t>
  </si>
  <si>
    <t>9763-20170724T170013.265900800.bin</t>
  </si>
  <si>
    <t>-536.792908791227 942.049274748827 -249.786082524448</t>
  </si>
  <si>
    <t>-528.802030288866 927.899550370103 -369.801658812829</t>
  </si>
  <si>
    <t>-535.087039625938 908.349384558195 -489.253946425371</t>
  </si>
  <si>
    <t>-546.522541583096 888.480801321686 -596.349001998344</t>
  </si>
  <si>
    <t>-563.671344336487 866.587641914845 -702.280225976611</t>
  </si>
  <si>
    <t>-593.43934226435 834.109405496604 -848.085162918506</t>
  </si>
  <si>
    <t>-617.760130826408 795.890195017862 -939.358177702965</t>
  </si>
  <si>
    <t>-549.458790367426 842.368050991095 -788.499496479987</t>
  </si>
  <si>
    <t>-409.929319521907 795.990852424648 -785.525067773932</t>
  </si>
  <si>
    <t>-303.853090422122 857.457666727525 -493.710388130038</t>
  </si>
  <si>
    <t>-320.627842507298 788.109475595026 -243.607462137812</t>
  </si>
  <si>
    <t>-611.077059054379 854.591990987426 -778.642315444676</t>
  </si>
  <si>
    <t>-742.509414447332 910.452109724859 -743.494805986283</t>
  </si>
  <si>
    <t>-734.871925570474 978.859638200202 -434.547807571023</t>
  </si>
  <si>
    <t>-751.32613256034 996.920461679605 -175.61708353334</t>
  </si>
  <si>
    <t>-441.106776902817 931.174349242041 -241.586669025447</t>
  </si>
  <si>
    <t>-353.942227311133 869.938975970164 201.482462572514</t>
  </si>
  <si>
    <t>-305.17587572944 1090.72045044411 612.711450256696</t>
  </si>
  <si>
    <t>-245.247151295134 937.210289596792 674.247663708189</t>
  </si>
  <si>
    <t>-633.82750023323 955.489723088474 -256.935587869969</t>
  </si>
  <si>
    <t>-652.860241961584 998.282562482761 196.346004629051</t>
  </si>
  <si>
    <t>-631.804849432295 1066.45670544503 660.989485657835</t>
  </si>
  <si>
    <t>-734.107140684189 947.27632002191 740.197065822735</t>
  </si>
  <si>
    <t>9763-20170724T170013.299992800.bin</t>
  </si>
  <si>
    <t>-546.219755431991 927.004472672709 -248.830262102388</t>
  </si>
  <si>
    <t>-539.538750446553 912.992651956546 -368.942110312028</t>
  </si>
  <si>
    <t>-547.169439858822 893.63295769349 -488.34701693109</t>
  </si>
  <si>
    <t>-559.819586463911 873.926695122811 -595.33529314766</t>
  </si>
  <si>
    <t>-578.168692571437 852.165533980282 -701.092665559231</t>
  </si>
  <si>
    <t>-609.580494334654 819.822143554991 -846.582110310728</t>
  </si>
  <si>
    <t>-634.500045827975 781.277219967264 -937.556231097935</t>
  </si>
  <si>
    <t>-564.989899265575 827.655380171132 -787.393956310268</t>
  </si>
  <si>
    <t>-425.420339015836 781.114970401009 -786.347039849584</t>
  </si>
  <si>
    <t>-322.454651652487 844.801924276464 -493.894942363575</t>
  </si>
  <si>
    <t>-320.739490715838 789.267093337896 -239.818241451807</t>
  </si>
  <si>
    <t>-626.373642796761 840.610603883304 -777.021071154785</t>
  </si>
  <si>
    <t>-756.933766297729 897.506209922104 -740.737196601355</t>
  </si>
  <si>
    <t>-747.587366771865 962.949940756877 -431.19573224283</t>
  </si>
  <si>
    <t>-764.875459951267 975.796492789952 -172.008206466539</t>
  </si>
  <si>
    <t>-451.088686590641 914.779246264243 -241.371872857323</t>
  </si>
  <si>
    <t>-377.653485676116 829.314140534364 200.171597974173</t>
  </si>
  <si>
    <t>-337.316316163446 1038.43199135044 618.720362395916</t>
  </si>
  <si>
    <t>-290.196575173191 885.091488246381 690.900321077712</t>
  </si>
  <si>
    <t>-641.971671509358 942.607829849501 -255.361162725317</t>
  </si>
  <si>
    <t>-658.612307663052 990.38001522581 197.516925747603</t>
  </si>
  <si>
    <t>-630.695063912989 1066.12605079115 660.781219241788</t>
  </si>
  <si>
    <t>-734.888314415719 948.005010505842 739.105566149301</t>
  </si>
  <si>
    <t>9763-20170724T170013.366175500.bin</t>
  </si>
  <si>
    <t>-561.258257940263 894.217427702238 -245.458207606019</t>
  </si>
  <si>
    <t>-556.515679944294 881.068047814085 -365.75955263604</t>
  </si>
  <si>
    <t>-566.422397002613 862.16569869693 -485.07055815041</t>
  </si>
  <si>
    <t>-581.229616498466 842.649158164654 -591.816550080969</t>
  </si>
  <si>
    <t>-601.806925985401 820.81825361033 -697.148588274427</t>
  </si>
  <si>
    <t>-636.366229630434 788.075054514663 -841.832854997216</t>
  </si>
  <si>
    <t>-662.379591358493 748.952441271501 -932.252610283527</t>
  </si>
  <si>
    <t>-590.558181592138 795.737691055438 -783.559116005938</t>
  </si>
  <si>
    <t>-450.497238978831 751.120757614569 -786.322766838795</t>
  </si>
  <si>
    <t>-350.98425055179 815.146565141069 -492.751522911143</t>
  </si>
  <si>
    <t>-325.801048659626 791.182485407007 -235.004383381929</t>
  </si>
  <si>
    <t>-651.591469907404 809.38800199204 -772.069996871383</t>
  </si>
  <si>
    <t>-781.427942257149 866.35893642514 -733.084697773371</t>
  </si>
  <si>
    <t>-768.252864508689 931.177657593767 -423.551062925374</t>
  </si>
  <si>
    <t>-788.933051203019 929.744302382781 -164.297647889993</t>
  </si>
  <si>
    <t>-465.231060878159 874.033538178228 -239.634555263391</t>
  </si>
  <si>
    <t>-429.573234605811 753.791042946608 198.461214470728</t>
  </si>
  <si>
    <t>-404.358702780046 910.675777251658 640.565660087014</t>
  </si>
  <si>
    <t>-375.448052494351 754.893096574756 716.981680816271</t>
  </si>
  <si>
    <t>-656.008774946893 914.564532915562 -250.948821918574</t>
  </si>
  <si>
    <t>-667.978347934306 972.635515512947 200.872142052409</t>
  </si>
  <si>
    <t>-627.486145348537 1064.83493280979 660.269387584882</t>
  </si>
  <si>
    <t>-735.33928875083 948.487231543877 736.2592967918</t>
  </si>
  <si>
    <t>9763-20170724T170013.399262300.bin</t>
  </si>
  <si>
    <t>-567.323158273926 877.620953686015 -243.177021038186</t>
  </si>
  <si>
    <t>-563.237507596631 864.937477424317 -363.552434127286</t>
  </si>
  <si>
    <t>-573.89928047065 846.228756461434 -482.828953988966</t>
  </si>
  <si>
    <t>-589.410672882583 826.749303299143 -589.481602496724</t>
  </si>
  <si>
    <t>-610.700284815931 804.799788711289 -694.647302110781</t>
  </si>
  <si>
    <t>-646.246014779307 771.715076811949 -839.0145890521</t>
  </si>
  <si>
    <t>-672.513279676282 732.337491339016 -929.249904811708</t>
  </si>
  <si>
    <t>-600.054869105793 779.436751297991 -781.051844817274</t>
  </si>
  <si>
    <t>-459.746134295386 735.588303943888 -785.052874580845</t>
  </si>
  <si>
    <t>-361.599729505484 799.567506531562 -491.01194919364</t>
  </si>
  <si>
    <t>-330.570000087842 791.10385225759 -232.927538361581</t>
  </si>
  <si>
    <t>-660.981364250978 793.271407301856 -769.221152912379</t>
  </si>
  <si>
    <t>-790.583080534406 850.158463032532 -729.422662257127</t>
  </si>
  <si>
    <t>-776.68001907492 913.469880021939 -419.608991975991</t>
  </si>
  <si>
    <t>-798.755608502644 906.937698200059 -160.549010165546</t>
  </si>
  <si>
    <t>-471.724994171796 855.414752576631 -237.364455000172</t>
  </si>
  <si>
    <t>-455.170695233779 725.121234794449 198.992387075206</t>
  </si>
  <si>
    <t>-438.293601286038 840.242736018921 653.950867963596</t>
  </si>
  <si>
    <t>-419.670981876675 681.442645025381 727.293997817711</t>
  </si>
  <si>
    <t>-661.849987764721 900.297431396185 -248.267356266857</t>
  </si>
  <si>
    <t>-671.873408597038 963.287140838218 202.9415587325</t>
  </si>
  <si>
    <t>-625.788422106749 1064.06088967488 660.027469024089</t>
  </si>
  <si>
    <t>-735.376943821385 948.560806627133 734.817930197733</t>
  </si>
  <si>
    <t>9763-20170724T170013.467360400.bin</t>
  </si>
  <si>
    <t>-581.344964061216 842.137594389484 -236.27564543545</t>
  </si>
  <si>
    <t>-578.596253419164 830.151335818949 -356.760405307125</t>
  </si>
  <si>
    <t>-590.351484181524 811.579409137959 -475.955505469053</t>
  </si>
  <si>
    <t>-606.721480347024 791.945214776147 -582.451338232918</t>
  </si>
  <si>
    <t>-628.714057549941 769.530402764294 -687.373896316493</t>
  </si>
  <si>
    <t>-665.053657135039 735.447243408024 -831.310674132105</t>
  </si>
  <si>
    <t>-691.344531729706 695.403129602308 -921.245433194938</t>
  </si>
  <si>
    <t>-618.629088505367 743.100803970919 -773.525721447547</t>
  </si>
  <si>
    <t>-478.391526058803 699.070804860654 -777.965671242508</t>
  </si>
  <si>
    <t>-381.647901380894 766.783484310659 -484.29602768889</t>
  </si>
  <si>
    <t>-344.019844252294 778.493017206662 -227.218111060042</t>
  </si>
  <si>
    <t>-679.319998475015 757.954937713512 -761.720451759644</t>
  </si>
  <si>
    <t>-808.509403994512 815.877942406203 -722.037166019514</t>
  </si>
  <si>
    <t>-795.400766088362 870.518367965274 -410.542687453216</t>
  </si>
  <si>
    <t>-818.703968102198 859.175034401997 -151.75634646789</t>
  </si>
  <si>
    <t>-486.732723786891 815.627624111611 -230.225391716649</t>
  </si>
  <si>
    <t>-497.319089648964 677.390743083199 203.866950206641</t>
  </si>
  <si>
    <t>-506.631930177669 693.832855512005 672.788119342437</t>
  </si>
  <si>
    <t>-511.692783074142 531.274343067849 739.815199624079</t>
  </si>
  <si>
    <t>-675.736750471848 869.120990393556 -241.072093139197</t>
  </si>
  <si>
    <t>-680.123462220042 943.62749383261 208.469032988864</t>
  </si>
  <si>
    <t>-623.185190345651 1062.40718862913 659.844049952779</t>
  </si>
  <si>
    <t>-735.736011518622 948.83312144252 733.170068939821</t>
  </si>
  <si>
    <t>9763-20170724T170013.495437200.bin</t>
  </si>
  <si>
    <t>-589.893378659715 821.598507421977 -231.540877279719</t>
  </si>
  <si>
    <t>-587.731534572537 809.715841817594 -352.047796023144</t>
  </si>
  <si>
    <t>-599.731011094845 791.081117067975 -471.208881086437</t>
  </si>
  <si>
    <t>-616.171019953182 771.29778996238 -577.666370948153</t>
  </si>
  <si>
    <t>-638.071436564582 748.624774771263 -682.552734948009</t>
  </si>
  <si>
    <t>-674.105480237998 714.054916838752 -826.450065555921</t>
  </si>
  <si>
    <t>-700.025843020525 673.622113163084 -916.318517000867</t>
  </si>
  <si>
    <t>-627.881612995951 721.508561316194 -768.4783782365</t>
  </si>
  <si>
    <t>-487.883269145674 676.780948007545 -772.469336761625</t>
  </si>
  <si>
    <t>-391.393928089983 749.064154187017 -479.807013847092</t>
  </si>
  <si>
    <t>-349.530178761511 765.553566816023 -223.647764860234</t>
  </si>
  <si>
    <t>-688.441442756529 737.193498613809 -757.081619402192</t>
  </si>
  <si>
    <t>-817.280733703231 796.55055373755 -718.251116247686</t>
  </si>
  <si>
    <t>-804.709617005742 844.748645638099 -405.672899954756</t>
  </si>
  <si>
    <t>-829.285845397291 832.678551757358 -147.037357301399</t>
  </si>
  <si>
    <t>-496.312781697158 791.55493845509 -225.57406552101</t>
  </si>
  <si>
    <t>-514.697372274256 656.020413639671 209.109910236191</t>
  </si>
  <si>
    <t>-536.980407610839 624.952854796872 677.680799849422</t>
  </si>
  <si>
    <t>-553.915785822208 460.620337791761 738.108850823658</t>
  </si>
  <si>
    <t>-683.551782457909 851.188502963415 -236.083804791787</t>
  </si>
  <si>
    <t>-685.177650289272 932.135812052708 212.360749611438</t>
  </si>
  <si>
    <t>-622.286432507202 1061.4810747907 659.927362929307</t>
  </si>
  <si>
    <t>-735.835440577483 948.795912981506 733.08559914846</t>
  </si>
  <si>
    <t>9763-20170724T170013.566281800.bin</t>
  </si>
  <si>
    <t>-608.77204165836 775.488622160407 -219.00063058705</t>
  </si>
  <si>
    <t>-607.313585575666 763.225174794715 -339.480089998719</t>
  </si>
  <si>
    <t>-619.217572316597 744.262096827628 -458.598619726083</t>
  </si>
  <si>
    <t>-635.23356927973 724.155750287392 -565.060352011818</t>
  </si>
  <si>
    <t>-656.353921194578 701.101050958001 -670.02342479105</t>
  </si>
  <si>
    <t>-690.920851294183 665.910520325763 -814.130243057876</t>
  </si>
  <si>
    <t>-715.434033267613 624.87311458256 -904.119120753357</t>
  </si>
  <si>
    <t>-645.513664292865 672.621544847282 -755.427064520137</t>
  </si>
  <si>
    <t>-506.114077316556 625.812603495966 -757.132246407126</t>
  </si>
  <si>
    <t>-410.136672590036 705.397006824844 -466.201156655005</t>
  </si>
  <si>
    <t>-366.208520517875 725.657329533003 -210.658780441852</t>
  </si>
  <si>
    <t>-705.738420524417 690.341034871878 -745.307873160806</t>
  </si>
  <si>
    <t>-833.573221696306 753.311267636923 -709.03146916075</t>
  </si>
  <si>
    <t>-821.969970588842 789.562960054514 -394.806528232506</t>
  </si>
  <si>
    <t>-850.035830957481 772.811842131113 -136.787660648754</t>
  </si>
  <si>
    <t>-516.966793302975 739.77179602051 -212.864626495212</t>
  </si>
  <si>
    <t>-545.824102094864 615.749256306734 224.677771349634</t>
  </si>
  <si>
    <t>-579.853705705855 507.763274059331 681.168443243237</t>
  </si>
  <si>
    <t>-616.134197571178 339.674827899253 718.229611164156</t>
  </si>
  <si>
    <t>-700.267619702838 811.520739106064 -223.247171292988</t>
  </si>
  <si>
    <t>-698.212300191609 903.814658481906 222.998626830343</t>
  </si>
  <si>
    <t>-621.107757278669 1059.10125826504 660.28559437006</t>
  </si>
  <si>
    <t>-737.097999718804 949.471698616378 734.252725981927</t>
  </si>
  <si>
    <t>9763-20170724T170013.597365700.bin</t>
  </si>
  <si>
    <t>-618.941732485595 750.520689915915 -211.210653463763</t>
  </si>
  <si>
    <t>-617.896806873891 738.695210722303 -331.738098585874</t>
  </si>
  <si>
    <t>-629.640305092665 719.995474711705 -450.914360691338</t>
  </si>
  <si>
    <t>-645.273316150033 700.04230333346 -557.461758427414</t>
  </si>
  <si>
    <t>-665.764757609271 677.046378506278 -662.562358914153</t>
  </si>
  <si>
    <t>-699.196520277334 641.830637931609 -806.930597023076</t>
  </si>
  <si>
    <t>-722.715555601017 600.506482864181 -897.053510090921</t>
  </si>
  <si>
    <t>-654.386285303714 648.0291061652 -747.714485823869</t>
  </si>
  <si>
    <t>-515.639558948556 599.395037332756 -747.284261459432</t>
  </si>
  <si>
    <t>-420.682579191328 680.531674494 -456.447289213133</t>
  </si>
  <si>
    <t>-378.042760209021 700.674424847532 -200.677480035636</t>
  </si>
  <si>
    <t>-714.421700283988 666.795976555039 -738.389645451326</t>
  </si>
  <si>
    <t>-841.599446636822 731.88914503755 -703.649312778987</t>
  </si>
  <si>
    <t>-831.489984770264 764.795602291932 -389.004728853544</t>
  </si>
  <si>
    <t>-862.687029024394 744.081853279596 -131.633942953229</t>
  </si>
  <si>
    <t>-527.921025479712 712.022767233575 -205.828929541053</t>
  </si>
  <si>
    <t>-561.926319498498 593.627849711917 232.900928635288</t>
  </si>
  <si>
    <t>-602.981665836327 465.961404405655 683.566927882065</t>
  </si>
  <si>
    <t>-643.587659532273 297.2877726045 712.617108618005</t>
  </si>
  <si>
    <t>-709.633222656979 789.593905086533 -215.103123188531</t>
  </si>
  <si>
    <t>-705.608664317353 886.334500676052 230.186406787949</t>
  </si>
  <si>
    <t>-620.886175346313 1057.04506229705 660.598854929426</t>
  </si>
  <si>
    <t>-737.787174699603 949.534665624215 736.223719968739</t>
  </si>
  <si>
    <t>9763-20170724T170013.664123900.bin</t>
  </si>
  <si>
    <t>-644.191329620189 694.439034292818 -192.166103671031</t>
  </si>
  <si>
    <t>-643.1102900293 685.616461832359 -312.950168208459</t>
  </si>
  <si>
    <t>-653.70137124432 668.722100459784 -432.503395672357</t>
  </si>
  <si>
    <t>-667.822446350899 649.909756812674 -539.468572135935</t>
  </si>
  <si>
    <t>-686.31157462574 627.557986542881 -645.078221356503</t>
  </si>
  <si>
    <t>-716.434041645486 592.718161201107 -790.263794184989</t>
  </si>
  <si>
    <t>-737.503017677947 551.045110589109 -880.830955468827</t>
  </si>
  <si>
    <t>-673.270403591797 597.792210772474 -729.732088636583</t>
  </si>
  <si>
    <t>-536.128978968836 544.880773685502 -723.918228694906</t>
  </si>
  <si>
    <t>-447.780354209519 623.704796377308 -430.375312087694</t>
  </si>
  <si>
    <t>-408.504236655097 641.377451210655 -173.885243111881</t>
  </si>
  <si>
    <t>-732.941084720329 618.475486299149 -722.315255398423</t>
  </si>
  <si>
    <t>-858.538600676085 688.225363826836 -691.022551830822</t>
  </si>
  <si>
    <t>-853.073693248826 719.384784408062 -376.085422754118</t>
  </si>
  <si>
    <t>-892.23854610814 690.531463406108 -120.59439152694</t>
  </si>
  <si>
    <t>-556.56906819983 649.90307573825 -189.353808201253</t>
  </si>
  <si>
    <t>-598.167856160339 544.709522363522 252.077411808707</t>
  </si>
  <si>
    <t>-640.103374742041 440.013702316334 708.279483552318</t>
  </si>
  <si>
    <t>-677.392256954833 270.373135589941 736.120220689299</t>
  </si>
  <si>
    <t>-732.290534010412 738.509225311589 -194.445938244012</t>
  </si>
  <si>
    <t>-727.715889197453 841.653554490438 249.398578845567</t>
  </si>
  <si>
    <t>-624.834598883464 1050.6764601091 660.805591453561</t>
  </si>
  <si>
    <t>-740.797141167614 949.972329221359 746.565984210901</t>
  </si>
  <si>
    <t>9763-20170724T170013.698214900.bin</t>
  </si>
  <si>
    <t>-658.178864758838 662.683818759063 -182.96731867528</t>
  </si>
  <si>
    <t>-657.714660793289 655.546674773219 -303.866764502426</t>
  </si>
  <si>
    <t>-667.81718738409 639.892013028216 -423.630805468438</t>
  </si>
  <si>
    <t>-681.055627738151 622.037510809353 -530.872576108681</t>
  </si>
  <si>
    <t>-698.22390592935 600.489839976666 -636.871666835191</t>
  </si>
  <si>
    <t>-726.058610451082 566.61577408588 -782.740750034439</t>
  </si>
  <si>
    <t>-745.894366288771 525.174876051697 -873.69217990684</t>
  </si>
  <si>
    <t>-683.993036843189 570.847270972744 -721.377066631219</t>
  </si>
  <si>
    <t>-547.827994158582 515.866653943561 -712.513972598446</t>
  </si>
  <si>
    <t>-464.993364272218 591.155386588388 -416.446145055025</t>
  </si>
  <si>
    <t>-429.145601899156 605.97483385892 -159.274237693163</t>
  </si>
  <si>
    <t>-743.492208945794 592.360687250561 -715.019289246621</t>
  </si>
  <si>
    <t>-868.549895652164 663.909407258575 -685.654579935536</t>
  </si>
  <si>
    <t>-865.892503496865 696.524683629972 -370.828753757931</t>
  </si>
  <si>
    <t>-909.869578307044 666.11158910117 -116.303455735034</t>
  </si>
  <si>
    <t>-571.19679264285 616.634996642605 -180.623360403286</t>
  </si>
  <si>
    <t>-613.062160673494 530.737100634962 264.939739507259</t>
  </si>
  <si>
    <t>-653.494832073193 439.247638959162 721.980985341331</t>
  </si>
  <si>
    <t>-691.933815033271 271.14412381823 756.725766882673</t>
  </si>
  <si>
    <t>-745.728219422665 708.222753597073 -183.891640156476</t>
  </si>
  <si>
    <t>-744.062271443543 812.898961515468 259.614652732277</t>
  </si>
  <si>
    <t>-630.664430014389 1046.31600412495 653.547229021691</t>
  </si>
  <si>
    <t>-742.950788307576 950.293487925416 749.01941827615</t>
  </si>
  <si>
    <t>9763-20170724T170013.775425300.bin</t>
  </si>
  <si>
    <t>-701.864535769216 602.165126253749 -187.586320813858</t>
  </si>
  <si>
    <t>-704.529568085726 601.490762203631 -308.665905372594</t>
  </si>
  <si>
    <t>-713.927367079261 590.110859840847 -428.968478816942</t>
  </si>
  <si>
    <t>-725.011892046905 575.320885290153 -536.918814555438</t>
  </si>
  <si>
    <t>-738.531502594013 556.090326613777 -643.887222898087</t>
  </si>
  <si>
    <t>-759.759765882373 524.705267081755 -791.414632104367</t>
  </si>
  <si>
    <t>-776.588754396754 483.745681460258 -883.1866392512</t>
  </si>
  <si>
    <t>-720.749010407539 527.17872813811 -727.972169934811</t>
  </si>
  <si>
    <t>-587.094536591573 467.652119399321 -712.098162203568</t>
  </si>
  <si>
    <t>-517.219762087321 532.414898256327 -410.254648237293</t>
  </si>
  <si>
    <t>-490.104283082986 538.744892384191 -151.668608935842</t>
  </si>
  <si>
    <t>-779.984808899295 550.005708074097 -724.304672169819</t>
  </si>
  <si>
    <t>-903.367798882595 625.934523530746 -699.601675351798</t>
  </si>
  <si>
    <t>-908.406405844771 658.11088670177 -384.759639632845</t>
  </si>
  <si>
    <t>-959.09213305059 634.652821790155 -130.746346263025</t>
  </si>
  <si>
    <t>-614.175056557726 556.958838375998 -193.656630970895</t>
  </si>
  <si>
    <t>-634.584320650355 510.099047669871 259.162636178081</t>
  </si>
  <si>
    <t>-674.034648018701 436.23643348167 714.171921618165</t>
  </si>
  <si>
    <t>-720.581114690267 277.797762282474 774.78648906368</t>
  </si>
  <si>
    <t>-791.960874384996 648.807906698042 -180.028293830183</t>
  </si>
  <si>
    <t>-796.483861280654 736.881601956702 267.051395441848</t>
  </si>
  <si>
    <t>-662.286068636634 1024.94407936422 616.791791809431</t>
  </si>
  <si>
    <t>-750.056791811275 948.919199178204 748.928320625259</t>
  </si>
  <si>
    <t>9763-20170724T170013.796481100.bin</t>
  </si>
  <si>
    <t>-735.866550453713 582.273970046883 -190.098118036002</t>
  </si>
  <si>
    <t>-740.345039217159 583.805414138361 -311.116318672436</t>
  </si>
  <si>
    <t>-749.539612343126 574.173940394564 -431.587314236468</t>
  </si>
  <si>
    <t>-759.666179017343 560.814567143605 -539.817787493165</t>
  </si>
  <si>
    <t>-771.479643792005 542.886456228349 -647.21360660673</t>
  </si>
  <si>
    <t>-789.58122988788 513.195094612041 -795.506432155887</t>
  </si>
  <si>
    <t>-805.061440398565 472.540019691264 -887.650429377342</t>
  </si>
  <si>
    <t>-752.04296903379 514.614585344527 -731.149724515161</t>
  </si>
  <si>
    <t>-619.951645378806 452.584533063255 -712.992488105643</t>
  </si>
  <si>
    <t>-556.707188793428 509.735392864277 -408.164566699503</t>
  </si>
  <si>
    <t>-533.633645075051 509.904714894132 -149.109245163787</t>
  </si>
  <si>
    <t>-811.100725837625 538.050570309258 -728.633246481761</t>
  </si>
  <si>
    <t>-934.404082176492 615.353293714162 -707.47952506564</t>
  </si>
  <si>
    <t>-942.20057263081 646.356728428271 -392.576022495122</t>
  </si>
  <si>
    <t>-994.625712735218 628.780097997777 -138.440813984158</t>
  </si>
  <si>
    <t>-642.910958447686 536.688573225527 -199.236312001059</t>
  </si>
  <si>
    <t>-662.896194422878 507.908299462079 255.109350245367</t>
  </si>
  <si>
    <t>-693.475370757666 443.989903038824 714.913657814071</t>
  </si>
  <si>
    <t>-745.246557804129 290.705980534859 783.958977889116</t>
  </si>
  <si>
    <t>-830.669424137255 629.558086340597 -178.917862399553</t>
  </si>
  <si>
    <t>-843.790240625406 690.210706598319 272.531783647038</t>
  </si>
  <si>
    <t>-694.091132371065 1004.13865252359 592.506899134743</t>
  </si>
  <si>
    <t>-755.178278353234 948.716735638064 747.878345568511</t>
  </si>
  <si>
    <t>9763-20170724T170013.865220300.bin</t>
  </si>
  <si>
    <t>-759.045300289492 519.665584300469 -206.330406091358</t>
  </si>
  <si>
    <t>-764.631404609701 524.751814264125 -327.205165092395</t>
  </si>
  <si>
    <t>-773.275581777333 517.449715417512 -447.880548250953</t>
  </si>
  <si>
    <t>-782.270334887278 505.723963745405 -556.399868690623</t>
  </si>
  <si>
    <t>-792.336431696608 488.972352784472 -664.16306172295</t>
  </si>
  <si>
    <t>-807.385149231659 460.456063981217 -813.026701834533</t>
  </si>
  <si>
    <t>-820.604874179969 419.940552745569 -905.583226572097</t>
  </si>
  <si>
    <t>-771.496428554115 460.578281573644 -747.720408333609</t>
  </si>
  <si>
    <t>-642.125481148532 393.893149036068 -727.95110166869</t>
  </si>
  <si>
    <t>-588.548232013361 435.381304716524 -418.767766902714</t>
  </si>
  <si>
    <t>-576.464445146696 415.891866791595 -159.699758473127</t>
  </si>
  <si>
    <t>-829.95669555696 485.569001745827 -746.597836113732</t>
  </si>
  <si>
    <t>-952.63972249037 565.159275069802 -729.959376556927</t>
  </si>
  <si>
    <t>-967.326527433333 601.015540392791 -415.817924850147</t>
  </si>
  <si>
    <t>-1023.3036942176 591.456224585382 -162.012427755875</t>
  </si>
  <si>
    <t>-659.465695543154 467.91277902713 -218.264609147312</t>
  </si>
  <si>
    <t>-659.387778587016 479.091904570072 237.292984523687</t>
  </si>
  <si>
    <t>-685.456292373611 435.87580103818 696.937874653709</t>
  </si>
  <si>
    <t>-737.991727553293 285.920560532877 772.416409602362</t>
  </si>
  <si>
    <t>-855.095975016293 568.76687953704 -195.228556666738</t>
  </si>
  <si>
    <t>-893.217902672469 560.805820024565 258.799024895507</t>
  </si>
  <si>
    <t>-693.171517944892 900.794962705241 511.04562517942</t>
  </si>
  <si>
    <t>-707.955440902479 884.823837697235 685.601807336802</t>
  </si>
  <si>
    <t>9763-20170724T170013.899310200.bin</t>
  </si>
  <si>
    <t>-752.428007204859 482.925755558136 -218.116029092438</t>
  </si>
  <si>
    <t>-757.140295739283 489.524793952801 -338.954948203021</t>
  </si>
  <si>
    <t>-765.253421362394 482.618369113227 -459.690436176244</t>
  </si>
  <si>
    <t>-773.914137077563 470.804150964508 -568.227333004944</t>
  </si>
  <si>
    <t>-783.794922741468 453.524499834265 -675.924241874856</t>
  </si>
  <si>
    <t>-798.743640166605 423.822988106633 -824.565975028808</t>
  </si>
  <si>
    <t>-811.047762204377 382.669980006034 -916.96751033051</t>
  </si>
  <si>
    <t>-763.004181391961 424.220148412353 -759.17907216635</t>
  </si>
  <si>
    <t>-634.85398172583 355.255638982378 -738.837890760887</t>
  </si>
  <si>
    <t>-583.531999873975 383.766819331727 -427.808420058458</t>
  </si>
  <si>
    <t>-575.853874916076 354.408417715278 -169.504004371772</t>
  </si>
  <si>
    <t>-821.254418319278 449.709812482412 -758.414216686743</t>
  </si>
  <si>
    <t>-942.868683976381 530.591360293932 -741.21368165098</t>
  </si>
  <si>
    <t>-962.897275596001 569.054530219604 -427.676437229296</t>
  </si>
  <si>
    <t>-1021.32674049589 562.685752552723 -174.323945075784</t>
  </si>
  <si>
    <t>-658.374468938077 436.436289356105 -228.669858506368</t>
  </si>
  <si>
    <t>-657.388620632418 460.019307041298 226.413183819932</t>
  </si>
  <si>
    <t>-686.101817184205 434.396812239281 690.388727195052</t>
  </si>
  <si>
    <t>-737.76452448804 285.261037191006 768.061283253683</t>
  </si>
  <si>
    <t>-840.285386287222 525.374068298818 -212.469495705715</t>
  </si>
  <si>
    <t>-884.675247486537 488.13770492721 239.526746449604</t>
  </si>
  <si>
    <t>-669.27009178261 828.67520991427 475.791439564443</t>
  </si>
  <si>
    <t>-682.487644061887 827.315060000185 651.196554829308</t>
  </si>
  <si>
    <t>9763-20170724T170013.966079700.bin</t>
  </si>
  <si>
    <t>-746.904940082641 427.209616247541 -240.939746358992</t>
  </si>
  <si>
    <t>-748.853915676283 435.21184193757 -361.770068665937</t>
  </si>
  <si>
    <t>-755.608167812758 428.856714977477 -482.619279704068</t>
  </si>
  <si>
    <t>-763.680074142081 417.214855627437 -591.220300983454</t>
  </si>
  <si>
    <t>-773.656443385212 399.798468564548 -698.886340031071</t>
  </si>
  <si>
    <t>-789.489590634185 369.602299528862 -847.336643231247</t>
  </si>
  <si>
    <t>-801.439177995914 327.723556175238 -939.45818680961</t>
  </si>
  <si>
    <t>-753.447157492559 370.020957639833 -782.116388468143</t>
  </si>
  <si>
    <t>-626.465080313553 298.319427149843 -762.060019129884</t>
  </si>
  <si>
    <t>-581.632370102854 285.609153109947 -448.987062948152</t>
  </si>
  <si>
    <t>-575.547061625471 238.63549866747 -193.255768446671</t>
  </si>
  <si>
    <t>-811.520700481246 395.905279993162 -781.187613106979</t>
  </si>
  <si>
    <t>-931.882741091321 478.216166801096 -762.833530247109</t>
  </si>
  <si>
    <t>-956.663518292051 516.485874215337 -449.612279575357</t>
  </si>
  <si>
    <t>-1020.38386546798 514.652043555037 -197.464672404752</t>
  </si>
  <si>
    <t>-656.405022906421 387.562302855863 -244.18485624435</t>
  </si>
  <si>
    <t>-658.127376695959 424.151079317496 210.035333206615</t>
  </si>
  <si>
    <t>-689.750434045195 431.925154565844 679.863003331726</t>
  </si>
  <si>
    <t>-737.69662412165 283.930247123207 761.973970811211</t>
  </si>
  <si>
    <t>-835.620051186335 466.434285064946 -238.93288011604</t>
  </si>
  <si>
    <t>-880.03788446048 372.396384881201 204.735388851874</t>
  </si>
  <si>
    <t>-662.971451854639 699.623725595556 461.027291591086</t>
  </si>
  <si>
    <t>-693.023899877678 705.381599409463 634.253200986119</t>
  </si>
  <si>
    <t>9763-20170724T170013.998165000.bin</t>
  </si>
  <si>
    <t>-750.961855765009 402.345023783718 -247.846065369456</t>
  </si>
  <si>
    <t>-751.423423034707 410.602586912279 -368.674053995001</t>
  </si>
  <si>
    <t>-757.387570374694 404.48409649217 -489.577176507259</t>
  </si>
  <si>
    <t>-765.070852269437 393.064580263562 -598.229949724034</t>
  </si>
  <si>
    <t>-775.012960904297 375.890097756155 -705.938035157406</t>
  </si>
  <si>
    <t>-791.191781046615 346.062167245049 -854.425446805935</t>
  </si>
  <si>
    <t>-803.330406674576 303.993799708958 -946.435811586279</t>
  </si>
  <si>
    <t>-754.972473877838 346.37634674059 -789.302779217433</t>
  </si>
  <si>
    <t>-628.359990098193 273.854594197083 -770.203628052508</t>
  </si>
  <si>
    <t>-593.32911090766 245.988986860023 -456.862691548661</t>
  </si>
  <si>
    <t>-590.383801556423 187.617497749264 -203.433860532848</t>
  </si>
  <si>
    <t>-813.093786388406 372.144033084808 -788.146017988869</t>
  </si>
  <si>
    <t>-933.748986222258 454.124511626207 -769.823108794071</t>
  </si>
  <si>
    <t>-957.601339182995 494.086683308253 -456.741105452876</t>
  </si>
  <si>
    <t>-1022.60890468703 492.085049055019 -204.923612454957</t>
  </si>
  <si>
    <t>-661.205421912244 364.52562364822 -248.541143904413</t>
  </si>
  <si>
    <t>-663.044660844669 407.836937204408 205.086924176801</t>
  </si>
  <si>
    <t>-692.5219274276 430.993400098839 676.010521064826</t>
  </si>
  <si>
    <t>-737.430131036214 283.203378482312 760.182153698989</t>
  </si>
  <si>
    <t>-841.382995768577 440.502123268329 -246.54330353832</t>
  </si>
  <si>
    <t>-882.232301453785 318.924250151229 190.729883719777</t>
  </si>
  <si>
    <t>-680.392756138583 630.338647984432 477.342379256706</t>
  </si>
  <si>
    <t>-722.824668838357 630.45707045413 648.055669541352</t>
  </si>
  <si>
    <t>9763-20170724T170014.064405200.bin</t>
  </si>
  <si>
    <t>-767.878759496351 353.131326131861 -252.610750363273</t>
  </si>
  <si>
    <t>-765.492290996495 360.702971151006 -373.460909787617</t>
  </si>
  <si>
    <t>-769.861760323973 354.166745834519 -494.410167377042</t>
  </si>
  <si>
    <t>-776.692399647339 342.522459778726 -603.096166135574</t>
  </si>
  <si>
    <t>-786.424786593987 325.308137745873 -710.817082795183</t>
  </si>
  <si>
    <t>-803.027216031732 295.646288820866 -859.291058917508</t>
  </si>
  <si>
    <t>-815.527165043377 253.422326930037 -951.181512320429</t>
  </si>
  <si>
    <t>-766.505524657028 296.158034658455 -794.338461759879</t>
  </si>
  <si>
    <t>-640.257212629605 222.864693890473 -776.759450079574</t>
  </si>
  <si>
    <t>-615.145614039411 172.363855962158 -465.302742409097</t>
  </si>
  <si>
    <t>-631.072751510216 86.011321010466 -220.493361992425</t>
  </si>
  <si>
    <t>-824.856764457004 321.383509219176 -792.853266282934</t>
  </si>
  <si>
    <t>-945.900153980029 402.783911282836 -774.325957876358</t>
  </si>
  <si>
    <t>-966.619696244305 447.642887486127 -461.684704451561</t>
  </si>
  <si>
    <t>-1031.56199720211 445.970440730911 -209.848082492201</t>
  </si>
  <si>
    <t>-677.018176860072 320.277962507904 -250.237371915892</t>
  </si>
  <si>
    <t>-677.025982713468 376.85752013208 201.931204398425</t>
  </si>
  <si>
    <t>-698.60287611646 430.094289429636 671.378768375669</t>
  </si>
  <si>
    <t>-736.374213615337 281.777445199859 758.090401233735</t>
  </si>
  <si>
    <t>-859.995637949213 386.433972463411 -252.793235074295</t>
  </si>
  <si>
    <t>-882.154873710281 220.378123477701 170.989770712072</t>
  </si>
  <si>
    <t>-737.225799667983 480.240087966106 534.159391829338</t>
  </si>
  <si>
    <t>-809.449804306459 440.597095418606 689.580212112744</t>
  </si>
  <si>
    <t>9763-20170724T170014.097492300.bin</t>
  </si>
  <si>
    <t>-777.5252151662 329.480108354239 -251.849393898162</t>
  </si>
  <si>
    <t>-774.400726907019 336.353852185328 -372.724554348638</t>
  </si>
  <si>
    <t>-778.505963914358 329.287987277785 -493.653254199601</t>
  </si>
  <si>
    <t>-785.318919764154 317.257373894707 -602.29806175326</t>
  </si>
  <si>
    <t>-795.275399954704 299.765624612467 -709.953914609907</t>
  </si>
  <si>
    <t>-812.457913266856 269.84667820042 -858.310319884026</t>
  </si>
  <si>
    <t>-825.084447197421 227.560714349669 -950.154883252622</t>
  </si>
  <si>
    <t>-775.595663438264 270.677478992759 -793.553718930215</t>
  </si>
  <si>
    <t>-648.918392818574 197.814971992671 -776.650095313032</t>
  </si>
  <si>
    <t>-625.310206009149 139.017157392646 -466.534481869251</t>
  </si>
  <si>
    <t>-652.844102391762 38.3901768664662 -228.29484486201</t>
  </si>
  <si>
    <t>-834.114653718225 295.492455043534 -791.780543220821</t>
  </si>
  <si>
    <t>-955.356414245954 376.363431768025 -772.561138063062</t>
  </si>
  <si>
    <t>-973.086330251393 422.963764068654 -459.990618888283</t>
  </si>
  <si>
    <t>-1036.99760863049 422.519805870177 -207.885114971399</t>
  </si>
  <si>
    <t>-685.562523669079 299.649785251057 -248.581918746117</t>
  </si>
  <si>
    <t>-684.141527526243 362.255255261339 202.789594202073</t>
  </si>
  <si>
    <t>-701.829223012939 430.0392778749 670.338365750412</t>
  </si>
  <si>
    <t>-735.81630153946 281.153355504886 757.638485315488</t>
  </si>
  <si>
    <t>-870.607138233492 360.063619428428 -252.448481591038</t>
  </si>
  <si>
    <t>-882.382186603093 181.166677558825 166.496508192166</t>
  </si>
  <si>
    <t>-776.472141648838 397.974630325365 569.490968412338</t>
  </si>
  <si>
    <t>-862.598962939809 332.564915760484 708.225395581557</t>
  </si>
  <si>
    <t>9763-20170724T170014.163291300.bin</t>
  </si>
  <si>
    <t>-797.452033534779 283.772374694517 -244.828081180503</t>
  </si>
  <si>
    <t>-795.208482988406 288.74513921697 -365.815799726328</t>
  </si>
  <si>
    <t>-800.184998444084 280.396958729824 -486.63021289926</t>
  </si>
  <si>
    <t>-807.8105457939 267.485099584568 -595.119793180479</t>
  </si>
  <si>
    <t>-818.629646844708 249.408377950931 -702.595602374864</t>
  </si>
  <si>
    <t>-837.083655024067 218.999666627458 -850.699399284449</t>
  </si>
  <si>
    <t>-849.757566163443 176.51497696157 -942.445819971304</t>
  </si>
  <si>
    <t>-799.43357487738 220.624573113656 -786.412948480306</t>
  </si>
  <si>
    <t>-671.550213028103 149.648623018365 -771.344592086174</t>
  </si>
  <si>
    <t>-647.060839312313 80.3127974418767 -463.482546570052</t>
  </si>
  <si>
    <t>-858.403073800542 244.284624941336 -783.92310717382</t>
  </si>
  <si>
    <t>-980.44406854235 323.707829384513 -763.155319490571</t>
  </si>
  <si>
    <t>-988.892334358812 371.842241757751 -450.428892882111</t>
  </si>
  <si>
    <t>-1046.59081461659 374.077981340667 -196.838790759116</t>
  </si>
  <si>
    <t>-703.880734052222 258.689393075328 -242.207748200097</t>
  </si>
  <si>
    <t>-698.410494212165 334.294211583331 207.137958007254</t>
  </si>
  <si>
    <t>-708.433621173067 429.936409193738 669.377574573695</t>
  </si>
  <si>
    <t>-735.3665230472 280.121556458567 757.545876981616</t>
  </si>
  <si>
    <t>-891.613410938931 309.604855042521 -244.782665209484</t>
  </si>
  <si>
    <t>-888.962492145787 126.077679319824 172.312436714992</t>
  </si>
  <si>
    <t>-867.402598942984 222.187765761301 630.797967240869</t>
  </si>
  <si>
    <t>-981.608803955955 132.055926108869 729.675223231087</t>
  </si>
  <si>
    <t>9763-20170724T170014.197379900.bin</t>
  </si>
  <si>
    <t>-807.987664993615 259.8792804901 -238.567885624897</t>
  </si>
  <si>
    <t>-807.000078326378 264.072796102392 -359.602046633</t>
  </si>
  <si>
    <t>-812.884438617079 255.175619672828 -480.336269263219</t>
  </si>
  <si>
    <t>-821.195097705731 241.864001951738 -588.7271506774</t>
  </si>
  <si>
    <t>-832.57143326735 223.486173360284 -696.094276655637</t>
  </si>
  <si>
    <t>-851.672989104969 192.762107405929 -844.050820774158</t>
  </si>
  <si>
    <t>-864.251611141835 150.080110781672 -935.718780270228</t>
  </si>
  <si>
    <t>-813.603904348642 194.88525820233 -780.02625082175</t>
  </si>
  <si>
    <t>-684.899960359542 125.200815648002 -765.994934514394</t>
  </si>
  <si>
    <t>-658.420744668898 53.6185753679817 -458.812611118401</t>
  </si>
  <si>
    <t>-872.838385972584 217.827835793303 -777.143091757653</t>
  </si>
  <si>
    <t>-995.45233683015 296.145085746156 -755.569173238999</t>
  </si>
  <si>
    <t>-998.825506512329 344.975395140208 -442.854654976996</t>
  </si>
  <si>
    <t>-1050.21935927188 348.370573401287 -187.924801551606</t>
  </si>
  <si>
    <t>-713.759094368928 236.518938557201 -237.358276045704</t>
  </si>
  <si>
    <t>-705.502066577025 319.719323309724 210.600599407662</t>
  </si>
  <si>
    <t>-711.285012358256 429.632949650241 669.03322670918</t>
  </si>
  <si>
    <t>-735.470471795552 279.726694627133 757.84018059489</t>
  </si>
  <si>
    <t>-903.218572935569 283.749234033397 -237.740633211521</t>
  </si>
  <si>
    <t>-892.936257482781 103.362579559195 180.604384064299</t>
  </si>
  <si>
    <t>-903.262016910828 131.165992874384 649.161380979189</t>
  </si>
  <si>
    <t>-1032.60587525641 40.1041395247555 726.112383239925</t>
  </si>
  <si>
    <t>9763-20170724T170014.264185300.bin</t>
  </si>
  <si>
    <t>-831.2607983429 208.459681926609 -223.289355227714</t>
  </si>
  <si>
    <t>-833.000479897318 212.451250252405 -344.321827851675</t>
  </si>
  <si>
    <t>-840.847248744916 203.180037935681 -464.916402175284</t>
  </si>
  <si>
    <t>-850.636531364699 189.461182283403 -573.132902033288</t>
  </si>
  <si>
    <t>-863.213804917445 170.609712482933 -680.283511969458</t>
  </si>
  <si>
    <t>-883.708724275221 139.159964512902 -827.900944668359</t>
  </si>
  <si>
    <t>-895.903462484335 96.0545968020701 -919.422555037289</t>
  </si>
  <si>
    <t>-844.718934345135 142.494991901801 -764.484891703111</t>
  </si>
  <si>
    <t>-713.91671924522 76.4714908118362 -752.170410185507</t>
  </si>
  <si>
    <t>-681.541853546168 4.96600951847199 -445.535388526584</t>
  </si>
  <si>
    <t>-904.56174251382 163.656172096556 -760.684774778968</t>
  </si>
  <si>
    <t>-1028.61986393192 238.905683588796 -736.86517126791</t>
  </si>
  <si>
    <t>-1025.23154909717 291.868796950158 -424.824171621369</t>
  </si>
  <si>
    <t>-1058.7851191029 302.486427660997 -167.135491625811</t>
  </si>
  <si>
    <t>-735.802047253883 189.463545720757 -224.224061781331</t>
  </si>
  <si>
    <t>-721.705362669106 286.677302205228 220.757381398798</t>
  </si>
  <si>
    <t>-719.509802898458 429.575157172333 670.160622498825</t>
  </si>
  <si>
    <t>-736.673061396676 278.979611313233 759.43489027327</t>
  </si>
  <si>
    <t>-925.957401242988 227.180005794202 -221.132453171262</t>
  </si>
  <si>
    <t>-901.974082831205 63.1129423414004 203.325465090436</t>
  </si>
  <si>
    <t>-959.114814557207 -27.2338768619065 661.923812859094</t>
  </si>
  <si>
    <t>-1098.4684482287 -130.9385949624 689.662446410265</t>
  </si>
  <si>
    <t>9763-20170724T170014.298275900.bin</t>
  </si>
  <si>
    <t>-846.492297147272 182.022874044939 -213.578493803416</t>
  </si>
  <si>
    <t>-848.905341103607 186.576310268619 -334.579527845899</t>
  </si>
  <si>
    <t>-857.483788048977 177.455137572828 -455.135581684049</t>
  </si>
  <si>
    <t>-867.961896930368 163.710086526477 -563.284242809033</t>
  </si>
  <si>
    <t>-881.261682506487 144.676221095879 -670.315472734357</t>
  </si>
  <si>
    <t>-902.799670916683 112.815657264667 -817.696070848834</t>
  </si>
  <si>
    <t>-914.944437644855 69.5072645393591 -909.128333339698</t>
  </si>
  <si>
    <t>-863.177826698571 116.89588904033 -754.716773370163</t>
  </si>
  <si>
    <t>-731.086123057867 53.3617348323139 -743.584047511156</t>
  </si>
  <si>
    <t>-923.361770866519 136.929905804111 -750.252507497771</t>
  </si>
  <si>
    <t>-1048.52082198715 209.59724312493 -724.287307418914</t>
  </si>
  <si>
    <t>-1041.0797167581 266.068910823759 -412.93248629484</t>
  </si>
  <si>
    <t>-1069.33255555399 284.470910038734 -155.046519677206</t>
  </si>
  <si>
    <t>-751.178520358063 165.68320322769 -214.852351994883</t>
  </si>
  <si>
    <t>-734.998784574953 267.722374098154 228.976328579613</t>
  </si>
  <si>
    <t>-726.894341789465 430.530302625237 672.313698120348</t>
  </si>
  <si>
    <t>-738.604537085814 279.069245090869 761.003839912542</t>
  </si>
  <si>
    <t>-940.79263530368 199.341200371228 -210.484609312531</t>
  </si>
  <si>
    <t>-916.997353118838 42.3905186221416 216.666352667711</t>
  </si>
  <si>
    <t>-988.652113094298 -82.1833237718529 664.54495658106</t>
  </si>
  <si>
    <t>-1122.40697654672 -196.148653297283 672.608633473542</t>
  </si>
  <si>
    <t>9763-20170724T170014.365485800.bin</t>
  </si>
  <si>
    <t>-881.685827978135 124.38294778518 -192.04973173494</t>
  </si>
  <si>
    <t>-883.793054156048 130.096042698406 -313.00728935253</t>
  </si>
  <si>
    <t>-893.178641018137 121.432661167258 -433.537029645761</t>
  </si>
  <si>
    <t>-904.834339812256 107.842142938625 -541.584658964105</t>
  </si>
  <si>
    <t>-919.765005945334 88.7243798757665 -648.385555770187</t>
  </si>
  <si>
    <t>-944.041459055641 56.5209165244703 -795.265127622849</t>
  </si>
  <si>
    <t>-956.158635724753 12.8651959312933 -886.535804698008</t>
  </si>
  <si>
    <t>-902.896186820403 62.0044634851513 -733.378871451184</t>
  </si>
  <si>
    <t>-767.947822194784 4.17120914884958 -725.962045185732</t>
  </si>
  <si>
    <t>-963.703573919819 79.535505181919 -727.172253295189</t>
  </si>
  <si>
    <t>-1090.72325680504 146.953940547413 -695.990544689431</t>
  </si>
  <si>
    <t>-1074.5907053231 205.083378319323 -385.270563036797</t>
  </si>
  <si>
    <t>-1091.25625975667 224.745565391054 -126.47002482705</t>
  </si>
  <si>
    <t>-785.014804581778 111.861350154438 -192.426721762808</t>
  </si>
  <si>
    <t>-762.832021249642 222.76887242365 249.008584777529</t>
  </si>
  <si>
    <t>-739.407808172852 428.702416459068 673.183741920418</t>
  </si>
  <si>
    <t>-740.982866055884 277.934435360733 763.792923741581</t>
  </si>
  <si>
    <t>-978.04306505491 136.207404424368 -190.676348045707</t>
  </si>
  <si>
    <t>-947.717969731259 -10.7220052057999 239.614029599824</t>
  </si>
  <si>
    <t>-1009.07438295365 -120.301849459137 692.36727951869</t>
  </si>
  <si>
    <t>-1120.39623950706 -256.39193420175 686.85295721512</t>
  </si>
  <si>
    <t>9763-20170724T170014.398574000.bin</t>
  </si>
  <si>
    <t>-901.665435855252 90.8735750480132 -180.916678007299</t>
  </si>
  <si>
    <t>-903.1148243327 96.5110233394746 -301.887433628124</t>
  </si>
  <si>
    <t>-912.562148588369 87.9685128309336 -422.420899739901</t>
  </si>
  <si>
    <t>-924.570562384761 74.5882912097522 -530.456206517342</t>
  </si>
  <si>
    <t>-940.15786160786 55.7982817123882 -637.221511507614</t>
  </si>
  <si>
    <t>-965.66726385039 24.1868506917642 -784.0206490658</t>
  </si>
  <si>
    <t>-923.852889564784 30.0298031843054 -722.617517517254</t>
  </si>
  <si>
    <t>-984.907415735233 46.3179685829798 -715.515676796133</t>
  </si>
  <si>
    <t>-1112.58715133734 111.195637401859 -681.736956150884</t>
  </si>
  <si>
    <t>-1091.34101351713 169.348089274252 -371.329028621672</t>
  </si>
  <si>
    <t>-1103.00308123335 184.48429641658 -111.951140037719</t>
  </si>
  <si>
    <t>-804.791958654946 80.1525231627804 -180.169681360235</t>
  </si>
  <si>
    <t>-777.498479669798 196.138703747628 259.671119983533</t>
  </si>
  <si>
    <t>-745.576850630299 425.051834118385 671.209163343489</t>
  </si>
  <si>
    <t>-742.076910982307 276.625809313682 765.554351432466</t>
  </si>
  <si>
    <t>-997.843469460789 101.275400298986 -180.658014575069</t>
  </si>
  <si>
    <t>-963.734142876545 -30.9981248499014 254.080912631383</t>
  </si>
  <si>
    <t>-1022.2475853832 -127.965575687563 706.673586617954</t>
  </si>
  <si>
    <t>-1122.37256626658 -272.40963002231 714.049250357797</t>
  </si>
  <si>
    <t>9763-20170724T170014.466360400.bin</t>
  </si>
  <si>
    <t>-935.684406877521 23.1985444433071 -174.02349159721</t>
  </si>
  <si>
    <t>-931.64894061983 26.5245909891635 -295.021344894272</t>
  </si>
  <si>
    <t>-939.225083493849 17.4889207561441 -415.650919009563</t>
  </si>
  <si>
    <t>-950.925307079852 4.42974711244779 -523.759325002804</t>
  </si>
  <si>
    <t>-1142.07808861521 38.4613633151992 -668.641135005081</t>
  </si>
  <si>
    <t>-1115.05213097148 91.6915871558581 -357.799768313587</t>
  </si>
  <si>
    <t>-1120.47968136637 103.455904466781 -98.0418094561422</t>
  </si>
  <si>
    <t>-838.014959226022 14.3462545425632 -166.964497003724</t>
  </si>
  <si>
    <t>-801.240458026305 129.849438646215 272.312503710931</t>
  </si>
  <si>
    <t>-754.163918116483 406.365535583765 652.046234363344</t>
  </si>
  <si>
    <t>-743.488281015962 272.35131677023 765.491094887508</t>
  </si>
  <si>
    <t>-1035.12486044519 30.5366532731668 -180.028242783314</t>
  </si>
  <si>
    <t>-1016.34655740708 -70.5664538102931 263.912275950401</t>
  </si>
  <si>
    <t>-1059.72308819679 -145.697179882349 722.86086209147</t>
  </si>
  <si>
    <t>-1145.20173482243 -291.424529737483 771.854692632772</t>
  </si>
  <si>
    <t>9763-20170724T170014.499428100.bin</t>
  </si>
  <si>
    <t>-1152.47260492202 5.90301772230373 -674.66992176957</t>
  </si>
  <si>
    <t>-1124.27729128097 55.8393547772043 -363.386050770805</t>
  </si>
  <si>
    <t>-1128.68549830486 65.9489119660386 -103.539192224541</t>
  </si>
  <si>
    <t>-805.767231049849 85.6647902739062 269.266814387513</t>
  </si>
  <si>
    <t>-757.173916501871 383.935929577042 629.145601314219</t>
  </si>
  <si>
    <t>-747.480538391855 269.361991757439 762.270921155315</t>
  </si>
  <si>
    <t>-1044.88346257636 8.30919156666414 -189.834200181399</t>
  </si>
  <si>
    <t>-1029.6246858954 -84.0318178528144 256.145564810796</t>
  </si>
  <si>
    <t>-1065.88414377001 -148.462208755941 716.979758352513</t>
  </si>
  <si>
    <t>-1143.49408560545 -295.207026751265 775.170396699896</t>
  </si>
  <si>
    <t>9763-20170724T170014.562633600.bin</t>
  </si>
  <si>
    <t>-815.103765552612 -28.4819928196898 262.07584928246</t>
  </si>
  <si>
    <t>-770.157008006812 323.385514123853 569.202770113841</t>
  </si>
  <si>
    <t>-742.458214875817 257.736180068489 730.033258140359</t>
  </si>
  <si>
    <t>-1055.82660010472 -111.136932336102 249.839691877728</t>
  </si>
  <si>
    <t>-1073.25799115135 -151.887046277055 713.613340150884</t>
  </si>
  <si>
    <t>-1146.83697788982 -295.333793060147 783.98852398939</t>
  </si>
  <si>
    <t>9763-20170724T170014.599728600.bin</t>
  </si>
  <si>
    <t>-819.159582670375 -85.9281598123623 258.59446288429</t>
  </si>
  <si>
    <t>-774.524160589141 290.049029663603 534.473181872226</t>
  </si>
  <si>
    <t>-733.902742565614 243.646237474402 699.215952197795</t>
  </si>
  <si>
    <t>-1064.14193463032 -125.404667149521 245.503767990353</t>
  </si>
  <si>
    <t>-1074.60941835766 -154.020931407736 712.600249211155</t>
  </si>
  <si>
    <t>-1146.53573454838 -296.241013135081 787.055548375824</t>
  </si>
  <si>
    <t>9763-20170724T170014.661900600.bin</t>
  </si>
  <si>
    <t>-820.147890230361 -179.626311314314 248.691906024829</t>
  </si>
  <si>
    <t>-798.055081049728 209.222677888073 509.074692550873</t>
  </si>
  <si>
    <t>-724.356427519878 158.384067594938 660.492798100007</t>
  </si>
  <si>
    <t>-1076.68444204007 -146.708856808975 240.115110785377</t>
  </si>
  <si>
    <t>-1074.78798665273 -157.038735450568 710.367034018018</t>
  </si>
  <si>
    <t>-1146.17637748289 -297.199739582205 789.120288185404</t>
  </si>
  <si>
    <t>9763-20170724T170014.699001200.bin</t>
  </si>
  <si>
    <t>-821.961188822981 -222.385953833885 242.688852902236</t>
  </si>
  <si>
    <t>-812.230041760126 157.322492263872 517.587416202841</t>
  </si>
  <si>
    <t>-730.308451167453 97.3788668440895 661.250665855453</t>
  </si>
  <si>
    <t>-1079.67787107616 -157.072691080193 238.546648877558</t>
  </si>
  <si>
    <t>-1074.23755920043 -158.010900418756 709.409318601668</t>
  </si>
  <si>
    <t>-1146.3567937701 -297.3149365103 789.012589855319</t>
  </si>
  <si>
    <t>9763-20170724T170014.763611200.bin</t>
  </si>
  <si>
    <t>-830.899569132346 -310.420237554522 232.228658088152</t>
  </si>
  <si>
    <t>-839.625658456634 17.1610363328268 568.505980653372</t>
  </si>
  <si>
    <t>-759.878496797952 -70.8563774730285 698.262781568581</t>
  </si>
  <si>
    <t>-1084.87539393379 -180.061110046335 237.320145296817</t>
  </si>
  <si>
    <t>-1072.31993674892 -158.867270886019 707.707930580755</t>
  </si>
  <si>
    <t>-1149.50789432409 -295.665087270644 786.903031417825</t>
  </si>
  <si>
    <t>9763-20170724T170014.796701900.bin</t>
  </si>
  <si>
    <t>-838.545690369935 -351.355837024683 228.838592453539</t>
  </si>
  <si>
    <t>-855.373948324382 -65.5878789103183 601.378971139267</t>
  </si>
  <si>
    <t>-783.137351096951 -171.818606065939 721.547249216568</t>
  </si>
  <si>
    <t>-1087.31175839816 -195.231375603244 237.939890118801</t>
  </si>
  <si>
    <t>-1070.63741295038 -159.431626695151 707.021549114931</t>
  </si>
  <si>
    <t>-1151.27904357266 -294.669157254674 785.451598492982</t>
  </si>
  <si>
    <t>9763-20170724T170014.874609100.bin</t>
  </si>
  <si>
    <t>-848.908807329564 -405.450809545363 230.609620010245</t>
  </si>
  <si>
    <t>-869.504100643928 -248.6494993109 671.521710813085</t>
  </si>
  <si>
    <t>-810.232227242153 -380.832901667296 771.311062877618</t>
  </si>
  <si>
    <t>-1091.42529897884 -228.527220150009 241.076164298708</t>
  </si>
  <si>
    <t>-1066.85334831379 -161.038250185714 706.082670306211</t>
  </si>
  <si>
    <t>-1153.16176831171 -293.745102023894 782.785028683079</t>
  </si>
  <si>
    <t>9763-20170724T170014.899674100.bin</t>
  </si>
  <si>
    <t>-849.129723817387 -423.50722497486 235.95026990947</t>
  </si>
  <si>
    <t>-868.88282970629 -345.309743124212 697.55885048567</t>
  </si>
  <si>
    <t>-817.692282366722 -488.29468858499 786.318832511894</t>
  </si>
  <si>
    <t>-1093.57524985282 -245.075442812474 243.840788283107</t>
  </si>
  <si>
    <t>-1065.22871255393 -162.064941868611 705.85097003065</t>
  </si>
  <si>
    <t>-1154.30586029603 -293.143493185978 782.187186037584</t>
  </si>
  <si>
    <t>9763-20170724T170014.961881800.bin</t>
  </si>
  <si>
    <t>-857.836060145984 -455.127442698539 252.034471699599</t>
  </si>
  <si>
    <t>-861.921704864856 -526.494575623121 717.866027353653</t>
  </si>
  <si>
    <t>-824.34163334594 -688.0866508433 776.340153639523</t>
  </si>
  <si>
    <t>-1097.16724253256 -279.131833770957 251.633484506982</t>
  </si>
  <si>
    <t>-1062.72155468736 -164.221517678709 705.983635407581</t>
  </si>
  <si>
    <t>-1155.95787602218 -292.583043401658 781.969227522881</t>
  </si>
  <si>
    <t>9763-20170724T170014.998979900.bin</t>
  </si>
  <si>
    <t>-868.303261411947 -475.655378503101 260.522342538218</t>
  </si>
  <si>
    <t>-852.128579919572 -591.110053292648 717.307473122276</t>
  </si>
  <si>
    <t>-818.526216275704 -758.346191591823 760.278001915792</t>
  </si>
  <si>
    <t>-1098.53407646945 -299.396024698517 257.01577873495</t>
  </si>
  <si>
    <t>-1061.77800714787 -165.584952935386 706.274680047832</t>
  </si>
  <si>
    <t>-1157.28326935899 -292.270279696822 782.255741643255</t>
  </si>
  <si>
    <t>9763-20170724T170015.062871600.bin</t>
  </si>
  <si>
    <t>-871.597744205924 -548.729487082591 272.357926116174</t>
  </si>
  <si>
    <t>-863.147610576679 -652.91605113007 730.421832817359</t>
  </si>
  <si>
    <t>-826.556451133657 -820.93004863736 767.515001098212</t>
  </si>
  <si>
    <t>-1101.6170799847 -350.595251269566 273.688495383206</t>
  </si>
  <si>
    <t>-1059.95511115673 -168.213224412857 706.291105362132</t>
  </si>
  <si>
    <t>-1162.43121192168 -288.957495606179 782.861484140363</t>
  </si>
  <si>
    <t>9763-20170724T170015.099975800.bin</t>
  </si>
  <si>
    <t>-874.301610286217 -589.906233255303 276.393328887443</t>
  </si>
  <si>
    <t>-870.721868355814 -668.67297434648 737.374338302606</t>
  </si>
  <si>
    <t>-838.613528034073 -835.357700909509 783.513063547623</t>
  </si>
  <si>
    <t>-1104.11484849635 -381.116226530337 283.862523887318</t>
  </si>
  <si>
    <t>-1059.61341455323 -171.308309780774 704.798448620785</t>
  </si>
  <si>
    <t>-1165.29214832174 -287.608271391672 783.854235632296</t>
  </si>
  <si>
    <t>9763-20170724T170015.166196200.bin</t>
  </si>
  <si>
    <t>-878.679546125985 -656.086403821159 286.348535118686</t>
  </si>
  <si>
    <t>-876.350988142606 -684.295761043702 756.066384278295</t>
  </si>
  <si>
    <t>-850.264675260981 -840.904860041977 831.806639064271</t>
  </si>
  <si>
    <t>-1110.81908986303 -461.668261762245 305.659692350241</t>
  </si>
  <si>
    <t>-1065.8911499758 -189.1527669581 687.693383728733</t>
  </si>
  <si>
    <t>-1171.52150261203 -287.86092943165 787.905466178818</t>
  </si>
  <si>
    <t>9763-20170724T170015.198282900.bin</t>
  </si>
  <si>
    <t>-880.129406388197 -682.714151744835 270.846489946898</t>
  </si>
  <si>
    <t>-878.788340085569 -686.381652659833 735.67913443782</t>
  </si>
  <si>
    <t>-852.768880167582 -840.321759808441 816.728163530943</t>
  </si>
  <si>
    <t>-1121.50864792606 -513.093411979246 303.25669618486</t>
  </si>
  <si>
    <t>-1079.89753044906 -206.634084598173 661.579176738716</t>
  </si>
  <si>
    <t>-1175.12303668752 -288.226686732525 784.941427730599</t>
  </si>
  <si>
    <t>9763-20170724T170015.263474800.bin</t>
  </si>
  <si>
    <t>-883.098229335134 -706.975421901836 263.604389196969</t>
  </si>
  <si>
    <t>-886.047481435894 -689.22668044497 725.654137518072</t>
  </si>
  <si>
    <t>-857.481583958179 -841.343473755663 809.248437628433</t>
  </si>
  <si>
    <t>-1129.32574073344 -646.75556108328 287.806002727019</t>
  </si>
  <si>
    <t>-1061.86651335834 -287.926195891789 582.248662310258</t>
  </si>
  <si>
    <t>-1115.65198663997 -317.251467415547 747.144564692336</t>
  </si>
  <si>
    <t>9763-20170724T170015.295582700.bin</t>
  </si>
  <si>
    <t>-876.675841911612 -721.772505709002 256.299577760509</t>
  </si>
  <si>
    <t>-887.799752124238 -689.922923470712 721.390403544734</t>
  </si>
  <si>
    <t>-857.834901063869 -841.564548598074 805.357232783111</t>
  </si>
  <si>
    <t>-1108.53147750251 -713.336686536959 268.500670959148</t>
  </si>
  <si>
    <t>-1027.41543666976 -343.799894026919 543.014855988964</t>
  </si>
  <si>
    <t>-1075.78377578453 -354.591291242199 711.79745600398</t>
  </si>
  <si>
    <t>9763-20170724T170015.367790200.bin</t>
  </si>
  <si>
    <t>-866.711536645462 -749.634438942034 246.340496829595</t>
  </si>
  <si>
    <t>-889.216322843516 -691.58933548529 713.262655169847</t>
  </si>
  <si>
    <t>-857.888019610199 -842.060483019452 798.822437382786</t>
  </si>
  <si>
    <t>-1075.50268365331 -820.470898163395 236.891110074647</t>
  </si>
  <si>
    <t>-991.533498883226 -453.498245016023 516.555335494215</t>
  </si>
  <si>
    <t>-1040.39445792239 -466.455074599984 685.043446181064</t>
  </si>
  <si>
    <t>9763-20170724T170015.397872300.bin</t>
  </si>
  <si>
    <t>-864.982765610405 -763.463651785428 244.297409574034</t>
  </si>
  <si>
    <t>-889.806946302605 -692.554459821451 710.260144451654</t>
  </si>
  <si>
    <t>-857.514184768231 -842.352805891369 796.637992213028</t>
  </si>
  <si>
    <t>-1065.30972093548 -870.007884575914 225.920717954452</t>
  </si>
  <si>
    <t>-994.305847236494 -520.152750122342 529.631304266136</t>
  </si>
  <si>
    <t>-1045.04316390708 -544.153703185972 696.34424742912</t>
  </si>
  <si>
    <t>9763-20170724T170015.462894500.bin</t>
  </si>
  <si>
    <t>-862.490263850195 -785.45170197503 244.367047692991</t>
  </si>
  <si>
    <t>-892.224576821649 -694.570618391355 706.632822714728</t>
  </si>
  <si>
    <t>-856.933379577533 -842.936213416355 794.300908373146</t>
  </si>
  <si>
    <t>-1041.57101753543 -948.080626097851 212.925735845603</t>
  </si>
  <si>
    <t>-1017.42463973757 -655.908793049312 580.117824977339</t>
  </si>
  <si>
    <t>-1079.8538404864 -722.41695757251 730.52649701416</t>
  </si>
  <si>
    <t>9763-20170724T170015.495988300.bin</t>
  </si>
  <si>
    <t>-861.637120882927 -796.348399471518 245.703001794782</t>
  </si>
  <si>
    <t>-894.169727728501 -695.80163657016 705.678076656955</t>
  </si>
  <si>
    <t>-856.631726936268 -843.304380505561 793.867441438011</t>
  </si>
  <si>
    <t>-1030.66447230043 -977.56255413435 211.291677114634</t>
  </si>
  <si>
    <t>-1040.7068022148 -732.743195206514 612.266325882955</t>
  </si>
  <si>
    <t>-1108.21793149583 -822.289077665323 747.792318897488</t>
  </si>
  <si>
    <t>9763-20170724T170015.563715800.bin</t>
  </si>
  <si>
    <t>-859.604209493969 -820.037925240887 250.40585922346</t>
  </si>
  <si>
    <t>-897.832827391044 -698.422767635939 704.373442102464</t>
  </si>
  <si>
    <t>-856.029804528887 -843.998855361203 793.836379495108</t>
  </si>
  <si>
    <t>-1017.31430158334 -1019.67565318926 218.78899836736</t>
  </si>
  <si>
    <t>-1093.97556028372 -901.428085034167 666.447587155003</t>
  </si>
  <si>
    <t>-1162.14454931634 -1027.38020621488 768.587549244925</t>
  </si>
  <si>
    <t>9763-20170724T170015.595801500.bin</t>
  </si>
  <si>
    <t>-859.077769665084 -831.524531256946 253.634985853167</t>
  </si>
  <si>
    <t>-899.999696314996 -699.74529661036 704.269321957096</t>
  </si>
  <si>
    <t>-855.809608919497 -844.331903467938 794.188476038087</t>
  </si>
  <si>
    <t>-1017.77179902708 -1040.87630052486 224.024008928694</t>
  </si>
  <si>
    <t>-1107.07074978474 -986.568645442489 682.36441092267</t>
  </si>
  <si>
    <t>-1172.8124539786 -1126.08825982407 766.956401565455</t>
  </si>
  <si>
    <t>9763-20170724T170015.662202400.bin</t>
  </si>
  <si>
    <t>-860.099102729034 -852.127195935949 260.149449640457</t>
  </si>
  <si>
    <t>-904.198810331721 -702.440877973413 704.212666491074</t>
  </si>
  <si>
    <t>-855.605655801175 -844.923190205002 795.212693991767</t>
  </si>
  <si>
    <t>-1024.1248052176 -1088.64292763468 233.269618852126</t>
  </si>
  <si>
    <t>-1109.78093792601 -1141.54211336936 692.995812426109</t>
  </si>
  <si>
    <t>-1164.88320182955 -1301.85225958328 739.984161752941</t>
  </si>
  <si>
    <t>9763-20170724T170015.698298400.bin</t>
  </si>
  <si>
    <t>-860.771191748085 -861.259676407792 262.627761317509</t>
  </si>
  <si>
    <t>-905.345534302929 -703.882597483975 703.699293142992</t>
  </si>
  <si>
    <t>-855.422898865576 -845.19405894817 795.798729535993</t>
  </si>
  <si>
    <t>-1023.73593034813 -1109.62872895415 239.403213165999</t>
  </si>
  <si>
    <t>-1104.10130847843 -1200.2807313971 693.690899325227</t>
  </si>
  <si>
    <t>-1147.8072470938 -1367.83769893235 724.641974489105</t>
  </si>
  <si>
    <t>9763-20170724T170015.761408400.bin</t>
  </si>
  <si>
    <t>-863.620800510246 -880.172644545525 267.046849978853</t>
  </si>
  <si>
    <t>-907.541032381038 -707.236930370063 702.421625882035</t>
  </si>
  <si>
    <t>-855.1798346581 -845.773621022165 797.339499284907</t>
  </si>
  <si>
    <t>-1015.68866219828 -1152.27810632874 250.249302804787</t>
  </si>
  <si>
    <t>-1086.34927560147 -1266.66830339413 701.074773737035</t>
  </si>
  <si>
    <t>-1089.80348092771 -1441.74931754871 717.754786931828</t>
  </si>
  <si>
    <t>9763-20170724T170015.799509400.bin</t>
  </si>
  <si>
    <t>-865.858311100712 -889.127403573728 269.262372482129</t>
  </si>
  <si>
    <t>-908.860998435183 -708.951228631278 701.991138093312</t>
  </si>
  <si>
    <t>-855.138708024147 -846.030843802499 798.254360229114</t>
  </si>
  <si>
    <t>-1007.49808419552 -1171.73613205153 255.981231855335</t>
  </si>
  <si>
    <t>-1074.50978663113 -1276.00369890335 709.046822957743</t>
  </si>
  <si>
    <t>-1054.26112677922 -1449.80889706573 727.081903328664</t>
  </si>
  <si>
    <t>9763-20170724T170015.862712800.bin</t>
  </si>
  <si>
    <t>-871.690075299814 -906.571317114389 274.750099329898</t>
  </si>
  <si>
    <t>-911.691460313529 -711.598303416723 701.602464631647</t>
  </si>
  <si>
    <t>-855.989653957043 -846.228047783292 800.170502238641</t>
  </si>
  <si>
    <t>-995.832514898284 -1206.59938944157 269.430392606904</t>
  </si>
  <si>
    <t>-1064.44537069907 -1290.51327104505 724.444016009404</t>
  </si>
  <si>
    <t>-1007.51123653046 -1450.61802579927 769.924652875133</t>
  </si>
  <si>
    <t>9763-20170724T170015.900814500.bin</t>
  </si>
  <si>
    <t>-871.251594419349 -916.734397373839 275.422733098346</t>
  </si>
  <si>
    <t>-910.922635381139 -714.883720219106 698.320205160552</t>
  </si>
  <si>
    <t>-855.743481537895 -846.598529056709 801.033252476582</t>
  </si>
  <si>
    <t>-987.493329955182 -1231.00907888747 268.673140905847</t>
  </si>
  <si>
    <t>-1057.72592616832 -1293.14730356614 730.003087776537</t>
  </si>
  <si>
    <t>-999.814246746785 -1449.3840189761 786.393096041805</t>
  </si>
  <si>
    <t>9763-20170724T170015.962568700.bin</t>
  </si>
  <si>
    <t>-864.558024466776 -944.031076882126 271.642958784328</t>
  </si>
  <si>
    <t>-909.452018143116 -727.924182854127 686.155346228062</t>
  </si>
  <si>
    <t>-854.874576243578 -848.640302446487 801.880971449812</t>
  </si>
  <si>
    <t>-976.869703177057 -1265.69502817538 271.036262309599</t>
  </si>
  <si>
    <t>-1043.28379069589 -1299.88206010011 732.986632101136</t>
  </si>
  <si>
    <t>-982.824392909644 -1450.35348554066 801.152065644238</t>
  </si>
  <si>
    <t>9763-20170724T170015.996626500.bin</t>
  </si>
  <si>
    <t>-857.668584527805 -962.490048308221 267.060415107633</t>
  </si>
  <si>
    <t>-908.40655141509 -737.224492509404 677.31648518421</t>
  </si>
  <si>
    <t>-854.489423857079 -849.610768684457 801.436495854846</t>
  </si>
  <si>
    <t>-975.42332708046 -1279.70791363427 271.802481587873</t>
  </si>
  <si>
    <t>-1038.299794234 -1301.96833596374 734.481698959275</t>
  </si>
  <si>
    <t>-981.233009856514 -1451.76835266255 806.91679976749</t>
  </si>
  <si>
    <t>9763-20170724T170016.062852200.bin</t>
  </si>
  <si>
    <t>-842.502797920817 -999.548105346536 257.418070442803</t>
  </si>
  <si>
    <t>-905.227808434527 -763.745365939883 659.925020319806</t>
  </si>
  <si>
    <t>-847.112506068334 -856.378631083427 797.711788930865</t>
  </si>
  <si>
    <t>-974.820280420419 -1298.76885192141 271.339167539027</t>
  </si>
  <si>
    <t>-1030.67028023108 -1302.4409489605 735.885602862238</t>
  </si>
  <si>
    <t>-976.333689234331 -1451.46621688939 811.928412649775</t>
  </si>
  <si>
    <t>9763-20170724T170016.099952100.bin</t>
  </si>
  <si>
    <t>-835.238413949513 -1014.53147982914 251.6804058276</t>
  </si>
  <si>
    <t>-904.385654326886 -778.378210563939 651.95324579775</t>
  </si>
  <si>
    <t>-840.048513096986 -860.403926995421 793.643136741155</t>
  </si>
  <si>
    <t>-973.871213213616 -1308.13224027006 270.361890976968</t>
  </si>
  <si>
    <t>-1029.37268713684 -1301.9294162434 735.640455112787</t>
  </si>
  <si>
    <t>-974.349881013871 -1450.79242636841 811.50750375184</t>
  </si>
  <si>
    <t>9763-20170724T170016.163713800.bin</t>
  </si>
  <si>
    <t>-838.225663345065 -1031.79760929121 241.000202672539</t>
  </si>
  <si>
    <t>-932.580389002866 -810.354546796671 645.283222472017</t>
  </si>
  <si>
    <t>-844.018506240582 -872.741111169046 783.876961266489</t>
  </si>
  <si>
    <t>-974.760866720373 -1324.20107973429 268.917103567832</t>
  </si>
  <si>
    <t>-1028.29004540661 -1300.93998485278 734.6647771098</t>
  </si>
  <si>
    <t>-972.800578325313 -1450.1033435156 809.596210628616</t>
  </si>
  <si>
    <t>9763-20170724T170016.200812200.bin</t>
  </si>
  <si>
    <t>-846.153443808633 -1037.49548331651 236.779724930221</t>
  </si>
  <si>
    <t>-953.510335065578 -833.748713494913 646.976038664369</t>
  </si>
  <si>
    <t>-848.367834469532 -884.468479919407 778.566578255013</t>
  </si>
  <si>
    <t>-975.756893231871 -1330.55283172 268.26489493044</t>
  </si>
  <si>
    <t>-1028.05886350191 -1300.67655350485 734.22707838431</t>
  </si>
  <si>
    <t>-972.798736092887 -1450.08012325312 808.848836791424</t>
  </si>
  <si>
    <t>9763-20170724T170016.262737400.bin</t>
  </si>
  <si>
    <t>-862.51259619755 -1053.11606298914 230.908136243634</t>
  </si>
  <si>
    <t>-984.201670379931 -895.673373215062 656.834303889626</t>
  </si>
  <si>
    <t>-850.608481880905 -917.334479012662 769.204974636984</t>
  </si>
  <si>
    <t>-974.977936119331 -1342.68616944819 267.938672258098</t>
  </si>
  <si>
    <t>-1027.67061824391 -1300.33446846458 733.537861046695</t>
  </si>
  <si>
    <t>-972.896468382748 -1450.09108909064 807.809348219597</t>
  </si>
  <si>
    <t>9763-20170724T170016.300838100.bin</t>
  </si>
  <si>
    <t>-874.128363357662 -1067.51346904353 231.08739221664</t>
  </si>
  <si>
    <t>-997.145661276068 -922.680292276861 660.498979693516</t>
  </si>
  <si>
    <t>-859.939873638763 -937.682506051059 769.554080455729</t>
  </si>
  <si>
    <t>-972.933895007965 -1348.72056158391 268.392284270654</t>
  </si>
  <si>
    <t>-1027.59482821698 -1300.33040288983 733.288055566001</t>
  </si>
  <si>
    <t>-973.002738018453 -1450.15923668932 807.547961707478</t>
  </si>
  <si>
    <t>9763-20170724T170016.361665600.bin</t>
  </si>
  <si>
    <t>-895.850356063936 -1100.51220707306 235.661123121606</t>
  </si>
  <si>
    <t>-1025.78246715945 -983.212288945249 672.051490516358</t>
  </si>
  <si>
    <t>-886.228023076093 -998.245065589445 778.080199581552</t>
  </si>
  <si>
    <t>-967.149239723726 -1361.18240589935 270.439804688755</t>
  </si>
  <si>
    <t>-1027.30112198444 -1300.46812309293 733.086504937483</t>
  </si>
  <si>
    <t>-972.650916949319 -1450.11646075163 807.666934693128</t>
  </si>
  <si>
    <t>9763-20170724T170016.398763300.bin</t>
  </si>
  <si>
    <t>-905.546937029807 -1116.66945036733 238.939779719155</t>
  </si>
  <si>
    <t>-1040.94216845273 -1019.2237993859 678.13757593444</t>
  </si>
  <si>
    <t>-901.22330410158 -1031.67120449946 784.284694479858</t>
  </si>
  <si>
    <t>-964.395661848676 -1367.59678724718 271.694253516675</t>
  </si>
  <si>
    <t>-1027.56196515416 -1300.87330273197 733.091719574572</t>
  </si>
  <si>
    <t>-972.753541552257 -1450.22637537451 808.146424901563</t>
  </si>
  <si>
    <t>9763-20170724T170016.462945600.bin</t>
  </si>
  <si>
    <t>-929.091047977287 -1149.36123422027 246.146548254941</t>
  </si>
  <si>
    <t>-1074.70257350346 -1092.08640369196 689.245895961139</t>
  </si>
  <si>
    <t>-934.243640669612 -1091.86026169599 795.145609877158</t>
  </si>
  <si>
    <t>-958.801805095263 -1380.11911747716 274.420264431345</t>
  </si>
  <si>
    <t>-1028.67293582137 -1302.39705549049 733.289437879046</t>
  </si>
  <si>
    <t>-972.481810038321 -1450.34617552264 810.082200852898</t>
  </si>
  <si>
    <t>9763-20170724T170016.496033800.bin</t>
  </si>
  <si>
    <t>-944.154168498693 -1166.32990719395 249.554093527584</t>
  </si>
  <si>
    <t>-1090.69839453346 -1126.0850279964 694.260735429906</t>
  </si>
  <si>
    <t>-950.160656397534 -1117.6362950897 799.718216401681</t>
  </si>
  <si>
    <t>-957.135517458358 -1384.72834630616 275.639803366671</t>
  </si>
  <si>
    <t>-1029.82634895957 -1303.69647189702 733.50790436817</t>
  </si>
  <si>
    <t>-971.548403603816 -1450.08420979028 811.724414359104</t>
  </si>
  <si>
    <t>9763-20170724T170016.565225000.bin</t>
  </si>
  <si>
    <t>-966.570286074533 -1184.27718087166 256.146767778932</t>
  </si>
  <si>
    <t>-1109.66554961357 -1168.43853819966 703.093122564969</t>
  </si>
  <si>
    <t>-971.552536846745 -1149.79133597366 810.42713512692</t>
  </si>
  <si>
    <t>-954.401462080064 -1388.71441949732 277.015321395234</t>
  </si>
  <si>
    <t>-1034.41261810004 -1309.80811188639 734.179808997205</t>
  </si>
  <si>
    <t>-964.194029248401 -1447.67559966035 817.878178719247</t>
  </si>
  <si>
    <t>9763-20170724T170016.597309600.bin</t>
  </si>
  <si>
    <t>-975.110228973939 -1184.83776009848 258.37050593483</t>
  </si>
  <si>
    <t>-1118.55342374613 -1177.68744126433 705.766482595894</t>
  </si>
  <si>
    <t>-981.356354655531 -1155.76290523164 813.654339805638</t>
  </si>
  <si>
    <t>-955.646635209324 -1387.94312440633 275.657705274094</t>
  </si>
  <si>
    <t>-1045.16101007638 -1316.47251372238 731.421247712235</t>
  </si>
  <si>
    <t>-963.876002192649 -1445.78202027459 818.686987579457</t>
  </si>
  <si>
    <t>9763-20170724T170016.664525500.bin</t>
  </si>
  <si>
    <t>-994.903415304073 -1173.23347666012 260.675521982532</t>
  </si>
  <si>
    <t>-1135.87215865719 -1173.68463831659 708.824166375454</t>
  </si>
  <si>
    <t>-1001.63207924421 -1139.86469172164 817.356765208487</t>
  </si>
  <si>
    <t>-966.321962730339 -1379.27970853955 272.509041534534</t>
  </si>
  <si>
    <t>-1081.68306770363 -1339.71739054053 726.757280009059</t>
  </si>
  <si>
    <t>-964.878516348097 -1433.17166441164 819.312710641959</t>
  </si>
  <si>
    <t>9763-20170724T170016.699621100.bin</t>
  </si>
  <si>
    <t>-1007.21956762213 -1163.01747542144 262.419119674876</t>
  </si>
  <si>
    <t>-1145.9276986492 -1165.45681289095 711.207151359013</t>
  </si>
  <si>
    <t>-1011.30301793899 -1126.33942525287 817.459361901787</t>
  </si>
  <si>
    <t>-975.105257438012 -1371.72697258816 272.556003627912</t>
  </si>
  <si>
    <t>-1098.69274531532 -1354.49037128901 725.995819328816</t>
  </si>
  <si>
    <t>-967.354431570586 -1425.15338517146 819.272258866578</t>
  </si>
  <si>
    <t>9763-20170724T170016.765861300.bin</t>
  </si>
  <si>
    <t>-1035.03558983206 -1147.20212634283 264.02135683937</t>
  </si>
  <si>
    <t>-1178.4193684008 -1147.75755144386 710.506184749073</t>
  </si>
  <si>
    <t>-1042.67992466819 -1105.02265525007 813.908522764213</t>
  </si>
  <si>
    <t>-1008.26456646632 -1365.85348596683 273.783515967959</t>
  </si>
  <si>
    <t>-1119.32378705985 -1371.69569689337 729.804671513416</t>
  </si>
  <si>
    <t>-972.232780993852 -1410.21770747398 818.256923307859</t>
  </si>
  <si>
    <t>9763-20170724T170016.796942300.bin</t>
  </si>
  <si>
    <t>-1038.2429652228 -1140.50362619085 263.890365386356</t>
  </si>
  <si>
    <t>-1180.13274256183 -1143.39198904619 709.462429570202</t>
  </si>
  <si>
    <t>-1043.86111009337 -1101.1019553006 812.346393648133</t>
  </si>
  <si>
    <t>-1029.40028858152 -1366.80765661642 274.173607709399</t>
  </si>
  <si>
    <t>-1122.49361275167 -1369.17891393235 734.142375898389</t>
  </si>
  <si>
    <t>-972.014750467431 -1405.46013454638 817.708496496555</t>
  </si>
  <si>
    <t>9763-20170724T170016.865633900.bin</t>
  </si>
  <si>
    <t>-1037.59574859768 -1132.04688908974 264.741322783168</t>
  </si>
  <si>
    <t>-1184.57815201419 -1141.57326096372 708.77058036035</t>
  </si>
  <si>
    <t>-1046.40097529656 -1097.66791462139 808.384332456984</t>
  </si>
  <si>
    <t>-1067.54129515984 -1373.82727540586 271.985520932262</t>
  </si>
  <si>
    <t>-1123.42969457733 -1363.91059458945 738.827422371256</t>
  </si>
  <si>
    <t>-971.007885467971 -1402.77220814615 817.573082385911</t>
  </si>
  <si>
    <t>9763-20170724T170016.897718500.bin</t>
  </si>
  <si>
    <t>-1045.19042525204 -1125.79544256434 264.107927670431</t>
  </si>
  <si>
    <t>-1186.96132165817 -1142.27214445225 710.072697016501</t>
  </si>
  <si>
    <t>-1047.43357977489 -1095.87117303297 806.62562132961</t>
  </si>
  <si>
    <t>-1087.95142256872 -1380.79880624294 270.639879833664</t>
  </si>
  <si>
    <t>-1125.64691705312 -1367.93705733026 739.710109732002</t>
  </si>
  <si>
    <t>-971.018088341958 -1401.67209959185 816.491500788977</t>
  </si>
  <si>
    <t>9763-20170724T170016.928301700.bin</t>
  </si>
  <si>
    <t>-1061.74147340545 -1118.40710571233 264.176801758402</t>
  </si>
  <si>
    <t>-1202.32942054488 -1136.89143826633 712.096936472794</t>
  </si>
  <si>
    <t>-1061.29024630175 -1087.38755410044 804.837544344232</t>
  </si>
  <si>
    <t>-1099.39170364576 -1380.16587675294 271.554996444963</t>
  </si>
  <si>
    <t>-1126.9922952588 -1369.57115589471 740.646583946651</t>
  </si>
  <si>
    <t>-970.837986976386 -1400.14582459538 815.643468929889</t>
  </si>
  <si>
    <t>9763-20170724T170016.995735800.bin</t>
  </si>
  <si>
    <t>-1098.2093352324 -1119.04689274858 266.405537860067</t>
  </si>
  <si>
    <t>-1227.70958253397 -1136.32920519218 717.643822205677</t>
  </si>
  <si>
    <t>-1083.89858112979 -1081.95558664738 803.115571484665</t>
  </si>
  <si>
    <t>-1100.0099435541 -1376.61458812029 270.719857736985</t>
  </si>
  <si>
    <t>-1126.60820133287 -1369.36456534862 739.723535939341</t>
  </si>
  <si>
    <t>-970.255475739563 -1398.09571882604 815.035238842128</t>
  </si>
  <si>
    <t>9763-20170724T170017.063944000.bin</t>
  </si>
  <si>
    <t>-1111.57476506365 -1120.10783196947 265.264957961429</t>
  </si>
  <si>
    <t>-1229.65711581516 -1133.75024199587 720.484076003778</t>
  </si>
  <si>
    <t>-1083.83501496269 -1077.39705233913 801.129907459083</t>
  </si>
  <si>
    <t>-1095.79376044631 -1376.29967157158 270.539615634163</t>
  </si>
  <si>
    <t>-1125.45315826464 -1367.37036837679 739.236388728297</t>
  </si>
  <si>
    <t>-969.750845372199 -1396.98055805734 815.548511533854</t>
  </si>
  <si>
    <t>9763-20170724T170017.097031800.bin</t>
  </si>
  <si>
    <t>-1114.16265860084 -1122.37979772729 264.580322642051</t>
  </si>
  <si>
    <t>-1229.17241546335 -1133.21840633974 720.788382651227</t>
  </si>
  <si>
    <t>-1082.65621198562 -1077.64882716672 800.716739580937</t>
  </si>
  <si>
    <t>-1094.07636689527 -1376.32631702541 270.786991921398</t>
  </si>
  <si>
    <t>-1125.36336536038 -1366.97136640746 739.362766599491</t>
  </si>
  <si>
    <t>-969.630783453981 -1395.82551592472 815.902375790051</t>
  </si>
  <si>
    <t>9763-20170724T170017.165494100.bin</t>
  </si>
  <si>
    <t>-1117.72757835105 -1126.30893149302 264.213056128671</t>
  </si>
  <si>
    <t>-1228.38284575332 -1133.58396294602 721.594852356172</t>
  </si>
  <si>
    <t>-1081.35451408359 -1078.74205015592 801.084125203892</t>
  </si>
  <si>
    <t>-1095.49190983145 -1375.98108642026 270.278639077798</t>
  </si>
  <si>
    <t>-1125.12175077943 -1367.06132535167 739.082276835973</t>
  </si>
  <si>
    <t>-969.518556162985 -1394.63606186594 816.353159028708</t>
  </si>
  <si>
    <t>9763-20170724T170017.197579500.bin</t>
  </si>
  <si>
    <t>-1117.77174348218 -1126.05308288876 264.303166118402</t>
  </si>
  <si>
    <t>-1227.73239385466 -1133.92580322687 721.453637350862</t>
  </si>
  <si>
    <t>-1081.05607214691 -1078.44825924776 801.151868358513</t>
  </si>
  <si>
    <t>-1097.52573909631 -1376.81438109506 269.837338820343</t>
  </si>
  <si>
    <t>-1125.15008129944 -1367.5092029965 738.884400133162</t>
  </si>
  <si>
    <t>-969.703725807169 -1394.93396302366 816.523465439951</t>
  </si>
  <si>
    <t>9763-20170724T170017.262759300.bin</t>
  </si>
  <si>
    <t>-1115.86128022865 -1123.44340086119 264.49800903943</t>
  </si>
  <si>
    <t>-1227.33408971982 -1134.37183467061 721.459328908876</t>
  </si>
  <si>
    <t>-1081.11943725154 -1077.01633822307 800.675077810489</t>
  </si>
  <si>
    <t>-1101.16424127753 -1379.40421905567 269.953658977633</t>
  </si>
  <si>
    <t>-1125.6178225624 -1368.44273364409 739.061079153783</t>
  </si>
  <si>
    <t>-969.893055123566 -1394.28301514067 816.685764803404</t>
  </si>
  <si>
    <t>9763-20170724T170017.295848500.bin</t>
  </si>
  <si>
    <t>-1113.99553092317 -1122.25112931883 264.626811953347</t>
  </si>
  <si>
    <t>-1227.35852608992 -1134.3538924699 721.271463601592</t>
  </si>
  <si>
    <t>-1081.14911021753 -1076.74614699361 800.313673704531</t>
  </si>
  <si>
    <t>-1101.8933608909 -1379.42136264462 270.266252826026</t>
  </si>
  <si>
    <t>-1125.64026597096 -1368.15646791876 739.341114914447</t>
  </si>
  <si>
    <t>-969.880666823468 -1394.38770690059 816.764483814436</t>
  </si>
  <si>
    <t>9763-20170724T170017.363788000.bin</t>
  </si>
  <si>
    <t>-1106.97004110303 -1117.05765232185 263.994354922874</t>
  </si>
  <si>
    <t>-1226.53090731445 -1132.33970741851 718.268555450518</t>
  </si>
  <si>
    <t>-1081.38239183925 -1075.36228655023 799.687179935226</t>
  </si>
  <si>
    <t>-1102.0040447845 -1379.03076885493 271.003507676561</t>
  </si>
  <si>
    <t>-1125.71009539246 -1367.20282105749 740.05482743175</t>
  </si>
  <si>
    <t>-969.669453412993 -1393.69508274424 816.820630304426</t>
  </si>
  <si>
    <t>9763-20170724T170017.396875800.bin</t>
  </si>
  <si>
    <t>-1102.07393253177 -1114.0978122102 262.293761848303</t>
  </si>
  <si>
    <t>-1224.79718159973 -1130.44869030304 715.036225925428</t>
  </si>
  <si>
    <t>-1081.07129981824 -1074.49804393091 799.628843319215</t>
  </si>
  <si>
    <t>-1102.03607557549 -1378.67873760695 270.977339335252</t>
  </si>
  <si>
    <t>-1125.8820658399 -1366.56183798838 739.999676213171</t>
  </si>
  <si>
    <t>-969.665148459502 -1393.72794935851 816.169161289296</t>
  </si>
  <si>
    <t>9763-20170724T170017.465085700.bin</t>
  </si>
  <si>
    <t>-1089.00206355832 -1105.64993713832 258.164670882377</t>
  </si>
  <si>
    <t>-1221.20316335744 -1125.18268242145 708.568739952304</t>
  </si>
  <si>
    <t>-1080.2283453116 -1072.78784561049 799.80684052401</t>
  </si>
  <si>
    <t>-1101.30078529393 -1377.81984397664 270.688088291722</t>
  </si>
  <si>
    <t>-1126.16668016668 -1365.16663180188 739.6588295372</t>
  </si>
  <si>
    <t>-969.689546753246 -1394.01192013345 814.667942048412</t>
  </si>
  <si>
    <t>9763-20170724T170017.498184400.bin</t>
  </si>
  <si>
    <t>-1080.09966859695 -1099.7298201277 255.596502699055</t>
  </si>
  <si>
    <t>-1219.0188834988 -1124.15326038635 703.845821183659</t>
  </si>
  <si>
    <t>-1080.15064912685 -1071.78678918915 798.275057204598</t>
  </si>
  <si>
    <t>-1101.5909502719 -1378.48101637837 270.695796515566</t>
  </si>
  <si>
    <t>-1126.14664912161 -1365.03620915948 739.642231221632</t>
  </si>
  <si>
    <t>-969.720458894879 -1394.43868081092 814.541173292504</t>
  </si>
  <si>
    <t>9763-20170724T170017.563379400.bin</t>
  </si>
  <si>
    <t>-1065.0825052963 -1088.31729488111 248.282737832458</t>
  </si>
  <si>
    <t>-1218.13665002363 -1121.39441996597 690.810278549295</t>
  </si>
  <si>
    <t>-1084.72047606338 -1068.2387829172 792.388388234896</t>
  </si>
  <si>
    <t>-1105.82429384272 -1382.68380145587 270.667746241679</t>
  </si>
  <si>
    <t>-1125.32696513374 -1367.31630427741 739.893759462183</t>
  </si>
  <si>
    <t>-969.558909649678 -1394.74376489383 816.8844100488</t>
  </si>
  <si>
    <t>9763-20170724T170017.596467900.bin</t>
  </si>
  <si>
    <t>-1059.48754331183 -1083.94295317102 245.312745242372</t>
  </si>
  <si>
    <t>-1215.03439799176 -1120.66936781204 686.39535973972</t>
  </si>
  <si>
    <t>-1083.32188940949 -1068.53775852515 790.691197193049</t>
  </si>
  <si>
    <t>-1108.83209956932 -1385.32202998863 270.378827696494</t>
  </si>
  <si>
    <t>-1125.38107797712 -1368.62615858805 739.533355768207</t>
  </si>
  <si>
    <t>-969.690439960248 -1394.86865041694 817.09152315315</t>
  </si>
  <si>
    <t>9763-20170724T170017.664537500.bin</t>
  </si>
  <si>
    <t>-1056.04728285146 -1081.82204486788 243.293684296764</t>
  </si>
  <si>
    <t>-1195.63140117391 -1114.45399204367 690.926048084958</t>
  </si>
  <si>
    <t>-1060.3397566698 -1058.29930571381 788.323837490459</t>
  </si>
  <si>
    <t>-1113.33715291795 -1386.67096481493 269.859547727756</t>
  </si>
  <si>
    <t>-1125.41148729685 -1368.64927711439 739.400132901562</t>
  </si>
  <si>
    <t>-969.613324434918 -1394.62728459253 816.831290813071</t>
  </si>
  <si>
    <t>9763-20170724T170017.715694400.bin</t>
  </si>
  <si>
    <t>-1057.98413388857 -1083.30505240336 244.194065131704</t>
  </si>
  <si>
    <t>-1181.27037331865 -1105.70861128333 697.384106899852</t>
  </si>
  <si>
    <t>-1043.01228469218 -1042.35546288369 785.784312646242</t>
  </si>
  <si>
    <t>-1113.88070990423 -1386.17572303601 269.810308769191</t>
  </si>
  <si>
    <t>-1125.36811407133 -1368.47740681906 739.344151690012</t>
  </si>
  <si>
    <t>-969.632862971031 -1395.03925404495 816.703788366823</t>
  </si>
  <si>
    <t>9763-20170724T170017.767547100.bin</t>
  </si>
  <si>
    <t>-1064.41565806344 -1086.638056129 247.069756450215</t>
  </si>
  <si>
    <t>-1143.85718914021 -1082.88589963224 710.026992706587</t>
  </si>
  <si>
    <t>-1002.49506111233 -1007.50028971033 782.671811539915</t>
  </si>
  <si>
    <t>-1112.76657371963 -1385.2298357808 269.96002684423</t>
  </si>
  <si>
    <t>-1125.07030461203 -1368.00581201322 739.237339823645</t>
  </si>
  <si>
    <t>-969.442461660121 -1395.01644475603 816.657696203382</t>
  </si>
  <si>
    <t>9763-20170724T170017.800633900.bin</t>
  </si>
  <si>
    <t>-1068.38209974998 -1091.09923573954 249.834742675203</t>
  </si>
  <si>
    <t>-1122.99191188224 -1075.83541599432 715.954922963455</t>
  </si>
  <si>
    <t>-979.8773117803 -997.229210499604 781.397946887583</t>
  </si>
  <si>
    <t>-1111.60596873864 -1385.08092870302 270.01052767806</t>
  </si>
  <si>
    <t>-1124.97760751423 -1367.91351853607 739.24225597747</t>
  </si>
  <si>
    <t>-969.424085115353 -1395.24533722627 816.699229381273</t>
  </si>
  <si>
    <t>9763-20170724T170017.863809500.bin</t>
  </si>
  <si>
    <t>-1076.85451863338 -1098.44728301014 254.11135006299</t>
  </si>
  <si>
    <t>-1108.01277374366 -1067.25609306269 721.274287724123</t>
  </si>
  <si>
    <t>-965.804140850161 -994.267312186189 794.710386895259</t>
  </si>
  <si>
    <t>-1109.40479648372 -1385.31054658761 269.944289261823</t>
  </si>
  <si>
    <t>-1124.94310417969 -1367.83096161796 739.298216447859</t>
  </si>
  <si>
    <t>-969.351340903087 -1395.14575800078 816.684346532263</t>
  </si>
  <si>
    <t>9763-20170724T170017.895895800.bin</t>
  </si>
  <si>
    <t>-1076.95562781064 -1101.32716722034 254.836901695417</t>
  </si>
  <si>
    <t>-1107.21611059674 -1065.05518995504 723.428995556044</t>
  </si>
  <si>
    <t>-965.544480656991 -993.429893601511 799.208092880864</t>
  </si>
  <si>
    <t>-1108.21779706303 -1385.3067017303 269.956906043085</t>
  </si>
  <si>
    <t>-1124.90500374247 -1367.45855085551 739.464276803824</t>
  </si>
  <si>
    <t>-969.341263838215 -1395.4555315034 816.662725733733</t>
  </si>
  <si>
    <t>9763-20170724T170017.962688900.bin</t>
  </si>
  <si>
    <t>-1076.52379412398 -1102.63262428321 256.176292487971</t>
  </si>
  <si>
    <t>-1103.81783150483 -1066.03226156369 723.835145760077</t>
  </si>
  <si>
    <t>-961.773849070983 -998.690569931139 802.778861005878</t>
  </si>
  <si>
    <t>-1106.97758953673 -1384.84846292587 270.418354533016</t>
  </si>
  <si>
    <t>-1125.19234036602 -1366.33680702827 739.927608768455</t>
  </si>
  <si>
    <t>-969.441543934809 -1396.14084757799 816.065148906492</t>
  </si>
  <si>
    <t>9763-20170724T170017.994774600.bin</t>
  </si>
  <si>
    <t>-1076.00652232147 -1101.32297972139 255.690853857158</t>
  </si>
  <si>
    <t>-1103.05481586341 -1065.89129306153 722.824416769053</t>
  </si>
  <si>
    <t>-961.3081404203 -998.976240882678 802.660329984379</t>
  </si>
  <si>
    <t>-1106.49998694174 -1384.55822289732 270.009404411999</t>
  </si>
  <si>
    <t>-1125.41206668263 -1365.67342870844 739.421875796241</t>
  </si>
  <si>
    <t>-969.510191128956 -1396.45061524885 814.859792824517</t>
  </si>
  <si>
    <t>9763-20170724T170018.063985600.bin</t>
  </si>
  <si>
    <t>-1074.93903630989 -1100.63299100722 254.678869908734</t>
  </si>
  <si>
    <t>-1103.26292991734 -1064.82072948129 721.734827021588</t>
  </si>
  <si>
    <t>-962.077655490739 -997.940533246901 802.588217601526</t>
  </si>
  <si>
    <t>-1106.15316985386 -1383.50820354089 268.636090226758</t>
  </si>
  <si>
    <t>-1125.64593985296 -1364.7577981519 738.19347425812</t>
  </si>
  <si>
    <t>-969.486851626602 -1396.62185214117 812.64167308649</t>
  </si>
  <si>
    <t>9763-20170724T170018.096070900.bin</t>
  </si>
  <si>
    <t>-1074.39798288975 -1101.38399668069 254.513964207584</t>
  </si>
  <si>
    <t>-1103.22262092002 -1064.82623724288 721.54445472952</t>
  </si>
  <si>
    <t>-962.165549584343 -997.877106667478 802.564372593147</t>
  </si>
  <si>
    <t>-1106.32859421345 -1383.19217691277 268.016512779687</t>
  </si>
  <si>
    <t>-1125.66232042738 -1364.54561290999 737.63097991821</t>
  </si>
  <si>
    <t>-969.421860560052 -1396.58660706174 811.832104078698</t>
  </si>
  <si>
    <t>9763-20170724T170018.163252500.bin</t>
  </si>
  <si>
    <t>-1075.30348828955 -1102.37846686784 254.341647615981</t>
  </si>
  <si>
    <t>-1103.3175324808 -1065.35231366483 721.811092872571</t>
  </si>
  <si>
    <t>-962.246503745778 -997.979962078251 802.455047151016</t>
  </si>
  <si>
    <t>-1106.89621694543 -1382.96909083644 267.228170687208</t>
  </si>
  <si>
    <t>-1125.63388728514 -1364.39145487577 736.758759736659</t>
  </si>
  <si>
    <t>-969.532902930629 -1397.55036491292 810.762009823575</t>
  </si>
  <si>
    <t>9763-20170724T170018.195337900.bin</t>
  </si>
  <si>
    <t>-1076.64645821565 -1103.06947106816 254.258459315642</t>
  </si>
  <si>
    <t>-1103.4634495373 -1065.44882929798 721.893009515653</t>
  </si>
  <si>
    <t>-962.320106772749 -997.962354962684 802.314594236769</t>
  </si>
  <si>
    <t>-1106.84708359775 -1382.92390755755 267.049043410444</t>
  </si>
  <si>
    <t>-1125.59614084762 -1364.31839046827 736.477000077335</t>
  </si>
  <si>
    <t>-969.524178737881 -1397.71219552657 810.435846673135</t>
  </si>
  <si>
    <t>9763-20170724T170018.265487500.bin</t>
  </si>
  <si>
    <t>-1079.33154221427 -1103.56283186935 254.043723468766</t>
  </si>
  <si>
    <t>-1103.89172700329 -1064.97405443446 721.682322899597</t>
  </si>
  <si>
    <t>-962.496248682197 -997.854092675519 801.967671495739</t>
  </si>
  <si>
    <t>-1107.06377548769 -1382.95466861296 266.796631514107</t>
  </si>
  <si>
    <t>-1125.53188227705 -1364.29484322499 736.1088658546</t>
  </si>
  <si>
    <t>-969.610666520066 -1398.420319222 810.051663450676</t>
  </si>
  <si>
    <t>9763-20170724T170018.297573900.bin</t>
  </si>
  <si>
    <t>-1080.2904173241 -1103.76661656677 253.839124359535</t>
  </si>
  <si>
    <t>-1103.88630790417 -1064.83621827252 721.458315665788</t>
  </si>
  <si>
    <t>-962.563924376946 -997.584546617482 801.762179760812</t>
  </si>
  <si>
    <t>-1107.35380983263 -1383.02771992559 266.734385413047</t>
  </si>
  <si>
    <t>-1125.49678892907 -1364.25900181409 735.998069224647</t>
  </si>
  <si>
    <t>-969.523150699468 -1398.19196604421 809.918879496181</t>
  </si>
  <si>
    <t>9763-20170724T170018.366303900.bin</t>
  </si>
  <si>
    <t>-1082.98270296509 -1104.57533351894 253.789036031419</t>
  </si>
  <si>
    <t>-1104.12769236067 -1064.68478355847 721.498921187971</t>
  </si>
  <si>
    <t>-962.615493355581 -997.579049751088 801.590300636303</t>
  </si>
  <si>
    <t>-1108.19933799561 -1383.32541667977 266.708457671633</t>
  </si>
  <si>
    <t>-1125.44913622345 -1364.18061033332 735.892621870815</t>
  </si>
  <si>
    <t>-969.433430369856 -1398.0465807932 809.755356662589</t>
  </si>
  <si>
    <t>9763-20170724T170018.397383900.bin</t>
  </si>
  <si>
    <t>-1084.70197394413 -1105.11850246449 253.905440430476</t>
  </si>
  <si>
    <t>-1104.2510439327 -1064.73316501038 721.63884995197</t>
  </si>
  <si>
    <t>-962.598286971073 -997.667420290264 801.514937955569</t>
  </si>
  <si>
    <t>-1108.5628335925 -1383.48466658162 266.667682695798</t>
  </si>
  <si>
    <t>-1125.42592230852 -1364.1109929242 735.846301622795</t>
  </si>
  <si>
    <t>-969.265151779577 -1397.42495284248 809.653533808991</t>
  </si>
  <si>
    <t>9763-20170724T170018.465070800.bin</t>
  </si>
  <si>
    <t>-1087.99235994855 -1106.37330876221 254.281786379402</t>
  </si>
  <si>
    <t>-1104.62128951228 -1064.80404088007 722.021046048734</t>
  </si>
  <si>
    <t>-962.557611274408 -997.933765961768 801.329257669593</t>
  </si>
  <si>
    <t>-1109.58295762097 -1384.18361433177 266.619347395078</t>
  </si>
  <si>
    <t>-1125.39962489936 -1364.09222733205 735.785880571602</t>
  </si>
  <si>
    <t>-969.088758787046 -1396.84115603849 809.528246908042</t>
  </si>
  <si>
    <t>9763-20170724T170018.498169200.bin</t>
  </si>
  <si>
    <t>-1089.82938242778 -1107.315296664 254.534039245231</t>
  </si>
  <si>
    <t>-1104.8203686752 -1064.92680922854 722.295422351095</t>
  </si>
  <si>
    <t>-962.510185732705 -998.155585058327 801.244346439096</t>
  </si>
  <si>
    <t>-1110.41511994233 -1384.68590898659 266.639672169829</t>
  </si>
  <si>
    <t>-1125.38599439437 -1364.10503710831 735.792589693061</t>
  </si>
  <si>
    <t>-968.975066535138 -1396.41628755602 809.515830413684</t>
  </si>
  <si>
    <t>9763-20170724T170018.562323700.bin</t>
  </si>
  <si>
    <t>-1093.94161277098 -1109.67830012428 255.119187910524</t>
  </si>
  <si>
    <t>-1105.09335699676 -1065.23444977458 722.810680372012</t>
  </si>
  <si>
    <t>-962.283811500543 -998.745298069273 801.093092863366</t>
  </si>
  <si>
    <t>-1112.09872720392 -1385.73492824562 266.665158044365</t>
  </si>
  <si>
    <t>-1125.27960814984 -1364.67134899825 735.852974763234</t>
  </si>
  <si>
    <t>-968.909868627781 -1396.36337133197 809.931542264104</t>
  </si>
  <si>
    <t>9763-20170724T170018.597431300.bin</t>
  </si>
  <si>
    <t>-1095.64235421333 -1110.7063609624 255.35326300224</t>
  </si>
  <si>
    <t>-1105.16028620039 -1065.31437319402 722.977746000184</t>
  </si>
  <si>
    <t>-962.235189328727 -998.797556132145 801.025397436289</t>
  </si>
  <si>
    <t>-1112.80882430833 -1386.33001510504 266.66753817908</t>
  </si>
  <si>
    <t>-1125.24916718056 -1365.00719446993 735.894022716964</t>
  </si>
  <si>
    <t>-968.902140253999 -1396.37901886502 810.156593538128</t>
  </si>
  <si>
    <t>9763-20170724T170018.665262100.bin</t>
  </si>
  <si>
    <t>-1098.08898470363 -1112.22565693739 255.675609895171</t>
  </si>
  <si>
    <t>-1105.21191684179 -1065.41269267404 723.197760406395</t>
  </si>
  <si>
    <t>-962.129813049338 -998.852416592278 800.920095966495</t>
  </si>
  <si>
    <t>-1113.47591831042 -1387.11634369678 266.693794017762</t>
  </si>
  <si>
    <t>-1125.24165216068 -1365.13072061629 735.889490617627</t>
  </si>
  <si>
    <t>-968.751866472343 -1395.69418492623 810.188443184314</t>
  </si>
  <si>
    <t>9763-20170724T170018.697351300.bin</t>
  </si>
  <si>
    <t>-1098.98294512676 -1112.72813051646 255.793644082963</t>
  </si>
  <si>
    <t>-1105.26807554402 -1065.39166536596 723.276053720298</t>
  </si>
  <si>
    <t>-962.143196888697 -998.797264739855 800.890287045109</t>
  </si>
  <si>
    <t>-1113.51645662301 -1387.2906778478 266.662384426264</t>
  </si>
  <si>
    <t>-1125.25143358357 -1364.98585882626 735.845357684414</t>
  </si>
  <si>
    <t>-968.698540668041 -1395.45653678891 810.049406860391</t>
  </si>
  <si>
    <t>9763-20170724T170018.765043900.bin</t>
  </si>
  <si>
    <t>-1099.96733950854 -1113.1741903999 255.916149060136</t>
  </si>
  <si>
    <t>-1105.29914399542 -1065.2891021874 723.304852463448</t>
  </si>
  <si>
    <t>-962.154819072137 -998.619396998974 800.818481284431</t>
  </si>
  <si>
    <t>-1113.24130306019 -1387.38884050535 266.564080191909</t>
  </si>
  <si>
    <t>-1125.35452462485 -1364.76491169884 735.721850790899</t>
  </si>
  <si>
    <t>-968.838851926896 -1396.12548614587 809.633075119124</t>
  </si>
  <si>
    <t>9763-20170724T170018.797129200.bin</t>
  </si>
  <si>
    <t>-1100.20163828062 -1113.22966272527 255.901926006251</t>
  </si>
  <si>
    <t>-1105.33513646816 -1065.22993932987 723.320725019874</t>
  </si>
  <si>
    <t>-962.158254433931 -998.58445972902 800.795022733106</t>
  </si>
  <si>
    <t>-1113.01012816531 -1387.28260010274 266.526406769528</t>
  </si>
  <si>
    <t>-1125.36496171468 -1364.4967325605 735.663489653231</t>
  </si>
  <si>
    <t>-968.743083892675 -1395.70972171422 809.412046685123</t>
  </si>
  <si>
    <t>9763-20170724T170018.866731600.bin</t>
  </si>
  <si>
    <t>-1100.38071815724 -1113.26982286408 255.85479328276</t>
  </si>
  <si>
    <t>-1105.28925513826 -1065.18939518682 723.293275811031</t>
  </si>
  <si>
    <t>-962.215497082287 -998.277887520442 800.728807156992</t>
  </si>
  <si>
    <t>-1112.51985807105 -1387.11157417766 266.511820361185</t>
  </si>
  <si>
    <t>-1125.37970337767 -1364.23073438313 735.622849893746</t>
  </si>
  <si>
    <t>-968.716594170085 -1395.7124778184 809.16929829267</t>
  </si>
  <si>
    <t>9763-20170724T170018.900823000.bin</t>
  </si>
  <si>
    <t>-1100.52649568827 -1113.21442999839 255.850348711272</t>
  </si>
  <si>
    <t>-1105.31112842673 -1065.08613391346 723.257323830642</t>
  </si>
  <si>
    <t>-962.179215632245 -998.309505283823 800.701746395893</t>
  </si>
  <si>
    <t>-1112.26453290515 -1387.07257831038 266.525649836867</t>
  </si>
  <si>
    <t>-1125.38105702049 -1364.16506851264 735.623195588935</t>
  </si>
  <si>
    <t>-968.743604881225 -1395.89035439856 809.11960867922</t>
  </si>
  <si>
    <t>9763-20170724T170018.964853300.bin</t>
  </si>
  <si>
    <t>-1100.90445081214 -1113.22806691885 255.862910857951</t>
  </si>
  <si>
    <t>-1105.39678130627 -1064.85820020696 723.236379398229</t>
  </si>
  <si>
    <t>-962.243450562692 -998.08756020372 800.646441490444</t>
  </si>
  <si>
    <t>-1111.86890605788 -1387.03789993036 266.549343962579</t>
  </si>
  <si>
    <t>-1125.38052839941 -1364.18229657928 735.637442345281</t>
  </si>
  <si>
    <t>-968.880894039125 -1396.63917132666 809.108053544106</t>
  </si>
  <si>
    <t>9763-20170724T170018.996939700.bin</t>
  </si>
  <si>
    <t>-1101.20724475125 -1113.23783907761 255.90470271228</t>
  </si>
  <si>
    <t>-1105.47420208772 -1064.73354151986 723.262936606301</t>
  </si>
  <si>
    <t>-962.266847533163 -998.019510182982 800.621900369884</t>
  </si>
  <si>
    <t>-1111.75687548561 -1386.99290883974 266.543842280368</t>
  </si>
  <si>
    <t>-1125.36171051346 -1364.14286878055 735.635921554376</t>
  </si>
  <si>
    <t>-968.819343802788 -1396.42466260137 809.092609875048</t>
  </si>
  <si>
    <t>9763-20170724T170019.066852700.bin</t>
  </si>
  <si>
    <t>-1101.763090943 -1113.2053218326 255.948989581375</t>
  </si>
  <si>
    <t>-1105.60447964088 -1064.44612329654 723.24462694504</t>
  </si>
  <si>
    <t>-962.412604263785 -997.652690503132 800.563667978083</t>
  </si>
  <si>
    <t>-1111.72416693839 -1387.00504006801 266.518986914981</t>
  </si>
  <si>
    <t>-1125.33214609204 -1364.1091537133 735.606551771346</t>
  </si>
  <si>
    <t>-968.739894620845 -1396.17678596501 809.050730595763</t>
  </si>
  <si>
    <t>9763-20170724T170019.098937300.bin</t>
  </si>
  <si>
    <t>-1101.93667448247 -1113.11452839713 255.900422835207</t>
  </si>
  <si>
    <t>-1105.58911815305 -1064.3651991816 723.21718204771</t>
  </si>
  <si>
    <t>-962.37781637085 -997.612522952891 800.535496873643</t>
  </si>
  <si>
    <t>-1111.78182333291 -1386.99318550191 266.493526868317</t>
  </si>
  <si>
    <t>-1125.3358507006 -1364.16207019903 735.584124792719</t>
  </si>
  <si>
    <t>-968.794976639519 -1396.4775565598 809.029177574253</t>
  </si>
  <si>
    <t>9763-20170724T170019.163669000.bin</t>
  </si>
  <si>
    <t>-1102.1446016156 -1112.94464627881 255.855035207208</t>
  </si>
  <si>
    <t>-1105.67994468173 -1064.21358806247 723.229468338932</t>
  </si>
  <si>
    <t>-962.312531286798 -997.737904393923 800.497035336635</t>
  </si>
  <si>
    <t>-1112.00922183657 -1386.8063158761 266.475223680116</t>
  </si>
  <si>
    <t>-1125.30796242871 -1364.09382571859 735.561500053293</t>
  </si>
  <si>
    <t>-968.699473631591 -1396.13848210994 808.981074649636</t>
  </si>
  <si>
    <t>9763-20170724T170019.196756800.bin</t>
  </si>
  <si>
    <t>-1102.05385815915 -1112.89167246456 255.852831549762</t>
  </si>
  <si>
    <t>-1105.65797847834 -1064.25495168982 723.255719876935</t>
  </si>
  <si>
    <t>-962.264843087788 -997.7869005846 800.482141993869</t>
  </si>
  <si>
    <t>-1112.19029703086 -1386.77822614956 266.498581431996</t>
  </si>
  <si>
    <t>-1125.29858824068 -1364.05915326207 735.580356138539</t>
  </si>
  <si>
    <t>-968.65746991325 -1395.99081574556 808.979530054944</t>
  </si>
  <si>
    <t>9763-20170724T170019.263445500.bin</t>
  </si>
  <si>
    <t>-1101.60319938409 -1112.7994329983 255.877473871031</t>
  </si>
  <si>
    <t>-1105.57445756061 -1064.43375996603 723.331498516065</t>
  </si>
  <si>
    <t>-962.195978943701 -997.839051400871 800.475965035503</t>
  </si>
  <si>
    <t>-1112.66703419315 -1386.82181981687 266.598226494491</t>
  </si>
  <si>
    <t>-1125.28681682778 -1364.02948342796 735.668962571349</t>
  </si>
  <si>
    <t>-968.585514690044 -1395.77916588755 809.018596578139</t>
  </si>
  <si>
    <t>9763-20170724T170019.296531200.bin</t>
  </si>
  <si>
    <t>-1101.27611546589 -1112.85704887354 255.902700543323</t>
  </si>
  <si>
    <t>-1105.47581196573 -1064.60172288007 723.367699020644</t>
  </si>
  <si>
    <t>-962.118584605175 -997.924011564064 800.479920362117</t>
  </si>
  <si>
    <t>-1112.86388246221 -1386.91870256839 266.678823779292</t>
  </si>
  <si>
    <t>-1125.28030338326 -1364.02308748592 735.73986390632</t>
  </si>
  <si>
    <t>-968.604797046671 -1395.9290822468 809.076779577169</t>
  </si>
  <si>
    <t>9763-20170724T170019.365513300.bin</t>
  </si>
  <si>
    <t>-1100.4272617234 -1112.84087456215 255.963486331058</t>
  </si>
  <si>
    <t>-1105.30622043489 -1064.96107824533 723.501951565785</t>
  </si>
  <si>
    <t>-961.986625582065 -998.093867033458 800.520044896296</t>
  </si>
  <si>
    <t>-1113.23880160252 -1387.11283485595 266.893863970986</t>
  </si>
  <si>
    <t>-1125.27024039181 -1364.03326595408 735.932860444694</t>
  </si>
  <si>
    <t>-968.519344874301 -1395.67037995938 809.225126231554</t>
  </si>
  <si>
    <t>9763-20170724T170019.398599000.bin</t>
  </si>
  <si>
    <t>-1099.89206795971 -1112.89015104294 256.005307234927</t>
  </si>
  <si>
    <t>-1105.15155674852 -1065.22810289322 723.560880491058</t>
  </si>
  <si>
    <t>-961.956588465759 -998.037487743812 800.529260555756</t>
  </si>
  <si>
    <t>-1113.39855592324 -1387.28970379201 267.041645381532</t>
  </si>
  <si>
    <t>-1125.24860351831 -1364.03756603683 736.059514504508</t>
  </si>
  <si>
    <t>-968.520450550051 -1395.76612939122 809.360924146978</t>
  </si>
  <si>
    <t>9763-20170724T170019.466784200.bin</t>
  </si>
  <si>
    <t>-1098.9995745322 -1112.97506561443 256.126843623815</t>
  </si>
  <si>
    <t>-1104.90836335413 -1065.66326046953 723.682300496475</t>
  </si>
  <si>
    <t>-961.677635964038 -998.448217563255 800.562706542278</t>
  </si>
  <si>
    <t>-1113.73522074132 -1387.63240227652 267.379140870767</t>
  </si>
  <si>
    <t>-1125.19998186536 -1364.26207717925 736.379417195411</t>
  </si>
  <si>
    <t>-968.490189559741 -1395.85985023424 809.77651681336</t>
  </si>
  <si>
    <t>9763-20170724T170019.499872400.bin</t>
  </si>
  <si>
    <t>-1098.53589987156 -1113.0837738137 256.20346518434</t>
  </si>
  <si>
    <t>-1104.72340710727 -1065.96118516963 723.764689498457</t>
  </si>
  <si>
    <t>-961.573401454091 -998.506564456256 800.585671388849</t>
  </si>
  <si>
    <t>-1113.96658014672 -1387.85695366372 267.558567859614</t>
  </si>
  <si>
    <t>-1125.1882169744 -1364.34148280079 736.548951297183</t>
  </si>
  <si>
    <t>-968.426714737352 -1395.64293407672 809.962607126587</t>
  </si>
  <si>
    <t>9763-20170724T170019.561566300.bin</t>
  </si>
  <si>
    <t>-1098.04110030808 -1113.43202083572 256.349786120593</t>
  </si>
  <si>
    <t>-1104.54945989391 -1066.24078872414 723.879745201728</t>
  </si>
  <si>
    <t>-961.424732686825 -998.657546426011 800.634785427083</t>
  </si>
  <si>
    <t>-1114.41108419184 -1388.18430515128 267.882168230646</t>
  </si>
  <si>
    <t>-1125.09517143511 -1364.65267281435 736.866569381566</t>
  </si>
  <si>
    <t>-968.456196160671 -1395.98543609311 810.527974328552</t>
  </si>
  <si>
    <t>9763-20170724T170019.599659500.bin</t>
  </si>
  <si>
    <t>-1097.98021597402 -1113.63652101326 256.41380264151</t>
  </si>
  <si>
    <t>-1104.48568808478 -1066.3220184829 723.907654975067</t>
  </si>
  <si>
    <t>-961.382762865116 -998.688422182895 800.658947963158</t>
  </si>
  <si>
    <t>-1114.40493707289 -1388.37617844818 268.040524655129</t>
  </si>
  <si>
    <t>-1125.03909141662 -1365.06970231986 737.073472253852</t>
  </si>
  <si>
    <t>-968.475282873106 -1396.27697904802 810.947648340638</t>
  </si>
  <si>
    <t>9763-20170724T170019.666156300.bin</t>
  </si>
  <si>
    <t>-1097.7898456683 -1114.23055744611 256.54242844641</t>
  </si>
  <si>
    <t>-1104.27718563944 -1066.60455790311 724.009822603633</t>
  </si>
  <si>
    <t>-961.25459474426 -998.72990434025 800.698048892679</t>
  </si>
  <si>
    <t>-1114.35100999879 -1388.81824697622 268.333747734162</t>
  </si>
  <si>
    <t>-1125.03817458663 -1365.37330091736 737.369680352324</t>
  </si>
  <si>
    <t>-968.582956430624 -1396.89410892463 811.340713294654</t>
  </si>
  <si>
    <t>9763-20170724T170019.697231800.bin</t>
  </si>
  <si>
    <t>-1097.69571625301 -1114.42536849822 256.628933185453</t>
  </si>
  <si>
    <t>-1104.24021899462 -1066.68194395139 724.079757869272</t>
  </si>
  <si>
    <t>-961.16534895566 -998.867338845597 800.723567457562</t>
  </si>
  <si>
    <t>-1114.35572998686 -1388.92234594537 268.455030762427</t>
  </si>
  <si>
    <t>-1125.03921569517 -1365.32106798313 737.472494139585</t>
  </si>
  <si>
    <t>-968.522850618034 -1396.65930555912 811.391707390444</t>
  </si>
  <si>
    <t>9763-20170724T170019.765416600.bin</t>
  </si>
  <si>
    <t>-1097.43002150343 -1114.75953586095 256.69848871529</t>
  </si>
  <si>
    <t>-1104.1062991377 -1066.87810859348 724.16886852714</t>
  </si>
  <si>
    <t>-961.058736801128 -998.931776684617 800.747006460016</t>
  </si>
  <si>
    <t>-1114.55395113901 -1389.17653516916 268.67483185063</t>
  </si>
  <si>
    <t>-1125.06566198402 -1365.39532899264 737.694225568233</t>
  </si>
  <si>
    <t>-968.597029627977 -1397.10701847015 811.555219784668</t>
  </si>
  <si>
    <t>9763-20170724T170019.797528400.bin</t>
  </si>
  <si>
    <t>-1097.30229665278 -1114.81240025246 256.703991091171</t>
  </si>
  <si>
    <t>-1104.08915780538 -1066.92763965559 724.206331621046</t>
  </si>
  <si>
    <t>-961.003942260981 -999.014845925667 800.743803633371</t>
  </si>
  <si>
    <t>-1114.67986026134 -1389.23296803604 268.796192454483</t>
  </si>
  <si>
    <t>-1125.04360255922 -1365.34951777018 737.820802256581</t>
  </si>
  <si>
    <t>-968.376194767025 -1396.16173519734 811.641142278917</t>
  </si>
  <si>
    <t>9763-20170724T170019.866693500.bin</t>
  </si>
  <si>
    <t>-1097.1705982928 -1115.12454634458 256.796568188188</t>
  </si>
  <si>
    <t>-1104.03683491802 -1067.04387338311 724.271547050374</t>
  </si>
  <si>
    <t>-960.988681072703 -998.93937903838 800.707872146612</t>
  </si>
  <si>
    <t>-1114.72370148305 -1389.59905278905 269.115413100301</t>
  </si>
  <si>
    <t>-1125.03703562419 -1365.57653816716 738.12907831643</t>
  </si>
  <si>
    <t>-968.54037891461 -1397.08330665524 812.018372079663</t>
  </si>
  <si>
    <t>9763-20170724T170019.897773500.bin</t>
  </si>
  <si>
    <t>-1097.19195956445 -1115.3806331072 256.912063115791</t>
  </si>
  <si>
    <t>-1104.02920201734 -1067.11454012415 724.347887246704</t>
  </si>
  <si>
    <t>-960.937865942763 -999.022960820288 800.714956191624</t>
  </si>
  <si>
    <t>-1114.67098973551 -1389.78249489954 269.294051407181</t>
  </si>
  <si>
    <t>-1125.01837131556 -1365.68331541853 738.291449032808</t>
  </si>
  <si>
    <t>-968.481960912326 -1396.90728460132 812.21658598327</t>
  </si>
  <si>
    <t>9763-20170724T170019.961513600.bin</t>
  </si>
  <si>
    <t>-1097.26670450834 -1115.88928036572 257.124109209594</t>
  </si>
  <si>
    <t>-1104.06223394448 -1067.21406783999 724.509619392754</t>
  </si>
  <si>
    <t>-960.885921818733 -999.0768546382 800.676433643694</t>
  </si>
  <si>
    <t>-1114.46766670788 -1390.15822832359 269.65154426968</t>
  </si>
  <si>
    <t>-1124.9699965822 -1365.74236430219 738.616034096909</t>
  </si>
  <si>
    <t>-968.435675067571 -1396.89045860037 812.577602013409</t>
  </si>
  <si>
    <t>9763-20170724T170019.998612100.bin</t>
  </si>
  <si>
    <t>-1097.2131583897 -1116.07319318374 257.200891856516</t>
  </si>
  <si>
    <t>-1104.03873803367 -1067.29391589628 724.572708774797</t>
  </si>
  <si>
    <t>-960.852817946524 -999.076170009204 800.649231794045</t>
  </si>
  <si>
    <t>-1114.43896483965 -1390.37837420961 269.812307485347</t>
  </si>
  <si>
    <t>-1124.96086256515 -1365.78583023788 738.766447950773</t>
  </si>
  <si>
    <t>-968.401492717742 -1396.80311756218 812.72996475179</t>
  </si>
  <si>
    <t>9763-20170724T170020.063799700.bin</t>
  </si>
  <si>
    <t>-1096.75529413597 -1116.4207244907 257.316535558777</t>
  </si>
  <si>
    <t>-1103.95399072234 -1067.49494297337 724.701837958192</t>
  </si>
  <si>
    <t>-960.815447618082 -999.024464420146 800.640344677877</t>
  </si>
  <si>
    <t>-1114.64602771568 -1390.97832218214 270.145200968687</t>
  </si>
  <si>
    <t>-1124.95461749069 -1365.83697102772 739.085133932459</t>
  </si>
  <si>
    <t>-968.418543585099 -1397.01580363217 813.030037463198</t>
  </si>
  <si>
    <t>9763-20170724T170020.094880800.bin</t>
  </si>
  <si>
    <t>-1096.56528702188 -1116.58702798659 257.332588701223</t>
  </si>
  <si>
    <t>-1103.92909476273 -1067.59293785357 724.701191587261</t>
  </si>
  <si>
    <t>-960.814399067864 -999.02540395085 800.597120844461</t>
  </si>
  <si>
    <t>-1114.82041270188 -1391.27487269319 270.300936005038</t>
  </si>
  <si>
    <t>-1124.969764133 -1365.85421261553 739.233396394927</t>
  </si>
  <si>
    <t>-968.399096567613 -1396.97316167905 813.130258038414</t>
  </si>
  <si>
    <t>9763-20170724T170020.162619900.bin</t>
  </si>
  <si>
    <t>-1096.41870034363 -1117.03472569276 257.304734978591</t>
  </si>
  <si>
    <t>-1103.91357692619 -1067.73032398339 724.620354978109</t>
  </si>
  <si>
    <t>-960.748239225065 -999.134057779735 800.394711447362</t>
  </si>
  <si>
    <t>-1115.17485012021 -1391.94812026908 270.439719428056</t>
  </si>
  <si>
    <t>-1124.99131314919 -1365.81166936905 739.331596446897</t>
  </si>
  <si>
    <t>-968.447847581401 -1397.27941092649 813.138326654326</t>
  </si>
  <si>
    <t>9763-20170724T170020.194657700.bin</t>
  </si>
  <si>
    <t>-1096.41882267691 -1117.3427720728 257.287700931837</t>
  </si>
  <si>
    <t>-1103.88262310699 -1067.91204075516 724.624625840845</t>
  </si>
  <si>
    <t>-960.77384817187 -999.038679387924 800.254231913485</t>
  </si>
  <si>
    <t>-1115.29311554958 -1392.19984347124 270.476082711232</t>
  </si>
  <si>
    <t>-1125.00246879127 -1365.74256682094 739.348550117681</t>
  </si>
  <si>
    <t>-968.366959296339 -1396.94606454614 813.072146158386</t>
  </si>
  <si>
    <t>9763-20170724T170020.263349900.bin</t>
  </si>
  <si>
    <t>-1096.55517745347 -1118.0522129426 257.291518438749</t>
  </si>
  <si>
    <t>-1103.95739334065 -1068.2856935059 724.657986251005</t>
  </si>
  <si>
    <t>-960.772296372375 -999.055564722502 799.8160034463</t>
  </si>
  <si>
    <t>-1115.28970767426 -1392.75073994986 270.548242457753</t>
  </si>
  <si>
    <t>-1125.052529525 -1365.64027063601 739.366839440101</t>
  </si>
  <si>
    <t>-968.446740788348 -1397.35249868924 812.93633131304</t>
  </si>
  <si>
    <t>9763-20170724T170020.298444500.bin</t>
  </si>
  <si>
    <t>-1096.60057756971 -1118.29942446005 257.271465777209</t>
  </si>
  <si>
    <t>-1103.98190042893 -1068.44412296068 724.618243896294</t>
  </si>
  <si>
    <t>-960.775257585256 -999.020627883551 799.556546883559</t>
  </si>
  <si>
    <t>-1115.27012522363 -1392.95692014796 270.557173305247</t>
  </si>
  <si>
    <t>-1125.06355446265 -1365.50681123396 739.35778121921</t>
  </si>
  <si>
    <t>-968.356758631711 -1396.96861257721 812.819650441572</t>
  </si>
  <si>
    <t>9763-20170724T170020.366635700.bin</t>
  </si>
  <si>
    <t>-1096.54308391855 -1118.66623456218 257.137658755099</t>
  </si>
  <si>
    <t>-1103.94548777536 -1068.80690540863 724.48630462047</t>
  </si>
  <si>
    <t>-960.801691558549 -998.774241985747 798.976587648865</t>
  </si>
  <si>
    <t>-1115.3125325595 -1393.4908173803 270.552567380286</t>
  </si>
  <si>
    <t>-1125.12864761499 -1365.41221210279 739.326574893647</t>
  </si>
  <si>
    <t>-968.38573081522 -1397.09996812919 812.614040521456</t>
  </si>
  <si>
    <t>9763-20170724T170020.397717500.bin</t>
  </si>
  <si>
    <t>-1096.37863391239 -1118.86625901548 257.13642895896</t>
  </si>
  <si>
    <t>-1103.89205238516 -1068.99116459644 724.415374934694</t>
  </si>
  <si>
    <t>-960.762527717548 -998.679087256163 798.669398231589</t>
  </si>
  <si>
    <t>-1115.51075118505 -1393.88428646113 270.490475502596</t>
  </si>
  <si>
    <t>-1125.1621307291 -1365.37764201187 739.286359708663</t>
  </si>
  <si>
    <t>-968.344385479274 -1396.88368994304 812.49204951644</t>
  </si>
  <si>
    <t>9763-20170724T170020.464568700.bin</t>
  </si>
  <si>
    <t>-1096.5517166392 -1119.39897475307 256.986321849922</t>
  </si>
  <si>
    <t>-1103.68900501136 -1069.49511628875 724.327572121365</t>
  </si>
  <si>
    <t>-960.736889308817 -998.24924672038 798.03125402463</t>
  </si>
  <si>
    <t>-1115.79146330322 -1394.85879411379 270.422297255426</t>
  </si>
  <si>
    <t>-1125.28016194254 -1365.60007467138 739.21635887646</t>
  </si>
  <si>
    <t>-968.511113803529 -1397.56790847119 812.326070354136</t>
  </si>
  <si>
    <t>9763-20170724T170020.497655800.bin</t>
  </si>
  <si>
    <t>-1096.75673272884 -1119.89750971927 257.161559117043</t>
  </si>
  <si>
    <t>-1103.63501866232 -1069.6208176661 724.338582299386</t>
  </si>
  <si>
    <t>-960.713506110486 -997.99011176559 797.727863591294</t>
  </si>
  <si>
    <t>-1115.6348776835 -1395.30530136159 270.485456590169</t>
  </si>
  <si>
    <t>-1125.30180661465 -1365.59829620451 739.202035859771</t>
  </si>
  <si>
    <t>-968.438164609235 -1397.23292244127 812.253768094732</t>
  </si>
  <si>
    <t>9763-20170724T170020.565840300.bin</t>
  </si>
  <si>
    <t>-1097.12440492255 -1120.90733174072 257.202907183941</t>
  </si>
  <si>
    <t>-1103.3696478471 -1069.86326481807 724.123915940826</t>
  </si>
  <si>
    <t>-960.650084921693 -997.698728099933 797.383196534656</t>
  </si>
  <si>
    <t>-1114.7265671014 -1396.18666053663 270.550253120511</t>
  </si>
  <si>
    <t>-1125.34819190159 -1365.70198326685 739.165379399445</t>
  </si>
  <si>
    <t>-968.562404947501 -1397.83800437936 812.165388051977</t>
  </si>
  <si>
    <t>9763-20170724T170020.599932000.bin</t>
  </si>
  <si>
    <t>-1096.99314490258 -1121.57019675347 257.126287833793</t>
  </si>
  <si>
    <t>-1102.9797151402 -1070.19810759034 724.027791283776</t>
  </si>
  <si>
    <t>-960.573159004 -997.492717522864 797.361294910976</t>
  </si>
  <si>
    <t>-1114.31848827203 -1396.59161358553 270.541053476258</t>
  </si>
  <si>
    <t>-1125.35203576915 -1365.70454521928 739.143591284327</t>
  </si>
  <si>
    <t>-968.455085749369 -1397.38058498727 812.105825677892</t>
  </si>
  <si>
    <t>9763-20170724T170020.662140000.bin</t>
  </si>
  <si>
    <t>-1096.24596080878 -1122.84994535584 256.849793284603</t>
  </si>
  <si>
    <t>-1101.89110316627 -1070.90348097694 723.656243550796</t>
  </si>
  <si>
    <t>-960.352409869215 -997.130472992044 797.601125817824</t>
  </si>
  <si>
    <t>-1113.63963663072 -1397.20890572136 270.405517046622</t>
  </si>
  <si>
    <t>-1125.35951018257 -1365.74954932181 739.067083528404</t>
  </si>
  <si>
    <t>-968.463610617821 -1397.52887895351 811.986609950556</t>
  </si>
  <si>
    <t>9763-20170724T170020.700242800.bin</t>
  </si>
  <si>
    <t>-1095.8184550684 -1123.25208392843 256.63934682655</t>
  </si>
  <si>
    <t>-1101.21886861389 -1071.57567829629 723.640313331128</t>
  </si>
  <si>
    <t>-960.225778460879 -996.931284993598 797.752850242747</t>
  </si>
  <si>
    <t>-1113.54591197729 -1397.29266949694 270.318271397592</t>
  </si>
  <si>
    <t>-1125.317138289 -1365.68092907512 739.028525787068</t>
  </si>
  <si>
    <t>-968.344438030268 -1397.1124411882 811.933529082487</t>
  </si>
  <si>
    <t>9763-20170724T170020.765030500.bin</t>
  </si>
  <si>
    <t>-1095.55017585305 -1123.74156986847 256.514670240317</t>
  </si>
  <si>
    <t>-1099.82133239788 -1073.06690964475 723.633267806083</t>
  </si>
  <si>
    <t>-959.913473225025 -996.47936950745 797.81981879037</t>
  </si>
  <si>
    <t>-1113.77831849193 -1397.16755789106 270.269211753489</t>
  </si>
  <si>
    <t>-1125.16758266586 -1365.53121093539 738.999202557816</t>
  </si>
  <si>
    <t>-968.162876837828 -1396.73526866763 811.932990281279</t>
  </si>
  <si>
    <t>9763-20170724T170020.798116900.bin</t>
  </si>
  <si>
    <t>-1096.20932815225 -1123.97437100968 256.549800355273</t>
  </si>
  <si>
    <t>-1099.47083516666 -1073.40953770868 723.664343955094</t>
  </si>
  <si>
    <t>-959.815517731939 -996.296928702281 797.782773357635</t>
  </si>
  <si>
    <t>-1114.05886627661 -1397.19204417171 270.273686766224</t>
  </si>
  <si>
    <t>-1124.9464163826 -1365.87854248846 739.037218842564</t>
  </si>
  <si>
    <t>-968.131837968759 -1396.94786242345 812.436112078054</t>
  </si>
  <si>
    <t>9763-20170724T170020.862326400.bin</t>
  </si>
  <si>
    <t>-1099.3494843108 -1124.49854327061 256.87783010345</t>
  </si>
  <si>
    <t>-1099.691109662 -1073.28436878684 723.871637967111</t>
  </si>
  <si>
    <t>-960.011442637067 -995.926773540278 797.688393652847</t>
  </si>
  <si>
    <t>-1114.58941231861 -1397.43883530248 270.466065897308</t>
  </si>
  <si>
    <t>-1124.38437006537 -1367.13765132443 739.390516056094</t>
  </si>
  <si>
    <t>-967.908783545997 -1396.942989538 814.02660733053</t>
  </si>
  <si>
    <t>9763-20170724T170020.899392000.bin</t>
  </si>
  <si>
    <t>-1101.40991131512 -1124.85229044351 257.121879577746</t>
  </si>
  <si>
    <t>-1099.92327688933 -1073.2093470332 724.080113564289</t>
  </si>
  <si>
    <t>-960.056699228134 -995.919714839891 797.613592213959</t>
  </si>
  <si>
    <t>-1114.88089017857 -1397.37721053178 270.559845636676</t>
  </si>
  <si>
    <t>-1124.2733253759 -1367.47942194598 739.514732062546</t>
  </si>
  <si>
    <t>-967.918157690485 -1397.26546594522 814.410434129064</t>
  </si>
  <si>
    <t>9763-20170724T170020.965572300.bin</t>
  </si>
  <si>
    <t>-1105.19862394057 -1125.47435531487 257.663364617684</t>
  </si>
  <si>
    <t>-1100.25852003595 -1073.15305911287 724.450727734407</t>
  </si>
  <si>
    <t>-960.17115701109 -995.723986217718 797.414992643448</t>
  </si>
  <si>
    <t>-1115.72991500449 -1396.57961763752 270.535281126634</t>
  </si>
  <si>
    <t>-1124.28748972843 -1367.43543448708 739.489373302937</t>
  </si>
  <si>
    <t>-967.838095609322 -1397.0168963019 814.269299687436</t>
  </si>
  <si>
    <t>9763-20170724T170020.999663600.bin</t>
  </si>
  <si>
    <t>-1106.42023680262 -1125.64442817821 257.869038158703</t>
  </si>
  <si>
    <t>-1100.21154881441 -1073.27766336416 724.612666714646</t>
  </si>
  <si>
    <t>-960.177172432062 -995.529993496997 797.339414884898</t>
  </si>
  <si>
    <t>-1116.06944599136 -1396.14106125413 270.449995882166</t>
  </si>
  <si>
    <t>-1124.36087515706 -1367.48703751705 739.443584128598</t>
  </si>
  <si>
    <t>-967.860935866354 -1397.1353424696 814.091141750547</t>
  </si>
  <si>
    <t>9763-20170724T170021.065346700.bin</t>
  </si>
  <si>
    <t>-1107.31594786321 -1125.6717468644 258.19216113396</t>
  </si>
  <si>
    <t>-1099.95538137077 -1073.77510717363 725.066226678064</t>
  </si>
  <si>
    <t>-960.122408904417 -994.929616683851 796.994305380195</t>
  </si>
  <si>
    <t>-1116.99043353015 -1395.55946852238 270.28189760268</t>
  </si>
  <si>
    <t>-1124.4624104212 -1367.43787850626 739.355609520722</t>
  </si>
  <si>
    <t>-967.910592309994 -1397.47983894828 813.736526393091</t>
  </si>
  <si>
    <t>9763-20170724T170021.099436300.bin</t>
  </si>
  <si>
    <t>-1107.47973711606 -1125.39454175458 258.326249509991</t>
  </si>
  <si>
    <t>-1100.02731525718 -1073.90764067733 725.31759797253</t>
  </si>
  <si>
    <t>-960.220852484238 -994.611499048916 796.800340767487</t>
  </si>
  <si>
    <t>-1117.47330594499 -1395.21088515345 270.22880354965</t>
  </si>
  <si>
    <t>-1124.54595049872 -1367.41231120742 739.318775947747</t>
  </si>
  <si>
    <t>-968.028586390444 -1398.05147708695 813.528399294232</t>
  </si>
  <si>
    <t>9763-20170724T170021.162885500.bin</t>
  </si>
  <si>
    <t>-1106.68278224763 -1124.24748022126 258.235822361974</t>
  </si>
  <si>
    <t>-1100.16895262045 -1073.59861634292 725.22749091232</t>
  </si>
  <si>
    <t>-960.125579428551 -994.584631613978 796.558797442895</t>
  </si>
  <si>
    <t>-1118.33924322585 -1394.45208850661 270.111941974602</t>
  </si>
  <si>
    <t>-1124.71138623966 -1367.07052162359 739.202042188208</t>
  </si>
  <si>
    <t>-968.276260077991 -1399.15827789412 812.971553636167</t>
  </si>
  <si>
    <t>9763-20170724T170021.195949300.bin</t>
  </si>
  <si>
    <t>-1105.7758462918 -1123.39674183337 257.987690245713</t>
  </si>
  <si>
    <t>-1100.15177480013 -1073.26899589588 725.020429348797</t>
  </si>
  <si>
    <t>-960.072134250451 -994.573603482516 796.632126671365</t>
  </si>
  <si>
    <t>-1118.82049886617 -1394.04124371063 270.023854941737</t>
  </si>
  <si>
    <t>-1124.77308532647 -1366.77742611591 739.11974050741</t>
  </si>
  <si>
    <t>-968.293043692003 -1399.21783231733 812.639336846498</t>
  </si>
  <si>
    <t>9763-20170724T170021.261910200.bin</t>
  </si>
  <si>
    <t>-1103.228747411 -1121.28088098821 257.407488749569</t>
  </si>
  <si>
    <t>-1100.11007871684 -1072.26909783935 724.447068894192</t>
  </si>
  <si>
    <t>-959.769765604472 -995.077322219861 797.176281302046</t>
  </si>
  <si>
    <t>-1119.64875255016 -1393.12389776351 269.822510498164</t>
  </si>
  <si>
    <t>-1124.8826584257 -1366.34780920913 738.955696761419</t>
  </si>
  <si>
    <t>-968.465127119995 -1399.94144010846 812.089376097966</t>
  </si>
  <si>
    <t>9763-20170724T170021.298982200.bin</t>
  </si>
  <si>
    <t>-1101.71105864124 -1120.08772965022 257.036004502812</t>
  </si>
  <si>
    <t>-1099.92704724457 -1071.64816617804 724.01465795371</t>
  </si>
  <si>
    <t>-959.631004512078 -995.285604577676 797.698393097861</t>
  </si>
  <si>
    <t>-1119.79436995748 -1392.68750778787 269.675642979115</t>
  </si>
  <si>
    <t>-1124.92865133553 -1366.23894949009 738.870058818226</t>
  </si>
  <si>
    <t>-968.522635833709 -1400.16474407434 811.874915861944</t>
  </si>
  <si>
    <t>9763-20170724T170021.366974900.bin</t>
  </si>
  <si>
    <t>-1098.32564398041 -1117.96685780034 256.40280688252</t>
  </si>
  <si>
    <t>-1099.34326402367 -1071.13856532288 723.750575524509</t>
  </si>
  <si>
    <t>-959.337803476102 -995.687152687258 798.910804785228</t>
  </si>
  <si>
    <t>-1119.3351303045 -1391.74786538252 269.33596943186</t>
  </si>
  <si>
    <t>-1124.99587969532 -1366.11926977403 738.698020313961</t>
  </si>
  <si>
    <t>-968.653169365353 -1400.6382030998 811.560286990691</t>
  </si>
  <si>
    <t>9763-20170724T170021.398057700.bin</t>
  </si>
  <si>
    <t>-1096.64907038589 -1117.24066391088 256.270719552796</t>
  </si>
  <si>
    <t>-1098.93367747657 -1071.31523619034 723.843376653691</t>
  </si>
  <si>
    <t>-959.099855836664 -995.909134172671 799.367741972521</t>
  </si>
  <si>
    <t>-1119.04059124073 -1391.29024081611 269.276079907581</t>
  </si>
  <si>
    <t>-1125.0209514578 -1366.14993046643 738.662455988348</t>
  </si>
  <si>
    <t>-968.807649144426 -1401.27284279918 811.513665125181</t>
  </si>
  <si>
    <t>9763-20170724T170021.461736900.bin</t>
  </si>
  <si>
    <t>-1093.69119312443 -1116.52861563078 256.272834477622</t>
  </si>
  <si>
    <t>-1098.14223968359 -1072.29356959514 724.256135975613</t>
  </si>
  <si>
    <t>-958.694286647225 -996.405652723864 800.011008465595</t>
  </si>
  <si>
    <t>-1119.14476845837 -1390.68716613699 269.229809560894</t>
  </si>
  <si>
    <t>-1125.17571090991 -1366.58042081411 738.590623904911</t>
  </si>
  <si>
    <t>-969.131572895757 -1402.47195624082 811.429754226696</t>
  </si>
  <si>
    <t>9763-20170724T170021.498836000.bin</t>
  </si>
  <si>
    <t>-1092.31403443848 -1116.07167454637 256.336105903091</t>
  </si>
  <si>
    <t>-1097.79588719673 -1072.66839728208 724.245791971865</t>
  </si>
  <si>
    <t>-958.546530907613 -996.671602947732 800.256394810416</t>
  </si>
  <si>
    <t>-1119.13895886771 -1390.45164038371 269.281343091565</t>
  </si>
  <si>
    <t>-1125.20820578184 -1366.70113578199 738.596584810196</t>
  </si>
  <si>
    <t>-969.206349391893 -1402.78347971107 811.431982575435</t>
  </si>
  <si>
    <t>9763-20170724T170021.563605800.bin</t>
  </si>
  <si>
    <t>-1089.70317212215 -1114.66843777238 256.345691070312</t>
  </si>
  <si>
    <t>-1097.2693209729 -1073.27460355862 724.321609028682</t>
  </si>
  <si>
    <t>-958.307509415925 -997.239056395266 800.818201686683</t>
  </si>
  <si>
    <t>-1118.3558970873 -1390.08559343124 269.407057175726</t>
  </si>
  <si>
    <t>-1125.34164757303 -1367.18184353566 738.659648299972</t>
  </si>
  <si>
    <t>-969.49635819712 -1403.95824433672 811.483108367265</t>
  </si>
  <si>
    <t>9763-20170724T170021.599702500.bin</t>
  </si>
  <si>
    <t>-1088.11687488448 -1113.14358509706 256.031033730994</t>
  </si>
  <si>
    <t>-1097.15634063026 -1073.74440419608 724.334490783634</t>
  </si>
  <si>
    <t>-958.611657338108 -996.602891509366 800.479509799997</t>
  </si>
  <si>
    <t>-1117.25828295296 -1389.96724407009 269.533141746085</t>
  </si>
  <si>
    <t>-1125.39881630639 -1367.41341110616 738.805065885351</t>
  </si>
  <si>
    <t>-969.720587697073 -1404.91994526233 811.61344666262</t>
  </si>
  <si>
    <t>9763-20170724T170021.664412300.bin</t>
  </si>
  <si>
    <t>-1085.63569961698 -1102.85153665768 253.998369950926</t>
  </si>
  <si>
    <t>-1100.71224572284 -1072.55509484887 722.689589916994</t>
  </si>
  <si>
    <t>-964.45421940456 -990.670570417496 798.003615761397</t>
  </si>
  <si>
    <t>-1116.52546615795 -1387.27163523883 269.377706626968</t>
  </si>
  <si>
    <t>-1125.4795148297 -1367.7728361416 738.856376562575</t>
  </si>
  <si>
    <t>-970.031697239007 -1406.24763308948 811.651836415593</t>
  </si>
  <si>
    <t>9763-20170724T170021.698475500.bin</t>
  </si>
  <si>
    <t>-1083.74213576778 -1095.43640459918 252.54678363498</t>
  </si>
  <si>
    <t>-1103.37024555617 -1074.55568062165 721.542577046368</t>
  </si>
  <si>
    <t>-969.009456412952 -989.559638555589 796.817879935063</t>
  </si>
  <si>
    <t>-1116.80707287669 -1385.71566536916 269.35585433689</t>
  </si>
  <si>
    <t>-1125.45520777536 -1367.73441832616 738.870717263231</t>
  </si>
  <si>
    <t>-969.98272078362 -1406.15698819303 811.641050979317</t>
  </si>
  <si>
    <t>9763-20170724T170021.766661700.bin</t>
  </si>
  <si>
    <t>-1081.96401338026 -1083.33136740059 250.597975742636</t>
  </si>
  <si>
    <t>-1117.3888510493 -1077.44329805368 718.773760935388</t>
  </si>
  <si>
    <t>-986.109122397301 -989.713701914637 796.315162531661</t>
  </si>
  <si>
    <t>-1117.10544988356 -1382.35382902526 269.288792322352</t>
  </si>
  <si>
    <t>-1125.4114251567 -1367.600462459 738.893133085019</t>
  </si>
  <si>
    <t>-970.034370591489 -1406.53690727613 811.594132545485</t>
  </si>
  <si>
    <t>9763-20170724T170021.797744200.bin</t>
  </si>
  <si>
    <t>-1083.11180060712 -1076.95293117702 250.110756581274</t>
  </si>
  <si>
    <t>-1129.92566343129 -1074.03716750275 717.461079884288</t>
  </si>
  <si>
    <t>-999.282216541428 -986.049358304888 795.78058871575</t>
  </si>
  <si>
    <t>-1116.80555793322 -1380.42946109103 269.231152017037</t>
  </si>
  <si>
    <t>-1125.34470495541 -1367.37252620532 738.886970734349</t>
  </si>
  <si>
    <t>-969.832977172995 -1405.89609648831 811.519933306365</t>
  </si>
  <si>
    <t>9763-20170724T170021.866695300.bin</t>
  </si>
  <si>
    <t>-1086.66124279888 -1064.87492622261 250.137315809418</t>
  </si>
  <si>
    <t>-1154.01327233874 -1060.83636254456 714.932843583389</t>
  </si>
  <si>
    <t>-1024.56097953337 -970.763553162935 792.859122454337</t>
  </si>
  <si>
    <t>-1116.1148295049 -1375.66067040966 269.158776642145</t>
  </si>
  <si>
    <t>-1125.15049716622 -1366.9150217919 738.873949005413</t>
  </si>
  <si>
    <t>-969.608548488673 -1405.36895202503 811.479102652424</t>
  </si>
  <si>
    <t>9763-20170724T170021.894759000.bin</t>
  </si>
  <si>
    <t>-1091.44675119538 -1058.49512361535 250.685102476018</t>
  </si>
  <si>
    <t>-1164.15831949309 -1051.93918386349 714.830921479744</t>
  </si>
  <si>
    <t>-1035.83629605317 -958.755598796234 790.947836524581</t>
  </si>
  <si>
    <t>-1115.83764875705 -1373.0948164251 269.135692111963</t>
  </si>
  <si>
    <t>-1125.0567287397 -1366.8257518113 738.895525808516</t>
  </si>
  <si>
    <t>-969.386789305841 -1404.71218975493 811.524700628931</t>
  </si>
  <si>
    <t>9763-20170724T170021.966570200.bin</t>
  </si>
  <si>
    <t>-1107.72081801837 -1045.22796622475 252.39727384463</t>
  </si>
  <si>
    <t>-1176.63281426468 -1032.21785521203 716.567695402772</t>
  </si>
  <si>
    <t>-1053.87420498363 -931.613652091428 792.413765986144</t>
  </si>
  <si>
    <t>-1116.07485212435 -1366.25959850847 269.066310086336</t>
  </si>
  <si>
    <t>-1124.8335598511 -1366.58228750763 738.908465544455</t>
  </si>
  <si>
    <t>-969.034046752443 -1403.7403014443 811.636043379247</t>
  </si>
  <si>
    <t>9763-20170724T170021.998654100.bin</t>
  </si>
  <si>
    <t>-1116.65543862195 -1038.32971228546 253.494755072128</t>
  </si>
  <si>
    <t>-1185.55513041592 -1022.96295338298 718.299448337989</t>
  </si>
  <si>
    <t>-1064.49217258051 -918.827835428675 792.077126962736</t>
  </si>
  <si>
    <t>-1115.7580526815 -1362.24692887613 269.102433429473</t>
  </si>
  <si>
    <t>-1124.7101476822 -1366.44821622349 738.934250970724</t>
  </si>
  <si>
    <t>-968.884164815708 -1403.38834988509 811.716131439656</t>
  </si>
  <si>
    <t>9763-20170724T170022.062569100.bin</t>
  </si>
  <si>
    <t>-1125.97238230279 -1029.22514302173 255.533460204106</t>
  </si>
  <si>
    <t>-1188.87562694418 -1020.35354331986 721.221151959954</t>
  </si>
  <si>
    <t>-1071.78899093363 -909.835218792021 792.072590124159</t>
  </si>
  <si>
    <t>-1114.32125227692 -1351.55417841506 269.173743648695</t>
  </si>
  <si>
    <t>-1124.514774961 -1365.92945654842 738.878143929775</t>
  </si>
  <si>
    <t>-968.77353200373 -1403.28454221462 811.629563458863</t>
  </si>
  <si>
    <t>9763-20170724T170022.095658700.bin</t>
  </si>
  <si>
    <t>-1130.53210362641 -1029.74336974233 257.149192888472</t>
  </si>
  <si>
    <t>-1184.37234202464 -1025.99549833437 723.980561959981</t>
  </si>
  <si>
    <t>-1070.30997517133 -912.458412917093 794.991971462751</t>
  </si>
  <si>
    <t>-1112.728439167 -1344.96295376123 269.232026997065</t>
  </si>
  <si>
    <t>-1124.36425187836 -1365.4947588719 738.816859141689</t>
  </si>
  <si>
    <t>-968.640299710994 -1402.97477163679 811.541089493534</t>
  </si>
  <si>
    <t>9763-20170724T170022.164848500.bin</t>
  </si>
  <si>
    <t>-1147.81360179223 -1028.83230334872 262.632046219894</t>
  </si>
  <si>
    <t>-1197.61450431492 -1029.81235993857 730.07218443101</t>
  </si>
  <si>
    <t>-1084.66754266976 -917.3049812601 804.426558040581</t>
  </si>
  <si>
    <t>-1104.31281562904 -1331.21345031243 269.906592422287</t>
  </si>
  <si>
    <t>-1123.70652232231 -1364.37042634924 738.722329242309</t>
  </si>
  <si>
    <t>-968.431768853495 -1403.0514440087 811.777387164303</t>
  </si>
  <si>
    <t>9763-20170724T170022.197932800.bin</t>
  </si>
  <si>
    <t>-1150.66079443827 -1026.99585745819 264.619302973416</t>
  </si>
  <si>
    <t>-1198.80338531589 -1031.92728523867 732.408534221778</t>
  </si>
  <si>
    <t>-1084.47776624154 -921.679582261875 808.030089538032</t>
  </si>
  <si>
    <t>-1096.68987352688 -1324.20766052611 270.503464664436</t>
  </si>
  <si>
    <t>-1123.21275781609 -1363.75387663187 738.726472715368</t>
  </si>
  <si>
    <t>-968.305321533446 -1403.22375687575 812.13849555099</t>
  </si>
  <si>
    <t>9763-20170724T170022.264112600.bin</t>
  </si>
  <si>
    <t>-1151.63230742863 -1021.50845251733 266.233736409358</t>
  </si>
  <si>
    <t>-1199.6569805237 -1033.4249085218 732.280584471538</t>
  </si>
  <si>
    <t>-1084.57180327869 -923.879538531404 807.770448736532</t>
  </si>
  <si>
    <t>-1075.5051479858 -1311.77731440255 270.709678946504</t>
  </si>
  <si>
    <t>-1122.25790579366 -1362.90508019809 736.714624662538</t>
  </si>
  <si>
    <t>-968.553583943839 -1405.00645233738 811.185870222803</t>
  </si>
  <si>
    <t>9763-20170724T170022.297200500.bin</t>
  </si>
  <si>
    <t>-1151.1687635845 -1019.52798799102 266.741732442296</t>
  </si>
  <si>
    <t>-1199.87801992816 -1033.17525164557 732.441110058294</t>
  </si>
  <si>
    <t>-1084.30229259764 -924.130569596478 807.906436563215</t>
  </si>
  <si>
    <t>-1063.12442115302 -1306.0892159278 270.817472793768</t>
  </si>
  <si>
    <t>-1121.74004636017 -1362.92136172611 735.056744052111</t>
  </si>
  <si>
    <t>-968.897567700808 -1406.45591774033 810.471809078277</t>
  </si>
  <si>
    <t>9763-20170724T170022.366391300.bin</t>
  </si>
  <si>
    <t>-1153.58326361822 -1016.61738640072 266.632804602915</t>
  </si>
  <si>
    <t>-1200.32531981223 -1032.52310634203 732.108112587367</t>
  </si>
  <si>
    <t>-1083.98866923339 -924.651637693562 808.088680778826</t>
  </si>
  <si>
    <t>-1044.53193614966 -1292.47206709171 268.594203353309</t>
  </si>
  <si>
    <t>-1125.97973057963 -1359.21752672094 727.223575829069</t>
  </si>
  <si>
    <t>-974.913594982608 -1400.87910161346 807.141349422205</t>
  </si>
  <si>
    <t>9763-20170724T170022.398477000.bin</t>
  </si>
  <si>
    <t>-1155.79786221783 -1013.88572602802 265.56433722506</t>
  </si>
  <si>
    <t>-1200.36272023699 -1032.36285575779 731.588039627299</t>
  </si>
  <si>
    <t>-1083.90912549147 -924.796852235887 807.822020409929</t>
  </si>
  <si>
    <t>-1042.84837473593 -1281.17097812624 265.045637833461</t>
  </si>
  <si>
    <t>-1130.57287530551 -1353.22815674363 720.773275746505</t>
  </si>
  <si>
    <t>-980.313029561199 -1390.26072561603 804.403878458551</t>
  </si>
  <si>
    <t>9763-20170724T170022.463656500.bin</t>
  </si>
  <si>
    <t>-1156.15953368329 -1011.3668745952 263.49399692868</t>
  </si>
  <si>
    <t>-1200.0355605685 -1032.65950221048 730.695607899122</t>
  </si>
  <si>
    <t>-1084.06489632906 -924.60005370582 806.968005754242</t>
  </si>
  <si>
    <t>-1040.27448022532 -1275.09827529062 260.188209525381</t>
  </si>
  <si>
    <t>-1120.25566724456 -1362.07444033182 715.185729228263</t>
  </si>
  <si>
    <t>-968.101119198441 -1381.00690463956 801.406786608538</t>
  </si>
  <si>
    <t>9763-20170724T170022.501757100.bin</t>
  </si>
  <si>
    <t>-1154.4146015831 -1011.70171677943 262.909405418939</t>
  </si>
  <si>
    <t>-1199.71573805808 -1032.98442120539 730.34281947429</t>
  </si>
  <si>
    <t>-1084.12473479087 -924.459937655303 806.531127012075</t>
  </si>
  <si>
    <t>-1039.943765439 -1277.50817698842 259.705462679466</t>
  </si>
  <si>
    <t>-1108.39758096339 -1367.30550676571 715.873054921996</t>
  </si>
  <si>
    <t>-954.694846504727 -1375.28092192006 801.051522804181</t>
  </si>
  <si>
    <t>9763-20170724T170022.564935500.bin</t>
  </si>
  <si>
    <t>-1149.63874815635 -1014.99716037074 262.654608674591</t>
  </si>
  <si>
    <t>-1198.90708198349 -1033.89817693114 730.119486629037</t>
  </si>
  <si>
    <t>-1084.2195862645 -924.131357008932 805.892473490781</t>
  </si>
  <si>
    <t>-1037.81149130716 -1284.1502086454 260.772078915681</t>
  </si>
  <si>
    <t>-1096.15217652081 -1368.15855182501 719.269051427603</t>
  </si>
  <si>
    <t>-941.316617841145 -1369.97790369454 802.732535770619</t>
  </si>
  <si>
    <t>9763-20170724T170022.599026500.bin</t>
  </si>
  <si>
    <t>-1147.00076974304 -1018.33093842271 262.760376872484</t>
  </si>
  <si>
    <t>-1198.40402587362 -1034.51083589752 730.19343436362</t>
  </si>
  <si>
    <t>-1084.19383232017 -924.02662509778 805.64401116916</t>
  </si>
  <si>
    <t>-1038.49785681559 -1289.20259543184 261.405560963856</t>
  </si>
  <si>
    <t>-1096.81474419095 -1368.73628149167 720.606780186061</t>
  </si>
  <si>
    <t>-941.334029413095 -1371.95791925376 802.819177426712</t>
  </si>
  <si>
    <t>9763-20170724T170022.662211600.bin</t>
  </si>
  <si>
    <t>-1144.44550340122 -1025.25666254653 263.357415671871</t>
  </si>
  <si>
    <t>-1197.80795008703 -1035.47849372047 730.767647031593</t>
  </si>
  <si>
    <t>-1084.36748723954 -923.607972392051 805.331450712331</t>
  </si>
  <si>
    <t>-1045.40660308735 -1300.63912323141 262.714167931826</t>
  </si>
  <si>
    <t>-1098.50390637252 -1367.07371040484 724.252866916081</t>
  </si>
  <si>
    <t>-941.307850881413 -1371.44898106948 803.08029926309</t>
  </si>
  <si>
    <t>9763-20170724T170022.698311100.bin</t>
  </si>
  <si>
    <t>-1144.75422376788 -1029.40817184616 263.754660359486</t>
  </si>
  <si>
    <t>-1197.97019824524 -1035.6573323547 731.134855938999</t>
  </si>
  <si>
    <t>-1084.58052637108 -923.397016681528 805.188278718229</t>
  </si>
  <si>
    <t>-1049.43670424077 -1306.91984046516 263.955219795366</t>
  </si>
  <si>
    <t>-1099.69317302098 -1367.02159840934 726.502354023812</t>
  </si>
  <si>
    <t>-941.442935221549 -1370.72534475059 803.226916752418</t>
  </si>
  <si>
    <t>9763-20170724T170022.763080500.bin</t>
  </si>
  <si>
    <t>-1144.31679991423 -1038.49634939034 264.319717665132</t>
  </si>
  <si>
    <t>-1198.02744900769 -1036.07855089029 731.497883221699</t>
  </si>
  <si>
    <t>-1084.91769227273 -922.993312462272 804.719604995519</t>
  </si>
  <si>
    <t>-1058.41002113489 -1320.47823583199 265.48826144766</t>
  </si>
  <si>
    <t>-1101.37496540719 -1366.95487273774 729.302687204417</t>
  </si>
  <si>
    <t>-941.705226122927 -1369.35788346814 803.081493481774</t>
  </si>
  <si>
    <t>9763-20170724T170022.796168400.bin</t>
  </si>
  <si>
    <t>-1142.83738679593 -1042.76457323509 264.238676055965</t>
  </si>
  <si>
    <t>-1197.43041591936 -1036.33422434348 731.289025461566</t>
  </si>
  <si>
    <t>-1084.94315144453 -922.595627938069 804.457699429452</t>
  </si>
  <si>
    <t>-1062.6515910905 -1328.83764595281 265.774749497501</t>
  </si>
  <si>
    <t>-1101.81403057646 -1367.2743914184 730.490567100696</t>
  </si>
  <si>
    <t>-941.731933526393 -1368.1804433068 803.404308356025</t>
  </si>
  <si>
    <t>9763-20170724T170022.862246000.bin</t>
  </si>
  <si>
    <t>-1140.64784023805 -1050.11860103122 264.035082293506</t>
  </si>
  <si>
    <t>-1196.41850896942 -1036.31327807436 730.680248126239</t>
  </si>
  <si>
    <t>-1085.16372727679 -921.582470604087 804.183524150712</t>
  </si>
  <si>
    <t>-1068.13856091161 -1345.15702470113 267.147195810359</t>
  </si>
  <si>
    <t>-1102.35238187189 -1368.43332061084 733.319613254578</t>
  </si>
  <si>
    <t>-941.74409754456 -1366.59163861745 805.048946816625</t>
  </si>
  <si>
    <t>9763-20170724T170022.895334100.bin</t>
  </si>
  <si>
    <t>-1139.71556125314 -1053.14519860919 264.260213631449</t>
  </si>
  <si>
    <t>-1196.6792818158 -1036.00263028513 730.738613725887</t>
  </si>
  <si>
    <t>-1085.43073094167 -921.196337267615 804.133337097026</t>
  </si>
  <si>
    <t>-1069.77764211926 -1352.29022023414 268.074733558574</t>
  </si>
  <si>
    <t>-1102.47741998787 -1369.08242604628 734.769210597297</t>
  </si>
  <si>
    <t>-941.713759002409 -1365.86614497615 806.100916126417</t>
  </si>
  <si>
    <t>9763-20170724T170022.965210800.bin</t>
  </si>
  <si>
    <t>-1137.36874990914 -1056.83770377511 264.682974185571</t>
  </si>
  <si>
    <t>-1199.62395158447 -1031.55543222516 730.231861665996</t>
  </si>
  <si>
    <t>-1087.96820662072 -915.745571224652 801.397698994137</t>
  </si>
  <si>
    <t>-1073.45501660945 -1362.87643022843 269.983245933948</t>
  </si>
  <si>
    <t>-1102.49962809213 -1370.21073585003 737.67908976835</t>
  </si>
  <si>
    <t>-941.639723730369 -1363.60040976333 808.55864361962</t>
  </si>
  <si>
    <t>9763-20170724T170022.994288300.bin</t>
  </si>
  <si>
    <t>-1140.71176030049 -1048.78259336053 262.865483799032</t>
  </si>
  <si>
    <t>-1206.06110995546 -1014.45274041214 727.084142901998</t>
  </si>
  <si>
    <t>-1094.83511436315 -897.431315987227 796.928736216769</t>
  </si>
  <si>
    <t>-1075.1820321362 -1363.92281014026 269.963816418737</t>
  </si>
  <si>
    <t>-1102.46211835673 -1370.62756284469 738.147394090746</t>
  </si>
  <si>
    <t>-941.622253395594 -1363.24652083636 808.996321178485</t>
  </si>
  <si>
    <t>9763-20170724T170023.061470000.bin</t>
  </si>
  <si>
    <t>-1148.16594833155 -1046.52541209375 259.716609471742</t>
  </si>
  <si>
    <t>-1211.88575971314 -1009.80867203251 723.604012456019</t>
  </si>
  <si>
    <t>-1106.13476840246 -885.286892903655 788.830981746315</t>
  </si>
  <si>
    <t>-1076.48792252506 -1364.47163857351 269.132328200721</t>
  </si>
  <si>
    <t>-1102.4438486788 -1370.95698209623 738.209855438168</t>
  </si>
  <si>
    <t>-941.658297982326 -1362.53812072085 809.066331228499</t>
  </si>
  <si>
    <t>9763-20170724T170023.094558200.bin</t>
  </si>
  <si>
    <t>-1150.46105164952 -1050.29961031822 258.690223221924</t>
  </si>
  <si>
    <t>-1212.24839002283 -1017.27627668415 723.177693164607</t>
  </si>
  <si>
    <t>-1111.08852808376 -888.647184301766 787.712611011882</t>
  </si>
  <si>
    <t>-1076.20453871934 -1365.98300148946 268.866942257204</t>
  </si>
  <si>
    <t>-1102.43592112581 -1370.95038379626 738.148975858705</t>
  </si>
  <si>
    <t>-941.655040603585 -1362.47623452886 809.009478836252</t>
  </si>
  <si>
    <t>9763-20170724T170023.162742700.bin</t>
  </si>
  <si>
    <t>-1148.9603474637 -1060.38589685548 257.948350084345</t>
  </si>
  <si>
    <t>-1207.47521644531 -1045.42333932776 723.714586442423</t>
  </si>
  <si>
    <t>-1114.67238466694 -913.362921897869 793.651571396622</t>
  </si>
  <si>
    <t>-1075.9576458916 -1370.22755941027 268.661063126751</t>
  </si>
  <si>
    <t>-1102.45542280546 -1370.81815812229 738.018162067465</t>
  </si>
  <si>
    <t>-941.652829172811 -1362.40555871984 808.836708497117</t>
  </si>
  <si>
    <t>9763-20170724T170023.194828700.bin</t>
  </si>
  <si>
    <t>-1144.53261748048 -1067.57572373508 258.533141987991</t>
  </si>
  <si>
    <t>-1204.17821666765 -1064.57871115721 724.696017490515</t>
  </si>
  <si>
    <t>-1113.95634134518 -931.59032234472 796.233523450437</t>
  </si>
  <si>
    <t>-1076.60911066234 -1372.09995787754 268.611570387646</t>
  </si>
  <si>
    <t>-1102.45320813037 -1370.73380609664 737.978981662112</t>
  </si>
  <si>
    <t>-941.639354295809 -1362.42265012247 808.783918447632</t>
  </si>
  <si>
    <t>9763-20170724T170023.265019200.bin</t>
  </si>
  <si>
    <t>-1135.24125083244 -1079.62415753547 259.135139315181</t>
  </si>
  <si>
    <t>-1195.42258722038 -1089.44340439005 725.019282529267</t>
  </si>
  <si>
    <t>-1109.32205882149 -954.08830857234 797.194164052085</t>
  </si>
  <si>
    <t>-1077.56947259242 -1374.3426070821 268.54898209556</t>
  </si>
  <si>
    <t>-1102.40874772506 -1370.45630510167 737.947309456349</t>
  </si>
  <si>
    <t>-941.604269853964 -1361.89697269188 808.74398770437</t>
  </si>
  <si>
    <t>9763-20170724T170023.298108100.bin</t>
  </si>
  <si>
    <t>-1133.73317317405 -1082.69427747486 259.258252290496</t>
  </si>
  <si>
    <t>-1193.19067474751 -1092.06129373579 725.072928973149</t>
  </si>
  <si>
    <t>-1109.21291108971 -955.476147484233 797.43138279645</t>
  </si>
  <si>
    <t>-1077.53241469121 -1375.14962400552 268.558530129695</t>
  </si>
  <si>
    <t>-1102.38474674508 -1370.36803512932 737.942475584211</t>
  </si>
  <si>
    <t>-941.563769048459 -1362.11739142703 808.738297283624</t>
  </si>
  <si>
    <t>9763-20170724T170023.362283700.bin</t>
  </si>
  <si>
    <t>-1133.83848999023 -1085.49991059942 259.502210723186</t>
  </si>
  <si>
    <t>-1192.76425297305 -1089.7776730734 725.694963694115</t>
  </si>
  <si>
    <t>-1109.0217124047 -953.353650879164 798.627727610028</t>
  </si>
  <si>
    <t>-1076.91470053475 -1377.04859512938 268.729554587057</t>
  </si>
  <si>
    <t>-1102.37615819192 -1370.21147655114 737.953786546319</t>
  </si>
  <si>
    <t>-941.51948360954 -1361.90392482572 808.661794208218</t>
  </si>
  <si>
    <t>9763-20170724T170023.397380400.bin</t>
  </si>
  <si>
    <t>-1135.02127950569 -1086.6758573392 259.662722921723</t>
  </si>
  <si>
    <t>-1193.56318576108 -1089.79358962835 725.964317097722</t>
  </si>
  <si>
    <t>-1108.95004585548 -953.880721584433 798.846495146237</t>
  </si>
  <si>
    <t>-1077.18650962865 -1378.41511557916 268.820490334593</t>
  </si>
  <si>
    <t>-1102.38554833065 -1370.25348517152 737.96309723209</t>
  </si>
  <si>
    <t>-941.493807634732 -1362.2711035871 808.628819254527</t>
  </si>
  <si>
    <t>9763-20170724T170023.466584600.bin</t>
  </si>
  <si>
    <t>-1138.60482173044 -1088.89636808909 259.717279188018</t>
  </si>
  <si>
    <t>-1195.04900958688 -1089.38763220827 726.199142289676</t>
  </si>
  <si>
    <t>-1109.10206636954 -954.22431131478 798.914450973752</t>
  </si>
  <si>
    <t>-1078.58577837231 -1380.69421996322 268.847070637456</t>
  </si>
  <si>
    <t>-1102.4513627042 -1370.40132004292 737.937887910756</t>
  </si>
  <si>
    <t>-941.526157205526 -1362.50957468391 808.537529946036</t>
  </si>
  <si>
    <t>9763-20170724T170023.501678100.bin</t>
  </si>
  <si>
    <t>-1140.29516231965 -1090.39806766131 259.704812259534</t>
  </si>
  <si>
    <t>-1195.68076983458 -1089.22479715534 726.359957625471</t>
  </si>
  <si>
    <t>-1109.29800076119 -954.288851872255 798.980954852732</t>
  </si>
  <si>
    <t>-1079.01627162844 -1381.33900871928 268.792510314803</t>
  </si>
  <si>
    <t>-1102.49682013013 -1370.44707343546 737.906099978661</t>
  </si>
  <si>
    <t>-941.552992647245 -1362.76500974719 808.486403872536</t>
  </si>
  <si>
    <t>9763-20170724T170023.563847000.bin</t>
  </si>
  <si>
    <t>-1142.39349252496 -1093.7058912615 259.679950079372</t>
  </si>
  <si>
    <t>-1196.37578775778 -1088.69345203944 726.527518761137</t>
  </si>
  <si>
    <t>-1109.39271711171 -954.168671701386 799.194899461354</t>
  </si>
  <si>
    <t>-1078.9596750293 -1382.11597762533 268.589268675077</t>
  </si>
  <si>
    <t>-1102.59273817976 -1370.40603405672 737.799784863031</t>
  </si>
  <si>
    <t>-941.645378754008 -1362.44900090542 808.341561992904</t>
  </si>
  <si>
    <t>9763-20170724T170023.596934800.bin</t>
  </si>
  <si>
    <t>-1142.72210169746 -1095.08476729035 259.855400109312</t>
  </si>
  <si>
    <t>-1196.56441129981 -1088.62811511946 726.810003401389</t>
  </si>
  <si>
    <t>-1109.3556636644 -954.210061557569 799.404228372399</t>
  </si>
  <si>
    <t>-1078.83870426228 -1382.4797244772 268.55641190384</t>
  </si>
  <si>
    <t>-1102.6458141339 -1370.31616151238 737.759530424007</t>
  </si>
  <si>
    <t>-941.706526896009 -1361.98095278605 808.27605014968</t>
  </si>
  <si>
    <t>9763-20170724T170023.665868600.bin</t>
  </si>
  <si>
    <t>-1142.58703690493 -1096.86698339215 260.216380152773</t>
  </si>
  <si>
    <t>-1196.52796645665 -1088.71545827988 727.223101397693</t>
  </si>
  <si>
    <t>-1109.06098352586 -954.366451091862 799.634215692047</t>
  </si>
  <si>
    <t>-1078.85142931316 -1383.67667415169 268.720048370974</t>
  </si>
  <si>
    <t>-1102.74930974549 -1370.37287715071 737.777551300722</t>
  </si>
  <si>
    <t>-941.790273396882 -1361.94729919542 808.238226480656</t>
  </si>
  <si>
    <t>9763-20170724T170023.700962800.bin</t>
  </si>
  <si>
    <t>-1142.517510762 -1097.3209495959 260.296447940746</t>
  </si>
  <si>
    <t>-1196.43042873568 -1088.73568513283 727.285798252454</t>
  </si>
  <si>
    <t>-1108.92965333801 -954.387122070744 799.657055077839</t>
  </si>
  <si>
    <t>-1078.94876225833 -1384.42853268312 268.838143794154</t>
  </si>
  <si>
    <t>-1102.79359381626 -1370.48803554406 737.81272252729</t>
  </si>
  <si>
    <t>-941.812937382513 -1362.37247004536 808.260397897148</t>
  </si>
  <si>
    <t>9763-20170724T170023.763707800.bin</t>
  </si>
  <si>
    <t>-1142.0798428201 -1097.70283401254 260.361220270184</t>
  </si>
  <si>
    <t>-1196.21607338817 -1088.75634676118 727.283012518672</t>
  </si>
  <si>
    <t>-1108.88039065426 -954.303160569814 799.659324363212</t>
  </si>
  <si>
    <t>-1078.84371613633 -1385.41957553748 268.990072600692</t>
  </si>
  <si>
    <t>-1102.87119456238 -1370.52411745653 737.885545827911</t>
  </si>
  <si>
    <t>-941.891450605398 -1362.12093412169 808.301591192805</t>
  </si>
  <si>
    <t>9763-20170724T170023.795792800.bin</t>
  </si>
  <si>
    <t>-1141.95448915761 -1097.89269787249 260.358359478609</t>
  </si>
  <si>
    <t>-1196.02939743282 -1088.76923237585 727.25856099017</t>
  </si>
  <si>
    <t>-1108.9033873555 -954.203570832958 799.678496153037</t>
  </si>
  <si>
    <t>-1078.58144302054 -1385.64600244442 269.025106045093</t>
  </si>
  <si>
    <t>-1102.90039471895 -1370.5453431684 737.908779112219</t>
  </si>
  <si>
    <t>-941.913478268892 -1362.24227330626 808.32030360661</t>
  </si>
  <si>
    <t>9763-20170724T170023.863981500.bin</t>
  </si>
  <si>
    <t>-1141.84757841236 -1098.2540546367 260.355381311367</t>
  </si>
  <si>
    <t>-1195.79981212106 -1088.72115670078 727.189458127683</t>
  </si>
  <si>
    <t>-1108.93450305517 -954.047555898507 799.721938222226</t>
  </si>
  <si>
    <t>-1077.63650129784 -1385.63546355961 269.094584516871</t>
  </si>
  <si>
    <t>-1102.9456310877 -1370.52510879154 737.939074750583</t>
  </si>
  <si>
    <t>-941.955769513612 -1362.20154399345 808.341424236521</t>
  </si>
  <si>
    <t>9763-20170724T170023.898072200.bin</t>
  </si>
  <si>
    <t>-1142.21489590842 -1098.55443755822 260.353984330021</t>
  </si>
  <si>
    <t>-1195.82271302405 -1088.63003325297 727.152486736714</t>
  </si>
  <si>
    <t>-1108.98435827491 -953.97538292637 799.752291858195</t>
  </si>
  <si>
    <t>-1077.12194255078 -1385.59362805623 269.125860809106</t>
  </si>
  <si>
    <t>-1102.96921985565 -1370.4972727726 737.94335071241</t>
  </si>
  <si>
    <t>-941.980396564049 -1362.0838073707 808.337406021411</t>
  </si>
  <si>
    <t>9763-20170724T170023.965183000.bin</t>
  </si>
  <si>
    <t>-1143.59675613477 -1099.20337792551 260.243881683765</t>
  </si>
  <si>
    <t>-1196.13215197803 -1088.29504629532 727.083683733741</t>
  </si>
  <si>
    <t>-1109.13453340423 -953.847121277755 799.875797090111</t>
  </si>
  <si>
    <t>-1076.26577253521 -1385.42042889684 269.081391625656</t>
  </si>
  <si>
    <t>-1103.00636967578 -1370.4004314264 737.909662338897</t>
  </si>
  <si>
    <t>-942.027618006173 -1361.7007459854 808.291965976857</t>
  </si>
  <si>
    <t>9763-20170724T170023.997265800.bin</t>
  </si>
  <si>
    <t>-1144.62258197985 -1099.53148258693 260.203064796216</t>
  </si>
  <si>
    <t>-1196.33490871181 -1088.08776862777 727.100133464513</t>
  </si>
  <si>
    <t>-1109.22447335135 -953.771963457961 800.001076923141</t>
  </si>
  <si>
    <t>-1075.90484672846 -1385.27168434054 269.035214416923</t>
  </si>
  <si>
    <t>-1103.01837075207 -1370.43445858671 737.880046349</t>
  </si>
  <si>
    <t>-942.028366859953 -1362.03904907172 808.273535194129</t>
  </si>
  <si>
    <t>9763-20170724T170024.066032500.bin</t>
  </si>
  <si>
    <t>-1146.29647021082 -1099.91142830261 260.121829988699</t>
  </si>
  <si>
    <t>-1196.60796274403 -1087.58486901843 727.086012003649</t>
  </si>
  <si>
    <t>-1109.38867988841 -953.537474415657 800.349951883967</t>
  </si>
  <si>
    <t>-1074.99071821814 -1384.69339294911 268.934173611591</t>
  </si>
  <si>
    <t>-1103.05733998606 -1370.40848922154 737.800424676479</t>
  </si>
  <si>
    <t>-942.06928293303 -1362.04844169976 808.202578498784</t>
  </si>
  <si>
    <t>9763-20170724T170024.094106800.bin</t>
  </si>
  <si>
    <t>-1147.17565033974 -1100.12986233684 260.077732337404</t>
  </si>
  <si>
    <t>-1196.76512649494 -1087.2935352646 727.106529293813</t>
  </si>
  <si>
    <t>-1109.44274946527 -953.420180999224 800.565652739783</t>
  </si>
  <si>
    <t>-1074.56094045812 -1384.34617811526 268.896751179587</t>
  </si>
  <si>
    <t>-1103.07556415222 -1370.41519770769 737.762852722721</t>
  </si>
  <si>
    <t>-942.086438661965 -1362.14160801504 808.172772715856</t>
  </si>
  <si>
    <t>9763-20170724T170024.163795900.bin</t>
  </si>
  <si>
    <t>-1148.5379516561 -1100.53550640502 260.097116666141</t>
  </si>
  <si>
    <t>-1197.06069097926 -1086.806557661 727.253067689229</t>
  </si>
  <si>
    <t>-1109.5719310263 -953.223008314189 801.040993040777</t>
  </si>
  <si>
    <t>-1073.81337206768 -1383.76094021785 268.875219328643</t>
  </si>
  <si>
    <t>-1103.12075689976 -1370.38170909831 737.712962611794</t>
  </si>
  <si>
    <t>-942.117921243274 -1362.51922689331 808.138630726672</t>
  </si>
  <si>
    <t>9763-20170724T170024.197886600.bin</t>
  </si>
  <si>
    <t>-1149.23691962915 -1100.74182685322 260.118390938794</t>
  </si>
  <si>
    <t>-1197.11893382 -1086.59546211519 727.323143681075</t>
  </si>
  <si>
    <t>-1109.59928275425 -953.117856478721 801.266094657352</t>
  </si>
  <si>
    <t>-1073.61161343262 -1383.55931215833 268.877908935382</t>
  </si>
  <si>
    <t>-1103.14642664107 -1370.38131584455 737.698752966525</t>
  </si>
  <si>
    <t>-942.14345311235 -1362.47669845499 808.119466399448</t>
  </si>
  <si>
    <t>9763-20170724T170024.262060800.bin</t>
  </si>
  <si>
    <t>-1150.06080367798 -1100.89053495106 260.226562100338</t>
  </si>
  <si>
    <t>-1197.1747022307 -1086.25153922678 727.519837900657</t>
  </si>
  <si>
    <t>-1109.63857272916 -952.916315715684 801.699589497408</t>
  </si>
  <si>
    <t>-1073.25820464432 -1383.17938900185 268.917559045528</t>
  </si>
  <si>
    <t>-1103.19630775167 -1370.3448397311 737.697062578389</t>
  </si>
  <si>
    <t>-942.195631573211 -1362.36399895244 808.114401423069</t>
  </si>
  <si>
    <t>9763-20170724T170024.302018300.bin</t>
  </si>
  <si>
    <t>-1150.43134592383 -1100.99850231707 260.3007313519</t>
  </si>
  <si>
    <t>-1197.19068309554 -1086.12797602206 727.630091980436</t>
  </si>
  <si>
    <t>-1109.66583055262 -952.840371713502 801.908791859065</t>
  </si>
  <si>
    <t>-1073.17969642217 -1383.09525753359 268.94520103669</t>
  </si>
  <si>
    <t>-1103.22247530207 -1370.35360010587 737.70676638761</t>
  </si>
  <si>
    <t>-942.210407232864 -1362.60209889419 808.123698886311</t>
  </si>
  <si>
    <t>9763-20170724T170024.371264800.bin</t>
  </si>
  <si>
    <t>-1151.11810071599 -1101.12368612183 260.43047754306</t>
  </si>
  <si>
    <t>-1197.23910843481 -1085.87421315783 727.819628123612</t>
  </si>
  <si>
    <t>-1109.68462276897 -952.698677353885 802.264218864591</t>
  </si>
  <si>
    <t>-1073.07663586257 -1382.9138969961 269.005288430719</t>
  </si>
  <si>
    <t>-1103.27743209447 -1370.34365479306 737.73551469013</t>
  </si>
  <si>
    <t>-942.261266326409 -1362.6135662103 808.145396592851</t>
  </si>
  <si>
    <t>9763-20170724T170024.396832800.bin</t>
  </si>
  <si>
    <t>-1151.36095393308 -1101.24340637889 260.499311216513</t>
  </si>
  <si>
    <t>-1197.23768535351 -1085.78408359039 727.911938716788</t>
  </si>
  <si>
    <t>-1109.68758861386 -952.643012992042 802.423272925561</t>
  </si>
  <si>
    <t>-1073.01593641192 -1382.83068535192 269.037973681146</t>
  </si>
  <si>
    <t>-1103.30280283274 -1370.31575474242 737.753230192165</t>
  </si>
  <si>
    <t>-942.303576259799 -1362.13093205081 808.15046857766</t>
  </si>
  <si>
    <t>9763-20170724T170024.463563100.bin</t>
  </si>
  <si>
    <t>-1151.71072612364 -1101.38061863876 260.599798682985</t>
  </si>
  <si>
    <t>-1197.25574550862 -1085.56456265205 728.027467598763</t>
  </si>
  <si>
    <t>-1109.7429074496 -952.492614587449 802.705926266059</t>
  </si>
  <si>
    <t>-1072.86624171985 -1382.76276825593 269.087410485803</t>
  </si>
  <si>
    <t>-1103.33998078006 -1370.38426764134 737.787839116592</t>
  </si>
  <si>
    <t>-942.322530942262 -1362.63088165011 808.19221825417</t>
  </si>
  <si>
    <t>9763-20170724T170024.497654100.bin</t>
  </si>
  <si>
    <t>-1151.87050256109 -1101.39358589969 260.626957748749</t>
  </si>
  <si>
    <t>-1197.28895941335 -1085.42325557247 728.054578398791</t>
  </si>
  <si>
    <t>-1109.75491888222 -952.426903229956 802.842783616741</t>
  </si>
  <si>
    <t>-1072.73781547987 -1382.64795910893 269.105106257224</t>
  </si>
  <si>
    <t>-1103.35641968079 -1370.40802044133 737.799164972239</t>
  </si>
  <si>
    <t>-942.340130687911 -1362.6643561247 808.207265981553</t>
  </si>
  <si>
    <t>9763-20170724T170024.566341000.bin</t>
  </si>
  <si>
    <t>-1152.11398929777 -1101.51629631295 260.688433504559</t>
  </si>
  <si>
    <t>-1197.28694845946 -1085.18864463812 728.127908333769</t>
  </si>
  <si>
    <t>-1109.76326027173 -952.294959324698 803.110374584185</t>
  </si>
  <si>
    <t>-1072.53910116128 -1382.50774061958 269.147827357462</t>
  </si>
  <si>
    <t>-1103.39266220873 -1370.45491441304 737.820346241799</t>
  </si>
  <si>
    <t>-942.367067617376 -1362.96191396378 808.234262348195</t>
  </si>
  <si>
    <t>9763-20170724T170024.598425700.bin</t>
  </si>
  <si>
    <t>-1152.17679941469 -1101.56598826514 260.74786139722</t>
  </si>
  <si>
    <t>-1197.28428910518 -1085.1184304288 728.200868558572</t>
  </si>
  <si>
    <t>-1109.78277296138 -952.239247812526 803.235004597998</t>
  </si>
  <si>
    <t>-1072.46540453376 -1382.45736359937 269.175972773554</t>
  </si>
  <si>
    <t>-1103.41545953967 -1370.42285657376 737.8350067009</t>
  </si>
  <si>
    <t>-942.400875782309 -1362.57007932972 808.234904274726</t>
  </si>
  <si>
    <t>9763-20170724T170024.662097000.bin</t>
  </si>
  <si>
    <t>-1152.48641015353 -1101.68182573435 260.830173623122</t>
  </si>
  <si>
    <t>-1197.25637100671 -1085.02198523831 728.336641840655</t>
  </si>
  <si>
    <t>-1109.74454508467 -952.183766253825 803.431255866071</t>
  </si>
  <si>
    <t>-1072.42705015951 -1382.49933458366 269.21799295254</t>
  </si>
  <si>
    <t>-1103.44282817344 -1370.52940153344 737.863313347255</t>
  </si>
  <si>
    <t>-942.423875302015 -1362.74234836702 808.260541018071</t>
  </si>
  <si>
    <t>9763-20170724T170024.698210600.bin</t>
  </si>
  <si>
    <t>-1152.59101802751 -1101.75069849346 260.889147746198</t>
  </si>
  <si>
    <t>-1197.23740891223 -1084.99328861847 728.415101188697</t>
  </si>
  <si>
    <t>-1109.73423643448 -952.151084701367 803.51269229095</t>
  </si>
  <si>
    <t>-1072.35432790697 -1382.45694617805 269.249238692646</t>
  </si>
  <si>
    <t>-1103.46276905363 -1370.49798727282 737.875774444749</t>
  </si>
  <si>
    <t>-942.449773378262 -1362.53132992706 808.266534843874</t>
  </si>
  <si>
    <t>9763-20170724T170024.761883000.bin</t>
  </si>
  <si>
    <t>-1152.80030559007 -1101.90302645629 260.957910031416</t>
  </si>
  <si>
    <t>-1197.15336309927 -1084.93578562289 728.508146664761</t>
  </si>
  <si>
    <t>-1109.68848705765 -952.080747869994 803.627686160624</t>
  </si>
  <si>
    <t>-1072.20129059325 -1382.39794511887 269.310078115144</t>
  </si>
  <si>
    <t>-1103.49726116571 -1370.51376256595 737.906275911053</t>
  </si>
  <si>
    <t>-942.484476423704 -1362.52662696285 808.2952131321</t>
  </si>
  <si>
    <t>9763-20170724T170024.798926900.bin</t>
  </si>
  <si>
    <t>-1152.88765854334 -1101.92061984342 260.966034737497</t>
  </si>
  <si>
    <t>-1197.14437093843 -1084.90298421444 728.537790808412</t>
  </si>
  <si>
    <t>-1109.66218850351 -952.063389388573 803.664496441112</t>
  </si>
  <si>
    <t>-1072.21676685669 -1382.45193787446 269.33618993644</t>
  </si>
  <si>
    <t>-1103.51437667504 -1370.52776215301 737.921732379107</t>
  </si>
  <si>
    <t>-942.487072235222 -1362.85695717453 808.312596420892</t>
  </si>
  <si>
    <t>9763-20170724T170024.866155100.bin</t>
  </si>
  <si>
    <t>-1152.98321948535 -1101.98077861506 260.932111054542</t>
  </si>
  <si>
    <t>-1197.02992002223 -1084.88004559638 728.553269337582</t>
  </si>
  <si>
    <t>-1109.63550699966 -951.992717668124 803.697716222551</t>
  </si>
  <si>
    <t>-1072.3494491695 -1382.68389851807 269.364999301754</t>
  </si>
  <si>
    <t>-1103.54842315662 -1370.6223983563 737.952425270181</t>
  </si>
  <si>
    <t>-942.50224531344 -1363.29050242419 808.336249243054</t>
  </si>
  <si>
    <t>9763-20170724T170024.899242900.bin</t>
  </si>
  <si>
    <t>-1153.12136994703 -1102.10958171783 260.941243462863</t>
  </si>
  <si>
    <t>-1196.99760159508 -1084.86162102465 728.558685138565</t>
  </si>
  <si>
    <t>-1109.57251219527 -951.994803216311 803.703633715459</t>
  </si>
  <si>
    <t>-1072.48809925283 -1382.87333945949 269.366832428034</t>
  </si>
  <si>
    <t>-1103.57366165004 -1370.6574899138 737.961655060309</t>
  </si>
  <si>
    <t>-942.520225838337 -1363.34086555601 808.330470679847</t>
  </si>
  <si>
    <t>9763-20170724T170024.964161400.bin</t>
  </si>
  <si>
    <t>-1153.50139414691 -1102.4253076066 261.023259504348</t>
  </si>
  <si>
    <t>-1197.03355669728 -1084.84731307121 728.639177962637</t>
  </si>
  <si>
    <t>-1109.54572954716 -951.979522866467 803.709426616185</t>
  </si>
  <si>
    <t>-1072.76237070891 -1383.26005689726 269.372477941083</t>
  </si>
  <si>
    <t>-1103.63856267377 -1370.56900894994 737.968620264974</t>
  </si>
  <si>
    <t>-942.606597691991 -1362.24223769811 808.27423542685</t>
  </si>
  <si>
    <t>9763-20170724T170024.996247800.bin</t>
  </si>
  <si>
    <t>-1153.52901102558 -1102.60205566323 261.076128877831</t>
  </si>
  <si>
    <t>-1196.98247853805 -1084.8697770999 728.668975576033</t>
  </si>
  <si>
    <t>-1109.49300530765 -951.982131973448 803.702117388134</t>
  </si>
  <si>
    <t>-1072.90215875166 -1383.53505337661 269.378088875513</t>
  </si>
  <si>
    <t>-1103.66503866651 -1370.59224537631 737.970311198573</t>
  </si>
  <si>
    <t>-942.612761783597 -1362.56917023381 808.264734782526</t>
  </si>
  <si>
    <t>9763-20170724T170025.065960600.bin</t>
  </si>
  <si>
    <t>-1152.97302330992 -1102.65528569451 261.128010555782</t>
  </si>
  <si>
    <t>-1196.802683249 -1084.96020762075 728.762821254112</t>
  </si>
  <si>
    <t>-1109.39279776368 -951.945350204023 803.663259059123</t>
  </si>
  <si>
    <t>-1072.92413587637 -1383.98872456642 269.397384975769</t>
  </si>
  <si>
    <t>-1103.70803875144 -1370.69369803701 737.97557331348</t>
  </si>
  <si>
    <t>-942.632992061673 -1362.83351960688 808.23621240417</t>
  </si>
  <si>
    <t>9763-20170724T170025.099048700.bin</t>
  </si>
  <si>
    <t>-1152.47433140482 -1102.47236406757 261.130189192747</t>
  </si>
  <si>
    <t>-1196.64600890179 -1085.04844285572 728.771474434437</t>
  </si>
  <si>
    <t>-1109.32929426644 -951.945981454107 803.624878422239</t>
  </si>
  <si>
    <t>-1072.83119469891 -1384.10460950868 269.426595318788</t>
  </si>
  <si>
    <t>-1103.72845685405 -1370.70862437306 737.984432569928</t>
  </si>
  <si>
    <t>-942.652254196596 -1362.76466676336 808.233009178426</t>
  </si>
  <si>
    <t>9763-20170724T170025.163724000.bin</t>
  </si>
  <si>
    <t>-1150.95605987241 -1101.85859974636 261.096303316077</t>
  </si>
  <si>
    <t>-1196.26416457337 -1085.23479076948 728.686027606346</t>
  </si>
  <si>
    <t>-1109.13549930701 -951.974700549554 803.478097147253</t>
  </si>
  <si>
    <t>-1072.57798717337 -1384.24241787554 269.52716507251</t>
  </si>
  <si>
    <t>-1103.76250207884 -1370.711934759 738.026878058833</t>
  </si>
  <si>
    <t>-942.685686131137 -1362.51970819382 808.245505118899</t>
  </si>
  <si>
    <t>9763-20170724T170025.195810000.bin</t>
  </si>
  <si>
    <t>-1150.26162678065 -1101.57111788522 261.054756819315</t>
  </si>
  <si>
    <t>-1196.04274770571 -1085.33209410923 728.605654546165</t>
  </si>
  <si>
    <t>-1109.08277860953 -951.952785516374 803.381598468986</t>
  </si>
  <si>
    <t>-1072.54175995268 -1384.35093726833 269.568135096868</t>
  </si>
  <si>
    <t>-1103.77875298331 -1370.69710294723 738.047533899945</t>
  </si>
  <si>
    <t>-942.69914915602 -1362.44016211796 808.252223611002</t>
  </si>
  <si>
    <t>9763-20170724T170025.265639500.bin</t>
  </si>
  <si>
    <t>-1149.23062166141 -1101.18168863392 260.88539351397</t>
  </si>
  <si>
    <t>-1195.71397901284 -1085.45299333059 728.371731913336</t>
  </si>
  <si>
    <t>-1108.95831723951 -951.945484089728 803.156177246407</t>
  </si>
  <si>
    <t>-1072.5664064365 -1384.56817841942 269.620361938654</t>
  </si>
  <si>
    <t>-1103.79382757354 -1370.8055419224 738.081039350747</t>
  </si>
  <si>
    <t>-942.675915418127 -1363.35571847617 808.288072984922</t>
  </si>
  <si>
    <t>9763-20170724T170025.300731600.bin</t>
  </si>
  <si>
    <t>-1149.01824864737 -1101.16529181386 260.768647888842</t>
  </si>
  <si>
    <t>-1195.60319160001 -1085.47315687847 728.231517701579</t>
  </si>
  <si>
    <t>-1108.92181175957 -951.934065977957 803.045780500457</t>
  </si>
  <si>
    <t>-1072.6423199743 -1384.61439165283 269.627136151136</t>
  </si>
  <si>
    <t>-1103.80331617311 -1370.798032675 738.091404988055</t>
  </si>
  <si>
    <t>-942.703296113324 -1362.84212325752 808.283992519901</t>
  </si>
  <si>
    <t>9763-20170724T170025.363404000.bin</t>
  </si>
  <si>
    <t>-1149.21315856046 -1101.39531060145 260.532801675192</t>
  </si>
  <si>
    <t>-1195.55850681256 -1085.42061472102 727.985853853682</t>
  </si>
  <si>
    <t>-1108.85852579705 -951.928197367072 802.86169857417</t>
  </si>
  <si>
    <t>-1072.85429409818 -1384.67795402917 269.587466648864</t>
  </si>
  <si>
    <t>-1103.82375919614 -1370.81717055459 738.089432714626</t>
  </si>
  <si>
    <t>-942.727354903312 -1362.78146354427 808.281250458502</t>
  </si>
  <si>
    <t>9763-20170724T170025.400938600.bin</t>
  </si>
  <si>
    <t>-1149.57261816899 -1101.66717551551 260.455903425372</t>
  </si>
  <si>
    <t>-1195.59996358183 -1085.3751256825 727.904742953099</t>
  </si>
  <si>
    <t>-1108.8564887597 -951.918518951525 802.794101759364</t>
  </si>
  <si>
    <t>-1073.02938696145 -1384.77257699306 269.550321210373</t>
  </si>
  <si>
    <t>-1103.83403761117 -1370.83524636236 738.075655398728</t>
  </si>
  <si>
    <t>-942.734599581936 -1362.85585514335 808.26694357508</t>
  </si>
  <si>
    <t>9763-20170724T170025.462104300.bin</t>
  </si>
  <si>
    <t>-1150.472879763 -1102.41047351885 260.368052536296</t>
  </si>
  <si>
    <t>-1195.80456529737 -1085.26929698062 727.836343671186</t>
  </si>
  <si>
    <t>-1108.81428564603 -951.959834970275 802.701598917003</t>
  </si>
  <si>
    <t>-1073.44793804126 -1385.04873356466 269.479868872384</t>
  </si>
  <si>
    <t>-1103.87301384985 -1370.88667676484 738.037746891501</t>
  </si>
  <si>
    <t>-942.774425863917 -1362.66623620296 808.203117696239</t>
  </si>
  <si>
    <t>9763-20170724T170025.504737100.bin</t>
  </si>
  <si>
    <t>-1150.94034521185 -1102.72994403977 260.308858367158</t>
  </si>
  <si>
    <t>-1195.88960321369 -1085.21895233394 727.809732417654</t>
  </si>
  <si>
    <t>-1108.79750498918 -951.969461847438 802.66320341421</t>
  </si>
  <si>
    <t>-1073.69751241587 -1385.24403623069 269.448394721856</t>
  </si>
  <si>
    <t>-1103.89112117763 -1370.9563975252 738.02256392028</t>
  </si>
  <si>
    <t>-942.772069520537 -1363.15979790053 808.189332701075</t>
  </si>
  <si>
    <t>9763-20170724T170025.561920300.bin</t>
  </si>
  <si>
    <t>-1151.47459128772 -1103.10151370902 260.189490968775</t>
  </si>
  <si>
    <t>-1195.94672925128 -1085.14905596465 727.748649095036</t>
  </si>
  <si>
    <t>-1108.74239873437 -951.976801455561 802.608940142674</t>
  </si>
  <si>
    <t>-1074.14814410241 -1385.57150610423 269.393878139283</t>
  </si>
  <si>
    <t>-1103.93411551177 -1371.02629218698 737.995899238353</t>
  </si>
  <si>
    <t>-942.793556675624 -1363.50016307208 808.142813516318</t>
  </si>
  <si>
    <t>9763-20170724T170025.594006300.bin</t>
  </si>
  <si>
    <t>-1151.72952146014 -1103.21795507659 260.143999578389</t>
  </si>
  <si>
    <t>-1195.96768154737 -1085.11713514468 727.715704685521</t>
  </si>
  <si>
    <t>-1108.71108239184 -951.984549544974 802.585656777121</t>
  </si>
  <si>
    <t>-1074.38851549893 -1385.71768331117 269.367969660306</t>
  </si>
  <si>
    <t>-1103.95782039164 -1371.03326585914 737.985993119883</t>
  </si>
  <si>
    <t>-942.818658007357 -1363.30922258991 808.114610290682</t>
  </si>
  <si>
    <t>9763-20170724T170025.663703200.bin</t>
  </si>
  <si>
    <t>-1152.19743785521 -1103.46037982315 260.094058794608</t>
  </si>
  <si>
    <t>-1195.95888628664 -1085.08998046513 727.681249177824</t>
  </si>
  <si>
    <t>-1108.65935549414 -951.981642940628 802.544313840171</t>
  </si>
  <si>
    <t>-1074.7857906508 -1385.96163557464 269.340583833489</t>
  </si>
  <si>
    <t>-1104.00674295541 -1371.00609661144 737.976501209278</t>
  </si>
  <si>
    <t>-942.868537893069 -1363.04762722771 808.0810655264</t>
  </si>
  <si>
    <t>9763-20170724T170025.695003600.bin</t>
  </si>
  <si>
    <t>-1152.43005982261 -1103.65238324138 260.081827271954</t>
  </si>
  <si>
    <t>-1195.95406919789 -1085.09020233896 727.680383731571</t>
  </si>
  <si>
    <t>-1108.66316446088 -951.964717984189 802.522892600735</t>
  </si>
  <si>
    <t>-1074.89777216891 -1386.06916881877 269.341745897907</t>
  </si>
  <si>
    <t>-1104.02744250103 -1371.02692851065 737.973403260484</t>
  </si>
  <si>
    <t>-942.882416698248 -1363.13676888473 808.06999652297</t>
  </si>
  <si>
    <t>9763-20170724T170025.767012600.bin</t>
  </si>
  <si>
    <t>-1152.85496520992 -1104.04756821354 260.057815935844</t>
  </si>
  <si>
    <t>-1195.99534801342 -1085.08650861207 727.692526067258</t>
  </si>
  <si>
    <t>-1108.61065229068 -951.985572401315 802.46933435225</t>
  </si>
  <si>
    <t>-1075.08512429051 -1386.2899513329 269.33462197265</t>
  </si>
  <si>
    <t>-1104.06809844214 -1371.03237899892 737.969565694619</t>
  </si>
  <si>
    <t>-942.918789333245 -1363.08318578119 808.049669682526</t>
  </si>
  <si>
    <t>9763-20170724T170025.799096800.bin</t>
  </si>
  <si>
    <t>-1153.04450274318 -1104.25748270045 260.051113967566</t>
  </si>
  <si>
    <t>-1195.97644978206 -1085.10579235895 727.706822578672</t>
  </si>
  <si>
    <t>-1108.58542710632 -951.98604881923 802.442634691579</t>
  </si>
  <si>
    <t>-1075.19483243911 -1386.40212579327 269.330075387758</t>
  </si>
  <si>
    <t>-1104.09083367648 -1370.99999434042 737.966896826254</t>
  </si>
  <si>
    <t>-942.948858347959 -1362.76070429396 808.030396860318</t>
  </si>
  <si>
    <t>9763-20170724T170025.862267100.bin</t>
  </si>
  <si>
    <t>-1153.3408838566 -1104.64985506781 260.090597918469</t>
  </si>
  <si>
    <t>-1195.95328586721 -1085.1510588249 727.757495047452</t>
  </si>
  <si>
    <t>-1108.48835439302 -952.026698156116 802.398724021641</t>
  </si>
  <si>
    <t>-1075.38024256873 -1386.6674294344 269.326841720629</t>
  </si>
  <si>
    <t>-1104.13374699095 -1371.04232447116 737.959067206118</t>
  </si>
  <si>
    <t>-942.987049519971 -1362.76218511286 808.006876911593</t>
  </si>
  <si>
    <t>9763-20170724T170025.899366700.bin</t>
  </si>
  <si>
    <t>-1153.3969666566 -1104.79543619005 260.103625688043</t>
  </si>
  <si>
    <t>-1195.93495188338 -1085.16425601929 727.768249252774</t>
  </si>
  <si>
    <t>-1108.46029172462 -952.027089279022 802.375254475667</t>
  </si>
  <si>
    <t>-1075.44000536558 -1386.74635443688 269.326213830199</t>
  </si>
  <si>
    <t>-1104.15505251095 -1371.01850002072 737.958527524738</t>
  </si>
  <si>
    <t>-943.023782026817 -1362.35356427977 807.995250843724</t>
  </si>
  <si>
    <t>9763-20170724T170025.963541200.bin</t>
  </si>
  <si>
    <t>-1153.26807171189 -1104.99520507217 260.112184715931</t>
  </si>
  <si>
    <t>-1195.87032315214 -1085.18525274637 727.762410472341</t>
  </si>
  <si>
    <t>-1108.38824819956 -952.029398346599 802.327233257083</t>
  </si>
  <si>
    <t>-1075.49017644933 -1387.00126638596 269.343597844344</t>
  </si>
  <si>
    <t>-1104.18544324171 -1371.11533421844 737.964633737701</t>
  </si>
  <si>
    <t>-943.028265881564 -1363.01447810075 808.00927198796</t>
  </si>
  <si>
    <t>9763-20170724T170025.995166000.bin</t>
  </si>
  <si>
    <t>-1153.19253827681 -1105.05000010281 260.0974431306</t>
  </si>
  <si>
    <t>-1195.8381510493 -1085.1952080408 727.748242129003</t>
  </si>
  <si>
    <t>-1108.35752219008 -952.027273696178 802.29323146961</t>
  </si>
  <si>
    <t>-1075.51103917348 -1387.06354170687 269.350673273342</t>
  </si>
  <si>
    <t>-1104.2123451877 -1371.08358140186 737.965371326255</t>
  </si>
  <si>
    <t>-943.071329133867 -1362.51241599634 807.991242866114</t>
  </si>
  <si>
    <t>9763-20170724T170026.063354000.bin</t>
  </si>
  <si>
    <t>-1153.21746874028 -1105.21560540844 260.057516568215</t>
  </si>
  <si>
    <t>-1195.74152809587 -1085.22218859972 727.706670929977</t>
  </si>
  <si>
    <t>-1108.2357394 -952.055583402361 802.224508349257</t>
  </si>
  <si>
    <t>-1075.72095818196 -1387.31881635631 269.349761713595</t>
  </si>
  <si>
    <t>-1104.25639821145 -1371.06321937443 737.97230117067</t>
  </si>
  <si>
    <t>-943.107197575791 -1362.53444936555 807.984511945665</t>
  </si>
  <si>
    <t>9763-20170724T170026.095472800.bin</t>
  </si>
  <si>
    <t>-1153.29494218412 -1105.3564770884 260.049000931673</t>
  </si>
  <si>
    <t>-1195.71657807541 -1085.22364995122 727.690669052894</t>
  </si>
  <si>
    <t>-1108.22502855198 -952.041951696894 802.198315079566</t>
  </si>
  <si>
    <t>-1075.86360945772 -1387.47483283328 269.34236600543</t>
  </si>
  <si>
    <t>-1104.27632352475 -1371.09990673025 737.972732308757</t>
  </si>
  <si>
    <t>-943.117647764308 -1362.69686105692 807.978305712873</t>
  </si>
  <si>
    <t>9763-20170724T170026.163661600.bin</t>
  </si>
  <si>
    <t>-1153.69132499157 -1105.69417118993 260.068468492167</t>
  </si>
  <si>
    <t>-1195.74133833524 -1085.21861709675 727.70238476999</t>
  </si>
  <si>
    <t>-1108.15858105059 -952.063676904986 802.150543392998</t>
  </si>
  <si>
    <t>-1076.26056439424 -1387.77308953219 269.326802260208</t>
  </si>
  <si>
    <t>-1104.32041759374 -1371.11523916412 737.963368515091</t>
  </si>
  <si>
    <t>-943.158200347326 -1362.57026646988 807.943612809328</t>
  </si>
  <si>
    <t>9763-20170724T170026.197246900.bin</t>
  </si>
  <si>
    <t>-1153.86982172968 -1105.84192932386 260.047217607528</t>
  </si>
  <si>
    <t>-1195.75353968305 -1085.21378912319 727.692926397443</t>
  </si>
  <si>
    <t>-1108.16810374643 -952.046211304206 802.115328409799</t>
  </si>
  <si>
    <t>-1076.49050551213 -1387.99808759747 269.315465805873</t>
  </si>
  <si>
    <t>-1104.33436893093 -1371.18030622859 737.961840095753</t>
  </si>
  <si>
    <t>-943.15102934707 -1363.05055319038 807.942903342535</t>
  </si>
  <si>
    <t>9763-20170724T170026.265457900.bin</t>
  </si>
  <si>
    <t>-1154.11090179458 -1105.96884756882 259.998260223037</t>
  </si>
  <si>
    <t>-1195.75590489234 -1085.21417364469 727.675454889138</t>
  </si>
  <si>
    <t>-1108.08896479844 -952.08013262123 802.061872743709</t>
  </si>
  <si>
    <t>-1077.03171526333 -1388.39223019709 269.276677087365</t>
  </si>
  <si>
    <t>-1104.35877809287 -1371.1641968495 737.959787396805</t>
  </si>
  <si>
    <t>-943.20257346416 -1362.43648160112 807.931311480296</t>
  </si>
  <si>
    <t>9763-20170724T170026.297548500.bin</t>
  </si>
  <si>
    <t>-1154.21033457995 -1106.03011002376 259.974884173736</t>
  </si>
  <si>
    <t>-1195.74979161869 -1085.20228903184 727.649911645335</t>
  </si>
  <si>
    <t>-1108.06655964587 -952.081350504903 802.040719148001</t>
  </si>
  <si>
    <t>-1077.22122681516 -1388.50952276139 269.263253493512</t>
  </si>
  <si>
    <t>-1104.3690616137 -1371.17311039095 737.95730979874</t>
  </si>
  <si>
    <t>-943.220115708831 -1362.3430768123 807.932742670714</t>
  </si>
  <si>
    <t>9763-20170724T170026.361750200.bin</t>
  </si>
  <si>
    <t>-1154.286471077 -1106.13594006127 259.95404243882</t>
  </si>
  <si>
    <t>-1195.71613915489 -1085.1954662014 727.624140589051</t>
  </si>
  <si>
    <t>-1108.01890981571 -952.080833115062 802.009580582279</t>
  </si>
  <si>
    <t>-1077.30753208192 -1388.55535984678 269.264089306468</t>
  </si>
  <si>
    <t>-1104.38496479365 -1371.22746869234 737.956680151206</t>
  </si>
  <si>
    <t>-943.237356609259 -1362.40633098731 807.936319185802</t>
  </si>
  <si>
    <t>9763-20170724T170026.398777400.bin</t>
  </si>
  <si>
    <t>-1154.33832222698 -1106.20175318776 259.950130020532</t>
  </si>
  <si>
    <t>-1195.72264816416 -1085.18998519622 727.626143307148</t>
  </si>
  <si>
    <t>-1107.95844814633 -952.109805363708 801.994319071155</t>
  </si>
  <si>
    <t>-1077.28901860422 -1388.5540287174 269.267075338643</t>
  </si>
  <si>
    <t>-1104.40366986434 -1371.18977843939 737.956490013749</t>
  </si>
  <si>
    <t>-943.268067782792 -1362.07782123558 807.926499496393</t>
  </si>
  <si>
    <t>9763-20170724T170026.465968300.bin</t>
  </si>
  <si>
    <t>-1154.33797530007 -1106.27403291336 259.959030003366</t>
  </si>
  <si>
    <t>-1195.64932432111 -1085.2185829062 727.638918153648</t>
  </si>
  <si>
    <t>-1107.91510913529 -952.097196119108 801.96877655268</t>
  </si>
  <si>
    <t>-1077.24602937626 -1388.58761117719 269.279588575564</t>
  </si>
  <si>
    <t>-1104.42588264853 -1371.22008845905 737.959075203047</t>
  </si>
  <si>
    <t>-943.279705537981 -1362.33743644835 807.934209923139</t>
  </si>
  <si>
    <t>9763-20170724T170026.499058900.bin</t>
  </si>
  <si>
    <t>-1154.30769010011 -1106.26714042654 259.954443520753</t>
  </si>
  <si>
    <t>-1195.61811062084 -1085.23251032752 727.644505616302</t>
  </si>
  <si>
    <t>-1107.87277191684 -952.105638601044 801.951384917379</t>
  </si>
  <si>
    <t>-1077.23462426699 -1388.59616302011 269.289051133686</t>
  </si>
  <si>
    <t>-1104.43591829846 -1371.27080553299 737.963260338789</t>
  </si>
  <si>
    <t>-943.278498848258 -1362.64532534891 807.944671716705</t>
  </si>
  <si>
    <t>9763-20170724T170026.565771200.bin</t>
  </si>
  <si>
    <t>-1154.10453659958 -1106.0538783933 259.927293626594</t>
  </si>
  <si>
    <t>-1195.55449495086 -1085.25335909424 727.621768895866</t>
  </si>
  <si>
    <t>-1107.78182841064 -952.130947957423 801.90437204115</t>
  </si>
  <si>
    <t>-1077.25777137115 -1388.62201574528 269.290735435227</t>
  </si>
  <si>
    <t>-1104.46578232196 -1371.29844829576 737.965719405861</t>
  </si>
  <si>
    <t>-943.302061499082 -1362.73567728231 807.940314511217</t>
  </si>
  <si>
    <t>9763-20170724T170026.599279400.bin</t>
  </si>
  <si>
    <t>-1153.92307143404 -1105.83370590117 259.879412264828</t>
  </si>
  <si>
    <t>-1195.4814276282 -1085.26760711853 727.581275047561</t>
  </si>
  <si>
    <t>-1107.79286183423 -952.093918184578 801.871326682478</t>
  </si>
  <si>
    <t>-1077.28015057547 -1388.62133794229 269.297182297309</t>
  </si>
  <si>
    <t>-1104.48541623037 -1371.25054742774 737.969413165808</t>
  </si>
  <si>
    <t>-943.336898005274 -1362.30905820325 807.931626796922</t>
  </si>
  <si>
    <t>9763-20170724T170026.664479300.bin</t>
  </si>
  <si>
    <t>-1153.55887714431 -1105.51790350045 259.821711727218</t>
  </si>
  <si>
    <t>-1195.38055526161 -1085.30434706513 727.516525737233</t>
  </si>
  <si>
    <t>-1107.70607139912 -952.114664096923 801.794352046592</t>
  </si>
  <si>
    <t>-1077.34776533671 -1388.76306033953 269.314000985228</t>
  </si>
  <si>
    <t>-1104.50596972904 -1371.34581028824 737.982506332845</t>
  </si>
  <si>
    <t>-943.336427530667 -1362.82291137326 807.948558895573</t>
  </si>
  <si>
    <t>9763-20170724T170026.697573100.bin</t>
  </si>
  <si>
    <t>-1153.26069610759 -1105.35855795995 259.803981494323</t>
  </si>
  <si>
    <t>-1195.31960604041 -1085.3294409726 727.478652086928</t>
  </si>
  <si>
    <t>-1107.68875796155 -952.107880665354 801.750966976313</t>
  </si>
  <si>
    <t>-1077.29981770914 -1388.80793022219 269.329793224399</t>
  </si>
  <si>
    <t>-1104.5113851722 -1371.3599888728 737.98963183863</t>
  </si>
  <si>
    <t>-943.336287139031 -1362.95801950434 807.957518428661</t>
  </si>
  <si>
    <t>9763-20170724T170026.765256500.bin</t>
  </si>
  <si>
    <t>-1152.78137275784 -1105.11193651008 259.718288878273</t>
  </si>
  <si>
    <t>-1195.16854273933 -1085.3699647796 727.369218312758</t>
  </si>
  <si>
    <t>-1107.64107516294 -952.090665142448 801.659732215113</t>
  </si>
  <si>
    <t>-1077.24712271253 -1388.78168110489 269.333298008572</t>
  </si>
  <si>
    <t>-1104.54271677575 -1371.28388473959 737.991510940317</t>
  </si>
  <si>
    <t>-943.394147309677 -1362.19622779384 807.934782587422</t>
  </si>
  <si>
    <t>9763-20170724T170026.797562200.bin</t>
  </si>
  <si>
    <t>-1152.66459427495 -1105.05652718872 259.678217326387</t>
  </si>
  <si>
    <t>-1195.11905896905 -1085.37477972644 727.315496506384</t>
  </si>
  <si>
    <t>-1107.6229375523 -952.084326648072 801.622997626647</t>
  </si>
  <si>
    <t>-1077.21985724625 -1388.74946458868 269.329603910853</t>
  </si>
  <si>
    <t>-1104.55627106068 -1371.22978073523 737.991855028842</t>
  </si>
  <si>
    <t>-943.415709430371 -1361.95389696246 807.928898558803</t>
  </si>
  <si>
    <t>9763-20170724T170026.861765000.bin</t>
  </si>
  <si>
    <t>-1152.5407815013 -1105.03653179433 259.641513587092</t>
  </si>
  <si>
    <t>-1195.04692054389 -1085.37570570214 727.249334396024</t>
  </si>
  <si>
    <t>-1107.583830868 -952.0727636029 801.573297303838</t>
  </si>
  <si>
    <t>-1077.19198241001 -1388.78909928616 269.315118998048</t>
  </si>
  <si>
    <t>-1104.56968171558 -1371.29381845619 737.985876430136</t>
  </si>
  <si>
    <t>-943.402577648683 -1362.50738444991 807.924966461978</t>
  </si>
  <si>
    <t>9763-20170724T170026.895892000.bin</t>
  </si>
  <si>
    <t>-1152.59630231054 -1105.06109784345 259.62633706515</t>
  </si>
  <si>
    <t>-1195.07083385996 -1085.364151514 727.232454199215</t>
  </si>
  <si>
    <t>-1107.57082576227 -952.08136664794 801.549162657787</t>
  </si>
  <si>
    <t>-1077.18292417909 -1388.82161032912 269.310403448023</t>
  </si>
  <si>
    <t>-1104.57930930282 -1371.26590536779 737.980269995682</t>
  </si>
  <si>
    <t>-943.405460547205 -1362.57254028038 807.915415219423</t>
  </si>
  <si>
    <t>9763-20170724T170026.965613500.bin</t>
  </si>
  <si>
    <t>-1152.63835892191 -1105.11330296606 259.57043411327</t>
  </si>
  <si>
    <t>-1195.03061593345 -1085.37793992998 727.200886019045</t>
  </si>
  <si>
    <t>-1107.52802979443 -952.087327940539 801.50046568075</t>
  </si>
  <si>
    <t>-1077.20533260499 -1388.8493609262 269.291215291375</t>
  </si>
  <si>
    <t>-1104.6012729466 -1371.26934055746 737.966085401509</t>
  </si>
  <si>
    <t>-943.423728722519 -1362.48268765925 807.881092594516</t>
  </si>
  <si>
    <t>9763-20170724T170026.998241900.bin</t>
  </si>
  <si>
    <t>-1152.5758256996 -1105.07850177358 259.539419988256</t>
  </si>
  <si>
    <t>-1194.99779423548 -1085.38218149396 727.176513728479</t>
  </si>
  <si>
    <t>-1107.51728897225 -952.077781222153 801.477360707465</t>
  </si>
  <si>
    <t>-1077.21971029288 -1388.81460936086 269.284088266741</t>
  </si>
  <si>
    <t>-1104.6086801399 -1371.29416365998 737.963559686721</t>
  </si>
  <si>
    <t>-943.437929517108 -1362.32658010201 807.8712297292</t>
  </si>
  <si>
    <t>9763-20170724T170027.063418600.bin</t>
  </si>
  <si>
    <t>-1152.43235802207 -1104.85997423083 259.458268151167</t>
  </si>
  <si>
    <t>-1194.93542435143 -1085.36828783257 727.085673489987</t>
  </si>
  <si>
    <t>-1107.48891699568 -952.063203941407 801.425230003457</t>
  </si>
  <si>
    <t>-1077.23576760456 -1388.76163527208 269.283478315815</t>
  </si>
  <si>
    <t>-1104.6237808254 -1371.31374574114 737.964970108974</t>
  </si>
  <si>
    <t>-943.443653099 -1362.48154028234 807.868261682623</t>
  </si>
  <si>
    <t>9763-20170724T170027.103564400.bin</t>
  </si>
  <si>
    <t>-1152.40168141752 -1104.81100493552 259.427227123149</t>
  </si>
  <si>
    <t>-1194.90783959322 -1085.35908718788 727.046013209727</t>
  </si>
  <si>
    <t>-1107.48187782738 -952.051453475163 801.405127197358</t>
  </si>
  <si>
    <t>-1077.24046463482 -1388.70540385026 269.274999929705</t>
  </si>
  <si>
    <t>-1104.63601704732 -1371.22871621521 737.960343748872</t>
  </si>
  <si>
    <t>-943.460558326057 -1362.26723038752 807.85792773756</t>
  </si>
  <si>
    <t>9763-20170724T170027.164736000.bin</t>
  </si>
  <si>
    <t>-1152.53922173806 -1104.83133362897 259.391965246267</t>
  </si>
  <si>
    <t>-1194.91338401614 -1085.34380924844 727.009584354814</t>
  </si>
  <si>
    <t>-1107.45244364239 -952.06055887594 801.371356882045</t>
  </si>
  <si>
    <t>-1077.33799420462 -1388.68151323216 269.271532302197</t>
  </si>
  <si>
    <t>-1104.65066040577 -1371.25230515787 737.957590212039</t>
  </si>
  <si>
    <t>-943.474966268438 -1362.22614388135 807.846332598039</t>
  </si>
  <si>
    <t>9763-20170724T170027.197816800.bin</t>
  </si>
  <si>
    <t>-1152.65977090103 -1104.89711467866 259.375974056396</t>
  </si>
  <si>
    <t>-1194.93126792161 -1085.32634914043 726.995564190672</t>
  </si>
  <si>
    <t>-1107.42967365329 -952.069210438883 801.356290160437</t>
  </si>
  <si>
    <t>-1077.37344552864 -1388.71043610118 269.268223340502</t>
  </si>
  <si>
    <t>-1104.64968996814 -1371.33474546147 737.956017962253</t>
  </si>
  <si>
    <t>-943.454901723529 -1362.72235748258 807.852959096489</t>
  </si>
  <si>
    <t>9763-20170724T170027.267503100.bin</t>
  </si>
  <si>
    <t>-1152.8551985384 -1104.94605641376 259.347465391515</t>
  </si>
  <si>
    <t>-1194.92097999453 -1085.3162031083 726.979860008531</t>
  </si>
  <si>
    <t>-1107.42197056954 -952.053543080354 801.333800547745</t>
  </si>
  <si>
    <t>-1077.44298967383 -1388.71299888454 269.24518008625</t>
  </si>
  <si>
    <t>-1104.66851163934 -1371.33265088755 737.946002380413</t>
  </si>
  <si>
    <t>-943.47034916384 -1362.7089478802 807.833759978738</t>
  </si>
  <si>
    <t>9763-20170724T170027.299545400.bin</t>
  </si>
  <si>
    <t>-1152.94699256597 -1104.98390977145 259.337668334147</t>
  </si>
  <si>
    <t>-1194.91482041662 -1085.31142704354 726.978512552456</t>
  </si>
  <si>
    <t>-1107.41689084797 -952.04420983238 801.325399974929</t>
  </si>
  <si>
    <t>-1077.4940232384 -1388.71110825972 269.233049609601</t>
  </si>
  <si>
    <t>-1104.67823202584 -1371.33811828517 737.944169336665</t>
  </si>
  <si>
    <t>-943.477724465044 -1362.70336802261 807.825122611577</t>
  </si>
  <si>
    <t>9763-20170724T170027.368772500.bin</t>
  </si>
  <si>
    <t>-1153.19717878837 -1105.06039670862 259.321520001777</t>
  </si>
  <si>
    <t>-1194.92425485368 -1085.30725793484 726.985200766707</t>
  </si>
  <si>
    <t>-1107.37855875582 -952.058957327351 801.309873381282</t>
  </si>
  <si>
    <t>-1077.6270537801 -1388.67455630846 269.218967263439</t>
  </si>
  <si>
    <t>-1104.70635328145 -1371.27226144321 737.939161003181</t>
  </si>
  <si>
    <t>-943.513474945876 -1362.27979426312 807.792631851249</t>
  </si>
  <si>
    <t>9763-20170724T170027.397850800.bin</t>
  </si>
  <si>
    <t>-1153.33370896419 -1105.12197443505 259.326999775042</t>
  </si>
  <si>
    <t>-1194.88148203072 -1085.32234589439 726.993879546652</t>
  </si>
  <si>
    <t>-1107.37865542507 -952.037834001278 801.304200847281</t>
  </si>
  <si>
    <t>-1077.71509752506 -1388.69181356865 269.210430173699</t>
  </si>
  <si>
    <t>-1104.72147507972 -1371.28565474863 737.934212751362</t>
  </si>
  <si>
    <t>-943.513517665903 -1362.4823814858 807.776932238146</t>
  </si>
  <si>
    <t>9763-20170724T170027.461024900.bin</t>
  </si>
  <si>
    <t>-1153.70443346941 -1105.23603755215 259.330520224325</t>
  </si>
  <si>
    <t>-1194.92636625832 -1085.31315664295 727.019010727277</t>
  </si>
  <si>
    <t>-1107.34135641629 -952.061278110026 801.290974917304</t>
  </si>
  <si>
    <t>-1077.9012397788 -1388.68902100353 269.193590761876</t>
  </si>
  <si>
    <t>-1104.7446092149 -1371.30210653914 737.926923512998</t>
  </si>
  <si>
    <t>-943.514887627247 -1362.69217479679 807.74352674266</t>
  </si>
  <si>
    <t>9763-20170724T170027.499676000.bin</t>
  </si>
  <si>
    <t>-1153.87732103547 -1105.24599676823 259.318110753432</t>
  </si>
  <si>
    <t>-1194.94325079384 -1085.30895960354 727.022736056513</t>
  </si>
  <si>
    <t>-1107.32409082154 -952.071729350542 801.280667078936</t>
  </si>
  <si>
    <t>-1077.99264452426 -1388.63744067095 269.181291375493</t>
  </si>
  <si>
    <t>-1104.75963197139 -1371.21587972842 737.920395121769</t>
  </si>
  <si>
    <t>-943.559889078283 -1361.87348919587 807.712072354028</t>
  </si>
  <si>
    <t>9763-20170724T170027.562848400.bin</t>
  </si>
  <si>
    <t>-1154.27888089365 -1105.34242625581 259.297719777624</t>
  </si>
  <si>
    <t>-1194.94331986394 -1085.29921112084 727.026547738919</t>
  </si>
  <si>
    <t>-1107.30857744262 -952.063500336179 801.268801811018</t>
  </si>
  <si>
    <t>-1078.18159990125 -1388.64436655155 269.155318470045</t>
  </si>
  <si>
    <t>-1104.76473506131 -1371.24475163708 737.915848838097</t>
  </si>
  <si>
    <t>-943.56370239097 -1361.93806165103 807.709295617245</t>
  </si>
  <si>
    <t>9763-20170724T170027.598943700.bin</t>
  </si>
  <si>
    <t>-1154.48347636794 -1105.41833734205 259.312586703181</t>
  </si>
  <si>
    <t>-1194.96468726627 -1085.29292639811 727.050485182643</t>
  </si>
  <si>
    <t>-1107.31728554854 -952.055441473374 801.274672873559</t>
  </si>
  <si>
    <t>-1078.22585293165 -1388.6389635979 269.155816523884</t>
  </si>
  <si>
    <t>-1104.76797293383 -1371.22659061716 737.913487365067</t>
  </si>
  <si>
    <t>-943.567918877813 -1361.89082383958 807.705298243266</t>
  </si>
  <si>
    <t>9763-20170724T170027.664122100.bin</t>
  </si>
  <si>
    <t>-1154.92367194353 -1105.70582801778 259.342256287888</t>
  </si>
  <si>
    <t>-1194.9873065519 -1085.30392174617 727.110336023649</t>
  </si>
  <si>
    <t>-1107.3020620328 -952.058009367572 801.274587339357</t>
  </si>
  <si>
    <t>-1078.30329680156 -1388.73812237217 269.153245875985</t>
  </si>
  <si>
    <t>-1104.77483871991 -1371.2941324504 737.910351417606</t>
  </si>
  <si>
    <t>-943.537859965079 -1362.72721647675 807.715449058212</t>
  </si>
  <si>
    <t>9763-20170724T170027.695722600.bin</t>
  </si>
  <si>
    <t>-1155.11317028746 -1105.78349595367 259.352850954945</t>
  </si>
  <si>
    <t>-1194.99828036787 -1085.31891806128 727.146411196678</t>
  </si>
  <si>
    <t>-1107.26868819745 -952.081717686024 801.273797584646</t>
  </si>
  <si>
    <t>-1078.39324446081 -1388.70919151458 269.156110238112</t>
  </si>
  <si>
    <t>-1104.79106042945 -1371.22101356764 737.909201978039</t>
  </si>
  <si>
    <t>-943.578890442325 -1362.06047446822 807.696261054304</t>
  </si>
  <si>
    <t>9763-20170724T170027.767914600.bin</t>
  </si>
  <si>
    <t>-1155.39014755294 -1105.7659193216 259.297710671867</t>
  </si>
  <si>
    <t>-1194.9766560153 -1085.32627790267 727.141352736904</t>
  </si>
  <si>
    <t>-1107.23231881492 -952.086198063318 801.246122812696</t>
  </si>
  <si>
    <t>-1078.6800847162 -1388.80887777575 269.139121049658</t>
  </si>
  <si>
    <t>-1104.79593725235 -1371.27827691623 737.913320842649</t>
  </si>
  <si>
    <t>-943.568669930246 -1362.49554243448 807.714079124895</t>
  </si>
  <si>
    <t>9763-20170724T170027.794487800.bin</t>
  </si>
  <si>
    <t>-1155.63674758498 -1105.80902957098 259.290702176166</t>
  </si>
  <si>
    <t>-1194.99332853934 -1085.29790081063 727.126557920766</t>
  </si>
  <si>
    <t>-1107.23853057204 -952.070616636001 801.241998147613</t>
  </si>
  <si>
    <t>-1078.89711686695 -1388.95056787538 269.114120216794</t>
  </si>
  <si>
    <t>-1104.79388086833 -1371.30592345257 737.91268681619</t>
  </si>
  <si>
    <t>-943.571246342957 -1362.57981700302 807.73121467109</t>
  </si>
  <si>
    <t>9763-20170724T170027.862182500.bin</t>
  </si>
  <si>
    <t>-1156.37481544055 -1106.18439077699 259.46243729842</t>
  </si>
  <si>
    <t>-1195.20325753298 -1085.21628291186 727.238755946917</t>
  </si>
  <si>
    <t>-1107.18302882672 -952.130771310041 801.294067094786</t>
  </si>
  <si>
    <t>-1079.08960072569 -1389.04504809401 269.086376021498</t>
  </si>
  <si>
    <t>-1104.80573180247 -1371.28311771709 737.892552286763</t>
  </si>
  <si>
    <t>-943.628184569364 -1361.68220033768 807.70036003567</t>
  </si>
  <si>
    <t>9763-20170724T170027.895781200.bin</t>
  </si>
  <si>
    <t>-1156.59185226652 -1106.39409545489 259.550037507102</t>
  </si>
  <si>
    <t>-1195.23780229355 -1085.19310393618 727.286085651896</t>
  </si>
  <si>
    <t>-1107.1810245201 -952.134605477496 801.346573194834</t>
  </si>
  <si>
    <t>-1079.01923495278 -1389.08670400582 269.077297857268</t>
  </si>
  <si>
    <t>-1104.81078896501 -1371.3468780095 737.881196869271</t>
  </si>
  <si>
    <t>-943.604303374 -1362.35219289663 807.702924633536</t>
  </si>
  <si>
    <t>9763-20170724T170027.963455900.bin</t>
  </si>
  <si>
    <t>-1156.11846322241 -1106.13282815668 259.566093799488</t>
  </si>
  <si>
    <t>-1194.95348054265 -1084.95913237892 727.401722638853</t>
  </si>
  <si>
    <t>-1106.94258752112 -951.831514142334 801.392452336619</t>
  </si>
  <si>
    <t>-1078.68572213156 -1388.96005990402 269.044591800597</t>
  </si>
  <si>
    <t>-1104.82883928873 -1371.31335944861 737.855946920086</t>
  </si>
  <si>
    <t>-943.621809703256 -1362.23382897961 807.665433831964</t>
  </si>
  <si>
    <t>9763-20170724T170027.995071100.bin</t>
  </si>
  <si>
    <t>-1155.62696774237 -1105.86661823189 259.613896935993</t>
  </si>
  <si>
    <t>-1194.83505421285 -1085.02616661747 727.488588864468</t>
  </si>
  <si>
    <t>-1106.9391553283 -951.805463604317 801.448453422693</t>
  </si>
  <si>
    <t>-1078.55981600895 -1388.94360940325 269.05659064501</t>
  </si>
  <si>
    <t>-1104.83042175815 -1371.35983852975 737.861153577974</t>
  </si>
  <si>
    <t>-943.604003308624 -1362.69184081473 807.678184336035</t>
  </si>
  <si>
    <t>9763-20170724T170028.065762800.bin</t>
  </si>
  <si>
    <t>-1154.22941759181 -1104.9637129008 259.697274873019</t>
  </si>
  <si>
    <t>-1194.5173291853 -1085.16362445728 727.49997140139</t>
  </si>
  <si>
    <t>-1106.87088650376 -951.779257696636 801.460935658561</t>
  </si>
  <si>
    <t>-1078.29612219481 -1388.74742538493 269.14815176641</t>
  </si>
  <si>
    <t>-1104.84686346499 -1371.2823446636 737.894558653867</t>
  </si>
  <si>
    <t>-943.625774591103 -1362.33831243805 807.689071388156</t>
  </si>
  <si>
    <t>9763-20170724T170028.098171100.bin</t>
  </si>
  <si>
    <t>-1153.56824512486 -1104.52632771366 259.697643965369</t>
  </si>
  <si>
    <t>-1194.3747487579 -1085.22655442853 727.471111866264</t>
  </si>
  <si>
    <t>-1106.8011803828 -951.796897988378 801.436773802843</t>
  </si>
  <si>
    <t>-1078.13997833549 -1388.60000408447 269.192306728642</t>
  </si>
  <si>
    <t>-1104.85180815375 -1371.27384209787 737.914721939999</t>
  </si>
  <si>
    <t>-943.630026195407 -1362.23566257208 807.695516810798</t>
  </si>
  <si>
    <t>9763-20170724T170028.161843100.bin</t>
  </si>
  <si>
    <t>-1152.64782195025 -1103.97146829156 259.653647292668</t>
  </si>
  <si>
    <t>-1194.10827679987 -1085.36048422271 727.392990949926</t>
  </si>
  <si>
    <t>-1106.745456782 -951.785822718614 801.345925334055</t>
  </si>
  <si>
    <t>-1077.93465443463 -1388.26526127449 269.245015297956</t>
  </si>
  <si>
    <t>-1104.86473213644 -1371.21643934964 737.953297813205</t>
  </si>
  <si>
    <t>-943.63417998142 -1362.08487771972 807.701682911209</t>
  </si>
  <si>
    <t>9763-20170724T170028.199454700.bin</t>
  </si>
  <si>
    <t>-1152.45386372854 -1103.84529025492 259.630166428356</t>
  </si>
  <si>
    <t>-1194.04617629807 -1085.40677200985 727.355197371605</t>
  </si>
  <si>
    <t>-1106.70649051537 -951.807353102816 801.290837107574</t>
  </si>
  <si>
    <t>-1077.82850405298 -1388.03643249988 269.255635454381</t>
  </si>
  <si>
    <t>-1104.874453051 -1371.15771862068 737.961268298269</t>
  </si>
  <si>
    <t>-943.627158322804 -1362.21673052069 807.695632150707</t>
  </si>
  <si>
    <t>9763-20170724T170028.261612900.bin</t>
  </si>
  <si>
    <t>-1152.41772446858 -1103.69897675526 259.570594638617</t>
  </si>
  <si>
    <t>-1194.00241909051 -1085.45049468259 727.280923060572</t>
  </si>
  <si>
    <t>-1106.70754507258 -951.805582481872 801.187352835438</t>
  </si>
  <si>
    <t>-1077.55199592825 -1387.58669543368 269.230657070415</t>
  </si>
  <si>
    <t>-1104.87270499359 -1371.15627735104 737.962439661765</t>
  </si>
  <si>
    <t>-943.602191226249 -1362.46027394189 807.674060132503</t>
  </si>
  <si>
    <t>9763-20170724T170028.304729500.bin</t>
  </si>
  <si>
    <t>-1152.47209791965 -1103.59950676587 259.524859271102</t>
  </si>
  <si>
    <t>-1194.01361376345 -1085.44810914032 727.236789688307</t>
  </si>
  <si>
    <t>-1106.70556178577 -951.813846927793 801.146879143295</t>
  </si>
  <si>
    <t>-1077.48500854353 -1387.3943545998 269.206637720117</t>
  </si>
  <si>
    <t>-1104.87631417271 -1371.08690709994 737.952770156493</t>
  </si>
  <si>
    <t>-943.613922906656 -1362.15108986206 807.652867549724</t>
  </si>
  <si>
    <t>9763-20170724T170028.362886000.bin</t>
  </si>
  <si>
    <t>-1152.65368627712 -1103.44860590485 259.504489447005</t>
  </si>
  <si>
    <t>-1194.05051405599 -1085.47011076765 727.23051404612</t>
  </si>
  <si>
    <t>-1106.69327611841 -951.847670296073 801.103832516329</t>
  </si>
  <si>
    <t>-1077.44514506074 -1387.07995669203 269.16378655443</t>
  </si>
  <si>
    <t>-1104.87068218549 -1371.06755076965 737.931536213875</t>
  </si>
  <si>
    <t>-943.612308167183 -1361.91620493392 807.612961797095</t>
  </si>
  <si>
    <t>9763-20170724T170028.398775000.bin</t>
  </si>
  <si>
    <t>-1152.76465596504 -1103.39963455034 259.499413000529</t>
  </si>
  <si>
    <t>-1194.05673617627 -1085.48262884073 727.235657031268</t>
  </si>
  <si>
    <t>-1106.71118120158 -951.839781187689 801.085827673254</t>
  </si>
  <si>
    <t>-1077.43801366804 -1386.89140356206 269.143172998619</t>
  </si>
  <si>
    <t>-1104.87906098975 -1370.97781770573 737.918222106015</t>
  </si>
  <si>
    <t>-943.640228085707 -1361.28194486834 807.571220666232</t>
  </si>
  <si>
    <t>9763-20170724T170028.465454500.bin</t>
  </si>
  <si>
    <t>-1152.85949308162 -1103.20006155545 259.445561291391</t>
  </si>
  <si>
    <t>-1194.04788871759 -1085.50364571728 727.211386534049</t>
  </si>
  <si>
    <t>-1106.72608956419 -951.838960877841 801.050208777706</t>
  </si>
  <si>
    <t>-1077.34906800438 -1386.63805299089 269.125205308196</t>
  </si>
  <si>
    <t>-1104.87681945265 -1370.96047236673 737.905273137605</t>
  </si>
  <si>
    <t>-943.600789276593 -1361.88708583891 807.556004011223</t>
  </si>
  <si>
    <t>9763-20170724T170028.497652000.bin</t>
  </si>
  <si>
    <t>-1152.79524561764 -1103.06029675419 259.414612858823</t>
  </si>
  <si>
    <t>-1194.03177335517 -1085.50946559619 727.188193985934</t>
  </si>
  <si>
    <t>-1106.71523468082 -951.845596379474 801.034741732512</t>
  </si>
  <si>
    <t>-1077.30284005401 -1386.54567228502 269.118402424452</t>
  </si>
  <si>
    <t>-1104.86783716444 -1371.00495829291 737.90089075613</t>
  </si>
  <si>
    <t>-943.581633375245 -1362.16953842949 807.558700057228</t>
  </si>
  <si>
    <t>9763-20170724T170028.565374200.bin</t>
  </si>
  <si>
    <t>-1152.66322777271 -1102.73802535575 259.402804468902</t>
  </si>
  <si>
    <t>-1193.97369026871 -1085.53237987217 727.154750524945</t>
  </si>
  <si>
    <t>-1106.72760993639 -951.827720808433 801.010706265795</t>
  </si>
  <si>
    <t>-1077.1794188758 -1386.29239101216 269.106868088274</t>
  </si>
  <si>
    <t>-1104.85334788505 -1370.91716298072 737.896003745117</t>
  </si>
  <si>
    <t>-943.592312716588 -1361.6296586493 807.553245433108</t>
  </si>
  <si>
    <t>9763-20170724T170028.599985300.bin</t>
  </si>
  <si>
    <t>-1152.68833076173 -1102.66443233563 259.420151144869</t>
  </si>
  <si>
    <t>-1193.97053358675 -1085.53831457457 727.163345419277</t>
  </si>
  <si>
    <t>-1106.70403539397 -951.842347622246 801.010905854781</t>
  </si>
  <si>
    <t>-1077.12340135613 -1386.25294792873 269.098266380766</t>
  </si>
  <si>
    <t>-1104.84539771611 -1370.95261524596 737.893597976107</t>
  </si>
  <si>
    <t>-943.553892574879 -1362.31740655323 807.564221314596</t>
  </si>
  <si>
    <t>9763-20170724T170028.662146000.bin</t>
  </si>
  <si>
    <t>-1152.77140465792 -1102.61549961752 259.474030751958</t>
  </si>
  <si>
    <t>-1193.96322944522 -1085.57065293151 727.222893144856</t>
  </si>
  <si>
    <t>-1106.7294651236 -951.831644257841 801.0311164887</t>
  </si>
  <si>
    <t>-1077.04536396044 -1386.16839946718 269.078080720322</t>
  </si>
  <si>
    <t>-1104.83742061054 -1370.93349954293 737.876442122888</t>
  </si>
  <si>
    <t>-943.561652398364 -1361.93898397161 807.53805733407</t>
  </si>
  <si>
    <t>9763-20170724T170028.700298800.bin</t>
  </si>
  <si>
    <t>-1152.82405832113 -1102.58625157886 259.485480900229</t>
  </si>
  <si>
    <t>-1193.95497256469 -1085.57662206444 727.245857860373</t>
  </si>
  <si>
    <t>-1106.7214523231 -951.832613838731 801.045413092679</t>
  </si>
  <si>
    <t>-1076.98489489697 -1386.14995920385 269.066170755237</t>
  </si>
  <si>
    <t>-1104.83270536046 -1370.90549045278 737.869255449078</t>
  </si>
  <si>
    <t>-943.558254461788 -1361.86333806443 807.527724418001</t>
  </si>
  <si>
    <t>9763-20170724T170028.762993400.bin</t>
  </si>
  <si>
    <t>-1152.60192471155 -1102.34691814046 259.511035405771</t>
  </si>
  <si>
    <t>-1193.93019835542 -1085.58929199363 727.280680570858</t>
  </si>
  <si>
    <t>-1106.71870074538 -951.826625900219 801.072405710908</t>
  </si>
  <si>
    <t>-1076.68772257457 -1385.99554470273 269.062891342462</t>
  </si>
  <si>
    <t>-1104.82037949361 -1370.87713969549 737.862306134213</t>
  </si>
  <si>
    <t>-943.554280516857 -1361.68378883397 807.520331108552</t>
  </si>
  <si>
    <t>9763-20170724T170028.795168000.bin</t>
  </si>
  <si>
    <t>-1152.40136869745 -1102.18977555083 259.525666056069</t>
  </si>
  <si>
    <t>-1193.89100073948 -1085.59981511283 727.286440491761</t>
  </si>
  <si>
    <t>-1106.7214028239 -951.812286066875 801.082655731856</t>
  </si>
  <si>
    <t>-1076.53261823947 -1385.99340453958 269.071470199802</t>
  </si>
  <si>
    <t>-1104.80350725542 -1370.93614339047 737.865516610364</t>
  </si>
  <si>
    <t>-943.515654071459 -1362.25170528622 807.538458195015</t>
  </si>
  <si>
    <t>9763-20170724T170028.864362000.bin</t>
  </si>
  <si>
    <t>-1152.08874354638 -1101.97197053944 259.604970724138</t>
  </si>
  <si>
    <t>-1193.82051391009 -1085.65538255383 727.340063553943</t>
  </si>
  <si>
    <t>-1106.71282252359 -951.810530816258 801.105285032321</t>
  </si>
  <si>
    <t>-1076.18157347053 -1385.84064967981 269.101781401839</t>
  </si>
  <si>
    <t>-1104.78716659147 -1370.96032347666 737.867368633691</t>
  </si>
  <si>
    <t>-943.488461982146 -1362.50117133882 807.542905056335</t>
  </si>
  <si>
    <t>9763-20170724T170028.898320800.bin</t>
  </si>
  <si>
    <t>-1151.98864542806 -1101.85320952765 259.619711170088</t>
  </si>
  <si>
    <t>-1193.79260621793 -1085.68112026293 727.362702034791</t>
  </si>
  <si>
    <t>-1106.69863382727 -951.815913240818 801.107173356083</t>
  </si>
  <si>
    <t>-1076.04270032186 -1385.71895461447 269.112590611663</t>
  </si>
  <si>
    <t>-1104.78526760562 -1370.87029027647 737.868685804647</t>
  </si>
  <si>
    <t>-943.514504102403 -1361.78040400756 807.529459222063</t>
  </si>
  <si>
    <t>9763-20170724T170028.965003500.bin</t>
  </si>
  <si>
    <t>-1151.80390118195 -1101.66542703508 259.678986820462</t>
  </si>
  <si>
    <t>-1193.74393266553 -1085.74412853069 727.419689668131</t>
  </si>
  <si>
    <t>-1106.68225928435 -951.827064652067 801.10812959456</t>
  </si>
  <si>
    <t>-1075.76823339961 -1385.59172350671 269.125735380393</t>
  </si>
  <si>
    <t>-1104.76892700543 -1370.90035659228 737.871193159653</t>
  </si>
  <si>
    <t>-943.461746298976 -1362.57183335679 807.542848928082</t>
  </si>
  <si>
    <t>9763-20170724T170028.997592000.bin</t>
  </si>
  <si>
    <t>-1151.75109733011 -1101.56195327663 259.707115888636</t>
  </si>
  <si>
    <t>-1193.73983356612 -1085.76932032168 727.449103084643</t>
  </si>
  <si>
    <t>-1106.66239301808 -951.843146729334 801.10245204597</t>
  </si>
  <si>
    <t>-1075.62161401611 -1385.44811520208 269.135922238811</t>
  </si>
  <si>
    <t>-1104.76419345133 -1370.85158961705 737.871784510337</t>
  </si>
  <si>
    <t>-943.459511891388 -1362.4527191956 807.54077173532</t>
  </si>
  <si>
    <t>9763-20170724T170029.061263400.bin</t>
  </si>
  <si>
    <t>-1151.55332169907 -1101.19563246797 259.725717505899</t>
  </si>
  <si>
    <t>-1193.73640332419 -1085.78411396299 727.450970905581</t>
  </si>
  <si>
    <t>-1106.66386343533 -951.842606853036 801.08218526507</t>
  </si>
  <si>
    <t>-1075.33542726547 -1385.19290278114 269.149992793864</t>
  </si>
  <si>
    <t>-1104.74877522828 -1370.85739177705 737.877381916049</t>
  </si>
  <si>
    <t>-943.432895166151 -1362.67064484904 807.545705814812</t>
  </si>
  <si>
    <t>9763-20170724T170029.098865400.bin</t>
  </si>
  <si>
    <t>-1151.45125939649 -1100.98408817313 259.705868447842</t>
  </si>
  <si>
    <t>-1193.72793081423 -1085.78173341968 727.438085535662</t>
  </si>
  <si>
    <t>-1106.65144720283 -951.846921456135 801.076845403519</t>
  </si>
  <si>
    <t>-1075.19532509681 -1385.1091283543 269.145740143866</t>
  </si>
  <si>
    <t>-1104.73346254986 -1370.9066995179 737.875874211932</t>
  </si>
  <si>
    <t>-943.402750785248 -1363.11157282645 807.554736887186</t>
  </si>
  <si>
    <t>9763-20170724T170029.162542400.bin</t>
  </si>
  <si>
    <t>-1151.18101919856 -1100.53880490694 259.731250992437</t>
  </si>
  <si>
    <t>-1193.67459945864 -1085.79054441181 727.431282584045</t>
  </si>
  <si>
    <t>-1106.66885297426 -951.819792681805 801.088259178304</t>
  </si>
  <si>
    <t>-1074.81612152224 -1384.8115815191 269.151128462438</t>
  </si>
  <si>
    <t>-1104.70932269744 -1370.88094142358 737.872966265155</t>
  </si>
  <si>
    <t>-943.390349918251 -1362.79263987573 807.54561853643</t>
  </si>
  <si>
    <t>9763-20170724T170029.198675700.bin</t>
  </si>
  <si>
    <t>-1150.95061525902 -1100.24526972249 259.741997762821</t>
  </si>
  <si>
    <t>-1193.65127058238 -1085.79551502526 727.433941104483</t>
  </si>
  <si>
    <t>-1106.67326970704 -951.810037019157 801.096955214368</t>
  </si>
  <si>
    <t>-1074.5262306275 -1384.58241696629 269.159779685221</t>
  </si>
  <si>
    <t>-1104.7025578848 -1370.81386291836 737.870053811726</t>
  </si>
  <si>
    <t>-943.400507236227 -1362.30162746858 807.531422867197</t>
  </si>
  <si>
    <t>9763-20170724T170029.261348100.bin</t>
  </si>
  <si>
    <t>-1150.46357853125 -1099.56622876557 259.721720351491</t>
  </si>
  <si>
    <t>-1193.52722336693 -1085.81964157429 727.408737503609</t>
  </si>
  <si>
    <t>-1106.67716421713 -951.76970573296 801.105333309131</t>
  </si>
  <si>
    <t>-1073.92588777381 -1384.05658155404 269.182535292585</t>
  </si>
  <si>
    <t>-1104.66812400542 -1370.82630212096 737.874339337953</t>
  </si>
  <si>
    <t>-943.340303372643 -1362.96079518637 807.552039260737</t>
  </si>
  <si>
    <t>9763-20170724T170029.296475800.bin</t>
  </si>
  <si>
    <t>-1150.13825013723 -1099.21814239821 259.69336342469</t>
  </si>
  <si>
    <t>-1193.43349395756 -1085.81106020665 727.365505817396</t>
  </si>
  <si>
    <t>-1106.66343238606 -951.738209991342 801.114697183506</t>
  </si>
  <si>
    <t>-1073.60175781434 -1383.71597936867 269.182810066899</t>
  </si>
  <si>
    <t>-1104.65197483033 -1370.79026222272 737.873055595121</t>
  </si>
  <si>
    <t>-943.331413174814 -1362.77710827653 807.550726575614</t>
  </si>
  <si>
    <t>9763-20170724T170029.366643100.bin</t>
  </si>
  <si>
    <t>-1149.49769167105 -1098.4615447942 259.703643323252</t>
  </si>
  <si>
    <t>-1193.26045317289 -1085.81926876661 727.335047865416</t>
  </si>
  <si>
    <t>-1106.63647893012 -951.690288014312 801.15377007777</t>
  </si>
  <si>
    <t>-1072.89392376527 -1383.08810744565 269.198158008232</t>
  </si>
  <si>
    <t>-1104.61407866257 -1370.8020114803 737.870849877068</t>
  </si>
  <si>
    <t>-943.272258274901 -1363.38033869608 807.564796552416</t>
  </si>
  <si>
    <t>9763-20170724T170029.396722400.bin</t>
  </si>
  <si>
    <t>-1149.16153551451 -1097.99967542775 259.73389292947</t>
  </si>
  <si>
    <t>-1193.18331208401 -1085.84493237221 727.351496951723</t>
  </si>
  <si>
    <t>-1106.65307277878 -951.655180471969 801.16977158577</t>
  </si>
  <si>
    <t>-1072.46975362897 -1382.72054087026 269.218287468354</t>
  </si>
  <si>
    <t>-1104.59229781284 -1370.81973018333 737.869414086072</t>
  </si>
  <si>
    <t>-943.240769673263 -1363.6453492261 807.566803863237</t>
  </si>
  <si>
    <t>9763-20170724T170029.464126200.bin</t>
  </si>
  <si>
    <t>-1148.69906095372 -1097.14237929622 259.809333280206</t>
  </si>
  <si>
    <t>-1193.03173090578 -1085.93180788062 727.430274164849</t>
  </si>
  <si>
    <t>-1106.63511800849 -951.631543865279 801.204062715651</t>
  </si>
  <si>
    <t>-1071.62321468851 -1381.93312059463 269.254522720909</t>
  </si>
  <si>
    <t>-1104.56931060926 -1370.80225374059 737.865603140718</t>
  </si>
  <si>
    <t>-943.193286154447 -1364.12447572974 807.555598866207</t>
  </si>
  <si>
    <t>9763-20170724T170029.496249600.bin</t>
  </si>
  <si>
    <t>-1148.52550117691 -1096.74684627004 259.852626337711</t>
  </si>
  <si>
    <t>-1192.94400680396 -1085.99112466044 727.486876242999</t>
  </si>
  <si>
    <t>-1106.59539785534 -951.637144034322 801.219074965249</t>
  </si>
  <si>
    <t>-1071.21110368566 -1381.49086677869 269.273372457925</t>
  </si>
  <si>
    <t>-1104.56923610627 -1370.71171495287 737.860435029116</t>
  </si>
  <si>
    <t>-943.210974963731 -1363.25284192177 807.512355938792</t>
  </si>
  <si>
    <t>9763-20170724T170029.567493700.bin</t>
  </si>
  <si>
    <t>-1147.74167925755 -1096.46123863851 259.962194750453</t>
  </si>
  <si>
    <t>-1191.70813783044 -1086.56003784694 727.669740290288</t>
  </si>
  <si>
    <t>-1106.40762974707 -951.293738517919 800.952561498997</t>
  </si>
  <si>
    <t>-1070.08163836491 -1380.76254513799 269.336719006906</t>
  </si>
  <si>
    <t>-1104.56531611299 -1370.74578044966 737.857632233074</t>
  </si>
  <si>
    <t>-943.16707750373 -1363.84740501965 807.474665831838</t>
  </si>
  <si>
    <t>9763-20170724T170029.600807600.bin</t>
  </si>
  <si>
    <t>-1147.08266786949 -1095.34807483143 259.986339710933</t>
  </si>
  <si>
    <t>-1191.8471997723 -1085.27081866799 727.745674949444</t>
  </si>
  <si>
    <t>-1107.04478989185 -949.465984199002 800.609333397774</t>
  </si>
  <si>
    <t>-1069.5619373227 -1380.35428939007 269.370966422993</t>
  </si>
  <si>
    <t>-1104.56663664744 -1370.88283083539 737.860023719775</t>
  </si>
  <si>
    <t>-943.159644646197 -1364.04046361253 807.462271459071</t>
  </si>
  <si>
    <t>9763-20170724T170029.662962300.bin</t>
  </si>
  <si>
    <t>-1144.1065601915 -1092.81052014431 259.685389646158</t>
  </si>
  <si>
    <t>-1191.41175944129 -1086.33092233285 728.041968058135</t>
  </si>
  <si>
    <t>-1106.91960566294 -949.430500751539 799.195760338428</t>
  </si>
  <si>
    <t>-1068.30805361746 -1380.09240364972 269.680155289536</t>
  </si>
  <si>
    <t>-1104.53082768495 -1371.40739867822 738.003793610532</t>
  </si>
  <si>
    <t>-943.10034546928 -1365.09658851866 807.601819021303</t>
  </si>
  <si>
    <t>9763-20170724T170029.699061200.bin</t>
  </si>
  <si>
    <t>-1141.9843459542 -1090.56935632071 259.574788552828</t>
  </si>
  <si>
    <t>-1191.54534895157 -1087.15347257993 727.991811585675</t>
  </si>
  <si>
    <t>-1107.27692760174 -949.312094010024 797.576951723573</t>
  </si>
  <si>
    <t>-1068.01745618765 -1379.4966361033 269.885157674169</t>
  </si>
  <si>
    <t>-1104.45756426773 -1371.74646271579 738.144696722217</t>
  </si>
  <si>
    <t>-943.034804237292 -1365.80571569976 807.793185800738</t>
  </si>
  <si>
    <t>9763-20170724T170029.763741000.bin</t>
  </si>
  <si>
    <t>-1138.88753655402 -1082.03551871996 257.867765880788</t>
  </si>
  <si>
    <t>-1192.3473934306 -1088.46591364183 725.152594050062</t>
  </si>
  <si>
    <t>-1107.97462546049 -949.94725740167 793.250504041505</t>
  </si>
  <si>
    <t>-1067.59666035522 -1377.31550632526 270.315523693134</t>
  </si>
  <si>
    <t>-1104.31510254249 -1372.12795137333 738.395081681172</t>
  </si>
  <si>
    <t>-942.916363399699 -1366.49136709879 808.124474000484</t>
  </si>
  <si>
    <t>9763-20170724T170029.796330600.bin</t>
  </si>
  <si>
    <t>-1138.59013344494 -1075.22804518943 256.426307987818</t>
  </si>
  <si>
    <t>-1195.3961559585 -1087.86240660577 722.684956785387</t>
  </si>
  <si>
    <t>-1109.90051103161 -950.23089003915 791.180046926103</t>
  </si>
  <si>
    <t>-1067.67902565521 -1375.39716466522 270.311951662834</t>
  </si>
  <si>
    <t>-1104.29218288925 -1372.24806556472 738.399603232947</t>
  </si>
  <si>
    <t>-942.891110515979 -1366.65480356713 808.127083176777</t>
  </si>
  <si>
    <t>9763-20170724T170029.862006900.bin</t>
  </si>
  <si>
    <t>-1135.96537818398 -1061.32980119468 253.484421837941</t>
  </si>
  <si>
    <t>-1202.53452148515 -1085.8771021171 717.52611077032</t>
  </si>
  <si>
    <t>-1112.76690339346 -952.816442075611 789.499336210439</t>
  </si>
  <si>
    <t>-1067.31611855108 -1370.60371922947 270.028120681771</t>
  </si>
  <si>
    <t>-1104.28891003075 -1372.34962247992 738.250883460109</t>
  </si>
  <si>
    <t>-942.860208470357 -1367.31060135465 807.956620126188</t>
  </si>
  <si>
    <t>9763-20170724T170029.899154700.bin</t>
  </si>
  <si>
    <t>-1133.8439264655 -1055.08306958343 252.455493981111</t>
  </si>
  <si>
    <t>-1206.10591051216 -1081.14102588461 715.662599990846</t>
  </si>
  <si>
    <t>-1113.38959832483 -951.097950106322 789.391809733659</t>
  </si>
  <si>
    <t>-1066.61681766728 -1367.91697514056 269.875905816945</t>
  </si>
  <si>
    <t>-1104.3074033514 -1372.32587806902 738.149050922568</t>
  </si>
  <si>
    <t>-942.848458943858 -1368.16067405386 807.842470807427</t>
  </si>
  <si>
    <t>9763-20170724T170029.962324300.bin</t>
  </si>
  <si>
    <t>-1131.52171451756 -1040.85097406251 250.629466293609</t>
  </si>
  <si>
    <t>-1207.96364602432 -1060.71174967518 713.750955610602</t>
  </si>
  <si>
    <t>-1110.80415594936 -934.147712751604 787.812290184031</t>
  </si>
  <si>
    <t>-1065.21001902589 -1362.08837335073 269.735470394794</t>
  </si>
  <si>
    <t>-1104.30460204518 -1372.38659473701 737.969630059513</t>
  </si>
  <si>
    <t>-942.835610406014 -1368.98695904854 807.681321262773</t>
  </si>
  <si>
    <t>9763-20170724T170029.997922800.bin</t>
  </si>
  <si>
    <t>-1131.53360461769 -1031.75692456686 249.447104413835</t>
  </si>
  <si>
    <t>-1207.11480387521 -1043.94198476631 712.984935959565</t>
  </si>
  <si>
    <t>-1108.19366963123 -917.752831207383 785.334168641455</t>
  </si>
  <si>
    <t>-1064.64768208558 -1358.8408384618 269.800508574446</t>
  </si>
  <si>
    <t>-1104.29466372165 -1372.46429719209 737.91774069378</t>
  </si>
  <si>
    <t>-942.818123691837 -1369.78106124695 807.643190145008</t>
  </si>
  <si>
    <t>9763-20170724T170030.064631200.bin</t>
  </si>
  <si>
    <t>-1132.347857084 -1009.57787291321 245.999875221365</t>
  </si>
  <si>
    <t>-1203.01447726723 -1001.65738062587 710.460451215155</t>
  </si>
  <si>
    <t>-1099.46981848151 -875.905178548123 776.856249840723</t>
  </si>
  <si>
    <t>-1063.99402918314 -1351.14509980041 270.020609134149</t>
  </si>
  <si>
    <t>-1104.26152607403 -1372.43918734663 737.828961537737</t>
  </si>
  <si>
    <t>-942.787034723739 -1370.96340234847 807.59513869172</t>
  </si>
  <si>
    <t>9763-20170724T170030.096215800.bin</t>
  </si>
  <si>
    <t>-1131.94127999634 -996.368037153838 243.794609629664</t>
  </si>
  <si>
    <t>-1199.23140235549 -977.597162777369 708.404373792938</t>
  </si>
  <si>
    <t>-1092.68681702701 -852.585664130081 771.363932555357</t>
  </si>
  <si>
    <t>-1063.99346826036 -1346.57602799307 270.200267206065</t>
  </si>
  <si>
    <t>-1104.05120481913 -1372.81010521741 737.800786385532</t>
  </si>
  <si>
    <t>-942.739635534081 -1372.58774306742 807.958025433185</t>
  </si>
  <si>
    <t>9763-20170724T170030.164915100.bin</t>
  </si>
  <si>
    <t>-1128.56258968826 -966.422501401123 238.575887364259</t>
  </si>
  <si>
    <t>-1189.7718016127 -926.080213604897 702.609438789398</t>
  </si>
  <si>
    <t>-1076.71223631419 -803.516893039615 758.638588648966</t>
  </si>
  <si>
    <t>-1062.39742323938 -1335.40994154064 271.246568858779</t>
  </si>
  <si>
    <t>-1103.33222648489 -1374.71850819038 738.097518341331</t>
  </si>
  <si>
    <t>-942.586374670438 -1375.82471371822 809.533216064718</t>
  </si>
  <si>
    <t>9763-20170724T170030.197503300.bin</t>
  </si>
  <si>
    <t>-1125.52373998228 -949.588677250236 235.374737039755</t>
  </si>
  <si>
    <t>-1183.4343222098 -898.662661219152 698.833482741004</t>
  </si>
  <si>
    <t>-1067.2487636991 -777.490491516578 751.385649339236</t>
  </si>
  <si>
    <t>-1059.17463612173 -1327.96682074341 272.189460110608</t>
  </si>
  <si>
    <t>-1103.35494683539 -1374.8066203849 738.093674569046</t>
  </si>
  <si>
    <t>-942.633021945025 -1376.86463895541 809.562140076318</t>
  </si>
  <si>
    <t>9763-20170724T170030.264182500.bin</t>
  </si>
  <si>
    <t>-1112.56137242385 -914.776103376857 231.018640922295</t>
  </si>
  <si>
    <t>-1167.97271206695 -841.812213848703 691.714122603686</t>
  </si>
  <si>
    <t>-1046.78082228814 -722.713764842345 737.228962068266</t>
  </si>
  <si>
    <t>-1038.78139152073 -1306.377855521 277.019245510409</t>
  </si>
  <si>
    <t>-1103.84652227687 -1374.38275579896 737.89527016201</t>
  </si>
  <si>
    <t>-942.840802701863 -1379.22253715607 808.586476742441</t>
  </si>
  <si>
    <t>9763-20170724T170030.297773500.bin</t>
  </si>
  <si>
    <t>-1098.6844583693 -901.173613022424 231.562473023062</t>
  </si>
  <si>
    <t>-1153.2916399703 -816.077499179644 690.315254171378</t>
  </si>
  <si>
    <t>-1029.93050534876 -697.816893882197 732.028238855066</t>
  </si>
  <si>
    <t>-1014.28182826276 -1290.08667869328 283.042331963122</t>
  </si>
  <si>
    <t>-1103.93793249076 -1372.89895821127 737.57186269277</t>
  </si>
  <si>
    <t>-943.034238327342 -1381.33738818354 808.157315398565</t>
  </si>
  <si>
    <t>9763-20170724T170030.365958000.bin</t>
  </si>
  <si>
    <t>-1079.79859092026 -870.856005320878 243.038617956041</t>
  </si>
  <si>
    <t>-1132.5149532471 -754.271203737222 694.712965107984</t>
  </si>
  <si>
    <t>-1004.83999512959 -637.515052941115 726.503283539788</t>
  </si>
  <si>
    <t>-952.71642793855 -1258.43564035028 302.643425662603</t>
  </si>
  <si>
    <t>-1101.72371003165 -1362.49741806076 736.053234142649</t>
  </si>
  <si>
    <t>-941.669164821984 -1381.51748286482 806.510959778105</t>
  </si>
  <si>
    <t>9763-20170724T170030.397590500.bin</t>
  </si>
  <si>
    <t>-1073.12989348424 -850.882522984044 253.156629903005</t>
  </si>
  <si>
    <t>-1125.49182749981 -715.775990219367 699.662705885037</t>
  </si>
  <si>
    <t>-997.321049665782 -597.70242478438 723.629280824644</t>
  </si>
  <si>
    <t>-929.069657953418 -1245.60506064167 315.177891662925</t>
  </si>
  <si>
    <t>-1101.95288285599 -1359.37873079505 737.11572660116</t>
  </si>
  <si>
    <t>-942.110183717195 -1382.16874988966 806.932897373472</t>
  </si>
  <si>
    <t>9763-20170724T170030.464770800.bin</t>
  </si>
  <si>
    <t>-1060.3818309498 -795.033217529317 269.133626495021</t>
  </si>
  <si>
    <t>-1115.73856139732 -634.016564879192 706.791173443661</t>
  </si>
  <si>
    <t>-996.268397931982 -505.140330651175 714.619426642039</t>
  </si>
  <si>
    <t>-896.088857142468 -1221.45372113311 337.786822624895</t>
  </si>
  <si>
    <t>-1101.45930312324 -1354.7641394761 738.587332163491</t>
  </si>
  <si>
    <t>-942.215129611991 -1383.11608301466 807.731917858371</t>
  </si>
  <si>
    <t>9763-20170724T170030.494910700.bin</t>
  </si>
  <si>
    <t>-1057.68885671363 -764.100525899811 275.450989041743</t>
  </si>
  <si>
    <t>-1118.54493314348 -601.900972751063 711.866858410232</t>
  </si>
  <si>
    <t>-1007.91920152779 -465.17763137132 715.354988833427</t>
  </si>
  <si>
    <t>-889.088774264042 -1207.19051918865 346.592750724226</t>
  </si>
  <si>
    <t>-1100.71279990577 -1353.38639520751 738.926550471369</t>
  </si>
  <si>
    <t>-941.897554886481 -1383.44231691339 808.337413360997</t>
  </si>
  <si>
    <t>9763-20170724T170030.565106500.bin</t>
  </si>
  <si>
    <t>-1068.10847625147 -696.738998122736 288.435649752771</t>
  </si>
  <si>
    <t>-1137.05366524896 -561.507447029779 733.023538154975</t>
  </si>
  <si>
    <t>-1045.74151034935 -411.196442643771 736.517615624557</t>
  </si>
  <si>
    <t>-899.148718061374 -1170.7102135003 349.367227852313</t>
  </si>
  <si>
    <t>-1098.12907763951 -1349.63805773955 735.305448003209</t>
  </si>
  <si>
    <t>-941.144086939129 -1383.36627198797 807.149918700067</t>
  </si>
  <si>
    <t>9763-20170724T170030.610229200.bin</t>
  </si>
  <si>
    <t>-1077.03968733056 -657.589745495029 293.487300248125</t>
  </si>
  <si>
    <t>-1153.77980848568 -539.220549208395 739.850333736347</t>
  </si>
  <si>
    <t>-1064.63124577739 -389.1762353994 761.822274817838</t>
  </si>
  <si>
    <t>-908.857343012622 -1148.0488752967 346.014698954284</t>
  </si>
  <si>
    <t>-1093.54221345555 -1349.61749312061 728.288993110413</t>
  </si>
  <si>
    <t>-940.305085832633 -1385.369560063 806.925424919613</t>
  </si>
  <si>
    <t>9763-20170724T170030.664875300.bin</t>
  </si>
  <si>
    <t>-1080.11380529255 -582.695991671388 288.416005181285</t>
  </si>
  <si>
    <t>-1155.81746679774 -520.401346893886 750.303922559848</t>
  </si>
  <si>
    <t>-1060.61669256919 -381.764978560566 801.881971009768</t>
  </si>
  <si>
    <t>-907.180992474916 -1098.40713065288 329.066430500349</t>
  </si>
  <si>
    <t>-1062.20665840114 -1348.03912759338 699.614863288745</t>
  </si>
  <si>
    <t>-933.530124095603 -1386.67480080194 813.162833194232</t>
  </si>
  <si>
    <t>9763-20170724T170030.696038200.bin</t>
  </si>
  <si>
    <t>-1079.40716473274 -558.524761202444 279.505628394037</t>
  </si>
  <si>
    <t>-1152.78030439756 -522.175683860725 736.083790264094</t>
  </si>
  <si>
    <t>-1059.33183886255 -385.708617741653 795.980746813166</t>
  </si>
  <si>
    <t>-899.26864935789 -1072.19387823071 312.28172175449</t>
  </si>
  <si>
    <t>-1036.02494240477 -1342.42731177429 676.683681047599</t>
  </si>
  <si>
    <t>-931.922326226462 -1386.93950924881 811.312130223251</t>
  </si>
  <si>
    <t>9763-20170724T170030.764722300.bin</t>
  </si>
  <si>
    <t>-1071.23882539516 -517.888233928826 271.962790377101</t>
  </si>
  <si>
    <t>-1150.47209356394 -525.003179546576 729.481846804412</t>
  </si>
  <si>
    <t>-1065.5906101698 -383.467742855961 790.361971659558</t>
  </si>
  <si>
    <t>-870.387013095168 -961.702455230957 289.098715564065</t>
  </si>
  <si>
    <t>-1026.34546107036 -1244.83176737664 631.572210939845</t>
  </si>
  <si>
    <t>-955.842383519179 -1310.912459928 778.562586633756</t>
  </si>
  <si>
    <t>9763-20170724T170030.796839700.bin</t>
  </si>
  <si>
    <t>-1066.81618570613 -503.885044952228 266.120733592433</t>
  </si>
  <si>
    <t>-1148.7714655976 -527.343588567739 726.308169579555</t>
  </si>
  <si>
    <t>-1064.91393924177 -384.557340595891 785.667225204384</t>
  </si>
  <si>
    <t>-864.933290653594 -889.480060102214 274.177832449044</t>
  </si>
  <si>
    <t>-1046.19799047156 -1168.47516506936 606.398148682211</t>
  </si>
  <si>
    <t>-970.46705773131 -1232.5308071709 751.67447129961</t>
  </si>
  <si>
    <t>9763-20170724T170030.862515000.bin</t>
  </si>
  <si>
    <t>-1073.44810321013 -482.746135528611 257.47837528231</t>
  </si>
  <si>
    <t>-1148.21508731501 -528.357212641773 721.16853908496</t>
  </si>
  <si>
    <t>-1063.58038719853 -385.501596797606 779.244156315587</t>
  </si>
  <si>
    <t>-863.980795147082 -759.216042067271 249.489957410275</t>
  </si>
  <si>
    <t>-1074.08527726809 -1008.06677454884 585.398072600643</t>
  </si>
  <si>
    <t>-986.250336937214 -1053.79656734582 730.784870777363</t>
  </si>
  <si>
    <t>9763-20170724T170030.899128600.bin</t>
  </si>
  <si>
    <t>-1080.14781931504 -474.880648302842 255.029070062501</t>
  </si>
  <si>
    <t>-1149.023941578 -528.363940751501 719.301104571107</t>
  </si>
  <si>
    <t>-1063.21047214865 -386.009954794326 776.876373116294</t>
  </si>
  <si>
    <t>-866.724054114118 -691.408403251898 240.995660347064</t>
  </si>
  <si>
    <t>-1081.9432288843 -916.906649500923 589.957468969707</t>
  </si>
  <si>
    <t>-986.262405280093 -952.468781076616 733.2195603331</t>
  </si>
  <si>
    <t>9763-20170724T170030.966814900.bin</t>
  </si>
  <si>
    <t>-1091.07781877522 -460.581928086593 252.848494156372</t>
  </si>
  <si>
    <t>-1150.64070051645 -527.769516883507 716.900739024387</t>
  </si>
  <si>
    <t>-1063.46683457598 -386.241583098591 774.468507410698</t>
  </si>
  <si>
    <t>-880.959023907568 -567.969129903163 225.195799494734</t>
  </si>
  <si>
    <t>-1070.67386079967 -731.053551650195 622.998554584</t>
  </si>
  <si>
    <t>-953.441049087763 -738.03167731365 753.961474160742</t>
  </si>
  <si>
    <t>9763-20170724T170030.994901500.bin</t>
  </si>
  <si>
    <t>-1094.7554226916 -452.337459022776 252.932613684932</t>
  </si>
  <si>
    <t>-1150.9702015334 -527.175097121976 716.311905760899</t>
  </si>
  <si>
    <t>-1065.34578330694 -385.065619573063 774.765738722384</t>
  </si>
  <si>
    <t>-890.122038163727 -515.727149659987 219.731601377116</t>
  </si>
  <si>
    <t>-1048.66011483001 -639.744047090131 645.091411420071</t>
  </si>
  <si>
    <t>-919.413388315952 -627.222195782459 763.759018375013</t>
  </si>
  <si>
    <t>9763-20170724T170031.063585700.bin</t>
  </si>
  <si>
    <t>-1097.1391609246 -430.44861926701 257.325424595438</t>
  </si>
  <si>
    <t>-1151.56143678298 -525.708150073161 716.127166124102</t>
  </si>
  <si>
    <t>-1070.9417418806 -381.300555375463 776.047230232979</t>
  </si>
  <si>
    <t>-901.981220944771 -420.120144479798 217.514135078888</t>
  </si>
  <si>
    <t>-962.339008390446 -454.323794068368 681.942793536238</t>
  </si>
  <si>
    <t>-816.144267935662 -403.343341603274 765.438899300094</t>
  </si>
  <si>
    <t>9763-20170724T170031.101705000.bin</t>
  </si>
  <si>
    <t>-1094.22449855499 -417.978569755257 260.776477934992</t>
  </si>
  <si>
    <t>-1151.26941161521 -526.262898923269 715.989866533798</t>
  </si>
  <si>
    <t>-1073.47763577061 -380.145522637694 775.501877203378</t>
  </si>
  <si>
    <t>-904.12805409976 -377.65410357439 221.629210362628</t>
  </si>
  <si>
    <t>-908.388899187479 -361.334952452593 690.854145076064</t>
  </si>
  <si>
    <t>-756.778789886942 -296.690447558 752.327576053768</t>
  </si>
  <si>
    <t>9763-20170724T170031.166384800.bin</t>
  </si>
  <si>
    <t>-1081.42451685896 -386.923017040864 271.504086475918</t>
  </si>
  <si>
    <t>-1148.33918250244 -527.820284006278 715.888368472335</t>
  </si>
  <si>
    <t>-1078.23080824117 -377.776259809413 775.176501145887</t>
  </si>
  <si>
    <t>-891.066441007066 -305.770903952937 237.067534917322</t>
  </si>
  <si>
    <t>-803.805864013903 -196.972552788186 686.089062671291</t>
  </si>
  <si>
    <t>-651.304276001685 -110.130411814147 698.13982658401</t>
  </si>
  <si>
    <t>9763-20170724T170031.197500100.bin</t>
  </si>
  <si>
    <t>-1072.28421060023 -367.400899126412 279.108444788477</t>
  </si>
  <si>
    <t>-1145.86718831162 -527.513631417115 716.103638408121</t>
  </si>
  <si>
    <t>-1080.17894145249 -376.243881387012 777.308486218343</t>
  </si>
  <si>
    <t>-875.010662470397 -267.239766094827 242.717078309619</t>
  </si>
  <si>
    <t>-768.021111899735 -132.720029008315 680.82208723231</t>
  </si>
  <si>
    <t>-622.181952077807 -34.4355621727586 676.998301159885</t>
  </si>
  <si>
    <t>9763-20170724T170031.264681100.bin</t>
  </si>
  <si>
    <t>-1048.38607085926 -316.921731415557 298.602996765934</t>
  </si>
  <si>
    <t>-1139.43578086026 -524.107898130572 715.030088855036</t>
  </si>
  <si>
    <t>-1083.32362779281 -372.343395111766 784.040948723097</t>
  </si>
  <si>
    <t>-841.552407197277 -181.036102753181 248.393190114679</t>
  </si>
  <si>
    <t>-744.32801402585 -73.9369096913435 689.255645460156</t>
  </si>
  <si>
    <t>-613.29574978293 43.3301638724013 684.514348774122</t>
  </si>
  <si>
    <t>9763-20170724T170031.297291100.bin</t>
  </si>
  <si>
    <t>-1047.68957108686 10.6244157472668 -131.721734309725</t>
  </si>
  <si>
    <t>-1033.0327260448 -283.502532202104 308.006619907777</t>
  </si>
  <si>
    <t>-1134.63670459982 -518.485579478547 706.87689838531</t>
  </si>
  <si>
    <t>-1084.54682161222 -369.659374198514 786.156515101849</t>
  </si>
  <si>
    <t>-825.777538405626 -143.597844100692 251.022134003738</t>
  </si>
  <si>
    <t>-742.971186519622 -67.281908264817 698.825502513624</t>
  </si>
  <si>
    <t>-616.337421893196 54.6467983134708 705.210176471287</t>
  </si>
  <si>
    <t>9763-20170724T170031.365974500.bin</t>
  </si>
  <si>
    <t>-1046.6418189095 54.3209827018841 -143.958161055489</t>
  </si>
  <si>
    <t>-992.239908796947 -176.963029041606 312.397596838741</t>
  </si>
  <si>
    <t>-1113.67748279883 -480.509290518535 655.56201527624</t>
  </si>
  <si>
    <t>-1084.31574118028 -360.618563418817 780.891990254809</t>
  </si>
  <si>
    <t>-781.36504692138 -69.8710382030372 249.509854895853</t>
  </si>
  <si>
    <t>-729.829916803086 -37.1185498667116 708.715868788905</t>
  </si>
  <si>
    <t>-611.493439016143 84.1812785038326 755.900106685224</t>
  </si>
  <si>
    <t>9763-20170724T170031.397065800.bin</t>
  </si>
  <si>
    <t>-1057.00348819935 67.1064706191123 -154.382628096665</t>
  </si>
  <si>
    <t>-975.009515013135 -101.795898210071 304.797672221957</t>
  </si>
  <si>
    <t>-1086.47354494892 -436.209488320573 614.813022206081</t>
  </si>
  <si>
    <t>-1076.4417531249 -360.022099321577 773.048167536555</t>
  </si>
  <si>
    <t>-760.833896128964 -37.2123581445392 241.721172685013</t>
  </si>
  <si>
    <t>-723.309347171269 -31.8911505966917 707.3265146146</t>
  </si>
  <si>
    <t>-610.240645901798 87.7599197863151 769.315075190646</t>
  </si>
  <si>
    <t>9763-20170724T170031.461739000.bin</t>
  </si>
  <si>
    <t>-1009.94957886856 23.0714371403415 -419.281284319454</t>
  </si>
  <si>
    <t>-1061.30482723051 91.7216269250096 -173.73729109061</t>
  </si>
  <si>
    <t>-939.805046090403 32.4919506648378 274.469772482491</t>
  </si>
  <si>
    <t>-1044.60489049878 -352.244281260228 522.730274385728</t>
  </si>
  <si>
    <t>-1087.66900829314 -325.051301961253 691.103470650765</t>
  </si>
  <si>
    <t>-726.164406852612 17.895045618689 236.138502961676</t>
  </si>
  <si>
    <t>-718.244769785331 -24.5393945585577 700.018591385211</t>
  </si>
  <si>
    <t>-612.109857596264 92.1651341285367 777.857752146377</t>
  </si>
  <si>
    <t>9763-20170724T170031.497979900.bin</t>
  </si>
  <si>
    <t>-899.104917748041 25.2770330596384 -729.75839907137</t>
  </si>
  <si>
    <t>-997.717220567487 55.0951663266294 -430.471461966156</t>
  </si>
  <si>
    <t>-1056.47334041209 116.836629623637 -184.75251078924</t>
  </si>
  <si>
    <t>-922.718758758065 96.8346280981789 254.397989194478</t>
  </si>
  <si>
    <t>-1018.9804409778 -295.433042690022 494.102264953157</t>
  </si>
  <si>
    <t>-1077.95632048576 -255.481075252407 654.941319078276</t>
  </si>
  <si>
    <t>-710.806269099763 45.9762599581729 232.394263708611</t>
  </si>
  <si>
    <t>-719.680516977051 -20.8926210693994 696.158862054637</t>
  </si>
  <si>
    <t>-611.06754707059 91.8754218517199 776.347118037263</t>
  </si>
  <si>
    <t>9763-20170724T170031.562656500.bin</t>
  </si>
  <si>
    <t>-715.171102839939 1.37158693202446 -787.818968326084</t>
  </si>
  <si>
    <t>-665.784138316825 33.2497667344087 -871.051767257124</t>
  </si>
  <si>
    <t>-766.264232013193 5.60650318448552 -733.740496683143</t>
  </si>
  <si>
    <t>-887.632383846965 88.2278499201605 -742.437480526815</t>
  </si>
  <si>
    <t>-989.325784292081 114.073437707037 -443.813023323187</t>
  </si>
  <si>
    <t>-1062.0022511463 166.871223500799 -199.737953159137</t>
  </si>
  <si>
    <t>-499.666222651167 34.1382898712868 -199.921161592324</t>
  </si>
  <si>
    <t>-902.508231275582 21.0911303927576 -189.532246150475</t>
  </si>
  <si>
    <t>-904.206929124885 227.86396106924 216.546353915523</t>
  </si>
  <si>
    <t>-963.552774223379 -145.629822778164 490.963016308708</t>
  </si>
  <si>
    <t>-1022.59446356765 -83.6548914104258 644.640260986936</t>
  </si>
  <si>
    <t>-698.609110257578 91.0138776173101 233.201707491022</t>
  </si>
  <si>
    <t>-724.448184750983 -15.4824566341788 693.919644221413</t>
  </si>
  <si>
    <t>-610.516489082487 92.5733258213086 773.210432604458</t>
  </si>
  <si>
    <t>9763-20170724T170031.596790600.bin</t>
  </si>
  <si>
    <t>-808.862225947756 24.5453887821861 -199.965894977082</t>
  </si>
  <si>
    <t>-769.007766389033 8.67969403677193 -650.187694687385</t>
  </si>
  <si>
    <t>-715.535959019208 31.487849521724 -790.97319534764</t>
  </si>
  <si>
    <t>-666.390413545525 63.8194231864247 -874.173927393877</t>
  </si>
  <si>
    <t>-766.621561835449 35.2477889566212 -736.852479629326</t>
  </si>
  <si>
    <t>-889.63576782481 115.38290298566 -745.836404560712</t>
  </si>
  <si>
    <t>-989.74166813213 138.544313245786 -446.456098058106</t>
  </si>
  <si>
    <t>-1065.43127576649 188.796217668153 -202.759862670415</t>
  </si>
  <si>
    <t>-711.769563074254 7.54416202512289 -720.507425734522</t>
  </si>
  <si>
    <t>-496.651972088059 81.1649680754854 -210.796827995161</t>
  </si>
  <si>
    <t>-901.341413215499 55.032886133072 -192.237993603449</t>
  </si>
  <si>
    <t>-899.771628604262 285.464349393343 200.898833006775</t>
  </si>
  <si>
    <t>-938.758890312332 -56.5701644930155 518.407446115164</t>
  </si>
  <si>
    <t>-988.515336270796 21.6054784391592 667.92797354887</t>
  </si>
  <si>
    <t>-697.340865795274 104.901170819177 235.833314707635</t>
  </si>
  <si>
    <t>-726.804414462084 -14.0282389074305 693.475368896046</t>
  </si>
  <si>
    <t>-611.198585040421 93.4122169258301 771.163072246718</t>
  </si>
  <si>
    <t>9763-20170724T170031.661463400.bin</t>
  </si>
  <si>
    <t>-812.385041281246 84.5790933702312 -202.625222749892</t>
  </si>
  <si>
    <t>-829.258874558707 59.9566540940928 -319.999850867688</t>
  </si>
  <si>
    <t>-819.94415275813 54.7559272843955 -440.73411438616</t>
  </si>
  <si>
    <t>-800.794032692268 57.8663642487429 -548.523090456666</t>
  </si>
  <si>
    <t>-771.079596002794 68.4405458975273 -653.40434560876</t>
  </si>
  <si>
    <t>-718.990522574133 90.6030864966472 -794.809983725244</t>
  </si>
  <si>
    <t>-670.267474189041 123.133440168024 -878.181511268668</t>
  </si>
  <si>
    <t>-769.70201217083 94.2198320541506 -740.328880222284</t>
  </si>
  <si>
    <t>-894.821331324337 171.156304936585 -748.235150394113</t>
  </si>
  <si>
    <t>-989.660559667777 186.695007430262 -446.655603570958</t>
  </si>
  <si>
    <t>-1064.29226103486 235.964739734208 -202.433049426624</t>
  </si>
  <si>
    <t>-714.374677025127 67.3737402959009 -724.155769358481</t>
  </si>
  <si>
    <t>-493.485474311511 164.69020051681 -229.273271237419</t>
  </si>
  <si>
    <t>-903.360009637123 118.390401706177 -194.343816141385</t>
  </si>
  <si>
    <t>-891.735694403434 368.627584006252 186.318590861336</t>
  </si>
  <si>
    <t>-893.860288721214 134.761269947753 594.174680188193</t>
  </si>
  <si>
    <t>-920.221723599243 256.872062733147 718.01954929579</t>
  </si>
  <si>
    <t>-720.876650200151 50.3105090857393 -207.521684387408</t>
  </si>
  <si>
    <t>-696.121152365977 124.592398640987 241.395954303402</t>
  </si>
  <si>
    <t>-728.412515001276 -13.2059371465989 691.740981449123</t>
  </si>
  <si>
    <t>-611.751758054109 94.1437193885592 767.963356484783</t>
  </si>
  <si>
    <t>9763-20170724T170031.696857300.bin</t>
  </si>
  <si>
    <t>-813.916581738754 112.597483524264 -202.689082507509</t>
  </si>
  <si>
    <t>-829.606261130564 89.9158973348017 -320.617795344939</t>
  </si>
  <si>
    <t>-819.841016920695 85.6306613508152 -441.352396404991</t>
  </si>
  <si>
    <t>-800.617202657447 89.1599386373493 -549.115318740895</t>
  </si>
  <si>
    <t>-771.163709698127 99.7673064899968 -654.066828506036</t>
  </si>
  <si>
    <t>-719.772731578163 121.606972571818 -795.777777905513</t>
  </si>
  <si>
    <t>-671.173604229425 153.911824586667 -879.309302158954</t>
  </si>
  <si>
    <t>-770.175026381625 125.44811308675 -741.025830687187</t>
  </si>
  <si>
    <t>-895.511151972258 202.075582640595 -747.897502061887</t>
  </si>
  <si>
    <t>-987.181698567702 213.177595490561 -445.144495977988</t>
  </si>
  <si>
    <t>-1059.80407591772 262.297723932611 -200.286814038142</t>
  </si>
  <si>
    <t>-714.84826742461 98.439078031035 -725.124362579204</t>
  </si>
  <si>
    <t>-595.778492876177 29.766516042085 -672.873058200988</t>
  </si>
  <si>
    <t>-489.579248152437 201.941458984326 -236.887364582204</t>
  </si>
  <si>
    <t>-904.49846120278 148.27728750451 -194.970167511335</t>
  </si>
  <si>
    <t>-889.427684785388 388.74746956727 191.817465565617</t>
  </si>
  <si>
    <t>-880.274978003281 234.366797727152 634.515597613926</t>
  </si>
  <si>
    <t>-898.301286731837 374.450206757939 739.373549699715</t>
  </si>
  <si>
    <t>-722.219291428286 77.4839900272814 -207.495460883364</t>
  </si>
  <si>
    <t>-694.361862410061 131.963319515409 244.072470354449</t>
  </si>
  <si>
    <t>-728.418334599965 -12.9245755561358 691.226118885381</t>
  </si>
  <si>
    <t>-611.568882182528 94.0797223780344 767.644704441016</t>
  </si>
  <si>
    <t>9763-20170724T170031.763544900.bin</t>
  </si>
  <si>
    <t>-816.439642680631 170.871586545178 -198.131700043846</t>
  </si>
  <si>
    <t>-830.870350717389 153.663303914441 -317.1419160859</t>
  </si>
  <si>
    <t>-820.964146321622 151.965303601333 -437.929207947277</t>
  </si>
  <si>
    <t>-802.121230202172 156.669160377008 -545.714459160172</t>
  </si>
  <si>
    <t>-773.556721551295 167.331982482516 -650.905791007807</t>
  </si>
  <si>
    <t>-723.905235535748 188.144333642991 -793.389324042098</t>
  </si>
  <si>
    <t>-675.69704899718 219.188253100165 -877.622566047605</t>
  </si>
  <si>
    <t>-773.350407036164 193.060003645154 -737.856324163974</t>
  </si>
  <si>
    <t>-897.466538910598 271.900875406174 -742.415368899117</t>
  </si>
  <si>
    <t>-982.688050452861 275.886374060632 -437.607819455975</t>
  </si>
  <si>
    <t>-1051.36056577448 322.249210213398 -191.078662752076</t>
  </si>
  <si>
    <t>-718.398559504658 164.810999986979 -722.833464378572</t>
  </si>
  <si>
    <t>-599.584977805614 93.5438290200127 -673.711625129395</t>
  </si>
  <si>
    <t>-593.57258213978 61.8241369196544 -358.840366105167</t>
  </si>
  <si>
    <t>-480.665513968904 267.390200104462 -246.42752713095</t>
  </si>
  <si>
    <t>-905.633766112257 207.813921238612 -190.383539882096</t>
  </si>
  <si>
    <t>-893.30856197234 411.141912898571 217.24793475397</t>
  </si>
  <si>
    <t>-892.890899924647 447.404831545566 685.350075484592</t>
  </si>
  <si>
    <t>-878.689138876234 611.65845090722 746.689724534854</t>
  </si>
  <si>
    <t>-726.27384216118 134.101292626664 -203.796703624303</t>
  </si>
  <si>
    <t>-691.935297001657 148.336746265774 250.379408404947</t>
  </si>
  <si>
    <t>-730.29817690966 -11.3103920407493 690.94726728249</t>
  </si>
  <si>
    <t>-611.71120033961 94.271353422946 766.664625270662</t>
  </si>
  <si>
    <t>9763-20170724T170031.798755200.bin</t>
  </si>
  <si>
    <t>-816.152866623556 203.600612663736 -194.03391308188</t>
  </si>
  <si>
    <t>-831.318311797222 186.438845668051 -312.95947800666</t>
  </si>
  <si>
    <t>-822.189560985273 184.757581767386 -433.808104901534</t>
  </si>
  <si>
    <t>-804.063564653266 189.485086204221 -541.715255480418</t>
  </si>
  <si>
    <t>-776.231917484251 200.195136318012 -647.098148560608</t>
  </si>
  <si>
    <t>-727.615006147043 221.110923113958 -789.922907879458</t>
  </si>
  <si>
    <t>-679.535905855516 251.553292909919 -874.448882636356</t>
  </si>
  <si>
    <t>-776.408286595249 226.540611530743 -733.863568225755</t>
  </si>
  <si>
    <t>-898.958171714878 307.804667675154 -736.610310808612</t>
  </si>
  <si>
    <t>-981.809062163259 310.547751300116 -431.13623052968</t>
  </si>
  <si>
    <t>-1048.00532478749 354.000469475686 -183.402517870526</t>
  </si>
  <si>
    <t>-721.844633790776 197.172214028293 -719.591184448347</t>
  </si>
  <si>
    <t>-603.84092747102 123.444978952841 -672.086395172062</t>
  </si>
  <si>
    <t>-594.261035926624 89.6155009202232 -357.523243135167</t>
  </si>
  <si>
    <t>-475.494243407405 293.135118046559 -247.449187404779</t>
  </si>
  <si>
    <t>-907.231706382909 244.156698596973 -188.538777318045</t>
  </si>
  <si>
    <t>-893.096192459008 427.928915731374 228.217257198114</t>
  </si>
  <si>
    <t>-894.150596643386 525.784174130558 690.670811897102</t>
  </si>
  <si>
    <t>-856.137490612485 693.509473230405 727.640688003719</t>
  </si>
  <si>
    <t>-726.035981950306 163.906932798157 -199.830677835613</t>
  </si>
  <si>
    <t>-690.216389332897 161.700110144107 254.448757738286</t>
  </si>
  <si>
    <t>-731.336175442649 -9.77518732253952 689.980263546839</t>
  </si>
  <si>
    <t>-611.823869767599 94.4936014620014 766.061360083652</t>
  </si>
  <si>
    <t>9763-20170724T170031.862425800.bin</t>
  </si>
  <si>
    <t>-807.931896986233 268.940706728749 -183.509689612723</t>
  </si>
  <si>
    <t>-823.431483760555 248.986620862072 -301.955452115773</t>
  </si>
  <si>
    <t>-815.549700222017 246.414392756026 -422.876210286423</t>
  </si>
  <si>
    <t>-798.855460547161 251.097118195362 -531.016065417765</t>
  </si>
  <si>
    <t>-772.729783738199 262.507514643672 -636.761475206569</t>
  </si>
  <si>
    <t>-726.739998698444 285.150377370116 -780.191733329186</t>
  </si>
  <si>
    <t>-678.955882596438 315.444585910886 -864.938004946153</t>
  </si>
  <si>
    <t>-773.90231385116 291.099485141328 -722.805044445432</t>
  </si>
  <si>
    <t>-892.353913942561 378.070189944616 -720.706359903037</t>
  </si>
  <si>
    <t>-970.950916415044 382.467455002981 -414.129481835432</t>
  </si>
  <si>
    <t>-1032.23247692017 421.163233181454 -164.351079528162</t>
  </si>
  <si>
    <t>-720.275777096242 259.163793255827 -710.651653517196</t>
  </si>
  <si>
    <t>-604.7525356406 179.226964390059 -666.918708588785</t>
  </si>
  <si>
    <t>-589.312834793946 139.417923476784 -353.289888676657</t>
  </si>
  <si>
    <t>-456.208078398405 333.973782848169 -243.412057392613</t>
  </si>
  <si>
    <t>-895.781774357726 313.708495228522 -181.248684276945</t>
  </si>
  <si>
    <t>-865.535318396142 499.379059597798 233.804651965358</t>
  </si>
  <si>
    <t>-865.930124068834 599.838107004541 693.413263126355</t>
  </si>
  <si>
    <t>-791.130835538606 756.806089046702 720.05212218849</t>
  </si>
  <si>
    <t>-716.930321618979 224.950246103319 -186.634657955045</t>
  </si>
  <si>
    <t>-674.301446788744 207.899801000488 266.741299897148</t>
  </si>
  <si>
    <t>-729.392735158383 -4.07667109895851 682.405366422926</t>
  </si>
  <si>
    <t>-610.046571480515 95.0409629174731 765.325049142453</t>
  </si>
  <si>
    <t>9763-20170724T170031.900029200.bin</t>
  </si>
  <si>
    <t>-798.199905264244 299.995269231135 -175.194351404424</t>
  </si>
  <si>
    <t>-813.654576584393 280.136231971826 -293.662025431837</t>
  </si>
  <si>
    <t>-806.228168071715 277.953621167471 -414.619268675074</t>
  </si>
  <si>
    <t>-790.135832492155 283.105924245981 -522.828972964921</t>
  </si>
  <si>
    <t>-764.794320748404 295.104635411004 -628.700019758312</t>
  </si>
  <si>
    <t>-720.072858062411 318.689498866258 -772.379342775036</t>
  </si>
  <si>
    <t>-672.490382656648 349.115567265488 -857.191675179273</t>
  </si>
  <si>
    <t>-766.426745453111 324.815643978498 -714.356038025141</t>
  </si>
  <si>
    <t>-882.692265141538 414.834037720606 -710.001050346184</t>
  </si>
  <si>
    <t>-958.585770572178 420.093193466279 -402.757476037955</t>
  </si>
  <si>
    <t>-1016.10516978991 458.905398306507 -152.10385337503</t>
  </si>
  <si>
    <t>-713.294687265149 291.692225120083 -703.255393279963</t>
  </si>
  <si>
    <t>-599.409744183596 208.678454804272 -661.51384012378</t>
  </si>
  <si>
    <t>-582.313189123394 162.555330993416 -348.837332819842</t>
  </si>
  <si>
    <t>-441.558456001071 350.699040095778 -237.33841911209</t>
  </si>
  <si>
    <t>-882.612261268827 346.320884042013 -173.161257001726</t>
  </si>
  <si>
    <t>-852.358275960842 534.317925992306 240.842849596383</t>
  </si>
  <si>
    <t>-857.692149730373 606.684100214754 702.03141677546</t>
  </si>
  <si>
    <t>-778.88686484881 758.801344016881 741.950698571458</t>
  </si>
  <si>
    <t>-708.67143146976 254.570205904405 -176.891641529545</t>
  </si>
  <si>
    <t>-656.426140438519 242.452236317921 275.635955691004</t>
  </si>
  <si>
    <t>-725.572212156968 2.37354226422917 673.78666597121</t>
  </si>
  <si>
    <t>-608.050391093516 95.4450945510187 765.818371817059</t>
  </si>
  <si>
    <t>9763-20170724T170031.962198100.bin</t>
  </si>
  <si>
    <t>-762.22881246302 358.163855182455 -174.887019200214</t>
  </si>
  <si>
    <t>-778.50665955415 334.324783933439 -292.50728827469</t>
  </si>
  <si>
    <t>-771.863842503207 331.22127091485 -413.490055411295</t>
  </si>
  <si>
    <t>-756.403744804335 336.789772869357 -521.771277806919</t>
  </si>
  <si>
    <t>-731.613503838268 350.428055757498 -627.574383873844</t>
  </si>
  <si>
    <t>-687.580537291854 377.520770304974 -770.847085310326</t>
  </si>
  <si>
    <t>-638.988192420244 408.597120068184 -854.847125608432</t>
  </si>
  <si>
    <t>-733.005698655486 383.327209817035 -712.0613368046</t>
  </si>
  <si>
    <t>-844.35411139574 478.756988695069 -702.745849279046</t>
  </si>
  <si>
    <t>-917.156035355446 487.091685930279 -394.8227842578</t>
  </si>
  <si>
    <t>-963.627033434839 530.104271525841 -142.568157397757</t>
  </si>
  <si>
    <t>-681.121833406557 347.738925497328 -702.845280483058</t>
  </si>
  <si>
    <t>-572.129253332998 257.214599209828 -662.894927953879</t>
  </si>
  <si>
    <t>-556.889461302082 196.946047375536 -352.537624560639</t>
  </si>
  <si>
    <t>-401.932191333695 367.833321033654 -232.421503026773</t>
  </si>
  <si>
    <t>-855.992440903269 405.965461820107 -176.301882753885</t>
  </si>
  <si>
    <t>-819.695934173868 601.664178997382 233.627675760065</t>
  </si>
  <si>
    <t>-835.756736028622 616.682190256166 698.75688493909</t>
  </si>
  <si>
    <t>-760.37473070872 761.665846031032 763.878151691516</t>
  </si>
  <si>
    <t>-666.377103682997 307.936798615688 -170.758030120797</t>
  </si>
  <si>
    <t>-598.44840005888 326.858494225072 279.447836228044</t>
  </si>
  <si>
    <t>-700.331473486552 30.2165809891608 631.475900803459</t>
  </si>
  <si>
    <t>-602.198568731755 95.3579303677507 762.128206694883</t>
  </si>
  <si>
    <t>9763-20170724T170031.997290900.bin</t>
  </si>
  <si>
    <t>-749.167618298123 384.504183012549 -180.374449332093</t>
  </si>
  <si>
    <t>-765.387949708366 361.22437396532 -298.114601499417</t>
  </si>
  <si>
    <t>-758.529237716762 358.586058130854 -419.0962313195</t>
  </si>
  <si>
    <t>-742.817097652659 364.530273356619 -527.321268726106</t>
  </si>
  <si>
    <t>-717.728087619235 378.499337234474 -633.01068960419</t>
  </si>
  <si>
    <t>-673.238897517094 406.003508500451 -776.06403742115</t>
  </si>
  <si>
    <t>-624.025710883062 437.000382248524 -859.731460821759</t>
  </si>
  <si>
    <t>-718.393244072765 412.358347414726 -717.126664799924</t>
  </si>
  <si>
    <t>-826.733963155598 511.462911504455 -706.821192458103</t>
  </si>
  <si>
    <t>-898.97888207498 520.698901785839 -398.79260919024</t>
  </si>
  <si>
    <t>-938.985369976717 568.004451980505 -146.198627594431</t>
  </si>
  <si>
    <t>-667.454784296423 375.30897938816 -708.408092882999</t>
  </si>
  <si>
    <t>-560.952652844531 281.48201614002 -670.328808072846</t>
  </si>
  <si>
    <t>-552.557373059472 215.383893272224 -360.899076710446</t>
  </si>
  <si>
    <t>-391.760149075348 376.507817206474 -235.100298854126</t>
  </si>
  <si>
    <t>-846.642349151868 440.438242289136 -181.854197989113</t>
  </si>
  <si>
    <t>-805.227811279175 627.371142348981 231.665621944917</t>
  </si>
  <si>
    <t>-833.381795792478 617.131945873581 694.200809736688</t>
  </si>
  <si>
    <t>-761.057271041263 761.570459722556 763.844610072731</t>
  </si>
  <si>
    <t>-648.410165793834 327.976980218549 -176.316899430875</t>
  </si>
  <si>
    <t>-566.150965097436 373.932939481632 269.529707820551</t>
  </si>
  <si>
    <t>-687.325983408342 59.2985913993964 597.781515526629</t>
  </si>
  <si>
    <t>-609.221308430836 104.418480006476 748.802647107623</t>
  </si>
  <si>
    <t>9763-20170724T170032.066979600.bin</t>
  </si>
  <si>
    <t>-750.901689216935 437.749261274404 -195.943153805343</t>
  </si>
  <si>
    <t>-765.955496754557 416.839479657611 -314.281462472778</t>
  </si>
  <si>
    <t>-757.986733646981 415.791059795704 -435.219367206232</t>
  </si>
  <si>
    <t>-741.268170453915 422.760173409191 -543.232249757891</t>
  </si>
  <si>
    <t>-715.156727971004 437.300129729323 -648.596604088687</t>
  </si>
  <si>
    <t>-669.210380784676 465.091000941583 -791.132883029254</t>
  </si>
  <si>
    <t>-618.383701203564 494.847184185797 -874.284646621464</t>
  </si>
  <si>
    <t>-713.781172546747 472.998559990197 -731.939678822171</t>
  </si>
  <si>
    <t>-813.758112744495 580.072710488532 -720.099403367219</t>
  </si>
  <si>
    <t>-890.393158972522 594.968535239605 -413.356205651576</t>
  </si>
  <si>
    <t>-912.885191579492 654.240410852977 -161.120258233144</t>
  </si>
  <si>
    <t>-665.299293694029 432.590111448261 -724.190283180964</t>
  </si>
  <si>
    <t>-565.425095753314 330.859709879104 -687.689743869802</t>
  </si>
  <si>
    <t>-566.804195330124 253.762437727371 -380.703998225452</t>
  </si>
  <si>
    <t>-398.491256698135 400.455134181316 -247.309523743918</t>
  </si>
  <si>
    <t>-835.360035330526 492.995850110317 -195.2465731832</t>
  </si>
  <si>
    <t>-786.603063067165 666.258754754815 223.394647783148</t>
  </si>
  <si>
    <t>-821.652072325457 613.919381137761 689.133391475677</t>
  </si>
  <si>
    <t>-760.35685472257 762.276764703671 761.081307058602</t>
  </si>
  <si>
    <t>-669.600035932095 383.167660907294 -197.5773022081</t>
  </si>
  <si>
    <t>-565.392853631743 469.230786704543 237.61423076012</t>
  </si>
  <si>
    <t>-749.371534832066 169.862196030791 548.355555584048</t>
  </si>
  <si>
    <t>-670.622172206888 175.442964900725 705.552588155852</t>
  </si>
  <si>
    <t>9763-20170724T170032.098570900.bin</t>
  </si>
  <si>
    <t>-749.853688497176 458.38133224802 -203.103589640768</t>
  </si>
  <si>
    <t>-766.507092482183 438.581409949664 -321.418596710373</t>
  </si>
  <si>
    <t>-758.896451369845 438.244896595387 -442.383481771648</t>
  </si>
  <si>
    <t>-741.973315659042 445.639364827387 -550.336189221349</t>
  </si>
  <si>
    <t>-715.135401469542 460.350821257793 -655.493938789584</t>
  </si>
  <si>
    <t>-667.648741364505 488.080548949579 -797.536519833125</t>
  </si>
  <si>
    <t>-615.593039626772 516.779234962935 -880.298671587225</t>
  </si>
  <si>
    <t>-712.125016085393 496.93937382391 -738.406983854922</t>
  </si>
  <si>
    <t>-808.406694939628 607.388392117548 -725.719396031757</t>
  </si>
  <si>
    <t>-887.296609917875 628.133618005787 -419.888996908497</t>
  </si>
  <si>
    <t>-901.269454217067 694.299165078505 -168.753751886746</t>
  </si>
  <si>
    <t>-665.195200528262 454.682715608217 -730.967176740382</t>
  </si>
  <si>
    <t>-569.773798084031 348.839671285851 -694.867370768857</t>
  </si>
  <si>
    <t>-575.77391595062 267.949769163248 -388.914747340813</t>
  </si>
  <si>
    <t>-403.906565539813 407.510904564726 -252.436189869966</t>
  </si>
  <si>
    <t>-830.736756014738 514.661801876154 -199.543823500362</t>
  </si>
  <si>
    <t>-776.598497672988 678.362223985545 222.2722293085</t>
  </si>
  <si>
    <t>-817.049783548337 611.832924640415 687.075996886632</t>
  </si>
  <si>
    <t>-760.215282870974 762.220064364933 758.469875347835</t>
  </si>
  <si>
    <t>-671.506149216095 401.951670518081 -206.267679124785</t>
  </si>
  <si>
    <t>-564.867184837926 502.496433312093 225.214074302242</t>
  </si>
  <si>
    <t>-761.138772900048 225.679022100119 549.978721589688</t>
  </si>
  <si>
    <t>-671.581318725231 219.83334090591 701.269186662641</t>
  </si>
  <si>
    <t>9763-20170724T170032.175774300.bin</t>
  </si>
  <si>
    <t>-748.758916792948 487.985110017144 -217.06327906175</t>
  </si>
  <si>
    <t>-765.020273771629 471.797878460393 -335.980633001456</t>
  </si>
  <si>
    <t>-756.196958380637 473.110578086554 -456.856610486387</t>
  </si>
  <si>
    <t>-737.854374329862 481.099962152806 -564.534631832575</t>
  </si>
  <si>
    <t>-709.288467439534 495.475732774516 -669.282844317342</t>
  </si>
  <si>
    <t>-659.086402869403 521.743777648949 -810.667910742196</t>
  </si>
  <si>
    <t>-604.363143097898 547.820769726013 -892.572481401554</t>
  </si>
  <si>
    <t>-703.006803505724 533.094969501289 -751.548877115379</t>
  </si>
  <si>
    <t>-790.16698242368 650.720408360757 -737.625612872555</t>
  </si>
  <si>
    <t>-867.872193900135 681.723969790359 -432.360480255552</t>
  </si>
  <si>
    <t>-867.006024335492 760.306774969541 -184.436987639974</t>
  </si>
  <si>
    <t>-659.59165789062 487.147223288278 -744.670046584922</t>
  </si>
  <si>
    <t>-572.952600476181 373.536135057033 -709.839368557149</t>
  </si>
  <si>
    <t>-588.407940126587 290.528689956181 -404.786831436177</t>
  </si>
  <si>
    <t>-409.874378026893 413.887627336506 -261.432921478992</t>
  </si>
  <si>
    <t>-824.198861598843 549.633400384381 -213.5822198606</t>
  </si>
  <si>
    <t>-768.120564176643 682.681303047802 218.634277609473</t>
  </si>
  <si>
    <t>-812.499809588487 608.839253154905 682.292584991023</t>
  </si>
  <si>
    <t>-758.860599097499 761.23570477171 751.874580734097</t>
  </si>
  <si>
    <t>-672.992366829036 424.899482862769 -219.380406429553</t>
  </si>
  <si>
    <t>-562.580647987216 549.080564966621 204.93791665628</t>
  </si>
  <si>
    <t>-746.43795105711 339.067698847978 583.267486887342</t>
  </si>
  <si>
    <t>-633.552020252662 338.216152306904 718.173202320865</t>
  </si>
  <si>
    <t>9763-20170724T170032.197839700.bin</t>
  </si>
  <si>
    <t>-745.975194644093 501.371375341747 -223.309697330693</t>
  </si>
  <si>
    <t>-761.934396289719 486.565563577912 -342.447823514601</t>
  </si>
  <si>
    <t>-752.608011377874 488.270991115267 -463.281079226857</t>
  </si>
  <si>
    <t>-733.735245082504 496.17792088007 -570.873592295453</t>
  </si>
  <si>
    <t>-704.56869452402 510.025489585157 -675.527266011154</t>
  </si>
  <si>
    <t>-653.459097101193 535.089269219684 -816.805781699603</t>
  </si>
  <si>
    <t>-597.527371191387 559.618746602973 -898.371471857063</t>
  </si>
  <si>
    <t>-696.894016439807 547.798460816969 -757.60454156626</t>
  </si>
  <si>
    <t>-779.233274002429 668.74405775734 -743.190366820938</t>
  </si>
  <si>
    <t>-855.523143256667 704.559896903245 -438.094856067082</t>
  </si>
  <si>
    <t>-847.95689705615 787.880749059565 -191.8379543501</t>
  </si>
  <si>
    <t>-655.252988639483 500.200259017711 -750.984595207593</t>
  </si>
  <si>
    <t>-573.289727299799 382.966178024514 -716.737074073777</t>
  </si>
  <si>
    <t>-593.723062851887 299.761314879536 -412.031275194659</t>
  </si>
  <si>
    <t>-412.326763519173 416.360004112656 -266.627775238302</t>
  </si>
  <si>
    <t>-819.451347116757 566.005410221395 -219.699881785516</t>
  </si>
  <si>
    <t>-765.875469322566 682.617272790376 217.551779522864</t>
  </si>
  <si>
    <t>-811.386505278471 608.236237484139 680.918478151253</t>
  </si>
  <si>
    <t>-757.722625114514 760.769578633851 750.180954891635</t>
  </si>
  <si>
    <t>-672.285606407247 436.136402980212 -225.335491694386</t>
  </si>
  <si>
    <t>-562.964995659386 563.611778935948 198.28772250112</t>
  </si>
  <si>
    <t>-723.771782353414 396.224307959518 607.324943737237</t>
  </si>
  <si>
    <t>-598.848906058206 407.852563123656 730.623727331315</t>
  </si>
  <si>
    <t>9763-20170724T170032.263015300.bin</t>
  </si>
  <si>
    <t>-739.430682126772 527.334171724098 -231.586812659971</t>
  </si>
  <si>
    <t>-754.45085771445 515.567732771534 -351.185113175232</t>
  </si>
  <si>
    <t>-743.998734643708 517.950358681644 -471.914790461966</t>
  </si>
  <si>
    <t>-724.054228169285 525.442630407716 -579.34353873844</t>
  </si>
  <si>
    <t>-693.772544989277 537.835041435536 -683.862833995682</t>
  </si>
  <si>
    <t>-641.067296301707 559.786992160581 -825.072755347448</t>
  </si>
  <si>
    <t>-583.577294438912 580.394450038082 -906.640035968525</t>
  </si>
  <si>
    <t>-683.437309005586 575.329074957971 -765.775795176432</t>
  </si>
  <si>
    <t>-756.385952074295 702.216571422343 -751.018636503697</t>
  </si>
  <si>
    <t>-831.08886752256 747.292514327292 -446.75909550459</t>
  </si>
  <si>
    <t>-810.775020397594 837.983626882326 -203.85066344588</t>
  </si>
  <si>
    <t>-645.338182868434 524.818712388088 -759.407810227165</t>
  </si>
  <si>
    <t>-572.354768422933 401.622460261019 -726.1616369973</t>
  </si>
  <si>
    <t>-602.872957080186 317.753171783517 -422.48290364997</t>
  </si>
  <si>
    <t>-415.209398632719 422.220440120291 -275.816352188261</t>
  </si>
  <si>
    <t>-809.691429265847 596.594228453286 -228.292880071153</t>
  </si>
  <si>
    <t>-763.458017064475 683.870523761345 216.570021078962</t>
  </si>
  <si>
    <t>-810.795668605704 607.944030603484 679.528786420849</t>
  </si>
  <si>
    <t>-757.296332521263 760.586688472481 748.677275435836</t>
  </si>
  <si>
    <t>-668.910284958921 459.255298206041 -233.781085671374</t>
  </si>
  <si>
    <t>-575.274242420215 586.849493112236 193.547440158136</t>
  </si>
  <si>
    <t>-674.275526859078 518.685549595679 647.937893035421</t>
  </si>
  <si>
    <t>-529.051737870509 546.007819731789 743.368808291392</t>
  </si>
  <si>
    <t>9763-20170724T170032.299770700.bin</t>
  </si>
  <si>
    <t>-735.112236585676 539.264118392868 -232.928138398867</t>
  </si>
  <si>
    <t>-749.764051142952 527.871227057454 -352.608237159902</t>
  </si>
  <si>
    <t>-739.047809459949 529.851317606119 -473.322043984591</t>
  </si>
  <si>
    <t>-718.90474840811 536.640754283334 -580.760365844071</t>
  </si>
  <si>
    <t>-688.462289557884 547.986095308804 -685.351964488469</t>
  </si>
  <si>
    <t>-635.566336654399 568.121302036542 -826.76135241963</t>
  </si>
  <si>
    <t>-577.796778180253 586.636005919028 -908.632230112353</t>
  </si>
  <si>
    <t>-677.223400782755 585.053663192293 -767.339850280177</t>
  </si>
  <si>
    <t>-745.713663483935 714.33314207759 -752.485554439547</t>
  </si>
  <si>
    <t>-819.817561836749 764.127266274533 -448.815662255927</t>
  </si>
  <si>
    <t>-793.490134211612 857.760980275965 -207.607046252609</t>
  </si>
  <si>
    <t>-640.719011999749 533.370158379634 -761.044138511939</t>
  </si>
  <si>
    <t>-571.609936888593 407.762099917117 -728.286212706358</t>
  </si>
  <si>
    <t>-606.672562194742 324.30904384697 -424.983859071938</t>
  </si>
  <si>
    <t>-415.802335502741 423.04305076751 -278.483907393739</t>
  </si>
  <si>
    <t>-803.487363198607 609.548450646525 -230.571753229554</t>
  </si>
  <si>
    <t>-762.400179081903 685.075837860571 216.938109423976</t>
  </si>
  <si>
    <t>-810.804721919648 607.815110966093 679.197549966509</t>
  </si>
  <si>
    <t>-757.02934556127 760.441468584989 748.167948468157</t>
  </si>
  <si>
    <t>-666.900064429201 469.222521196995 -234.110899749318</t>
  </si>
  <si>
    <t>-579.532432004402 596.890169265793 194.521301574949</t>
  </si>
  <si>
    <t>-653.930418097826 567.929412766495 658.363778628819</t>
  </si>
  <si>
    <t>-502.215309197737 601.930306803429 740.643537905574</t>
  </si>
  <si>
    <t>9763-20170724T170032.364443800.bin</t>
  </si>
  <si>
    <t>-727.194078825499 561.111531079326 -233.550674995103</t>
  </si>
  <si>
    <t>-741.581916071601 549.152158171247 -353.207536086197</t>
  </si>
  <si>
    <t>-730.731465466249 549.445774610274 -473.925181732958</t>
  </si>
  <si>
    <t>-710.509171936903 554.226595352737 -581.456890491037</t>
  </si>
  <si>
    <t>-680.024871165887 563.07330887595 -686.277057360296</t>
  </si>
  <si>
    <t>-627.099544569941 579.221665719117 -828.186021394102</t>
  </si>
  <si>
    <t>-569.328444273739 593.763805511292 -910.854095631654</t>
  </si>
  <si>
    <t>-667.25956099181 598.916304633833 -768.585652351513</t>
  </si>
  <si>
    <t>-728.637551552355 731.686147444989 -753.856765530296</t>
  </si>
  <si>
    <t>-798.770137471101 791.92461797492 -451.137512096978</t>
  </si>
  <si>
    <t>-763.82929375923 890.563565774634 -213.037661957306</t>
  </si>
  <si>
    <t>-633.775173792889 545.236711583028 -762.205939493938</t>
  </si>
  <si>
    <t>-571.777015018831 415.876287226195 -729.748410757311</t>
  </si>
  <si>
    <t>-612.097999969469 336.820046980029 -425.921859030494</t>
  </si>
  <si>
    <t>-415.444087736928 427.218959861734 -281.709223097495</t>
  </si>
  <si>
    <t>-792.883239772599 633.719616078587 -233.129083516011</t>
  </si>
  <si>
    <t>-762.248765068751 686.608390686356 218.448083816206</t>
  </si>
  <si>
    <t>-811.016964434205 606.390115371874 678.884603447623</t>
  </si>
  <si>
    <t>-757.23271939267 759.98339983161 745.666543008688</t>
  </si>
  <si>
    <t>-662.434716830189 489.130765776981 -233.816049093225</t>
  </si>
  <si>
    <t>-594.032821614963 612.990852419814 199.355397009522</t>
  </si>
  <si>
    <t>-642.284135599846 603.920193697196 665.91631826272</t>
  </si>
  <si>
    <t>-488.472365699936 650.784932990236 737.254683846599</t>
  </si>
  <si>
    <t>9763-20170724T170032.400039100.bin</t>
  </si>
  <si>
    <t>-722.656233386924 571.464489706916 -233.475512830335</t>
  </si>
  <si>
    <t>-736.427380797415 558.768379878845 -353.129033983866</t>
  </si>
  <si>
    <t>-725.297395374477 557.880567028099 -473.818320207067</t>
  </si>
  <si>
    <t>-704.945000248113 561.384414036512 -581.374595197601</t>
  </si>
  <si>
    <t>-674.443074355836 568.73243993177 -686.305409052489</t>
  </si>
  <si>
    <t>-621.597920637689 582.555007555638 -828.48957037814</t>
  </si>
  <si>
    <t>-564.409598439355 594.958357724299 -911.908080619321</t>
  </si>
  <si>
    <t>-660.960339421947 603.727935126106 -768.863845232969</t>
  </si>
  <si>
    <t>-719.16011235713 738.00185343001 -754.6541617349</t>
  </si>
  <si>
    <t>-786.03010845313 801.066795714386 -451.772383367188</t>
  </si>
  <si>
    <t>-748.059151191485 901.674367654587 -214.963672497973</t>
  </si>
  <si>
    <t>-629.00015645266 549.150108825007 -762.29116241046</t>
  </si>
  <si>
    <t>-570.260221242698 418.338964832334 -729.580880560615</t>
  </si>
  <si>
    <t>-611.751514855729 341.931685390032 -425.23464052981</t>
  </si>
  <si>
    <t>-411.841270158396 429.835170725928 -283.987057955602</t>
  </si>
  <si>
    <t>-786.798029167509 645.228365746374 -234.284402974309</t>
  </si>
  <si>
    <t>-762.076826710205 687.826895360172 218.740813523048</t>
  </si>
  <si>
    <t>-811.057108361361 604.789456171943 678.436318980054</t>
  </si>
  <si>
    <t>-759.172049172323 760.032207889572 742.865261231386</t>
  </si>
  <si>
    <t>-659.071341107272 497.928531612611 -232.657247780587</t>
  </si>
  <si>
    <t>-590.380695395736 622.247598740043 200.336939688923</t>
  </si>
  <si>
    <t>-644.204292662134 608.426185182103 666.698753483201</t>
  </si>
  <si>
    <t>-491.560253298611 656.511355958493 739.713265420642</t>
  </si>
  <si>
    <t>9763-20170724T170032.463240800.bin</t>
  </si>
  <si>
    <t>-709.522701260739 591.20233273311 -234.2505976198</t>
  </si>
  <si>
    <t>-722.580441026557 577.295861791203 -353.849527325972</t>
  </si>
  <si>
    <t>-711.446926749133 574.259011112037 -474.503457283871</t>
  </si>
  <si>
    <t>-691.334895787535 575.340721870883 -582.156659506642</t>
  </si>
  <si>
    <t>-661.2892033219 579.735080636881 -687.384052194092</t>
  </si>
  <si>
    <t>-609.274219957455 588.851910006428 -830.252227393498</t>
  </si>
  <si>
    <t>-554.059097687378 596.935406857483 -915.510244034741</t>
  </si>
  <si>
    <t>-646.826395381305 612.876007286237 -770.539433892397</t>
  </si>
  <si>
    <t>-699.05534975016 749.737078499924 -757.138041169046</t>
  </si>
  <si>
    <t>-757.58997100403 815.544417002503 -453.116039661463</t>
  </si>
  <si>
    <t>-712.378680041145 914.933752117103 -217.065798712995</t>
  </si>
  <si>
    <t>-617.752101099979 556.759904435179 -763.535245643874</t>
  </si>
  <si>
    <t>-564.475477587955 424.05081383451 -729.54552379606</t>
  </si>
  <si>
    <t>-605.61686108711 353.278424060648 -423.792604793208</t>
  </si>
  <si>
    <t>-398.251157921792 437.485560751698 -291.313675269163</t>
  </si>
  <si>
    <t>-773.368782642485 666.01034397891 -235.613419605483</t>
  </si>
  <si>
    <t>-758.326854011997 691.225904599558 219.134348684524</t>
  </si>
  <si>
    <t>-811.165652794719 602.347779184626 677.490227231757</t>
  </si>
  <si>
    <t>-762.260930135344 759.936476266079 738.462821846805</t>
  </si>
  <si>
    <t>-645.629053567945 516.551592416143 -231.754059923236</t>
  </si>
  <si>
    <t>-577.032228191906 651.081847784939 198.192147716633</t>
  </si>
  <si>
    <t>-660.65438695474 610.032855400545 659.052660142909</t>
  </si>
  <si>
    <t>-510.915939032141 657.751107412266 738.077125565102</t>
  </si>
  <si>
    <t>9763-20170724T170032.496255200.bin</t>
  </si>
  <si>
    <t>-702.366664297635 601.119577487044 -234.478287984192</t>
  </si>
  <si>
    <t>-714.789978498527 587.031668566959 -354.123608272324</t>
  </si>
  <si>
    <t>-703.501540879013 583.286282630439 -474.743417756407</t>
  </si>
  <si>
    <t>-683.436829664889 583.483400262386 -582.410392531807</t>
  </si>
  <si>
    <t>-653.61789343257 586.736547686154 -687.74373245298</t>
  </si>
  <si>
    <t>-602.094257110513 593.98978658386 -830.896605450206</t>
  </si>
  <si>
    <t>-547.813249269106 600.193547644687 -916.908513557707</t>
  </si>
  <si>
    <t>-638.832602431303 619.129775182656 -771.137102746791</t>
  </si>
  <si>
    <t>-687.578862090232 757.099611272368 -757.706819998145</t>
  </si>
  <si>
    <t>-739.190091130471 824.956432289376 -452.882516900554</t>
  </si>
  <si>
    <t>-690.129812622436 919.927812246615 -215.784211611501</t>
  </si>
  <si>
    <t>-610.951139503808 562.43112821117 -763.974625016766</t>
  </si>
  <si>
    <t>-559.260680075393 429.09087471342 -729.449171277015</t>
  </si>
  <si>
    <t>-598.312962555637 362.089595601467 -422.574744166032</t>
  </si>
  <si>
    <t>-388.435463204077 447.989106797811 -295.23786838959</t>
  </si>
  <si>
    <t>-765.536962010527 676.281834861008 -235.845025426375</t>
  </si>
  <si>
    <t>-755.778856473911 693.624304936294 219.414948965667</t>
  </si>
  <si>
    <t>-811.433441390475 601.601001350205 677.20173226477</t>
  </si>
  <si>
    <t>-763.342403791692 759.932281698045 736.884417245086</t>
  </si>
  <si>
    <t>-638.821811426746 526.159835450435 -231.550207522495</t>
  </si>
  <si>
    <t>-569.466988717102 670.189117254315 195.185236101262</t>
  </si>
  <si>
    <t>-666.947460443156 614.902111216076 650.436228760499</t>
  </si>
  <si>
    <t>-520.216984968482 662.437926993347 735.017807744632</t>
  </si>
  <si>
    <t>9763-20170724T170032.563947100.bin</t>
  </si>
  <si>
    <t>-688.229665072982 618.98907578063 -232.435469496176</t>
  </si>
  <si>
    <t>-699.001329448017 605.239027672678 -352.27992791305</t>
  </si>
  <si>
    <t>-686.097395921182 601.024551499272 -472.721999047468</t>
  </si>
  <si>
    <t>-664.601572080286 600.387554055664 -580.110965697588</t>
  </si>
  <si>
    <t>-633.39511019559 602.352163592075 -685.073530153206</t>
  </si>
  <si>
    <t>-580.001785533003 607.30022934597 -827.638238828738</t>
  </si>
  <si>
    <t>-526.27988101753 610.796587690827 -914.152452545555</t>
  </si>
  <si>
    <t>-616.303949281514 634.026538167678 -768.302056609261</t>
  </si>
  <si>
    <t>-659.612167331335 774.133037858604 -755.963234417417</t>
  </si>
  <si>
    <t>-687.464555130901 851.632545538127 -450.342115953596</t>
  </si>
  <si>
    <t>-627.354089064905 932.212494397868 -210.476319055808</t>
  </si>
  <si>
    <t>-590.949352346633 576.195355616206 -760.813484634793</t>
  </si>
  <si>
    <t>-540.238718187529 442.852965498307 -725.441358686643</t>
  </si>
  <si>
    <t>-563.928546308157 389.065804613542 -414.423734200461</t>
  </si>
  <si>
    <t>-352.357817164938 492.853290293468 -304.387261217516</t>
  </si>
  <si>
    <t>-750.020414224834 695.042170286276 -234.300892769681</t>
  </si>
  <si>
    <t>-749.743847748058 704.827928217428 221.288662017768</t>
  </si>
  <si>
    <t>-812.255091239309 600.96258291175 676.503174138806</t>
  </si>
  <si>
    <t>-764.856903579213 760.013504526405 734.80970426164</t>
  </si>
  <si>
    <t>-625.93539581981 543.03301722948 -229.48744654623</t>
  </si>
  <si>
    <t>-554.834382362666 709.542551120222 188.695435529536</t>
  </si>
  <si>
    <t>-663.035746075983 643.228127297999 640.908355269699</t>
  </si>
  <si>
    <t>-522.068668941534 697.358959704462 731.13952614337</t>
  </si>
  <si>
    <t>9763-20170724T170032.596557500.bin</t>
  </si>
  <si>
    <t>-679.685519344103 626.428011242353 -229.166311809592</t>
  </si>
  <si>
    <t>-690.973277206725 612.468376725687 -348.939175345052</t>
  </si>
  <si>
    <t>-677.938111677885 607.961429302452 -469.356577392778</t>
  </si>
  <si>
    <t>-656.055024404946 606.955436150558 -576.664418995385</t>
  </si>
  <si>
    <t>-624.203374513845 608.403149933654 -681.441419499095</t>
  </si>
  <si>
    <t>-569.662052359865 612.437357716495 -823.599597598181</t>
  </si>
  <si>
    <t>-516.264223323636 615.215781631816 -910.340197392769</t>
  </si>
  <si>
    <t>-605.876200793109 639.813818983382 -764.506687114901</t>
  </si>
  <si>
    <t>-647.042162508536 780.422234245003 -752.977552908186</t>
  </si>
  <si>
    <t>-656.280235671818 862.492062440705 -447.420048825778</t>
  </si>
  <si>
    <t>-584.945924550084 939.644431160634 -209.510440115929</t>
  </si>
  <si>
    <t>-581.713617604025 581.490793061518 -756.891391911684</t>
  </si>
  <si>
    <t>-532.77614273388 447.360042581381 -721.930818382622</t>
  </si>
  <si>
    <t>-534.546520343289 404.165588496527 -408.374780376762</t>
  </si>
  <si>
    <t>-320.190198232956 516.397339375034 -312.994040249956</t>
  </si>
  <si>
    <t>-741.335018596386 702.803612736496 -231.435767882444</t>
  </si>
  <si>
    <t>-742.842925817157 712.832720240918 224.145993939289</t>
  </si>
  <si>
    <t>-811.825498322313 600.76892842645 676.420895382914</t>
  </si>
  <si>
    <t>-765.026220941824 760.075361326099 734.513770189496</t>
  </si>
  <si>
    <t>-617.901670907894 550.4812209569 -226.424149089922</t>
  </si>
  <si>
    <t>-543.674716223153 729.977608104659 185.800287516218</t>
  </si>
  <si>
    <t>-643.459650354534 669.351672062087 640.569318234159</t>
  </si>
  <si>
    <t>-503.78433968145 729.268445336493 729.137161325397</t>
  </si>
  <si>
    <t>9763-20170724T170032.663736000.bin</t>
  </si>
  <si>
    <t>-655.486037856272 642.078106232728 -217.850287406926</t>
  </si>
  <si>
    <t>-668.178576108335 627.230372757742 -337.37540457129</t>
  </si>
  <si>
    <t>-655.624632132458 623.090355489622 -457.857036003594</t>
  </si>
  <si>
    <t>-633.761359949425 622.890208913549 -565.17335013048</t>
  </si>
  <si>
    <t>-601.509314111861 625.584055871293 -669.803182262843</t>
  </si>
  <si>
    <t>-545.981097212507 631.7737234574 -811.501215026983</t>
  </si>
  <si>
    <t>-493.379624568393 635.682031267391 -898.683744727901</t>
  </si>
  <si>
    <t>-582.798887470425 658.162056797089 -752.331811043648</t>
  </si>
  <si>
    <t>-623.751415299997 798.712868583852 -741.548291072983</t>
  </si>
  <si>
    <t>-589.354531880787 883.959110605084 -438.668604515439</t>
  </si>
  <si>
    <t>-473.249544707133 960.428001949139 -218.863661102507</t>
  </si>
  <si>
    <t>-558.302325117096 599.907981304068 -745.276751999508</t>
  </si>
  <si>
    <t>-509.73791526202 465.37736488366 -710.434989007981</t>
  </si>
  <si>
    <t>-447.1257959466 443.154049171008 -400.964541771699</t>
  </si>
  <si>
    <t>-216.813435183442 552.768761726091 -350.142336831034</t>
  </si>
  <si>
    <t>-716.541900597132 718.017605307309 -220.637014379396</t>
  </si>
  <si>
    <t>-718.434054139513 731.300045100302 234.860181408139</t>
  </si>
  <si>
    <t>-807.465436238557 597.490496219652 676.256682265902</t>
  </si>
  <si>
    <t>-763.714111588688 758.794360681798 731.124550278452</t>
  </si>
  <si>
    <t>-593.757895523785 566.287699153099 -214.779434711419</t>
  </si>
  <si>
    <t>-509.484536466407 771.303195227429 183.371630393539</t>
  </si>
  <si>
    <t>-560.872182161828 736.750553779755 648.474468247253</t>
  </si>
  <si>
    <t>-417.556345207404 807.268903024411 722.171725720821</t>
  </si>
  <si>
    <t>9763-20170724T170032.701419500.bin</t>
  </si>
  <si>
    <t>-639.771715660023 651.336156947537 -211.700227205989</t>
  </si>
  <si>
    <t>-653.972015584486 635.420742255333 -330.917932948775</t>
  </si>
  <si>
    <t>-642.205393848338 631.726272932092 -451.493504147822</t>
  </si>
  <si>
    <t>-620.726451559659 632.569730802011 -558.884300094305</t>
  </si>
  <si>
    <t>-588.523117387631 636.950252871505 -663.472110746965</t>
  </si>
  <si>
    <t>-532.715166449658 646.150007622534 -804.896509813129</t>
  </si>
  <si>
    <t>-480.249591789281 651.791191318152 -892.066011224329</t>
  </si>
  <si>
    <t>-570.405041266662 670.91289056165 -745.573624654405</t>
  </si>
  <si>
    <t>-614.042074422922 810.786386291204 -734.47902299214</t>
  </si>
  <si>
    <t>-559.531236537948 896.254718617457 -434.629153763411</t>
  </si>
  <si>
    <t>-415.807189082366 970.793377889443 -231.086899288384</t>
  </si>
  <si>
    <t>-544.411743559759 613.246349852855 -739.067457306868</t>
  </si>
  <si>
    <t>-491.951507302454 479.861712900974 -705.789263024983</t>
  </si>
  <si>
    <t>-403.430188162331 465.71316658654 -402.227144072821</t>
  </si>
  <si>
    <t>-166.032216161289 570.272484096944 -383.47618877483</t>
  </si>
  <si>
    <t>-702.293424914377 726.205140966516 -213.885198700955</t>
  </si>
  <si>
    <t>-701.748194403806 741.324789116672 241.558219582681</t>
  </si>
  <si>
    <t>-803.514181221931 594.118137659999 676.07831826885</t>
  </si>
  <si>
    <t>-761.927452311798 757.18396272644 727.29983530839</t>
  </si>
  <si>
    <t>-577.834929258058 576.215004742261 -207.964878751783</t>
  </si>
  <si>
    <t>-486.869039891938 790.606509655844 183.722821535608</t>
  </si>
  <si>
    <t>-501.678434333787 772.492501381587 652.79917703307</t>
  </si>
  <si>
    <t>-353.986376173979 845.689526314308 714.222255342354</t>
  </si>
  <si>
    <t>9763-20170724T170032.765076300.bin</t>
  </si>
  <si>
    <t>-600.669736696993 675.443413045601 -199.55321463106</t>
  </si>
  <si>
    <t>-615.145769367688 658.013374758194 -318.525704811929</t>
  </si>
  <si>
    <t>-603.755899244821 655.157926133409 -439.160276352</t>
  </si>
  <si>
    <t>-582.612452124647 657.777616576379 -546.588942259777</t>
  </si>
  <si>
    <t>-550.71278581344 664.96533647942 -651.114567816303</t>
  </si>
  <si>
    <t>-495.276041145285 679.146179430312 -792.272865750314</t>
  </si>
  <si>
    <t>-443.235374703703 687.858847847139 -879.444221119086</t>
  </si>
  <si>
    <t>-534.556407295312 700.878123918576 -732.794388403512</t>
  </si>
  <si>
    <t>-583.594863598888 839.025138241989 -721.237733659377</t>
  </si>
  <si>
    <t>-498.200334937384 920.312539393484 -427.492405884105</t>
  </si>
  <si>
    <t>-309.563164411464 983.343588794077 -259.906344217697</t>
  </si>
  <si>
    <t>-505.053807960921 644.864895629464 -726.835098955377</t>
  </si>
  <si>
    <t>-444.499196579572 514.344975217642 -696.62209797664</t>
  </si>
  <si>
    <t>-302.572258390573 504.825514344853 -413.863805404276</t>
  </si>
  <si>
    <t>-62.7700645258817 596.108248926093 -456.342456507827</t>
  </si>
  <si>
    <t>-666.893089983576 747.995556187921 -201.42900152525</t>
  </si>
  <si>
    <t>-674.61324285965 757.133594140508 254.10861296334</t>
  </si>
  <si>
    <t>-799.308312139514 589.54466002025 675.512645591301</t>
  </si>
  <si>
    <t>-763.251501983877 755.664869732461 720.761775931457</t>
  </si>
  <si>
    <t>-535.02722816012 604.325574226145 -196.257311673985</t>
  </si>
  <si>
    <t>-439.466862553241 823.815380163655 191.492718618148</t>
  </si>
  <si>
    <t>-380.649941860999 830.371278272191 657.595335570797</t>
  </si>
  <si>
    <t>-224.155480949204 902.029722394441 693.900551426774</t>
  </si>
  <si>
    <t>9763-20170724T170032.797700500.bin</t>
  </si>
  <si>
    <t>-577.428958289941 691.465824254603 -193.804889290367</t>
  </si>
  <si>
    <t>-590.038145308579 674.248225570592 -313.020500872006</t>
  </si>
  <si>
    <t>-577.995759721815 671.592630600654 -433.596247527379</t>
  </si>
  <si>
    <t>-556.75084052993 674.403309340077 -541.00013265345</t>
  </si>
  <si>
    <t>-525.213855536314 681.803462387522 -645.620903361077</t>
  </si>
  <si>
    <t>-470.732741657796 696.317055245115 -787.117054750629</t>
  </si>
  <si>
    <t>-419.233395936327 705.273833667782 -874.584694808903</t>
  </si>
  <si>
    <t>-510.194831171006 717.564591614998 -727.583869902083</t>
  </si>
  <si>
    <t>-561.148249510103 855.137247417824 -716.992517544603</t>
  </si>
  <si>
    <t>-466.638972837158 936.241093081687 -426.000547496072</t>
  </si>
  <si>
    <t>-263.253199330239 991.583402046711 -273.640848884193</t>
  </si>
  <si>
    <t>-479.482973192541 662.226126798883 -721.434913116172</t>
  </si>
  <si>
    <t>-415.164068211868 533.465478325785 -691.282032027658</t>
  </si>
  <si>
    <t>-248.864708895833 521.938606860644 -422.213424665697</t>
  </si>
  <si>
    <t>-10.5353848504612 603.189145779474 -487.324707035112</t>
  </si>
  <si>
    <t>-645.348330860127 762.241206808887 -196.2227273082</t>
  </si>
  <si>
    <t>-664.820667171902 763.391058674712 259.054282417168</t>
  </si>
  <si>
    <t>-798.438251058091 589.107465278714 675.355874946534</t>
  </si>
  <si>
    <t>-763.443873705416 755.59698703597 720.078678409798</t>
  </si>
  <si>
    <t>-510.245492055799 621.943217024236 -190.669829240966</t>
  </si>
  <si>
    <t>-413.194584198663 839.993693619143 197.521739813957</t>
  </si>
  <si>
    <t>-330.308444514087 853.922921495653 659.810632253021</t>
  </si>
  <si>
    <t>-170.443531196226 921.254962818559 689.019072137613</t>
  </si>
  <si>
    <t>9763-20170724T170032.865352500.bin</t>
  </si>
  <si>
    <t>-521.637195399447 726.129777390836 -186.08429967374</t>
  </si>
  <si>
    <t>-530.50158197105 711.708421240387 -306.006139210844</t>
  </si>
  <si>
    <t>-516.913420832904 709.240123225293 -426.421400608389</t>
  </si>
  <si>
    <t>-495.192681155143 711.106836989416 -533.750690727629</t>
  </si>
  <si>
    <t>-464.080519453753 716.437005251895 -638.624243900368</t>
  </si>
  <si>
    <t>-411.090798345851 726.903597567474 -781.041014885232</t>
  </si>
  <si>
    <t>-361.287671281427 733.062119087955 -869.724210717558</t>
  </si>
  <si>
    <t>-450.048815335678 749.771073172794 -721.776729817916</t>
  </si>
  <si>
    <t>-501.476265982117 887.369952497622 -714.852116082394</t>
  </si>
  <si>
    <t>-406.447352299009 973.557727411986 -425.495344945881</t>
  </si>
  <si>
    <t>-185.734030293858 1018.46388855614 -295.452439728736</t>
  </si>
  <si>
    <t>-419.025358408924 694.77391808452 -714.275509685637</t>
  </si>
  <si>
    <t>-350.648240362442 568.217223859591 -683.74105220779</t>
  </si>
  <si>
    <t>-147.537197675587 556.18678429634 -441.279973296684</t>
  </si>
  <si>
    <t>89.467823869601 606.085156550454 -536.047432595339</t>
  </si>
  <si>
    <t>-592.76292094292 793.854510953919 -186.516203684365</t>
  </si>
  <si>
    <t>-639.766101605165 776.881654193617 266.430017046412</t>
  </si>
  <si>
    <t>-792.826064390451 589.655075617877 673.27131915965</t>
  </si>
  <si>
    <t>-757.053712746316 755.203071339395 720.786833000195</t>
  </si>
  <si>
    <t>-450.83449753583 659.479945039658 -185.575102209874</t>
  </si>
  <si>
    <t>-353.753215326726 872.533528461654 205.37369353978</t>
  </si>
  <si>
    <t>-280.345996394214 879.716724567036 666.002273563083</t>
  </si>
  <si>
    <t>-117.532967685702 936.506437601453 700.791950467014</t>
  </si>
  <si>
    <t>9763-20170724T170032.897942800.bin</t>
  </si>
  <si>
    <t>-488.691400866424 746.335490827341 -189.001534541533</t>
  </si>
  <si>
    <t>-496.682463852287 733.74092451042 -309.190310557455</t>
  </si>
  <si>
    <t>-482.680898104522 731.111047890556 -429.554860085777</t>
  </si>
  <si>
    <t>-460.820969097708 731.987821691644 -536.868390460798</t>
  </si>
  <si>
    <t>-429.824073109762 735.472561639756 -641.85377757475</t>
  </si>
  <si>
    <t>-377.273286296047 742.478496687886 -784.644913908741</t>
  </si>
  <si>
    <t>-328.476740703378 746.133536690473 -874.023433513225</t>
  </si>
  <si>
    <t>-415.797873073471 766.93548209236 -725.732699434963</t>
  </si>
  <si>
    <t>-466.651906210635 905.005354618366 -720.806003882978</t>
  </si>
  <si>
    <t>-374.830472864969 995.941928326616 -431.867278216288</t>
  </si>
  <si>
    <t>-150.615871571136 1037.5295546414 -306.806098781055</t>
  </si>
  <si>
    <t>-385.25291350227 711.821656293912 -717.195730531079</t>
  </si>
  <si>
    <t>-315.688349882276 586.42401114796 -684.940006679782</t>
  </si>
  <si>
    <t>-95.8826165437608 575.5899324267 -457.444352540688</t>
  </si>
  <si>
    <t>140.817693617945 609.285005605942 -559.814458987092</t>
  </si>
  <si>
    <t>-558.913022685918 813.018817330475 -186.792307962829</t>
  </si>
  <si>
    <t>-617.292831115899 793.469667977137 264.72434351692</t>
  </si>
  <si>
    <t>-784.662932121483 591.907281794746 660.667652665253</t>
  </si>
  <si>
    <t>-749.621638189804 755.782436347586 714.152059914054</t>
  </si>
  <si>
    <t>-418.559516993882 682.740994066233 -191.656171860112</t>
  </si>
  <si>
    <t>-322.102942745761 888.972992237577 203.086793037971</t>
  </si>
  <si>
    <t>-271.627839380184 886.90571920494 663.350492418336</t>
  </si>
  <si>
    <t>-112.329247140951 942.805472181133 712.773917605422</t>
  </si>
  <si>
    <t>9763-20170724T170032.967136100.bin</t>
  </si>
  <si>
    <t>-424.736651186191 784.064652754958 -206.247682923166</t>
  </si>
  <si>
    <t>-436.787256436429 770.628846737753 -326.006067583715</t>
  </si>
  <si>
    <t>-425.274158235317 765.208187261328 -446.54090315061</t>
  </si>
  <si>
    <t>-405.083331947163 762.760842224232 -554.1567689386</t>
  </si>
  <si>
    <t>-375.226792612871 762.120444069546 -659.527717516011</t>
  </si>
  <si>
    <t>-323.764346164207 762.562247059185 -802.885433654136</t>
  </si>
  <si>
    <t>-276.357666935907 761.210007771658 -893.072797684407</t>
  </si>
  <si>
    <t>-361.318749441736 790.025751453417 -744.675904343287</t>
  </si>
  <si>
    <t>-410.492832661116 928.704184842722 -743.109317711656</t>
  </si>
  <si>
    <t>-334.128873689779 1032.73468612743 -454.089652120598</t>
  </si>
  <si>
    <t>-114.834078648516 1072.6925622186 -320.0925531929</t>
  </si>
  <si>
    <t>-331.7510179881 734.707716515378 -734.232142276307</t>
  </si>
  <si>
    <t>-260.750930081953 611.067605830246 -698.825941267314</t>
  </si>
  <si>
    <t>-14.660732886716 608.608482135623 -499.778754388859</t>
  </si>
  <si>
    <t>224.458794518366 610.564785380146 -602.053480966475</t>
  </si>
  <si>
    <t>-493.286712735915 851.677400362842 -204.678166280357</t>
  </si>
  <si>
    <t>-546.374222411882 879.747824818648 247.042363969182</t>
  </si>
  <si>
    <t>-756.033482590728 631.690248565655 582.664110483564</t>
  </si>
  <si>
    <t>-737.003505538152 777.986086097965 678.470646975154</t>
  </si>
  <si>
    <t>-356.336426786754 714.925201573313 -206.852225933132</t>
  </si>
  <si>
    <t>-261.473249204273 911.515731646129 193.161095555273</t>
  </si>
  <si>
    <t>-254.785375431014 892.553576686682 662.156839398975</t>
  </si>
  <si>
    <t>-107.121956631734 948.344479329724 739.786917693621</t>
  </si>
  <si>
    <t>9763-20170724T170032.997256000.bin</t>
  </si>
  <si>
    <t>-394.437303151928 799.290395505498 -215.053943393797</t>
  </si>
  <si>
    <t>-408.182575629113 785.736604341767 -334.61644353517</t>
  </si>
  <si>
    <t>-397.946837922423 779.011916305157 -455.200657341325</t>
  </si>
  <si>
    <t>-378.782782947526 774.964335266222 -562.956007838816</t>
  </si>
  <si>
    <t>-349.849650697986 772.346165203888 -668.553694124656</t>
  </si>
  <si>
    <t>-299.582143407515 769.688731603191 -812.310823228841</t>
  </si>
  <si>
    <t>-252.685546338471 766.547392801336 -902.720025966809</t>
  </si>
  <si>
    <t>-336.42286490277 798.544576874024 -754.319301708732</t>
  </si>
  <si>
    <t>-384.237500875298 937.616370976023 -754.655122378765</t>
  </si>
  <si>
    <t>-318.314317996993 1047.62566931967 -465.279498560322</t>
  </si>
  <si>
    <t>-105.372904907475 1088.39874550176 -321.628607462134</t>
  </si>
  <si>
    <t>-307.22498031324 743.184700878638 -743.086233208698</t>
  </si>
  <si>
    <t>-235.803359510421 619.55077252097 -707.660701803469</t>
  </si>
  <si>
    <t>20.4995135144989 620.874856724211 -521.937078473892</t>
  </si>
  <si>
    <t>261.893332035905 610.291830173978 -618.161152419023</t>
  </si>
  <si>
    <t>-462.216637279033 868.765556900621 -215.137969883158</t>
  </si>
  <si>
    <t>-495.914757543857 932.46641751168 234.822451029826</t>
  </si>
  <si>
    <t>-718.097412801039 658.856569701836 541.116074553303</t>
  </si>
  <si>
    <t>-725.050514817872 784.934748280729 663.588220820114</t>
  </si>
  <si>
    <t>-325.061102037619 728.780993230252 -215.343674168628</t>
  </si>
  <si>
    <t>-233.317645960333 917.677768840453 189.080380347923</t>
  </si>
  <si>
    <t>-250.518450869007 891.900103106258 656.423819609029</t>
  </si>
  <si>
    <t>-107.376213194093 950.076522453249 740.502694785581</t>
  </si>
  <si>
    <t>9763-20170724T170033.064440100.bin</t>
  </si>
  <si>
    <t>-328.944046036274 828.764788103793 -227.100326261511</t>
  </si>
  <si>
    <t>-348.574275274172 814.601767867368 -345.767512263891</t>
  </si>
  <si>
    <t>-341.624589314308 806.657983577696 -466.51174007965</t>
  </si>
  <si>
    <t>-324.392862102706 801.385704093956 -574.540003759061</t>
  </si>
  <si>
    <t>-296.392480666283 797.501996968813 -680.349965744771</t>
  </si>
  <si>
    <t>-246.426740782895 793.114507393865 -824.169899242143</t>
  </si>
  <si>
    <t>-199.919331667498 788.091367078589 -914.6951381885</t>
  </si>
  <si>
    <t>-282.789056820069 822.877114189749 -766.33489089912</t>
  </si>
  <si>
    <t>-331.398901342577 961.68151435313 -767.765229063397</t>
  </si>
  <si>
    <t>-288.711891134903 1084.20700275614 -479.058606344018</t>
  </si>
  <si>
    <t>-88.269326451659 1127.92102786822 -319.202715389879</t>
  </si>
  <si>
    <t>-254.281007308874 767.234565192546 -754.733108457223</t>
  </si>
  <si>
    <t>-183.540860538054 643.493965231524 -718.607575842222</t>
  </si>
  <si>
    <t>85.320919465446 641.884437682755 -551.583847904082</t>
  </si>
  <si>
    <t>327.262563268894 605.321729904148 -639.728551540822</t>
  </si>
  <si>
    <t>-393.243120411197 901.596879077552 -227.158822033155</t>
  </si>
  <si>
    <t>-379.048701991117 1021.42384423467 212.269958384663</t>
  </si>
  <si>
    <t>-627.106852439192 724.365448834852 476.810242759891</t>
  </si>
  <si>
    <t>-667.773446295188 840.630856573418 602.397153653868</t>
  </si>
  <si>
    <t>-263.695311649864 755.745601216324 -228.130612456202</t>
  </si>
  <si>
    <t>-180.87438377869 929.045567324481 185.107107099334</t>
  </si>
  <si>
    <t>-251.23541837621 896.145350941296 650.26631898535</t>
  </si>
  <si>
    <t>-106.073532232123 944.627934653525 736.989701516236</t>
  </si>
  <si>
    <t>9763-20170724T170033.095116700.bin</t>
  </si>
  <si>
    <t>-302.230161931922 843.748415349209 -232.721350915005</t>
  </si>
  <si>
    <t>-322.812653806909 829.427974383304 -351.208101014385</t>
  </si>
  <si>
    <t>-316.32125775907 821.297291316823 -471.965352252264</t>
  </si>
  <si>
    <t>-299.312397359809 815.928495192876 -580.024280735982</t>
  </si>
  <si>
    <t>-271.352742832907 812.074918370397 -685.846017647902</t>
  </si>
  <si>
    <t>-221.262046726508 807.907558643569 -829.62914025892</t>
  </si>
  <si>
    <t>-175.012371380131 802.562315878625 -920.267755232893</t>
  </si>
  <si>
    <t>-257.505145743206 837.679106627834 -771.723985421203</t>
  </si>
  <si>
    <t>-306.583020850883 976.390771342156 -772.759143228314</t>
  </si>
  <si>
    <t>-276.75428638831 1100.8817511347 -483.279527384564</t>
  </si>
  <si>
    <t>-82.5473695298103 1149.49009928603 -317.258811940806</t>
  </si>
  <si>
    <t>-229.346248092139 781.823386996347 -760.295157028345</t>
  </si>
  <si>
    <t>-160.329412615481 657.061781132843 -724.6963658841</t>
  </si>
  <si>
    <t>109.40036803944 649.396944810286 -559.247598010524</t>
  </si>
  <si>
    <t>348.151278194467 602.676909709848 -651.211320198065</t>
  </si>
  <si>
    <t>-362.797141568693 918.96926973494 -231.884151432773</t>
  </si>
  <si>
    <t>-324.177890834972 1059.14098552373 199.99319985938</t>
  </si>
  <si>
    <t>-581.371685684877 767.357752219491 461.756025415808</t>
  </si>
  <si>
    <t>-617.966817580329 886.348828824545 586.035675313801</t>
  </si>
  <si>
    <t>-241.420287744502 768.497349324086 -231.937503172236</t>
  </si>
  <si>
    <t>-163.051209405881 932.596450787208 185.899120583892</t>
  </si>
  <si>
    <t>-252.647092571443 896.675305094826 649.706793336525</t>
  </si>
  <si>
    <t>-105.988715768821 943.381916208346 734.873143809261</t>
  </si>
  <si>
    <t>9763-20170724T170033.166816400.bin</t>
  </si>
  <si>
    <t>-263.440423251841 876.554201146392 -239.728091926276</t>
  </si>
  <si>
    <t>-284.203612679014 863.536578658016 -358.333556902198</t>
  </si>
  <si>
    <t>-277.88112206793 855.58017705499 -479.111397731394</t>
  </si>
  <si>
    <t>-261.062319759868 850.030600852289 -587.190916794134</t>
  </si>
  <si>
    <t>-233.349352686366 845.745352769959 -693.060939787296</t>
  </si>
  <si>
    <t>-183.668996177666 840.795131415154 -836.961506468166</t>
  </si>
  <si>
    <t>-138.035909381874 834.512433870163 -927.852346825267</t>
  </si>
  <si>
    <t>-218.989993787436 871.301298006906 -778.869229988513</t>
  </si>
  <si>
    <t>-264.92229104456 1011.05905242499 -779.387147686716</t>
  </si>
  <si>
    <t>-263.235301261844 1127.02415906317 -484.878343974867</t>
  </si>
  <si>
    <t>-85.4902483470166 1189.4105895461 -305.555520619346</t>
  </si>
  <si>
    <t>-192.312136082601 814.669402098463 -767.71070982948</t>
  </si>
  <si>
    <t>-127.87660626122 687.20262924866 -732.74363133687</t>
  </si>
  <si>
    <t>135.769340029079 662.962504984196 -559.280548152736</t>
  </si>
  <si>
    <t>363.123856630852 600.806448980828 -669.2284312103</t>
  </si>
  <si>
    <t>-321.423645179521 954.374133849064 -239.474274620891</t>
  </si>
  <si>
    <t>-223.598547793655 1125.2066544323 171.505289719427</t>
  </si>
  <si>
    <t>-473.160851543287 887.35337119721 488.761189981452</t>
  </si>
  <si>
    <t>-476.881147171265 1008.44392773596 616.302059353091</t>
  </si>
  <si>
    <t>-208.31408611931 798.318316020888 -238.22791969711</t>
  </si>
  <si>
    <t>-144.666580426989 937.004198806998 191.158776811243</t>
  </si>
  <si>
    <t>-258.159996886248 900.980394103844 649.455270804493</t>
  </si>
  <si>
    <t>-106.951007260062 943.621096899959 728.582532504075</t>
  </si>
  <si>
    <t>9763-20170724T170033.197395400.bin</t>
  </si>
  <si>
    <t>-247.331855988176 894.639137512506 -241.697628435217</t>
  </si>
  <si>
    <t>-269.036656517405 882.560889757599 -360.233682261123</t>
  </si>
  <si>
    <t>-263.187760146358 874.594581609851 -481.034808113477</t>
  </si>
  <si>
    <t>-246.624065900691 868.683534609733 -589.134464928173</t>
  </si>
  <si>
    <t>-219.01020775573 863.712886562204 -695.000542779038</t>
  </si>
  <si>
    <t>-169.321194720879 857.498336595293 -838.849043006383</t>
  </si>
  <si>
    <t>-124.000700120386 850.139263500014 -929.81533494484</t>
  </si>
  <si>
    <t>-203.962109308453 888.870435560038 -780.808511776876</t>
  </si>
  <si>
    <t>-247.725492947638 1029.25327832069 -781.220764810956</t>
  </si>
  <si>
    <t>-259.665213715408 1138.90819720794 -484.540082599724</t>
  </si>
  <si>
    <t>-91.4915364978817 1206.63764992906 -298.066392462215</t>
  </si>
  <si>
    <t>-178.652040173466 831.625439561939 -769.592606541226</t>
  </si>
  <si>
    <t>-118.043284505792 702.361247099305 -734.49643801946</t>
  </si>
  <si>
    <t>141.270362373486 671.030376314763 -555.720093895561</t>
  </si>
  <si>
    <t>362.773644052989 604.303263583109 -674.572087524983</t>
  </si>
  <si>
    <t>-302.933161489739 974.622877722009 -239.853689092723</t>
  </si>
  <si>
    <t>-173.599516018586 1149.76214713544 160.467083715621</t>
  </si>
  <si>
    <t>-405.401310847746 955.436683095501 519.408758980776</t>
  </si>
  <si>
    <t>-381.440208146293 1079.09433094124 642.201936850653</t>
  </si>
  <si>
    <t>-194.362688499313 814.058562388399 -240.971852132027</t>
  </si>
  <si>
    <t>-139.487237448986 938.254423134523 194.024348396466</t>
  </si>
  <si>
    <t>-259.644755705032 902.034512234777 649.783068617247</t>
  </si>
  <si>
    <t>-107.114916010394 943.070286861218 727.205355176856</t>
  </si>
  <si>
    <t>9763-20170724T170033.262569200.bin</t>
  </si>
  <si>
    <t>-216.180471549068 930.095326255919 -244.397675839557</t>
  </si>
  <si>
    <t>-236.124974342344 920.314937792638 -363.453738291003</t>
  </si>
  <si>
    <t>-229.060017585331 912.32235928093 -484.188095938958</t>
  </si>
  <si>
    <t>-211.684058426376 905.580477891537 -592.111481433843</t>
  </si>
  <si>
    <t>-183.571793926525 899.079661412366 -697.763352008787</t>
  </si>
  <si>
    <t>-133.526223222283 890.106542325092 -841.342296191906</t>
  </si>
  <si>
    <t>-88.9637954826526 880.076998379735 -932.427914173702</t>
  </si>
  <si>
    <t>-166.61473496542 923.388624724673 -783.459939636664</t>
  </si>
  <si>
    <t>-203.995762946008 1065.6061269885 -783.785792898906</t>
  </si>
  <si>
    <t>-241.694146832414 1162.52241383802 -484.833895144935</t>
  </si>
  <si>
    <t>-93.1790320579603 1234.66788972841 -283.885244507611</t>
  </si>
  <si>
    <t>-144.72491880448 864.765235498315 -772.1662584425</t>
  </si>
  <si>
    <t>-93.3294452835589 731.550435878883 -737.105859344562</t>
  </si>
  <si>
    <t>158.115398271236 687.09470092359 -550.062153518205</t>
  </si>
  <si>
    <t>365.041281256161 606.387992754952 -685.377307262835</t>
  </si>
  <si>
    <t>-262.045398520738 1015.47110770002 -241.058037017071</t>
  </si>
  <si>
    <t>-93.9940364858248 1174.3833620288 151.578257811165</t>
  </si>
  <si>
    <t>-235.113365466811 1090.67566366888 592.362570461115</t>
  </si>
  <si>
    <t>-150.206568922745 1212.30097138899 686.92242195884</t>
  </si>
  <si>
    <t>-169.48970002762 843.509025463894 -244.231120638928</t>
  </si>
  <si>
    <t>-129.685738865624 936.967756233323 199.997230399456</t>
  </si>
  <si>
    <t>-260.804406544669 902.57464178576 650.921297943687</t>
  </si>
  <si>
    <t>-106.990777586326 940.307232988866 727.479094757272</t>
  </si>
  <si>
    <t>9763-20170724T170033.297339000.bin</t>
  </si>
  <si>
    <t>-199.042424764378 947.459980167102 -244.864751254901</t>
  </si>
  <si>
    <t>-216.736653457654 938.787675371907 -364.361759726284</t>
  </si>
  <si>
    <t>-208.525410994788 930.642442609973 -485.013195999364</t>
  </si>
  <si>
    <t>-190.589897807159 923.347847935097 -592.809096741568</t>
  </si>
  <si>
    <t>-162.394971446388 915.951500018414 -698.379925800464</t>
  </si>
  <si>
    <t>-112.717207459302 905.439528463077 -841.982248542573</t>
  </si>
  <si>
    <t>-68.7891038313328 893.958758871981 -933.204542091848</t>
  </si>
  <si>
    <t>-144.607698687205 939.776880276148 -784.043867914009</t>
  </si>
  <si>
    <t>-177.322926204887 1083.1436982748 -784.016251713454</t>
  </si>
  <si>
    <t>-227.032800373455 1175.40243983305 -485.346867549304</t>
  </si>
  <si>
    <t>-87.9453170408453 1247.6578857305 -277.799490194875</t>
  </si>
  <si>
    <t>-124.788518086485 880.404373483029 -772.841473715695</t>
  </si>
  <si>
    <t>-78.6609765560577 745.245913335638 -737.892757854496</t>
  </si>
  <si>
    <t>170.090720918794 695.575971833533 -548.573791266204</t>
  </si>
  <si>
    <t>368.629292747685 606.036116151431 -690.725399692833</t>
  </si>
  <si>
    <t>-239.054298698048 1036.56525429225 -242.1804401747</t>
  </si>
  <si>
    <t>-73.8633035527171 1177.50800301832 158.44991145398</t>
  </si>
  <si>
    <t>-145.419001632241 1153.66964188149 621.055156417437</t>
  </si>
  <si>
    <t>-37.0408145917966 1268.16156509814 699.089005062085</t>
  </si>
  <si>
    <t>-157.751695895187 857.880619370524 -244.190181860036</t>
  </si>
  <si>
    <t>-123.064930079792 936.736150536957 203.287483059345</t>
  </si>
  <si>
    <t>-261.015484410156 902.786734769693 651.347991397605</t>
  </si>
  <si>
    <t>-106.771530555339 938.240113010083 728.129610492518</t>
  </si>
  <si>
    <t>9763-20170724T170033.363525300.bin</t>
  </si>
  <si>
    <t>-157.405122127611 981.443459003789 -242.140945577528</t>
  </si>
  <si>
    <t>-173.171146114989 973.291927267676 -361.944078662666</t>
  </si>
  <si>
    <t>-164.656015596525 963.816105470364 -482.477372171132</t>
  </si>
  <si>
    <t>-147.108048342034 954.70733124281 -590.198948517354</t>
  </si>
  <si>
    <t>-119.948668401041 944.992239976388 -695.85329479109</t>
  </si>
  <si>
    <t>-72.354200095785 930.824203221327 -839.846439148263</t>
  </si>
  <si>
    <t>-30.3196730286661 916.019889322626 -931.48114328212</t>
  </si>
  <si>
    <t>-100.709647716539 967.561897923827 -781.543663043788</t>
  </si>
  <si>
    <t>-121.382285951678 1113.14384935073 -780.650960278313</t>
  </si>
  <si>
    <t>-189.89297985381 1199.92605514272 -484.068056495599</t>
  </si>
  <si>
    <t>-66.7443824427578 1269.82974950047 -265.916791972034</t>
  </si>
  <si>
    <t>-86.1169385570845 906.624197792933 -770.724252447416</t>
  </si>
  <si>
    <t>-52.1216018528869 767.714757848214 -736.317637706328</t>
  </si>
  <si>
    <t>191.746066468539 706.999962939304 -543.889700930553</t>
  </si>
  <si>
    <t>372.125756127881 596.241352347635 -695.011261062399</t>
  </si>
  <si>
    <t>-188.656108124753 1077.0308929181 -242.860928496129</t>
  </si>
  <si>
    <t>-44.7450744100011 1186.49768380855 175.426352524459</t>
  </si>
  <si>
    <t>16.3886103739624 1245.95124257935 639.39276791592</t>
  </si>
  <si>
    <t>170.051001953221 1316.06409772441 688.540713243876</t>
  </si>
  <si>
    <t>-127.0834171592 887.047989983765 -240.131449799456</t>
  </si>
  <si>
    <t>-101.603901420568 942.723192482146 211.431119861201</t>
  </si>
  <si>
    <t>-260.919368437937 904.046868048616 650.937712627908</t>
  </si>
  <si>
    <t>-106.257375409024 934.257920841625 729.107233884221</t>
  </si>
  <si>
    <t>9763-20170724T170033.395622200.bin</t>
  </si>
  <si>
    <t>-131.587723150711 996.06502529152 -238.42333119292</t>
  </si>
  <si>
    <t>-148.557849954927 987.776625121722 -358.052391921031</t>
  </si>
  <si>
    <t>-141.08830777171 977.736454185592 -478.609292575925</t>
  </si>
  <si>
    <t>-124.407930654388 967.964263910981 -586.410570861006</t>
  </si>
  <si>
    <t>-98.0358124943818 957.456851341933 -692.188508663363</t>
  </si>
  <si>
    <t>-51.4497918922707 942.06983207891 -836.386188943741</t>
  </si>
  <si>
    <t>-10.4145103071103 925.78985131842 -928.223271933922</t>
  </si>
  <si>
    <t>-77.861837822953 979.709203874997 -777.746553248722</t>
  </si>
  <si>
    <t>-91.7178956159405 1126.08356081257 -775.891282009274</t>
  </si>
  <si>
    <t>-165.379140435133 1213.23707784928 -480.654959734295</t>
  </si>
  <si>
    <t>-47.8061767095928 1279.62671266994 -258.368939240748</t>
  </si>
  <si>
    <t>-66.2634509304992 918.047088603963 -767.41976681365</t>
  </si>
  <si>
    <t>-39.2368292173765 777.494304468855 -733.748887654252</t>
  </si>
  <si>
    <t>201.473493471137 707.803095531445 -540.389504762889</t>
  </si>
  <si>
    <t>374.464934738724 588.555459062962 -693.673782070638</t>
  </si>
  <si>
    <t>-154.667949471291 1093.81118721272 -243.785901153348</t>
  </si>
  <si>
    <t>-15.8408401223708 1188.13698951448 179.873583675937</t>
  </si>
  <si>
    <t>70.1733435341118 1263.41037432019 638.424666742505</t>
  </si>
  <si>
    <t>236.591608166126 1307.33411757601 674.745572857967</t>
  </si>
  <si>
    <t>-106.354342899729 899.538813457717 -235.678129519546</t>
  </si>
  <si>
    <t>-82.7637500860649 949.119385172457 216.696631945451</t>
  </si>
  <si>
    <t>-259.503542029174 905.229831484618 648.663132157156</t>
  </si>
  <si>
    <t>-105.563256572419 932.336631710363 729.354823798101</t>
  </si>
  <si>
    <t>9763-20170724T170033.465318000.bin</t>
  </si>
  <si>
    <t>-72.5391162563058 1013.55898302778 -228.026460929577</t>
  </si>
  <si>
    <t>-92.4898256271974 1005.44935146538 -347.207092915564</t>
  </si>
  <si>
    <t>-87.2358000878953 994.939903660334 -467.840799496726</t>
  </si>
  <si>
    <t>-72.228629110976 984.418045456378 -575.817248314966</t>
  </si>
  <si>
    <t>-47.2046453514333 972.817793179595 -681.808281694085</t>
  </si>
  <si>
    <t>-2.16425049961754 955.532509901845 -826.281808957458</t>
  </si>
  <si>
    <t>37.0837727282471 936.710305032694 -918.413827332602</t>
  </si>
  <si>
    <t>-24.7429473483933 994.531702056976 -766.933766008092</t>
  </si>
  <si>
    <t>-25.0311029234299 1141.46801287223 -761.911137877831</t>
  </si>
  <si>
    <t>-96.635791046841 1233.78019952136 -467.738753529091</t>
  </si>
  <si>
    <t>14.979883858352 1290.02719323507 -239.659238070858</t>
  </si>
  <si>
    <t>-19.4434439477657 931.829949041 -757.779780017006</t>
  </si>
  <si>
    <t>-6.36487923576783 788.818904512244 -726.37619698136</t>
  </si>
  <si>
    <t>222.050607110465 694.710607350236 -528.497112460166</t>
  </si>
  <si>
    <t>385.509936420511 562.940144047319 -681.988586675522</t>
  </si>
  <si>
    <t>-85.4443213116024 1110.69467379288 -234.252420489</t>
  </si>
  <si>
    <t>56.1091377179155 1180.35479201721 193.260973345145</t>
  </si>
  <si>
    <t>105.082145713487 1231.36623980213 656.528415735292</t>
  </si>
  <si>
    <t>276.153842615414 1247.76373559732 694.066449261928</t>
  </si>
  <si>
    <t>-56.0475076956609 914.660123385727 -222.233314099995</t>
  </si>
  <si>
    <t>-15.8364517091929 959.45859875636 229.467704754202</t>
  </si>
  <si>
    <t>-248.876447346369 907.972995986679 634.996847084216</t>
  </si>
  <si>
    <t>-102.91500570724 924.953698030088 731.694517394181</t>
  </si>
  <si>
    <t>9763-20170724T170033.497908700.bin</t>
  </si>
  <si>
    <t>-38.0365648172772 1012.78939706281 -219.202120667603</t>
  </si>
  <si>
    <t>-59.9221174537549 1005.01206673662 -338.064843490081</t>
  </si>
  <si>
    <t>-55.8374490880906 994.523478763853 -458.745680778108</t>
  </si>
  <si>
    <t>-41.5677999937836 983.847213173152 -566.806950893999</t>
  </si>
  <si>
    <t>-16.9703256732023 971.901348827326 -672.859437547794</t>
  </si>
  <si>
    <t>27.7866906441693 953.917307289437 -817.335572473079</t>
  </si>
  <si>
    <t>66.1644172914334 934.043168327728 -909.613221591058</t>
  </si>
  <si>
    <t>6.92282855873168 993.365659780353 -757.657783074216</t>
  </si>
  <si>
    <t>14.3885115196695 1140.14231811702 -750.334925296612</t>
  </si>
  <si>
    <t>-51.866029951563 1236.31213409293 -456.144684274519</t>
  </si>
  <si>
    <t>58.6278155933016 1286.80281511918 -226.179734960259</t>
  </si>
  <si>
    <t>9.0433620157055 930.383654482971 -749.160991691422</t>
  </si>
  <si>
    <t>14.9449159961209 786.805203003285 -718.465336485347</t>
  </si>
  <si>
    <t>235.889756648871 678.750262853857 -519.232593560032</t>
  </si>
  <si>
    <t>395.765635058734 542.517179645088 -672.602317392289</t>
  </si>
  <si>
    <t>-50.9195410679988 1108.69882912978 -224.12646559735</t>
  </si>
  <si>
    <t>91.6948510956711 1173.44381667988 203.806821420903</t>
  </si>
  <si>
    <t>123.989826723935 1219.53208102315 667.50745299581</t>
  </si>
  <si>
    <t>291.649485169978 1233.13098145858 718.974307343756</t>
  </si>
  <si>
    <t>-23.4949036841861 912.632806657213 -212.131818763946</t>
  </si>
  <si>
    <t>34.6166814835042 957.841394283679 237.57568646013</t>
  </si>
  <si>
    <t>-234.378504778467 905.50787092651 619.765175595546</t>
  </si>
  <si>
    <t>-100.442042403021 917.827128275404 733.135277640043</t>
  </si>
  <si>
    <t>9763-20170724T170033.564587100.bin</t>
  </si>
  <si>
    <t>18.3397800035102 983.113714767451 -222.375619693029</t>
  </si>
  <si>
    <t>-7.74143411997375 975.040988545022 -340.368909392588</t>
  </si>
  <si>
    <t>-6.73474585756435 964.084085416225 -461.072980691348</t>
  </si>
  <si>
    <t>5.24188235305587 952.813749704622 -569.352285998979</t>
  </si>
  <si>
    <t>28.0342402492356 940.062716492098 -675.71375425925</t>
  </si>
  <si>
    <t>70.7759961661861 920.695891451252 -820.620989854218</t>
  </si>
  <si>
    <t>107.416544831415 899.162097372569 -913.231653665492</t>
  </si>
  <si>
    <t>53.9499784276024 960.78595274364 -760.101493839449</t>
  </si>
  <si>
    <t>77.3661352452668 1105.49381224987 -748.67839624311</t>
  </si>
  <si>
    <t>25.405972686209 1201.35565644997 -451.53045513161</t>
  </si>
  <si>
    <t>134.849604814389 1240.35223441702 -218.84307623728</t>
  </si>
  <si>
    <t>49.7782928661293 897.744501564091 -752.906495853509</t>
  </si>
  <si>
    <t>40.8209331495932 753.313642509704 -726.311142467023</t>
  </si>
  <si>
    <t>245.273086088 624.135066187895 -522.109254896404</t>
  </si>
  <si>
    <t>397.83239294472 478.537044855427 -674.322582237065</t>
  </si>
  <si>
    <t>10.6025343155773 1090.26988713029 -232.236420571192</t>
  </si>
  <si>
    <t>162.162726359043 1151.21413196264 193.1727258857</t>
  </si>
  <si>
    <t>141.546620138832 1194.63804551187 655.283905907677</t>
  </si>
  <si>
    <t>304.545820443764 1202.53574741684 720.952720384694</t>
  </si>
  <si>
    <t>20.6199704625162 870.698767822402 -210.770025552029</t>
  </si>
  <si>
    <t>149.148276232085 913.155447145577 224.357073771012</t>
  </si>
  <si>
    <t>-175.232720204486 884.632774654633 567.944372569075</t>
  </si>
  <si>
    <t>-88.3778884526621 904.555273580354 719.61123103119</t>
  </si>
  <si>
    <t>9763-20170724T170033.595170300.bin</t>
  </si>
  <si>
    <t>36.2245274077209 994.9414816622 -231.735254848167</t>
  </si>
  <si>
    <t>9.29252660275938 987.143519105206 -349.555668348388</t>
  </si>
  <si>
    <t>9.63231639524611 976.347712500487 -470.278123261538</t>
  </si>
  <si>
    <t>21.085546379358 965.129606941498 -578.619466001149</t>
  </si>
  <si>
    <t>43.4318555478214 952.317805348951 -685.068207433058</t>
  </si>
  <si>
    <t>85.6291379487418 932.729213495822 -830.10495221735</t>
  </si>
  <si>
    <t>121.441268255299 910.795595668103 -922.945707008348</t>
  </si>
  <si>
    <t>70.5266473767758 972.826520270504 -769.137461588752</t>
  </si>
  <si>
    <t>102.214844626392 1115.59804583303 -755.89164435928</t>
  </si>
  <si>
    <t>56.3978963963307 1212.79223223128 -458.166409331196</t>
  </si>
  <si>
    <t>167.028506794889 1245.27009797185 -225.039606173907</t>
  </si>
  <si>
    <t>63.3897413019165 909.966834961946 -762.7240927305</t>
  </si>
  <si>
    <t>46.787981990316 765.824523903502 -737.841161801328</t>
  </si>
  <si>
    <t>245.673400740275 627.683364407388 -534.008288280647</t>
  </si>
  <si>
    <t>393.718990276803 478.863053457268 -687.556359478728</t>
  </si>
  <si>
    <t>35.5000627209279 1105.37990661009 -242.306952616683</t>
  </si>
  <si>
    <t>177.042234740379 1157.35650758009 187.718480231692</t>
  </si>
  <si>
    <t>142.244505496893 1195.35729024246 649.012624052167</t>
  </si>
  <si>
    <t>304.194221500782 1199.43403246536 717.563250066686</t>
  </si>
  <si>
    <t>35.7799476247553 889.498767302257 -221.79985526906</t>
  </si>
  <si>
    <t>188.829701073543 924.260536864686 206.014469835463</t>
  </si>
  <si>
    <t>-145.346485856955 931.399585663447 533.840473782506</t>
  </si>
  <si>
    <t>-65.4612813572119 941.957814249507 690.206665885825</t>
  </si>
  <si>
    <t>9763-20170724T170033.662348800.bin</t>
  </si>
  <si>
    <t>73.9054657949011 1021.63799441025 -255.785991640741</t>
  </si>
  <si>
    <t>47.1686800540897 1017.3484865022 -373.830647935219</t>
  </si>
  <si>
    <t>47.4965606454373 1008.4242793159 -494.705896001039</t>
  </si>
  <si>
    <t>58.8270101139369 998.187100207891 -603.157064758668</t>
  </si>
  <si>
    <t>80.923137839111 985.639612669538 -709.689654437055</t>
  </si>
  <si>
    <t>122.6254865779 965.664806583388 -854.816848402846</t>
  </si>
  <si>
    <t>157.584391324884 942.74949077274 -947.745554109769</t>
  </si>
  <si>
    <t>110.11048311501 1005.63108168452 -793.180881745755</t>
  </si>
  <si>
    <t>153.152183678324 1145.46247016339 -776.969792397377</t>
  </si>
  <si>
    <t>127.056166434309 1244.59214616068 -477.50600358329</t>
  </si>
  <si>
    <t>242.381720710952 1264.4733237768 -245.241535759654</t>
  </si>
  <si>
    <t>98.2364388737753 943.375056406267 -788.024249164514</t>
  </si>
  <si>
    <t>70.033765591271 801.039737475899 -765.065220431738</t>
  </si>
  <si>
    <t>253.858780456053 648.749535913677 -557.21379182438</t>
  </si>
  <si>
    <t>390.156099025728 487.75000601427 -709.346110089389</t>
  </si>
  <si>
    <t>79.6572371914754 1122.49478026819 -260.447443324637</t>
  </si>
  <si>
    <t>208.468285093359 1159.72034186583 175.074830639865</t>
  </si>
  <si>
    <t>143.956955678174 1192.03296913467 639.793616485274</t>
  </si>
  <si>
    <t>304.531615820634 1201.68949854533 710.969559578812</t>
  </si>
  <si>
    <t>67.3993306228717 925.479247724558 -252.257213571335</t>
  </si>
  <si>
    <t>246.560659451581 958.793016868313 165.41389926282</t>
  </si>
  <si>
    <t>-64.6479613676618 1030.20996888853 509.483914064324</t>
  </si>
  <si>
    <t>9.43190820858467 998.541699354709 665.857800797924</t>
  </si>
  <si>
    <t>9763-20170724T170033.698449000.bin</t>
  </si>
  <si>
    <t>88.2687089849512 1033.62419673948 -265.253273791914</t>
  </si>
  <si>
    <t>63.1391347426406 1030.86219101302 -383.695977365543</t>
  </si>
  <si>
    <t>64.1666049628634 1022.56495861605 -504.611954113396</t>
  </si>
  <si>
    <t>75.7307978788392 1012.51527243286 -613.056074214404</t>
  </si>
  <si>
    <t>97.6570324985335 999.776636313383 -719.601031106087</t>
  </si>
  <si>
    <t>138.705077384571 979.140749922298 -864.822278927581</t>
  </si>
  <si>
    <t>173.153879947112 955.433400277427 -957.742782041951</t>
  </si>
  <si>
    <t>127.652812236726 1019.16842031608 -802.94703197786</t>
  </si>
  <si>
    <t>175.582279970853 1157.11360981238 -785.760690075607</t>
  </si>
  <si>
    <t>156.650273886542 1254.59199074568 -485.218273126769</t>
  </si>
  <si>
    <t>275.375718402877 1269.4454228801 -254.294776643985</t>
  </si>
  <si>
    <t>113.432238589087 957.374354797209 -798.185560059839</t>
  </si>
  <si>
    <t>79.5355055981834 815.967958781104 -776.196058735993</t>
  </si>
  <si>
    <t>256.246018123096 657.048788949581 -567.140148698091</t>
  </si>
  <si>
    <t>388.222084171428 489.898015701092 -716.421507668279</t>
  </si>
  <si>
    <t>98.5976186207172 1132.64577700715 -268.492760542376</t>
  </si>
  <si>
    <t>212.977970379152 1163.82833662402 171.510071690651</t>
  </si>
  <si>
    <t>144.153564021404 1192.90026033053 636.399276902178</t>
  </si>
  <si>
    <t>304.4295789847 1199.2395441174 708.613801251808</t>
  </si>
  <si>
    <t>77.4090652208154 937.168646265875 -261.820975055528</t>
  </si>
  <si>
    <t>266.078579558829 967.725944516095 151.854937875884</t>
  </si>
  <si>
    <t>-10.3979883724162 1054.64676565369 522.062042331101</t>
  </si>
  <si>
    <t>69.4397285682328 1003.11024455274 670.093949265991</t>
  </si>
  <si>
    <t>9763-20170724T170033.765141900.bin</t>
  </si>
  <si>
    <t>118.889103033559 1049.41846553064 -279.416678246988</t>
  </si>
  <si>
    <t>96.7419138350051 1048.95677632702 -398.484221220333</t>
  </si>
  <si>
    <t>99.1917850563157 1041.78136985291 -519.451506204579</t>
  </si>
  <si>
    <t>111.348655148706 1032.2045994926 -627.873632398586</t>
  </si>
  <si>
    <t>133.157003294968 1019.37293802671 -734.431503713981</t>
  </si>
  <si>
    <t>173.295315746114 997.992537787833 -879.799255308221</t>
  </si>
  <si>
    <t>206.716633930488 973.019921081644 -972.763663742547</t>
  </si>
  <si>
    <t>164.865150719051 1037.78819996503 -817.364239777324</t>
  </si>
  <si>
    <t>222.2419091572 1171.86102984312 -798.463587669111</t>
  </si>
  <si>
    <t>211.826268710777 1266.3397171489 -496.5504494727</t>
  </si>
  <si>
    <t>337.217406607804 1269.42532916071 -268.713745805723</t>
  </si>
  <si>
    <t>146.20554436119 977.116962384559 -813.592903185569</t>
  </si>
  <si>
    <t>102.087500196377 838.307732323212 -793.684726017554</t>
  </si>
  <si>
    <t>262.20038760233 664.712187207929 -582.936957747954</t>
  </si>
  <si>
    <t>385.286497190097 487.170033344911 -727.749581974091</t>
  </si>
  <si>
    <t>135.125217933551 1146.02748688725 -281.352230426368</t>
  </si>
  <si>
    <t>214.892007722688 1171.24806207307 166.597426333654</t>
  </si>
  <si>
    <t>144.181111029961 1194.24862728021 632.213132134392</t>
  </si>
  <si>
    <t>304.096866790707 1197.30937799582 705.432584861536</t>
  </si>
  <si>
    <t>103.218188238966 952.999170216196 -275.966818766017</t>
  </si>
  <si>
    <t>289.558906971756 986.906381212273 138.502866829238</t>
  </si>
  <si>
    <t>110.134749502674 1073.95589940317 564.391344115997</t>
  </si>
  <si>
    <t>208.766337677754 996.025234688213 687.444567313945</t>
  </si>
  <si>
    <t>9763-20170724T170033.799755500.bin</t>
  </si>
  <si>
    <t>133.762856113625 1052.34029186071 -283.064277226065</t>
  </si>
  <si>
    <t>113.44753873806 1052.22939331848 -402.459080540043</t>
  </si>
  <si>
    <t>116.831807123459 1045.16272890544 -523.410232042384</t>
  </si>
  <si>
    <t>129.438177476467 1035.55340787995 -631.777993538763</t>
  </si>
  <si>
    <t>151.29281394269 1022.5429735561 -738.304772014127</t>
  </si>
  <si>
    <t>191.072638812066 1000.74424362624 -883.709042675545</t>
  </si>
  <si>
    <t>223.783509956124 975.363954212674 -976.815592457901</t>
  </si>
  <si>
    <t>183.700694251505 1040.44432222158 -821.079336548764</t>
  </si>
  <si>
    <t>245.015939646125 1172.69896148063 -801.456604018035</t>
  </si>
  <si>
    <t>237.990098093742 1267.55991171291 -499.565558973965</t>
  </si>
  <si>
    <t>365.927879962239 1265.00233796737 -273.14246503856</t>
  </si>
  <si>
    <t>163.241923663784 980.334537163516 -817.664969166999</t>
  </si>
  <si>
    <t>114.966681704188 842.818264736272 -798.568859794878</t>
  </si>
  <si>
    <t>266.440369052245 661.851287290776 -587.635430673965</t>
  </si>
  <si>
    <t>386.731187304282 481.627811051517 -731.48121583717</t>
  </si>
  <si>
    <t>151.518170013221 1147.85746844782 -284.570951555468</t>
  </si>
  <si>
    <t>218.756260805013 1172.29633652051 165.47286081014</t>
  </si>
  <si>
    <t>144.187954865111 1194.30575543384 630.947939005502</t>
  </si>
  <si>
    <t>304.023380550885 1197.28709596614 704.345758578183</t>
  </si>
  <si>
    <t>116.839621227715 956.683267189432 -279.953916954221</t>
  </si>
  <si>
    <t>293.101735346989 994.87364944384 138.532483886184</t>
  </si>
  <si>
    <t>174.118625515186 1073.1297302522 586.578465871578</t>
  </si>
  <si>
    <t>281.837027937266 984.363079246524 693.633436167311</t>
  </si>
  <si>
    <t>9763-20170724T170033.863913500.bin</t>
  </si>
  <si>
    <t>165.996756962216 1052.28964782831 -284.169335558384</t>
  </si>
  <si>
    <t>147.910816582912 1052.28366710379 -403.922073516539</t>
  </si>
  <si>
    <t>152.34491026789 1044.91257388566 -524.821104086002</t>
  </si>
  <si>
    <t>165.381290179682 1034.82630702128 -633.094747317267</t>
  </si>
  <si>
    <t>187.133797434414 1021.11975410685 -739.555023238977</t>
  </si>
  <si>
    <t>226.211161212188 998.10761074981 -884.962795578027</t>
  </si>
  <si>
    <t>257.355810702324 971.872589030533 -978.368970132829</t>
  </si>
  <si>
    <t>220.449600283836 1037.87729237191 -822.20852075802</t>
  </si>
  <si>
    <t>287.571948641361 1167.03669702764 -801.986896483239</t>
  </si>
  <si>
    <t>287.990796229078 1263.26828053801 -500.448461007665</t>
  </si>
  <si>
    <t>418.8925479336 1252.92630435549 -275.9493309703</t>
  </si>
  <si>
    <t>197.39161729436 978.702134077756 -819.04015233298</t>
  </si>
  <si>
    <t>143.465982139481 843.123264523947 -800.276516075377</t>
  </si>
  <si>
    <t>281.698920591143 653.039803846958 -588.271532088371</t>
  </si>
  <si>
    <t>393.950854703727 471.269453020574 -736.599153832584</t>
  </si>
  <si>
    <t>186.134325647544 1147.15716620554 -286.110546566307</t>
  </si>
  <si>
    <t>234.720549775461 1171.34000668163 166.340831545683</t>
  </si>
  <si>
    <t>144.894061438766 1193.95682216104 628.621437679528</t>
  </si>
  <si>
    <t>304.2530829351 1198.08126183511 702.99363765119</t>
  </si>
  <si>
    <t>146.451657913733 957.009179448089 -280.580747560649</t>
  </si>
  <si>
    <t>291.87091443804 1002.63028975361 148.872027633559</t>
  </si>
  <si>
    <t>273.44210580617 1064.04396945211 615.015244377279</t>
  </si>
  <si>
    <t>393.472685361648 960.229153283622 690.900914525193</t>
  </si>
  <si>
    <t>9763-20170724T170033.898003100.bin</t>
  </si>
  <si>
    <t>182.729518922255 1051.48683275912 -282.85014340732</t>
  </si>
  <si>
    <t>165.266321503897 1051.92865169664 -402.694464643784</t>
  </si>
  <si>
    <t>169.6925263721 1044.4803104457 -523.58901232156</t>
  </si>
  <si>
    <t>182.455683676191 1034.1234521929 -631.869472803106</t>
  </si>
  <si>
    <t>203.66848278126 1019.95603863498 -738.378568388498</t>
  </si>
  <si>
    <t>241.721339592807 996.113078408894 -883.924039161151</t>
  </si>
  <si>
    <t>271.888680597269 969.359152205947 -977.503689162198</t>
  </si>
  <si>
    <t>236.910227207478 1036.04701882231 -821.194034085094</t>
  </si>
  <si>
    <t>306.445691864544 1164.0095238678 -801.179871019616</t>
  </si>
  <si>
    <t>310.234316294365 1260.60261709592 -499.780593806523</t>
  </si>
  <si>
    <t>441.535281120578 1248.36735416476 -275.610056012468</t>
  </si>
  <si>
    <t>212.858041917139 977.278485741038 -817.855090263606</t>
  </si>
  <si>
    <t>156.974065697962 842.536685301346 -798.855911340577</t>
  </si>
  <si>
    <t>292.872189328041 651.356880394336 -586.328018284746</t>
  </si>
  <si>
    <t>400.002116012893 470.946618422059 -740.007530592719</t>
  </si>
  <si>
    <t>204.334372781994 1146.48860861353 -285.084216866976</t>
  </si>
  <si>
    <t>246.629062522235 1169.94551481882 168.036818372903</t>
  </si>
  <si>
    <t>145.654907620917 1193.02489800818 627.652531359668</t>
  </si>
  <si>
    <t>304.59330875157 1198.17833806339 702.855741685761</t>
  </si>
  <si>
    <t>161.454483718128 957.177235242098 -279.968402785735</t>
  </si>
  <si>
    <t>293.881073304785 1004.67641476643 153.465219845101</t>
  </si>
  <si>
    <t>303.310303614061 1063.05572464715 619.308664461208</t>
  </si>
  <si>
    <t>423.082361708716 957.363961258508 692.979703929118</t>
  </si>
  <si>
    <t>9763-20170724T170033.964178700.bin</t>
  </si>
  <si>
    <t>218.12058197758 1049.33750462267 -278.38216351024</t>
  </si>
  <si>
    <t>199.391814003237 1050.69766486126 -398.028190627824</t>
  </si>
  <si>
    <t>201.892150609779 1042.92260213973 -518.957308566186</t>
  </si>
  <si>
    <t>212.645307512118 1031.7877596567 -627.378853826295</t>
  </si>
  <si>
    <t>231.582379873455 1016.38273927057 -734.144760644212</t>
  </si>
  <si>
    <t>266.197503816461 990.358097200658 -880.173816937209</t>
  </si>
  <si>
    <t>294.04593417142 962.233036345148 -974.069654617839</t>
  </si>
  <si>
    <t>263.70965203944 1030.8862453922 -817.690147635528</t>
  </si>
  <si>
    <t>337.028696511308 1156.97982093829 -799.37315957081</t>
  </si>
  <si>
    <t>347.455807512255 1253.03823038207 -497.959550886552</t>
  </si>
  <si>
    <t>477.202337603709 1238.95149442105 -272.993982503287</t>
  </si>
  <si>
    <t>238.053149347697 972.86039440573 -813.43076098536</t>
  </si>
  <si>
    <t>179.791912387951 839.484952313576 -792.22549522779</t>
  </si>
  <si>
    <t>320.718034954436 647.022006776599 -584.177322684377</t>
  </si>
  <si>
    <t>415.66534676663 473.149801559939 -752.687212260293</t>
  </si>
  <si>
    <t>242.196278045307 1143.96878330872 -280.410069377892</t>
  </si>
  <si>
    <t>278.241455933941 1165.92919664978 173.325695497631</t>
  </si>
  <si>
    <t>148.347426063985 1190.1604524388 625.107549128568</t>
  </si>
  <si>
    <t>305.66941488703 1197.82465527582 703.431103059585</t>
  </si>
  <si>
    <t>193.421147528356 954.303809233093 -275.251476578153</t>
  </si>
  <si>
    <t>313.168804560877 1004.00878392022 161.609487749014</t>
  </si>
  <si>
    <t>320.70394901581 1067.66808500045 627.456770737897</t>
  </si>
  <si>
    <t>429.943412661632 956.635976939263 709.201007514401</t>
  </si>
  <si>
    <t>9763-20170724T170033.996822600.bin</t>
  </si>
  <si>
    <t>236.433617525003 1046.58041387265 -275.586041864207</t>
  </si>
  <si>
    <t>216.233565590847 1049.37861495102 -394.967553398494</t>
  </si>
  <si>
    <t>217.177421198403 1041.8709481592 -515.935804743191</t>
  </si>
  <si>
    <t>226.487478970217 1030.51373959701 -624.467784654383</t>
  </si>
  <si>
    <t>243.940600357851 1014.4334025964 -731.386744839832</t>
  </si>
  <si>
    <t>276.444868136241 987.013166754099 -877.645437426366</t>
  </si>
  <si>
    <t>302.870164659071 957.992173453655 -971.679827190532</t>
  </si>
  <si>
    <t>275.172354036451 1028.00347743236 -815.427135207796</t>
  </si>
  <si>
    <t>349.557019045669 1153.62638599762 -798.260203570798</t>
  </si>
  <si>
    <t>363.029578662266 1248.79665747359 -496.685378328527</t>
  </si>
  <si>
    <t>490.918220217241 1234.55778828601 -270.668168293919</t>
  </si>
  <si>
    <t>248.953138111868 970.288369033507 -810.433703406595</t>
  </si>
  <si>
    <t>190.501730074337 837.270886987673 -787.37130049903</t>
  </si>
  <si>
    <t>334.963078287008 644.554361326298 -581.999917967629</t>
  </si>
  <si>
    <t>425.75731173449 475.847262517386 -757.88713897058</t>
  </si>
  <si>
    <t>262.053633446566 1141.07219397503 -276.560842217783</t>
  </si>
  <si>
    <t>299.876253272581 1162.99592146546 177.031909728367</t>
  </si>
  <si>
    <t>150.660551535911 1188.08216527812 623.005892088755</t>
  </si>
  <si>
    <t>306.563581053958 1197.86605157927 703.888704823338</t>
  </si>
  <si>
    <t>211.842379191037 951.975187046356 -273.722135585997</t>
  </si>
  <si>
    <t>323.380792441327 1000.71109324689 165.415232008768</t>
  </si>
  <si>
    <t>324.532388504471 1059.44565952457 632.34893199009</t>
  </si>
  <si>
    <t>433.443618962636 948.116224320495 714.126923786923</t>
  </si>
  <si>
    <t>9763-20170724T170034.062998200.bin</t>
  </si>
  <si>
    <t>261.364284839152 1042.58429963636 -271.814488086443</t>
  </si>
  <si>
    <t>241.650116654675 1049.9689355599 -391.081557724844</t>
  </si>
  <si>
    <t>241.038245519876 1043.98571848407 -512.136761649205</t>
  </si>
  <si>
    <t>248.101062293432 1032.83324748782 -620.859248971014</t>
  </si>
  <si>
    <t>262.467946944762 1015.83737568154 -728.09544557696</t>
  </si>
  <si>
    <t>289.814144930918 986.026449290297 -874.94050757859</t>
  </si>
  <si>
    <t>312.859107375673 955.225243807936 -969.297280757957</t>
  </si>
  <si>
    <t>291.143175710708 1027.84482592275 -813.277086670615</t>
  </si>
  <si>
    <t>366.96299783942 1153.1566039392 -798.91937775986</t>
  </si>
  <si>
    <t>382.168363021003 1243.78098492564 -496.02955082986</t>
  </si>
  <si>
    <t>504.520308492935 1228.69197168827 -267.022287272361</t>
  </si>
  <si>
    <t>264.285422313392 970.588997848665 -806.65512065148</t>
  </si>
  <si>
    <t>205.610646875411 838.253523433447 -781.264847379276</t>
  </si>
  <si>
    <t>357.685090249261 645.473630393677 -581.526456263912</t>
  </si>
  <si>
    <t>441.647718698414 487.376765204908 -770.200081654717</t>
  </si>
  <si>
    <t>291.954642713891 1134.66337372423 -268.84826145879</t>
  </si>
  <si>
    <t>354.520454020713 1154.25506382518 182.105519936105</t>
  </si>
  <si>
    <t>157.540222638338 1181.812999174 608.241379060162</t>
  </si>
  <si>
    <t>308.000619767667 1202.0933078769 697.088973522685</t>
  </si>
  <si>
    <t>230.732246472705 951.556106574124 -273.07189505975</t>
  </si>
  <si>
    <t>339.137177745406 994.32773597787 167.46943474934</t>
  </si>
  <si>
    <t>327.222759928313 1058.14083444405 632.400780061246</t>
  </si>
  <si>
    <t>435.654539051531 944.986109559059 712.288511498285</t>
  </si>
  <si>
    <t>9763-20170724T170034.096125200.bin</t>
  </si>
  <si>
    <t>271.255164972824 1048.09104594072 -272.503339372642</t>
  </si>
  <si>
    <t>251.969944726219 1056.48930941431 -391.77336587029</t>
  </si>
  <si>
    <t>250.936230787713 1050.71633947243 -512.836067520228</t>
  </si>
  <si>
    <t>257.266050113231 1039.44571326471 -621.591514788381</t>
  </si>
  <si>
    <t>270.547852528627 1022.03539254455 -728.901004210771</t>
  </si>
  <si>
    <t>296.020929157746 991.35204753859 -875.90319064102</t>
  </si>
  <si>
    <t>317.628620626644 959.825619813643 -970.360525554448</t>
  </si>
  <si>
    <t>298.312136036346 1033.4576835328 -814.464041466799</t>
  </si>
  <si>
    <t>374.776173658972 1158.30406078179 -801.094930854101</t>
  </si>
  <si>
    <t>389.601359301462 1247.48256601398 -497.757478827606</t>
  </si>
  <si>
    <t>508.22912496937 1230.78778243187 -266.909444548771</t>
  </si>
  <si>
    <t>271.187568736235 976.399112408656 -807.254641476643</t>
  </si>
  <si>
    <t>212.670104746857 844.066894076684 -780.878322258543</t>
  </si>
  <si>
    <t>369.45471789687 652.134295988692 -583.98569522188</t>
  </si>
  <si>
    <t>449.551104094712 498.895129589669 -778.264733335142</t>
  </si>
  <si>
    <t>300.87823598608 1140.38634320684 -269.692657745621</t>
  </si>
  <si>
    <t>381.923483532076 1159.30362371764 178.338041100659</t>
  </si>
  <si>
    <t>161.936999998647 1191.19416372145 591.343991317097</t>
  </si>
  <si>
    <t>306.882053388794 1216.74146336383 687.685818783454</t>
  </si>
  <si>
    <t>242.121889851388 957.177017548335 -274.893297318719</t>
  </si>
  <si>
    <t>344.104087683327 996.326565278108 167.514415151451</t>
  </si>
  <si>
    <t>328.071904445011 1059.44540125537 631.673916357031</t>
  </si>
  <si>
    <t>435.724434768438 944.881375085043 710.600929029003</t>
  </si>
  <si>
    <t>9763-20170724T170034.167347800.bin</t>
  </si>
  <si>
    <t>286.285099942942 1062.65855880977 -276.813222981762</t>
  </si>
  <si>
    <t>267.617108235571 1072.85398837533 -396.041353614148</t>
  </si>
  <si>
    <t>265.893675668949 1067.53754491456 -517.117124191192</t>
  </si>
  <si>
    <t>271.092494596425 1056.19435963604 -625.924993124638</t>
  </si>
  <si>
    <t>282.755801875182 1038.26628199575 -733.337197618376</t>
  </si>
  <si>
    <t>305.492397487467 1006.43355072202 -880.543761978441</t>
  </si>
  <si>
    <t>324.823880350694 973.846716138834 -975.134293455639</t>
  </si>
  <si>
    <t>309.144793176258 1048.91980968351 -819.433076676877</t>
  </si>
  <si>
    <t>386.359128242137 1173.520376009 -807.095598163032</t>
  </si>
  <si>
    <t>400.998426693753 1259.77197556309 -502.903981651527</t>
  </si>
  <si>
    <t>512.782725316171 1240.30301597342 -268.879915764881</t>
  </si>
  <si>
    <t>281.719549451446 992.117456246931 -811.385905279942</t>
  </si>
  <si>
    <t>223.657942944513 859.912384497185 -783.750237314512</t>
  </si>
  <si>
    <t>388.309890209905 668.508551708669 -592.856170123833</t>
  </si>
  <si>
    <t>459.480330391596 523.016641765989 -796.347936992025</t>
  </si>
  <si>
    <t>316.912846142833 1155.52546593175 -273.696481914342</t>
  </si>
  <si>
    <t>427.623435440905 1171.13155827443 168.069576246485</t>
  </si>
  <si>
    <t>178.14049778456 1220.13165446236 562.339991696422</t>
  </si>
  <si>
    <t>315.635092858467 1245.85080155134 669.00419605947</t>
  </si>
  <si>
    <t>255.072955484004 969.504389846839 -279.86612104532</t>
  </si>
  <si>
    <t>348.231350903512 1002.52886232984 164.980611035917</t>
  </si>
  <si>
    <t>328.299972407448 1060.18592475255 630.57886814424</t>
  </si>
  <si>
    <t>436.270291569321 945.279241033078 708.568688555201</t>
  </si>
  <si>
    <t>9763-20170724T170034.193413600.bin</t>
  </si>
  <si>
    <t>292.965109476511 1067.78846820069 -279.16996105411</t>
  </si>
  <si>
    <t>274.179031325001 1078.08237487389 -398.371139087586</t>
  </si>
  <si>
    <t>271.966428897196 1072.69712912158 -519.435834654787</t>
  </si>
  <si>
    <t>276.601687626492 1061.25540831592 -628.25887118227</t>
  </si>
  <si>
    <t>287.601350375742 1043.21269253991 -735.721939670792</t>
  </si>
  <si>
    <t>309.331256286176 1011.22035632625 -883.045823372812</t>
  </si>
  <si>
    <t>327.783058955658 978.358667031853 -977.716933833904</t>
  </si>
  <si>
    <t>313.586271196675 1053.68924481934 -821.962124449032</t>
  </si>
  <si>
    <t>391.286113133282 1178.01005261969 -809.823551116311</t>
  </si>
  <si>
    <t>404.425323949213 1261.93027617213 -504.912308906256</t>
  </si>
  <si>
    <t>513.380989849608 1241.43186610516 -269.64539846297</t>
  </si>
  <si>
    <t>285.846566678451 997.062676970662 -813.756873870698</t>
  </si>
  <si>
    <t>227.31833873076 865.078916959816 -785.944503870784</t>
  </si>
  <si>
    <t>394.499062865154 673.635162320617 -597.301774335981</t>
  </si>
  <si>
    <t>462.016682883014 530.791177843224 -803.890759992289</t>
  </si>
  <si>
    <t>325.420544251055 1160.14737440943 -276.528895515792</t>
  </si>
  <si>
    <t>441.790816649102 1173.18660663292 163.863633782199</t>
  </si>
  <si>
    <t>195.52586946093 1233.42104927121 559.135816185416</t>
  </si>
  <si>
    <t>335.094132523376 1253.07212499728 664.3881255732</t>
  </si>
  <si>
    <t>260.007979945239 974.415891463961 -281.492681872415</t>
  </si>
  <si>
    <t>349.598741368084 1005.03372320707 164.258149156202</t>
  </si>
  <si>
    <t>328.204174412326 1060.17906519619 630.194748021121</t>
  </si>
  <si>
    <t>435.31465307777 944.44822253969 708.151304195563</t>
  </si>
  <si>
    <t>9763-20170724T170034.262597400.bin</t>
  </si>
  <si>
    <t>305.045820993667 1077.45917700086 -283.742369991101</t>
  </si>
  <si>
    <t>287.634525973333 1086.85639896699 -403.226032374065</t>
  </si>
  <si>
    <t>285.213568504846 1080.9954162215 -524.264747203309</t>
  </si>
  <si>
    <t>289.067848414098 1069.35735737418 -633.097365126022</t>
  </si>
  <si>
    <t>298.738667473351 1051.38484686996 -740.699963576193</t>
  </si>
  <si>
    <t>318.097561279664 1019.78983208555 -888.43954454898</t>
  </si>
  <si>
    <t>334.878700790796 986.712268815712 -983.346229597586</t>
  </si>
  <si>
    <t>324.044246947741 1061.76176830638 -827.154064252984</t>
  </si>
  <si>
    <t>404.23275340452 1184.43246171966 -815.071942586821</t>
  </si>
  <si>
    <t>412.566208556067 1265.20896863808 -509.144089745665</t>
  </si>
  <si>
    <t>516.697691598935 1241.89274886165 -271.962518498623</t>
  </si>
  <si>
    <t>295.019537078395 1005.77771725532 -818.984720213172</t>
  </si>
  <si>
    <t>233.376288199876 874.974463319031 -792.132328444424</t>
  </si>
  <si>
    <t>401.182684778345 678.866570652996 -608.914201065925</t>
  </si>
  <si>
    <t>462.25510996119 540.663472547696 -820.602907249456</t>
  </si>
  <si>
    <t>341.535006320852 1167.94037198997 -281.337350587659</t>
  </si>
  <si>
    <t>459.535232685464 1179.97391520412 158.650000450485</t>
  </si>
  <si>
    <t>255.945060917635 1267.82821818139 572.722694340742</t>
  </si>
  <si>
    <t>403.10931830742 1267.69540328613 669.087448941827</t>
  </si>
  <si>
    <t>268.475956668079 985.910751224376 -284.76322230751</t>
  </si>
  <si>
    <t>350.418655037218 1009.74439880587 162.869414259387</t>
  </si>
  <si>
    <t>327.966160764437 1059.94442494897 629.706666512149</t>
  </si>
  <si>
    <t>433.913045037355 943.2835947582 707.866653849315</t>
  </si>
  <si>
    <t>9763-20170724T170034.293322700.bin</t>
  </si>
  <si>
    <t>310.840121563817 1082.65212065557 -285.312785723183</t>
  </si>
  <si>
    <t>294.313162742185 1091.49935674415 -404.963900008687</t>
  </si>
  <si>
    <t>291.964227554011 1085.44713186512 -525.994598136972</t>
  </si>
  <si>
    <t>295.570058672803 1073.80101385954 -634.834954539049</t>
  </si>
  <si>
    <t>304.696066394782 1055.99645185574 -742.513029981926</t>
  </si>
  <si>
    <t>323.006839647265 1024.82174197769 -890.47537497806</t>
  </si>
  <si>
    <t>338.978825971908 991.77439941029 -985.531931005932</t>
  </si>
  <si>
    <t>329.897643565989 1066.36687776418 -828.998159620646</t>
  </si>
  <si>
    <t>412.071219479394 1187.76732610756 -816.79409003619</t>
  </si>
  <si>
    <t>417.415996878051 1267.95699537211 -510.645091575416</t>
  </si>
  <si>
    <t>520.169197725027 1242.22384246764 -273.112666742963</t>
  </si>
  <si>
    <t>299.912103162524 1010.86411904321 -821.01494352075</t>
  </si>
  <si>
    <t>235.9532239666 881.057441479813 -795.025624100938</t>
  </si>
  <si>
    <t>401.158687184092 679.721567051003 -615.144581005897</t>
  </si>
  <si>
    <t>459.29420202363 544.514113052797 -829.577062489404</t>
  </si>
  <si>
    <t>349.857768768584 1172.25979013111 -283.362045542369</t>
  </si>
  <si>
    <t>462.683440799713 1183.72979786746 157.995562593125</t>
  </si>
  <si>
    <t>295.113592315697 1286.08834483952 584.747891422376</t>
  </si>
  <si>
    <t>444.69898969164 1266.93936762627 675.307411955361</t>
  </si>
  <si>
    <t>272.001965865134 992.289209904054 -285.961127638354</t>
  </si>
  <si>
    <t>350.145035442374 1012.36475324549 162.534539724423</t>
  </si>
  <si>
    <t>327.824192952023 1059.81928314533 629.589583972662</t>
  </si>
  <si>
    <t>433.294850428089 942.77804246331 707.825125063794</t>
  </si>
  <si>
    <t>9763-20170724T170034.362505500.bin</t>
  </si>
  <si>
    <t>321.209274668028 1093.74019474564 -287.805330121424</t>
  </si>
  <si>
    <t>305.153649746966 1101.84525799734 -407.573128357975</t>
  </si>
  <si>
    <t>302.345233252739 1095.7674700971 -528.592645173202</t>
  </si>
  <si>
    <t>305.175819054487 1084.39820838368 -637.48524686389</t>
  </si>
  <si>
    <t>313.187882139652 1067.17822241161 -745.346865805779</t>
  </si>
  <si>
    <t>329.618233308505 1037.1366502626 -893.763678837296</t>
  </si>
  <si>
    <t>344.065263342276 1004.00391988466 -989.034151882857</t>
  </si>
  <si>
    <t>338.593341055516 1077.51007627723 -831.776965188633</t>
  </si>
  <si>
    <t>425.788684521465 1195.19104739006 -818.753549569122</t>
  </si>
  <si>
    <t>426.754132196861 1276.65429545818 -512.895834022465</t>
  </si>
  <si>
    <t>530.14582024555 1241.12376002176 -276.908945925409</t>
  </si>
  <si>
    <t>306.103265352162 1023.34816405051 -824.410719450962</t>
  </si>
  <si>
    <t>235.899282797057 896.330006457538 -800.532461274966</t>
  </si>
  <si>
    <t>390.559667075873 679.671097123298 -629.286037497309</t>
  </si>
  <si>
    <t>443.975469163873 552.099413171407 -849.545566457572</t>
  </si>
  <si>
    <t>364.148937434324 1182.39056124546 -286.964346904683</t>
  </si>
  <si>
    <t>464.712590833175 1190.87346247481 157.414573719165</t>
  </si>
  <si>
    <t>379.105484503252 1314.49228046598 603.298378364432</t>
  </si>
  <si>
    <t>511.665245741006 1233.75828259112 686.083833542748</t>
  </si>
  <si>
    <t>277.400647486284 1005.29440272576 -287.400903719814</t>
  </si>
  <si>
    <t>351.791609973228 1018.67568925082 161.981566304543</t>
  </si>
  <si>
    <t>327.881888733142 1059.89122407229 629.461927643555</t>
  </si>
  <si>
    <t>432.54382844552 942.176324136609 707.772888043559</t>
  </si>
  <si>
    <t>9763-20170724T170034.397636400.bin</t>
  </si>
  <si>
    <t>325.22315187744 1099.35188205557 -288.249844608935</t>
  </si>
  <si>
    <t>308.806438410062 1107.99829174182 -407.930759267524</t>
  </si>
  <si>
    <t>305.587152022497 1102.33368859445 -528.96017903607</t>
  </si>
  <si>
    <t>308.033228403254 1091.28481485832 -637.895061406208</t>
  </si>
  <si>
    <t>315.654657154906 1074.3385172462 -745.828274438157</t>
  </si>
  <si>
    <t>331.540239240878 1044.63042294759 -894.371524440411</t>
  </si>
  <si>
    <t>345.34249083643 1011.27228764812 -989.658927364706</t>
  </si>
  <si>
    <t>341.530981810802 1084.40055848715 -832.150457678345</t>
  </si>
  <si>
    <t>431.842686822306 1199.66572811099 -818.720613782667</t>
  </si>
  <si>
    <t>432.039925549479 1282.83523714936 -513.320859768726</t>
  </si>
  <si>
    <t>537.026640800367 1239.55512526782 -279.340707891752</t>
  </si>
  <si>
    <t>307.491721400304 1031.1501432285 -825.140989505916</t>
  </si>
  <si>
    <t>233.389235981265 906.169462765468 -802.40978827014</t>
  </si>
  <si>
    <t>378.915175189128 681.024647544213 -634.129939637917</t>
  </si>
  <si>
    <t>430.422645024004 557.530020784002 -857.150377615318</t>
  </si>
  <si>
    <t>370.852506374837 1186.95428100911 -288.095499351648</t>
  </si>
  <si>
    <t>466.867083729759 1190.40127233513 157.355949209729</t>
  </si>
  <si>
    <t>413.297507839459 1313.33448774786 606.696126166032</t>
  </si>
  <si>
    <t>525.789619395865 1208.47699443694 692.100779586064</t>
  </si>
  <si>
    <t>278.544207800631 1012.06130338712 -287.553336351227</t>
  </si>
  <si>
    <t>354.591281821349 1022.00874499603 161.641031369754</t>
  </si>
  <si>
    <t>327.988885131513 1059.92102862665 629.405465609888</t>
  </si>
  <si>
    <t>431.759330123406 941.509000119754 707.851559839616</t>
  </si>
  <si>
    <t>9763-20170724T170034.480359600.bin</t>
  </si>
  <si>
    <t>330.153748215831 1107.40680401344 -286.651592525086</t>
  </si>
  <si>
    <t>314.639995311049 1116.26029163548 -406.437840994416</t>
  </si>
  <si>
    <t>311.613139996269 1110.66812614214 -527.475508782098</t>
  </si>
  <si>
    <t>313.925972638251 1099.61776045989 -636.41302973365</t>
  </si>
  <si>
    <t>321.104631255259 1082.6047284676 -744.366285218767</t>
  </si>
  <si>
    <t>336.048719914458 1052.73420393089 -892.974570913745</t>
  </si>
  <si>
    <t>348.62450128925 1018.27454239609 -988.039622976751</t>
  </si>
  <si>
    <t>348.416703709293 1091.259239013 -830.398334494262</t>
  </si>
  <si>
    <t>446.609284236602 1199.98383231425 -816.396929005851</t>
  </si>
  <si>
    <t>450.852307536759 1287.46172498619 -512.232900540622</t>
  </si>
  <si>
    <t>557.413922181624 1219.31876193873 -284.981475596522</t>
  </si>
  <si>
    <t>310.456204412603 1040.64299273586 -824.041788295559</t>
  </si>
  <si>
    <t>226.414288457673 921.993441706754 -802.899481218857</t>
  </si>
  <si>
    <t>348.323372312881 678.913413450816 -640.922753475464</t>
  </si>
  <si>
    <t>399.865492548053 561.733396165957 -867.317051857207</t>
  </si>
  <si>
    <t>382.656492843347 1189.71784919831 -286.721936504258</t>
  </si>
  <si>
    <t>463.69923485712 1200.57709856675 161.576795820186</t>
  </si>
  <si>
    <t>410.515769567278 1315.94871548297 614.389953505791</t>
  </si>
  <si>
    <t>508.008683979038 1198.07998876666 701.255540153325</t>
  </si>
  <si>
    <t>277.427447543534 1023.66747212176 -285.149064084973</t>
  </si>
  <si>
    <t>365.238442754492 1024.98723054196 162.003227244533</t>
  </si>
  <si>
    <t>328.421122050461 1059.65092084079 629.384447811465</t>
  </si>
  <si>
    <t>430.216837045341 940.122022566689 708.718869617968</t>
  </si>
  <si>
    <t>9763-20170724T170034.498913600.bin</t>
  </si>
  <si>
    <t>330.486129900317 1111.01956278787 -285.007082859275</t>
  </si>
  <si>
    <t>315.592689410039 1119.29280603184 -404.913431474474</t>
  </si>
  <si>
    <t>312.79741988253 1113.34294042862 -525.939829434005</t>
  </si>
  <si>
    <t>315.134151585665 1102.04025558262 -634.85088847018</t>
  </si>
  <si>
    <t>322.140016506846 1084.83869274926 -742.785561886377</t>
  </si>
  <si>
    <t>336.627513129635 1054.7623619204 -891.397549532702</t>
  </si>
  <si>
    <t>348.65101749812 1019.49825618919 -986.238805317915</t>
  </si>
  <si>
    <t>350.36190760299 1092.48710856609 -828.618966235685</t>
  </si>
  <si>
    <t>453.226843203794 1196.7262412231 -814.665948453706</t>
  </si>
  <si>
    <t>463.154584714578 1287.07620008653 -511.475412525243</t>
  </si>
  <si>
    <t>566.116343285755 1200.57602880683 -288.857726194142</t>
  </si>
  <si>
    <t>310.072641756285 1043.65350646684 -822.663562343019</t>
  </si>
  <si>
    <t>220.158485222892 929.068916007907 -802.655804588303</t>
  </si>
  <si>
    <t>327.267311763219 678.029883183649 -642.364450116531</t>
  </si>
  <si>
    <t>381.326276853849 562.244284844139 -868.889042455349</t>
  </si>
  <si>
    <t>386.036539149418 1192.71423813168 -285.669632325393</t>
  </si>
  <si>
    <t>452.512373415219 1207.35178851593 164.912550939204</t>
  </si>
  <si>
    <t>402.384731785383 1314.69010560664 619.782249435187</t>
  </si>
  <si>
    <t>502.136306393355 1196.45163363688 703.524706487745</t>
  </si>
  <si>
    <t>274.971142796424 1028.76607031269 -282.880678094412</t>
  </si>
  <si>
    <t>370.786017278183 1024.81158861835 162.609618209792</t>
  </si>
  <si>
    <t>328.602549497076 1059.13216869446 629.535556844274</t>
  </si>
  <si>
    <t>429.053497937153 939.064314944346 709.765292621399</t>
  </si>
  <si>
    <t>9763-20170724T170034.564106200.bin</t>
  </si>
  <si>
    <t>325.517612984516 1118.91089521787 -288.575600243679</t>
  </si>
  <si>
    <t>311.144796823983 1127.0352827034 -408.55576472783</t>
  </si>
  <si>
    <t>308.970842638762 1120.82885448703 -529.581848356345</t>
  </si>
  <si>
    <t>311.817656678697 1109.17835063103 -638.44420385373</t>
  </si>
  <si>
    <t>319.232561285316 1091.48555147436 -746.271948011971</t>
  </si>
  <si>
    <t>334.132798715679 1060.54715420643 -894.666061677979</t>
  </si>
  <si>
    <t>345.433847125782 1023.24003769601 -988.812007099731</t>
  </si>
  <si>
    <t>350.094321716858 1096.51822820661 -831.387090915165</t>
  </si>
  <si>
    <t>462.70313212835 1190.05479491951 -817.571555438007</t>
  </si>
  <si>
    <t>491.718499615864 1282.06348737828 -516.110649383698</t>
  </si>
  <si>
    <t>576.076824292307 1153.76137959453 -306.195765948944</t>
  </si>
  <si>
    <t>304.985353771776 1051.95461039368 -826.625491634129</t>
  </si>
  <si>
    <t>203.004931468029 947.361906743979 -809.696404894911</t>
  </si>
  <si>
    <t>272.209372976792 683.303114937567 -649.47815971705</t>
  </si>
  <si>
    <t>335.859908810721 568.274827368386 -873.886622986151</t>
  </si>
  <si>
    <t>385.07045581943 1196.93164112561 -292.272102019369</t>
  </si>
  <si>
    <t>437.892244430275 1218.55928731366 159.833895757796</t>
  </si>
  <si>
    <t>402.589733879884 1318.31700878148 616.107561486189</t>
  </si>
  <si>
    <t>500.456634084692 1197.65037573195 698.600843461078</t>
  </si>
  <si>
    <t>265.035564908225 1040.36847153005 -285.234220996206</t>
  </si>
  <si>
    <t>372.184063116349 1024.95462006509 157.416136504923</t>
  </si>
  <si>
    <t>327.295368695167 1055.52575377224 624.714048623687</t>
  </si>
  <si>
    <t>426.007945267998 937.161598925776 709.503543328847</t>
  </si>
  <si>
    <t>9763-20170724T170034.596178400.bin</t>
  </si>
  <si>
    <t>321.658153078139 1125.39452677542 -292.042391408702</t>
  </si>
  <si>
    <t>307.814635790483 1134.13469811934 -412.041482900798</t>
  </si>
  <si>
    <t>305.977330763322 1128.3439155822 -533.093753053493</t>
  </si>
  <si>
    <t>309.006943703519 1116.95860295513 -641.979233117605</t>
  </si>
  <si>
    <t>316.461194456681 1099.41032575161 -749.828008140324</t>
  </si>
  <si>
    <t>331.243702389599 1068.53634547916 -898.247193548801</t>
  </si>
  <si>
    <t>342.156957474388 1030.45242405288 -992.127503338204</t>
  </si>
  <si>
    <t>348.34305088297 1103.35830152994 -834.623648465247</t>
  </si>
  <si>
    <t>465.508534520647 1190.80135602307 -820.14193911123</t>
  </si>
  <si>
    <t>505.263815348581 1276.80863057925 -518.134687123728</t>
  </si>
  <si>
    <t>574.37469535945 1128.33764932084 -316.089930596554</t>
  </si>
  <si>
    <t>301.062682341628 1061.03593571832 -830.529013258188</t>
  </si>
  <si>
    <t>193.218774956081 962.092166658317 -815.685043705958</t>
  </si>
  <si>
    <t>240.380766013361 692.911610693026 -655.986160584087</t>
  </si>
  <si>
    <t>309.062124679364 575.946593919274 -877.896238521241</t>
  </si>
  <si>
    <t>383.719916268911 1203.75613877499 -295.337299602367</t>
  </si>
  <si>
    <t>434.667983192577 1227.315477224 156.887141244955</t>
  </si>
  <si>
    <t>405.097834657095 1320.43473857575 615.020159071768</t>
  </si>
  <si>
    <t>500.431081905558 1197.84378415255 697.643010938877</t>
  </si>
  <si>
    <t>258.191078367854 1047.98142488354 -288.813413603308</t>
  </si>
  <si>
    <t>368.388267029979 1026.42906780867 152.830916675883</t>
  </si>
  <si>
    <t>326.032627687368 1052.44219809821 620.691804847483</t>
  </si>
  <si>
    <t>424.644673055422 935.667090133554 707.770934860273</t>
  </si>
  <si>
    <t>9763-20170724T170034.661351200.bin</t>
  </si>
  <si>
    <t>314.831260733413 1140.19220829266 -297.125397606462</t>
  </si>
  <si>
    <t>303.130194580869 1149.39492674966 -417.317796322068</t>
  </si>
  <si>
    <t>302.600111091074 1144.34919977352 -538.416216216217</t>
  </si>
  <si>
    <t>306.415291500016 1133.71902842698 -647.353200951923</t>
  </si>
  <si>
    <t>314.238819260204 1116.99995747654 -755.307453428005</t>
  </si>
  <si>
    <t>329.078534060971 1087.34202595547 -903.968964536356</t>
  </si>
  <si>
    <t>339.396187331952 1048.07421906897 -997.427641819351</t>
  </si>
  <si>
    <t>348.156263256748 1119.22239051174 -839.373108563522</t>
  </si>
  <si>
    <t>474.011756582534 1193.0043580245 -821.663704945901</t>
  </si>
  <si>
    <t>528.553400499173 1252.41798849894 -515.58956012108</t>
  </si>
  <si>
    <t>555.821626346232 1070.40989405254 -331.819149937601</t>
  </si>
  <si>
    <t>296.868629032011 1081.70730589073 -837.008494624768</t>
  </si>
  <si>
    <t>178.636733265575 994.842530280308 -826.083555646998</t>
  </si>
  <si>
    <t>184.343044675157 719.261502918912 -670.492194446386</t>
  </si>
  <si>
    <t>262.699670008159 595.157329616371 -885.202331352408</t>
  </si>
  <si>
    <t>385.203866825783 1212.51187891096 -299.508175823676</t>
  </si>
  <si>
    <t>425.90800328439 1240.66222264607 153.491120102361</t>
  </si>
  <si>
    <t>406.123482015297 1322.14419974635 614.696515839739</t>
  </si>
  <si>
    <t>499.694578139555 1197.85441149279 696.794148850042</t>
  </si>
  <si>
    <t>245.412706611044 1068.73105631489 -294.297193722851</t>
  </si>
  <si>
    <t>357.378200097727 1034.31371974806 146.085463387774</t>
  </si>
  <si>
    <t>325.365296914855 1056.45145893117 615.717462939777</t>
  </si>
  <si>
    <t>423.051711886378 936.325199395759 699.207396664647</t>
  </si>
  <si>
    <t>9763-20170724T170034.699458200.bin</t>
  </si>
  <si>
    <t>313.096563555388 1147.47189454572 -299.985646475656</t>
  </si>
  <si>
    <t>302.16436629938 1157.2095289625 -420.208256452106</t>
  </si>
  <si>
    <t>302.352199062863 1152.82774797024 -541.333430947177</t>
  </si>
  <si>
    <t>306.770135227713 1142.82941510281 -650.307635120504</t>
  </si>
  <si>
    <t>315.141615646608 1126.76675523847 -758.320517645279</t>
  </si>
  <si>
    <t>330.67562569364 1098.04000249581 -907.093655110946</t>
  </si>
  <si>
    <t>340.858793284081 1058.20425406107 -1000.32667136075</t>
  </si>
  <si>
    <t>350.384797085788 1128.18242020208 -841.856389346541</t>
  </si>
  <si>
    <t>480.047593100282 1194.29345236925 -821.315946669847</t>
  </si>
  <si>
    <t>535.815211087584 1235.19703505535 -512.442172769104</t>
  </si>
  <si>
    <t>537.469654978916 1041.07048430313 -339.369508631196</t>
  </si>
  <si>
    <t>297.219769288207 1093.31879980652 -840.675693411974</t>
  </si>
  <si>
    <t>174.316879866913 1012.99724957172 -831.885321004035</t>
  </si>
  <si>
    <t>159.283746879081 735.867845612666 -679.702737699681</t>
  </si>
  <si>
    <t>241.743137503163 605.432469150434 -889.056861961217</t>
  </si>
  <si>
    <t>385.16099094118 1215.57589846811 -301.59508369925</t>
  </si>
  <si>
    <t>421.287690794733 1245.9189904434 151.650832264178</t>
  </si>
  <si>
    <t>406.346729110443 1322.70320202258 614.349150313043</t>
  </si>
  <si>
    <t>499.261161734651 1197.80166827039 696.264053293272</t>
  </si>
  <si>
    <t>241.716119920755 1080.59480966636 -298.156192071499</t>
  </si>
  <si>
    <t>352.124196607823 1040.98412364794 142.183097186015</t>
  </si>
  <si>
    <t>328.157497022514 1063.61635100585 611.000233712493</t>
  </si>
  <si>
    <t>419.710146809952 936.040934978053 690.28543192147</t>
  </si>
  <si>
    <t>9763-20170724T170034.764631000.bin</t>
  </si>
  <si>
    <t>308.094567651031 1157.50100965762 -305.553604953142</t>
  </si>
  <si>
    <t>299.880336171244 1168.4924973765 -425.884446989279</t>
  </si>
  <si>
    <t>302.331681926038 1165.76438090915 -547.033660350759</t>
  </si>
  <si>
    <t>308.581725959448 1157.40367955071 -656.056024320651</t>
  </si>
  <si>
    <t>318.573272720881 1143.12156925758 -764.181079055096</t>
  </si>
  <si>
    <t>336.134102459733 1117.01137160039 -913.210973481978</t>
  </si>
  <si>
    <t>346.197753281115 1076.32509440966 -1006.08903892655</t>
  </si>
  <si>
    <t>356.630196977292 1143.09882129056 -846.485523510882</t>
  </si>
  <si>
    <t>492.248924486629 1192.97210870953 -819.387248499157</t>
  </si>
  <si>
    <t>539.0122166354 1194.58878738851 -506.342845883402</t>
  </si>
  <si>
    <t>486.361953752758 987.955214866244 -357.438042807153</t>
  </si>
  <si>
    <t>300.097729440534 1114.02977554167 -848.054236528116</t>
  </si>
  <si>
    <t>168.661687911402 1048.08915540525 -845.173152171818</t>
  </si>
  <si>
    <t>114.40273900239 774.425697453195 -695.67236617611</t>
  </si>
  <si>
    <t>205.286396205687 631.75438886442 -893.225191658713</t>
  </si>
  <si>
    <t>385.92214596538 1216.82020801107 -305.198548092258</t>
  </si>
  <si>
    <t>414.978799484096 1255.23286705521 147.943590800978</t>
  </si>
  <si>
    <t>407.766659561858 1323.87270400634 612.687119392873</t>
  </si>
  <si>
    <t>498.666946850491 1197.80301873686 695.071175396012</t>
  </si>
  <si>
    <t>231.111687724159 1098.32654550817 -305.758072668209</t>
  </si>
  <si>
    <t>334.651551658651 1047.78430309993 135.130408136807</t>
  </si>
  <si>
    <t>316.812065068353 1078.31209754658 603.304818086543</t>
  </si>
  <si>
    <t>380.977953279458 934.19758455561 681.132991560681</t>
  </si>
  <si>
    <t>9763-20170724T170034.795426400.bin</t>
  </si>
  <si>
    <t>304.011236121174 1160.80810951403 -307.008902463833</t>
  </si>
  <si>
    <t>297.1083495408 1172.73107202411 -427.333652806423</t>
  </si>
  <si>
    <t>300.768816796767 1170.97206391812 -548.470211456869</t>
  </si>
  <si>
    <t>308.052144876682 1163.49208657287 -657.492511840612</t>
  </si>
  <si>
    <t>319.01692361959 1150.09475667242 -765.636518805447</t>
  </si>
  <si>
    <t>337.863884662346 1125.21650331716 -914.719924440884</t>
  </si>
  <si>
    <t>347.880973957833 1083.9949215969 -1007.36666775133</t>
  </si>
  <si>
    <t>358.552008073519 1149.10689753833 -847.235233308778</t>
  </si>
  <si>
    <t>496.632004710522 1189.60477386686 -816.945911123409</t>
  </si>
  <si>
    <t>532.248588023328 1174.93509992928 -502.776353822748</t>
  </si>
  <si>
    <t>455.860599008323 967.218943805954 -366.17140162441</t>
  </si>
  <si>
    <t>300.497487523565 1123.34206662168 -850.274995586572</t>
  </si>
  <si>
    <t>165.238711199 1065.61301021183 -850.617470207617</t>
  </si>
  <si>
    <t>93.1619269545722 794.791939195019 -703.487635501737</t>
  </si>
  <si>
    <t>187.572327742779 645.258561807507 -894.192762437496</t>
  </si>
  <si>
    <t>384.808500563821 1216.01177760666 -305.916238076815</t>
  </si>
  <si>
    <t>410.058128564958 1257.96079246847 147.140397462974</t>
  </si>
  <si>
    <t>407.190576617703 1323.66608395521 612.656166239825</t>
  </si>
  <si>
    <t>498.331874504341 1197.6357052614 694.833537694337</t>
  </si>
  <si>
    <t>223.388492014576 1105.60480556888 -307.81920419727</t>
  </si>
  <si>
    <t>324.252918736985 1048.87380380869 132.936548860907</t>
  </si>
  <si>
    <t>304.258050540783 1088.47652442796 600.592516957304</t>
  </si>
  <si>
    <t>353.475767542892 939.455716085483 680.052690362829</t>
  </si>
  <si>
    <t>9763-20170724T170034.862605600.bin</t>
  </si>
  <si>
    <t>288.918340740771 1166.93546665991 -307.350382082432</t>
  </si>
  <si>
    <t>283.794860285702 1181.12593126124 -427.517756404263</t>
  </si>
  <si>
    <t>289.630650913513 1181.39628139408 -548.581445152475</t>
  </si>
  <si>
    <t>299.002037877797 1175.62376873334 -657.548069931467</t>
  </si>
  <si>
    <t>312.173879310589 1163.80312262114 -765.629547335121</t>
  </si>
  <si>
    <t>334.200419743759 1140.97281581083 -914.604885152801</t>
  </si>
  <si>
    <t>343.834193575904 1098.27318854482 -1006.62069198393</t>
  </si>
  <si>
    <t>354.66906602112 1160.49684261635 -845.664505342711</t>
  </si>
  <si>
    <t>495.424488158439 1181.52969566361 -808.786193405375</t>
  </si>
  <si>
    <t>505.646992606333 1141.7145576181 -494.944744131567</t>
  </si>
  <si>
    <t>391.659944495055 939.817229624012 -377.104459946969</t>
  </si>
  <si>
    <t>294.239655527488 1141.65235124863 -851.711330980361</t>
  </si>
  <si>
    <t>153.066665814062 1101.05510819694 -858.164524395271</t>
  </si>
  <si>
    <t>48.4945376246681 838.903912369789 -714.889744289922</t>
  </si>
  <si>
    <t>150.496405677684 676.362615803089 -890.440381756759</t>
  </si>
  <si>
    <t>374.804351385231 1212.9880026579 -304.967227951612</t>
  </si>
  <si>
    <t>397.497171577318 1260.20597759434 147.706181890027</t>
  </si>
  <si>
    <t>403.581585876163 1321.98201310184 614.190691644423</t>
  </si>
  <si>
    <t>497.746279117048 1197.11803644959 694.723471512826</t>
  </si>
  <si>
    <t>201.950084120637 1121.1279647593 -308.571525959546</t>
  </si>
  <si>
    <t>296.542075935779 1049.09542150428 131.339179107335</t>
  </si>
  <si>
    <t>267.201876562647 1116.38840682841 595.4263338966</t>
  </si>
  <si>
    <t>292.71070042549 963.896027053147 679.324160298776</t>
  </si>
  <si>
    <t>9763-20170724T170034.899283100.bin</t>
  </si>
  <si>
    <t>279.669135533589 1169.8914770551 -306.850227282374</t>
  </si>
  <si>
    <t>275.640923915483 1184.88786538316 -426.961430184841</t>
  </si>
  <si>
    <t>282.785088405652 1185.8758632658 -547.951391043355</t>
  </si>
  <si>
    <t>293.417585403589 1180.71281600759 -656.832664578108</t>
  </si>
  <si>
    <t>307.935562332057 1169.4640383591 -764.802864428272</t>
  </si>
  <si>
    <t>331.923743525909 1147.39150746483 -913.588994216409</t>
  </si>
  <si>
    <t>341.357019869074 1104.24108704027 -1005.415247966</t>
  </si>
  <si>
    <t>351.91772302608 1164.88080573927 -843.966685301725</t>
  </si>
  <si>
    <t>492.78216689128 1176.91181074176 -803.801771002092</t>
  </si>
  <si>
    <t>489.144260017248 1127.47421953683 -491.185490267392</t>
  </si>
  <si>
    <t>362.367254027051 929.262262540293 -380.362749503912</t>
  </si>
  <si>
    <t>290.701719186805 1149.43479941268 -851.544938334111</t>
  </si>
  <si>
    <t>147.475661409977 1117.23341225031 -861.027169471258</t>
  </si>
  <si>
    <t>28.867404663014 860.080056820816 -719.63940475229</t>
  </si>
  <si>
    <t>133.512822584633 691.150329060582 -887.431122773552</t>
  </si>
  <si>
    <t>368.861160889047 1210.39023357306 -304.067640993204</t>
  </si>
  <si>
    <t>391.060079524036 1260.88682801944 148.276206098679</t>
  </si>
  <si>
    <t>402.134821698548 1321.34465196268 614.828558930767</t>
  </si>
  <si>
    <t>497.446719490491 1196.90655290698 694.668007486389</t>
  </si>
  <si>
    <t>190.029509547659 1129.65543153912 -308.324923112981</t>
  </si>
  <si>
    <t>279.317683328231 1050.13900993676 131.405031801053</t>
  </si>
  <si>
    <t>245.65550492223 1133.20070940973 592.506112278526</t>
  </si>
  <si>
    <t>261.019870954515 980.998098567032 679.349813620835</t>
  </si>
  <si>
    <t>9763-20170724T170034.964450200.bin</t>
  </si>
  <si>
    <t>260.663374208001 1175.11692751372 -304.405580495093</t>
  </si>
  <si>
    <t>259.178945711704 1190.75861918096 -424.492766001052</t>
  </si>
  <si>
    <t>269.008170988638 1191.82823902943 -545.293493465756</t>
  </si>
  <si>
    <t>282.107519220115 1186.52703771046 -653.898990548935</t>
  </si>
  <si>
    <t>299.144224952952 1174.94535787791 -761.465114578114</t>
  </si>
  <si>
    <t>326.690153001502 1152.22021632769 -909.535395094165</t>
  </si>
  <si>
    <t>335.483847320525 1108.04868434289 -1000.93842125148</t>
  </si>
  <si>
    <t>345.558666903299 1166.80245528528 -838.936038751212</t>
  </si>
  <si>
    <t>485.082248849311 1162.80437874385 -792.569925274381</t>
  </si>
  <si>
    <t>451.695301370841 1102.82539666782 -483.581190167909</t>
  </si>
  <si>
    <t>315.682275417905 906.156278471214 -381.288876875367</t>
  </si>
  <si>
    <t>283.445160902759 1157.74847041764 -849.101657615546</t>
  </si>
  <si>
    <t>138.144834255967 1141.23796479995 -864.456632763832</t>
  </si>
  <si>
    <t>-8.70896456434662 897.102289437274 -726.551282690888</t>
  </si>
  <si>
    <t>102.012547974986 718.3308045939 -879.599068011129</t>
  </si>
  <si>
    <t>354.892442807812 1204.28823092842 -301.018109041049</t>
  </si>
  <si>
    <t>379.222417160833 1259.91409677745 150.613873436718</t>
  </si>
  <si>
    <t>399.337615988374 1320.91223218387 617.000358871236</t>
  </si>
  <si>
    <t>496.485889247738 1196.54606195293 694.710314837584</t>
  </si>
  <si>
    <t>167.087994187798 1146.20103503916 -306.734105372088</t>
  </si>
  <si>
    <t>238.881510441302 1053.71537660325 133.66321258435</t>
  </si>
  <si>
    <t>200.356078922365 1167.45932345692 587.769030283475</t>
  </si>
  <si>
    <t>191.88765325192 1017.88888506876 679.966988913712</t>
  </si>
  <si>
    <t>9763-20170724T170034.997544800.bin</t>
  </si>
  <si>
    <t>250.165475086777 1177.30607039144 -302.55161745782</t>
  </si>
  <si>
    <t>249.764867816543 1193.01792376829 -422.638189564041</t>
  </si>
  <si>
    <t>260.70733436986 1193.95127656684 -543.344244743015</t>
  </si>
  <si>
    <t>274.81837177034 1188.45235288555 -651.812999907296</t>
  </si>
  <si>
    <t>292.878992281039 1176.60644954083 -759.183149720409</t>
  </si>
  <si>
    <t>321.862633862077 1153.45127691343 -906.911964287153</t>
  </si>
  <si>
    <t>330.259434423072 1108.80137163243 -998.119734215993</t>
  </si>
  <si>
    <t>340.17669183766 1166.79961935894 -835.923692485266</t>
  </si>
  <si>
    <t>478.491397212149 1155.84931562791 -787.118500500669</t>
  </si>
  <si>
    <t>429.914188136301 1093.75388031248 -480.572273852085</t>
  </si>
  <si>
    <t>295.019573608591 895.144229194384 -380.573560971975</t>
  </si>
  <si>
    <t>277.899739078093 1160.59371689909 -847.169430968136</t>
  </si>
  <si>
    <t>132.25007745272 1151.09486993723 -865.094981254367</t>
  </si>
  <si>
    <t>-28.138545980064 914.891465550409 -728.458003838825</t>
  </si>
  <si>
    <t>85.9892030410069 732.817995259403 -874.971467310205</t>
  </si>
  <si>
    <t>345.749768424104 1201.36838369856 -298.904790361343</t>
  </si>
  <si>
    <t>372.494529250825 1257.32849197609 152.549432539675</t>
  </si>
  <si>
    <t>397.416465982976 1320.53653825795 618.482354364167</t>
  </si>
  <si>
    <t>495.800525393339 1196.36077725534 694.931261773215</t>
  </si>
  <si>
    <t>155.157758510248 1153.31535189497 -305.14276263115</t>
  </si>
  <si>
    <t>215.860653005888 1056.68773879601 136.032772728835</t>
  </si>
  <si>
    <t>176.124725778521 1183.50810215435 586.56799593279</t>
  </si>
  <si>
    <t>155.232870887138 1036.82658135141 681.391810910173</t>
  </si>
  <si>
    <t>9763-20170724T170035.066233500.bin</t>
  </si>
  <si>
    <t>226.210978463137 1180.07738471881 -297.895537032085</t>
  </si>
  <si>
    <t>227.571638583644 1195.46493372432 -418.01704148325</t>
  </si>
  <si>
    <t>240.125356328876 1195.69054140912 -538.569562646021</t>
  </si>
  <si>
    <t>255.633455541394 1189.42746601514 -646.805912672818</t>
  </si>
  <si>
    <t>275.051515491357 1176.71457814785 -753.83945173737</t>
  </si>
  <si>
    <t>305.891806469894 1152.26295366005 -900.982278872197</t>
  </si>
  <si>
    <t>313.499304358345 1106.59675626867 -991.755231650257</t>
  </si>
  <si>
    <t>323.379632777661 1163.81487836235 -829.472388391116</t>
  </si>
  <si>
    <t>459.258429940493 1141.85004004025 -777.808476895916</t>
  </si>
  <si>
    <t>392.287595570527 1078.7053641198 -474.965558987395</t>
  </si>
  <si>
    <t>268.297087510507 872.450669592395 -376.337101710925</t>
  </si>
  <si>
    <t>261.112280202044 1162.34940594583 -842.27983415359</t>
  </si>
  <si>
    <t>115.722337216422 1164.78822526509 -864.31793657516</t>
  </si>
  <si>
    <t>-68.6566395609027 945.564150286912 -729.665614648394</t>
  </si>
  <si>
    <t>51.1852468511231 758.949258402915 -865.51434778146</t>
  </si>
  <si>
    <t>323.208899039254 1194.99761855013 -293.877238135503</t>
  </si>
  <si>
    <t>357.579542047318 1250.61246428535 157.103113147207</t>
  </si>
  <si>
    <t>393.718530880864 1319.75006264569 621.165012401911</t>
  </si>
  <si>
    <t>494.82789935339 1196.20787099085 695.041645851691</t>
  </si>
  <si>
    <t>129.463090609164 1164.96604543497 -300.835809951878</t>
  </si>
  <si>
    <t>166.748251141674 1066.38332012943 142.502558486685</t>
  </si>
  <si>
    <t>122.321308735377 1214.90872835391 586.207590792179</t>
  </si>
  <si>
    <t>81.2927471052642 1075.41060621446 685.204673386349</t>
  </si>
  <si>
    <t>9763-20170724T170035.098419700.bin</t>
  </si>
  <si>
    <t>211.780728494584 1180.97787541533 -295.67379814265</t>
  </si>
  <si>
    <t>213.92863219694 1196.09511162905 -415.818044621378</t>
  </si>
  <si>
    <t>227.074518601672 1195.56292862805 -536.306536094404</t>
  </si>
  <si>
    <t>243.050783856668 1188.44802967795 -644.422255828957</t>
  </si>
  <si>
    <t>262.884749759325 1174.73498009857 -751.255797641504</t>
  </si>
  <si>
    <t>294.260121284568 1148.7566413487 -898.023282370069</t>
  </si>
  <si>
    <t>301.582035988629 1102.26547457826 -988.400062089692</t>
  </si>
  <si>
    <t>311.464539851866 1160.1380714875 -826.417465395395</t>
  </si>
  <si>
    <t>446.306630486282 1134.08510118285 -773.895926561855</t>
  </si>
  <si>
    <t>374.139229579844 1072.2538271106 -471.97709662039</t>
  </si>
  <si>
    <t>259.481630706074 861.196214125296 -372.224996766659</t>
  </si>
  <si>
    <t>249.29052683815 1160.36480024841 -839.748921904195</t>
  </si>
  <si>
    <t>104.270302314613 1167.57966868803 -863.157653310595</t>
  </si>
  <si>
    <t>-89.5472391987134 956.497599502673 -728.750484649912</t>
  </si>
  <si>
    <t>33.6084560712361 769.328234692688 -860.820267874658</t>
  </si>
  <si>
    <t>309.108788004189 1191.69884753052 -291.974500756941</t>
  </si>
  <si>
    <t>349.044343671649 1246.79195775752 158.611295822597</t>
  </si>
  <si>
    <t>391.721083457283 1319.25276661857 620.772335545767</t>
  </si>
  <si>
    <t>493.899613273226 1195.73934468446 693.211923701155</t>
  </si>
  <si>
    <t>114.698124449343 1170.20327097594 -298.656439700534</t>
  </si>
  <si>
    <t>139.9239521256 1072.3064697685 145.682994119655</t>
  </si>
  <si>
    <t>93.4535238835276 1229.83720786022 586.070150566638</t>
  </si>
  <si>
    <t>44.7737280772656 1093.81711179329 686.431595578776</t>
  </si>
  <si>
    <t>9763-20170724T170035.164592500.bin</t>
  </si>
  <si>
    <t>178.054514968122 1180.77114840431 -291.554566206034</t>
  </si>
  <si>
    <t>180.873771472162 1195.12456133945 -411.778705126586</t>
  </si>
  <si>
    <t>194.499931768793 1192.89943492053 -532.194510700156</t>
  </si>
  <si>
    <t>210.868116617337 1183.93701415381 -640.113756248365</t>
  </si>
  <si>
    <t>231.084042279411 1168.09580270709 -746.58087950696</t>
  </si>
  <si>
    <t>263.004415291293 1138.90049362936 -892.624453454692</t>
  </si>
  <si>
    <t>270.000525793579 1090.69686690381 -982.12564246282</t>
  </si>
  <si>
    <t>279.871158254488 1150.65534604011 -820.998603594322</t>
  </si>
  <si>
    <t>413.158760471146 1119.69835619642 -767.079507024422</t>
  </si>
  <si>
    <t>336.751380781871 1060.70063594169 -465.637374926354</t>
  </si>
  <si>
    <t>239.280601043876 843.167520537554 -361.614116897119</t>
  </si>
  <si>
    <t>217.890115483342 1152.98161469843 -835.010692547181</t>
  </si>
  <si>
    <t>73.5081310344192 1166.57720556818 -859.526436502663</t>
  </si>
  <si>
    <t>-138.24854597323 974.3231554647 -723.939914744892</t>
  </si>
  <si>
    <t>-8.95929299282398 787.329753431249 -850.271861635914</t>
  </si>
  <si>
    <t>275.8525645278 1184.59360669595 -288.503753362314</t>
  </si>
  <si>
    <t>330.364352792434 1238.47911904524 160.698236352012</t>
  </si>
  <si>
    <t>387.776271045335 1318.21534352456 619.791291572217</t>
  </si>
  <si>
    <t>492.092786077358 1194.88163818482 689.436254326856</t>
  </si>
  <si>
    <t>80.6940733842887 1176.51124805383 -293.967196154234</t>
  </si>
  <si>
    <t>84.0488505370445 1083.4848829625 152.118664886676</t>
  </si>
  <si>
    <t>38.1681439922099 1257.40754937026 586.174996487734</t>
  </si>
  <si>
    <t>-26.9904036732228 1129.83248087722 688.265655204486</t>
  </si>
  <si>
    <t>9763-20170724T170035.197596000.bin</t>
  </si>
  <si>
    <t>157.585703336422 1179.59625863092 -288.968833672504</t>
  </si>
  <si>
    <t>160.699425308537 1193.28514089008 -409.263219239334</t>
  </si>
  <si>
    <t>174.523179940804 1190.02909626905 -529.632904957306</t>
  </si>
  <si>
    <t>191.051883669474 1180.01648592894 -637.435476692465</t>
  </si>
  <si>
    <t>211.426544376669 1163.02426986546 -743.694576986282</t>
  </si>
  <si>
    <t>243.578797480827 1132.14109067127 -889.339482739215</t>
  </si>
  <si>
    <t>250.491948730454 1082.94010616857 -978.302830179168</t>
  </si>
  <si>
    <t>260.302261026484 1144.37651576618 -817.760555781397</t>
  </si>
  <si>
    <t>392.924767660504 1112.30082454267 -763.060510187449</t>
  </si>
  <si>
    <t>317.171514592729 1055.43005741361 -461.044987463395</t>
  </si>
  <si>
    <t>229.26150246096 835.288687782449 -354.03233978814</t>
  </si>
  <si>
    <t>198.402616912716 1147.23536354068 -832.031630942225</t>
  </si>
  <si>
    <t>54.284213394061 1163.02490616976 -856.598903603403</t>
  </si>
  <si>
    <t>-166.956669712456 981.290244920553 -721.650097821716</t>
  </si>
  <si>
    <t>-34.3003067848204 795.207734853923 -845.818088827466</t>
  </si>
  <si>
    <t>255.419107307989 1181.02194283957 -285.992029313127</t>
  </si>
  <si>
    <t>319.629049494814 1233.66588748471 162.074164739523</t>
  </si>
  <si>
    <t>385.919139232406 1317.6726178044 619.338709082685</t>
  </si>
  <si>
    <t>491.219532842334 1194.49865232454 687.774487124415</t>
  </si>
  <si>
    <t>60.3614859804609 1177.49506174312 -291.262798204966</t>
  </si>
  <si>
    <t>54.446910132295 1088.1886840925 155.555987023268</t>
  </si>
  <si>
    <t>14.5735969213308 1270.54109176753 586.70725208716</t>
  </si>
  <si>
    <t>-60.7560059374268 1149.65901747948 689.937364269247</t>
  </si>
  <si>
    <t>9763-20170724T170035.260795600.bin</t>
  </si>
  <si>
    <t>109.209036896196 1176.70033305609 -281.502243554864</t>
  </si>
  <si>
    <t>113.16221811121 1188.14347060033 -402.006214875996</t>
  </si>
  <si>
    <t>127.291080292761 1182.51447430788 -522.252880505203</t>
  </si>
  <si>
    <t>143.921039459907 1170.35797568592 -629.819227416972</t>
  </si>
  <si>
    <t>164.255897774447 1151.25141907117 -735.726221723231</t>
  </si>
  <si>
    <t>196.235528466886 1117.48537036299 -880.768117623007</t>
  </si>
  <si>
    <t>202.961325078095 1066.32673099637 -968.634800287692</t>
  </si>
  <si>
    <t>212.983113608504 1130.5332548518 -809.338524219655</t>
  </si>
  <si>
    <t>344.78294539164 1096.99032130612 -753.29394388549</t>
  </si>
  <si>
    <t>267.305450573977 1041.34302698126 -451.488003347623</t>
  </si>
  <si>
    <t>202.205149240561 819.050255647001 -333.208844202863</t>
  </si>
  <si>
    <t>151.187956713854 1134.31829383201 -823.844668393611</t>
  </si>
  <si>
    <t>7.51930383120907 1153.47747612081 -848.575283712755</t>
  </si>
  <si>
    <t>-230.234977325364 994.19419388991 -713.342310120767</t>
  </si>
  <si>
    <t>-91.5055747771062 810.168005309963 -833.884903046138</t>
  </si>
  <si>
    <t>206.747415277135 1174.5196208737 -278.051322025755</t>
  </si>
  <si>
    <t>294.415616964107 1223.36127288536 166.455539940241</t>
  </si>
  <si>
    <t>382.383206256351 1315.99372806682 618.695776374333</t>
  </si>
  <si>
    <t>488.181683444793 1192.36078790448 685.516897040872</t>
  </si>
  <si>
    <t>11.9685684543606 1178.12492420255 -283.890142996484</t>
  </si>
  <si>
    <t>-4.3587306300301 1096.34445942022 164.108756148552</t>
  </si>
  <si>
    <t>-15.6905851488705 1295.16385372023 589.794344212513</t>
  </si>
  <si>
    <t>-104.019381286178 1189.3499881069 699.087571782801</t>
  </si>
  <si>
    <t>9763-20170724T170035.296896200.bin</t>
  </si>
  <si>
    <t>80.1678939443066 1176.14059784386 -275.768491070033</t>
  </si>
  <si>
    <t>84.4675580651692 1185.96319238456 -396.403599477827</t>
  </si>
  <si>
    <t>98.6201384601593 1178.79662967433 -516.565663478366</t>
  </si>
  <si>
    <t>115.155493931014 1165.30639762979 -623.987526277724</t>
  </si>
  <si>
    <t>135.293376127725 1144.93328659151 -729.695805776983</t>
  </si>
  <si>
    <t>166.903810180984 1109.48462813929 -874.41688116514</t>
  </si>
  <si>
    <t>173.506831937311 1057.26579144599 -961.666922454138</t>
  </si>
  <si>
    <t>183.785292212407 1122.95049180434 -803.096371918057</t>
  </si>
  <si>
    <t>315.433747725838 1088.74243151749 -747.070706874752</t>
  </si>
  <si>
    <t>240.366532297876 1035.53521930016 -444.217411139342</t>
  </si>
  <si>
    <t>184.569610207538 814.765984560822 -318.560351590208</t>
  </si>
  <si>
    <t>122.049044482358 1127.38888766978 -817.668297239966</t>
  </si>
  <si>
    <t>-21.3289920789505 1148.29985131044 -842.428740021051</t>
  </si>
  <si>
    <t>-266.183739645424 999.281897363914 -708.167887518908</t>
  </si>
  <si>
    <t>-124.868850219168 816.237185648241 -827.192321313395</t>
  </si>
  <si>
    <t>177.594527441677 1172.43026952309 -272.013756283559</t>
  </si>
  <si>
    <t>279.711570941436 1215.93711208557 169.955672023857</t>
  </si>
  <si>
    <t>380.663120570845 1314.59721126278 618.510612902517</t>
  </si>
  <si>
    <t>486.500980901681 1190.9612061062 685.264084060271</t>
  </si>
  <si>
    <t>-17.5029434573953 1179.1787305429 -278.220145885578</t>
  </si>
  <si>
    <t>-33.7121915458454 1101.15740013147 170.453028439315</t>
  </si>
  <si>
    <t>-23.1192347515928 1306.97845696552 594.09801246569</t>
  </si>
  <si>
    <t>-111.064061194542 1199.80156142899 702.36733847273</t>
  </si>
  <si>
    <t>9763-20170724T170035.367585600.bin</t>
  </si>
  <si>
    <t>15.4031133046797 1173.60769006 -258.882186933656</t>
  </si>
  <si>
    <t>20.0527325119469 1182.68534642914 -379.562776323504</t>
  </si>
  <si>
    <t>34.494400842487 1173.0108047851 -499.514392244273</t>
  </si>
  <si>
    <t>51.2623111101286 1156.58612476687 -606.490562072114</t>
  </si>
  <si>
    <t>71.6013544847315 1132.64782065096 -711.410307874339</t>
  </si>
  <si>
    <t>103.452194285585 1091.62595321414 -854.598035077919</t>
  </si>
  <si>
    <t>110.653400901796 1036.50261335136 -939.99443483154</t>
  </si>
  <si>
    <t>120.149341589127 1107.34925365929 -783.697380090297</t>
  </si>
  <si>
    <t>251.502036519697 1072.57041725343 -728.295739764639</t>
  </si>
  <si>
    <t>192.403306205703 1030.61228812685 -420.183573540202</t>
  </si>
  <si>
    <t>148.84833342662 812.085150107571 -286.05337797541</t>
  </si>
  <si>
    <t>58.5689954319787 1112.20439135182 -798.786358062942</t>
  </si>
  <si>
    <t>-85.520988674811 1132.87150109286 -821.24437851404</t>
  </si>
  <si>
    <t>-341.188000057995 1005.13927748787 -685.211382490902</t>
  </si>
  <si>
    <t>-198.436304329301 821.127970425039 -800.98674826276</t>
  </si>
  <si>
    <t>112.393252971212 1167.37556543092 -253.523861599029</t>
  </si>
  <si>
    <t>247.399104287322 1191.46064150358 181.046055064056</t>
  </si>
  <si>
    <t>377.256869262374 1311.9228529146 618.127414175875</t>
  </si>
  <si>
    <t>483.613282889996 1188.69476393065 684.810792616902</t>
  </si>
  <si>
    <t>-82.8732555564111 1179.0725672943 -262.466362897137</t>
  </si>
  <si>
    <t>-85.9944363455948 1110.87266067986 188.085237045337</t>
  </si>
  <si>
    <t>-34.8991254798036 1313.63161583077 608.76779676731</t>
  </si>
  <si>
    <t>-129.291309584042 1197.71653237548 701.48928158016</t>
  </si>
  <si>
    <t>9763-20170724T170035.394137000.bin</t>
  </si>
  <si>
    <t>-19.2042114043606 1174.89294264934 -247.514327352116</t>
  </si>
  <si>
    <t>-12.2099447346959 1183.94022528891 -368.083973172446</t>
  </si>
  <si>
    <t>3.60491629960029 1172.65426187586 -487.721308686608</t>
  </si>
  <si>
    <t>21.2490368896072 1154.18734028084 -594.222504130368</t>
  </si>
  <si>
    <t>42.1170073157816 1127.66269476678 -698.413745709986</t>
  </si>
  <si>
    <t>74.3569924065025 1082.51981566131 -840.268341990212</t>
  </si>
  <si>
    <t>81.9246923774838 1025.22269041474 -924.18946332244</t>
  </si>
  <si>
    <t>90.884013121927 1100.44927594356 -769.853008134533</t>
  </si>
  <si>
    <t>222.875309444664 1067.2254544661 -714.395204823726</t>
  </si>
  <si>
    <t>171.468602660863 1030.85829595286 -404.200085585553</t>
  </si>
  <si>
    <t>134.633351421287 810.900444076493 -270.394880369497</t>
  </si>
  <si>
    <t>29.299578684042 1104.53907653018 -785.151149728306</t>
  </si>
  <si>
    <t>-115.059177904086 1123.09081351255 -806.238600026677</t>
  </si>
  <si>
    <t>-378.664631831029 1014.41665501168 -668.804132036978</t>
  </si>
  <si>
    <t>-240.147321421279 825.640365767948 -782.023217807342</t>
  </si>
  <si>
    <t>77.510670931041 1167.84867077022 -240.050394195364</t>
  </si>
  <si>
    <t>230.844648749967 1170.08551812759 189.066602422508</t>
  </si>
  <si>
    <t>373.24730650777 1309.97735636018 617.432505221891</t>
  </si>
  <si>
    <t>480.736406522625 1186.93886012037 682.633367449907</t>
  </si>
  <si>
    <t>-116.249038500556 1182.92284020964 -253.345134688362</t>
  </si>
  <si>
    <t>-111.041783883478 1112.27997381485 196.810509097561</t>
  </si>
  <si>
    <t>-37.7638272882969 1311.6222527666 615.955164646989</t>
  </si>
  <si>
    <t>-134.233923589498 1193.93139802083 704.192925809774</t>
  </si>
  <si>
    <t>9763-20170724T170035.464315500.bin</t>
  </si>
  <si>
    <t>-73.6619380191034 1172.46932847562 -224.433932338655</t>
  </si>
  <si>
    <t>-62.6475814004593 1182.47814508549 -344.62668832899</t>
  </si>
  <si>
    <t>-45.4398363932316 1169.57067909801 -463.907177635647</t>
  </si>
  <si>
    <t>-27.4858573704453 1148.67271423238 -569.906194529636</t>
  </si>
  <si>
    <t>-7.18144026531036 1118.81742692403 -673.304768306662</t>
  </si>
  <si>
    <t>23.4341989425261 1068.17910322287 -813.655857802637</t>
  </si>
  <si>
    <t>30.8697622506156 1008.13851139215 -895.648600809756</t>
  </si>
  <si>
    <t>40.7845501559227 1088.96871215 -744.232015601135</t>
  </si>
  <si>
    <t>173.990175912337 1058.69828928011 -689.611077955648</t>
  </si>
  <si>
    <t>132.167530135678 1037.51893995191 -376.579952225876</t>
  </si>
  <si>
    <t>108.630282243594 812.865465890815 -247.665827750108</t>
  </si>
  <si>
    <t>-21.0090521956972 1092.20136413618 -758.877699920794</t>
  </si>
  <si>
    <t>-165.664853937428 1110.77790362902 -777.834066927936</t>
  </si>
  <si>
    <t>-441.353569313613 1038.4342634578 -640.181050881856</t>
  </si>
  <si>
    <t>-314.242558202802 837.176925240173 -744.968068784149</t>
  </si>
  <si>
    <t>21.5438286579531 1162.25076732793 -215.719374311336</t>
  </si>
  <si>
    <t>186.682693325214 1104.43390172881 205.04664572853</t>
  </si>
  <si>
    <t>341.696192461184 1285.51256833443 611.100808285708</t>
  </si>
  <si>
    <t>464.910506828295 1172.80186255951 666.400145511116</t>
  </si>
  <si>
    <t>-167.009319607272 1180.70370131466 -233.593172404812</t>
  </si>
  <si>
    <t>-139.367152771343 1122.65575293452 217.543201588767</t>
  </si>
  <si>
    <t>-39.453656970471 1314.37052073145 631.605910984479</t>
  </si>
  <si>
    <t>-134.309289522923 1194.04621903729 718.023407622674</t>
  </si>
  <si>
    <t>9763-20170724T170035.498032100.bin</t>
  </si>
  <si>
    <t>-92.0403502248485 1164.89082277093 -221.123038434132</t>
  </si>
  <si>
    <t>-80.670834974135 1177.24229960411 -341.06454632686</t>
  </si>
  <si>
    <t>-63.884899280245 1165.01377805335 -460.476749673948</t>
  </si>
  <si>
    <t>-46.5620265974705 1144.07324056985 -566.572290211561</t>
  </si>
  <si>
    <t>-27.0980544034401 1113.54962390474 -669.937155120583</t>
  </si>
  <si>
    <t>2.16570474143441 1061.3680789402 -810.011142179268</t>
  </si>
  <si>
    <t>9.06886633040472 1000.38017112097 -891.348806260432</t>
  </si>
  <si>
    <t>20.1667818126111 1082.79163056412 -740.946728158106</t>
  </si>
  <si>
    <t>153.956858477361 1053.21132252183 -687.411985150212</t>
  </si>
  <si>
    <t>115.160063718841 1041.40997445359 -373.498359143003</t>
  </si>
  <si>
    <t>96.8918311118568 813.779704229484 -249.02858739787</t>
  </si>
  <si>
    <t>-41.7320405900543 1086.12174660331 -755.11888496165</t>
  </si>
  <si>
    <t>-186.45537186445 1105.69126746033 -772.676288487537</t>
  </si>
  <si>
    <t>-463.733105988429 1043.74724677412 -633.154931534306</t>
  </si>
  <si>
    <t>-344.121137127043 836.411981850007 -734.87580904991</t>
  </si>
  <si>
    <t>3.28549992431385 1152.54172891838 -212.906631927178</t>
  </si>
  <si>
    <t>171.543209368809 1063.1868629135 201.053157478609</t>
  </si>
  <si>
    <t>310.974816574578 1273.23912379368 598.397335821335</t>
  </si>
  <si>
    <t>433.952760330032 1158.81158277813 650.611274711338</t>
  </si>
  <si>
    <t>-187.59180757447 1177.68635573187 -230.238292487039</t>
  </si>
  <si>
    <t>-149.520075580587 1123.96621623267 220.674556872795</t>
  </si>
  <si>
    <t>-42.0453503030806 1315.05826408899 633.249755550038</t>
  </si>
  <si>
    <t>-134.360087966102 1194.2793412077 721.759122805713</t>
  </si>
  <si>
    <t>9763-20170724T170035.561199900.bin</t>
  </si>
  <si>
    <t>-124.183137245563 1152.37995090129 -221.709055864909</t>
  </si>
  <si>
    <t>-115.493727716805 1167.42999741101 -341.566527836193</t>
  </si>
  <si>
    <t>-101.821337588337 1155.96809516012 -461.450806565734</t>
  </si>
  <si>
    <t>-87.2986235594287 1134.97208635562 -567.954811158953</t>
  </si>
  <si>
    <t>-70.5059141143704 1103.69537378364 -671.562887062424</t>
  </si>
  <si>
    <t>-44.7235628940291 1049.80376937265 -811.673367154121</t>
  </si>
  <si>
    <t>-39.1882951921464 987.747910298889 -892.304752908825</t>
  </si>
  <si>
    <t>-25.0359417976103 1071.90397101086 -743.28553498188</t>
  </si>
  <si>
    <t>110.319087105877 1043.24958684858 -693.433522946492</t>
  </si>
  <si>
    <t>81.1513220028876 1053.1414616436 -378.413568065304</t>
  </si>
  <si>
    <t>72.9552850393031 821.50464343721 -260.433756022059</t>
  </si>
  <si>
    <t>-87.2269483465473 1075.39434652526 -756.072091331325</t>
  </si>
  <si>
    <t>-231.757628710826 1097.64200459375 -771.324082621938</t>
  </si>
  <si>
    <t>-506.628249275652 1041.65477526873 -624.703095597109</t>
  </si>
  <si>
    <t>-401.550709235158 824.701239144498 -722.334514632109</t>
  </si>
  <si>
    <t>-26.5001711376597 1134.80750583551 -217.274457567175</t>
  </si>
  <si>
    <t>98.4601748176426 999.833227649039 199.648284214905</t>
  </si>
  <si>
    <t>202.964893895465 1240.95130720212 586.81834936338</t>
  </si>
  <si>
    <t>300.567573464361 1109.75265163256 651.657561998905</t>
  </si>
  <si>
    <t>-221.193365617267 1170.90656240193 -226.48460573359</t>
  </si>
  <si>
    <t>-169.211511083207 1127.84803720007 224.183286339236</t>
  </si>
  <si>
    <t>-44.4152871943677 1316.83334395852 635.170418525772</t>
  </si>
  <si>
    <t>-135.508776231643 1196.27929461158 725.238072001281</t>
  </si>
  <si>
    <t>9763-20170724T170035.595619500.bin</t>
  </si>
  <si>
    <t>-139.817716479024 1145.28869987613 -220.881684790304</t>
  </si>
  <si>
    <t>-132.296282000406 1158.54560239584 -341.029483105395</t>
  </si>
  <si>
    <t>-120.398364552924 1146.00913911617 -460.99547894943</t>
  </si>
  <si>
    <t>-107.606610372348 1124.35331411418 -567.589424866989</t>
  </si>
  <si>
    <t>-92.5955633578208 1092.73202347658 -671.366063868587</t>
  </si>
  <si>
    <t>-69.2739021658454 1038.68819369034 -811.848812157599</t>
  </si>
  <si>
    <t>-64.5865078014119 976.521562198223 -892.44835564235</t>
  </si>
  <si>
    <t>-48.3820712802519 1060.92780749956 -743.864452213823</t>
  </si>
  <si>
    <t>88.0552384130001 1033.13660244184 -696.806599462103</t>
  </si>
  <si>
    <t>65.1323030840558 1053.72034617349 -381.787527274143</t>
  </si>
  <si>
    <t>62.7389016829636 820.02871472047 -267.662400289331</t>
  </si>
  <si>
    <t>-110.803801678794 1064.27439516568 -755.514758753688</t>
  </si>
  <si>
    <t>-255.718080214484 1085.90109968377 -768.459753076023</t>
  </si>
  <si>
    <t>-527.445313826905 1025.31192051777 -617.862806565553</t>
  </si>
  <si>
    <t>-427.563362895668 805.213137875053 -713.894836036661</t>
  </si>
  <si>
    <t>-42.7363960529165 1127.78433745518 -216.195886799945</t>
  </si>
  <si>
    <t>54.0057813616331 967.403464666139 199.227559122635</t>
  </si>
  <si>
    <t>140.045786415958 1214.74983495415 587.27627765186</t>
  </si>
  <si>
    <t>222.300437498448 1077.50592397235 660.363617277235</t>
  </si>
  <si>
    <t>-235.89439248928 1164.49696500119 -225.25796892592</t>
  </si>
  <si>
    <t>-178.405061349006 1131.96019868504 225.623390621558</t>
  </si>
  <si>
    <t>-45.4530744160677 1317.81959645674 635.774961951776</t>
  </si>
  <si>
    <t>-135.808065590239 1196.79778448334 725.959218301599</t>
  </si>
  <si>
    <t>9763-20170724T170035.663800500.bin</t>
  </si>
  <si>
    <t>-169.878454544666 1127.17735834866 -217.360881986354</t>
  </si>
  <si>
    <t>-161.88944377678 1138.49305586431 -337.676845859667</t>
  </si>
  <si>
    <t>-152.440404723749 1125.16752136519 -457.775651209286</t>
  </si>
  <si>
    <t>-142.80554678368 1103.23380843802 -564.644338468596</t>
  </si>
  <si>
    <t>-131.736996835257 1071.74189238154 -668.954583929841</t>
  </si>
  <si>
    <t>-114.567573825278 1018.2750167385 -810.540115459837</t>
  </si>
  <si>
    <t>-112.104078671558 956.727317116314 -891.711668826664</t>
  </si>
  <si>
    <t>-90.7040172545719 1040.49034464667 -743.533330476705</t>
  </si>
  <si>
    <t>48.2548817791994 1014.77837691662 -702.873810027884</t>
  </si>
  <si>
    <t>39.6937023742466 1059.00189838462 -389.573412844657</t>
  </si>
  <si>
    <t>51.5015354833843 821.900512451784 -283.339859115762</t>
  </si>
  <si>
    <t>-153.62500618657 1043.37468551467 -752.252615972965</t>
  </si>
  <si>
    <t>-299.279434136523 1062.39517106496 -759.233165241057</t>
  </si>
  <si>
    <t>-559.197140202408 978.222049500442 -599.40876101856</t>
  </si>
  <si>
    <t>-461.360822517683 756.41266625003 -693.593067728739</t>
  </si>
  <si>
    <t>-75.0482371325802 1102.71990858108 -212.959638895593</t>
  </si>
  <si>
    <t>-31.3987781503843 904.705200129468 195.136640159945</t>
  </si>
  <si>
    <t>8.95768858288375 1137.5460677021 600.715711796048</t>
  </si>
  <si>
    <t>66.9925523912184 992.64052813536 681.819468927642</t>
  </si>
  <si>
    <t>-264.027609023628 1152.0028412431 -221.177342936271</t>
  </si>
  <si>
    <t>-196.272850815516 1136.60711488326 229.18912841656</t>
  </si>
  <si>
    <t>-47.563855279983 1318.7913061679 635.644641625428</t>
  </si>
  <si>
    <t>-136.932503136759 1198.32934947389 727.545025055777</t>
  </si>
  <si>
    <t>9763-20170724T170035.696492700.bin</t>
  </si>
  <si>
    <t>-183.231743639066 1115.66873784006 -214.505403719838</t>
  </si>
  <si>
    <t>-174.895504212371 1126.39486310597 -334.851791323999</t>
  </si>
  <si>
    <t>-166.676960057918 1112.95803603097 -455.028652749313</t>
  </si>
  <si>
    <t>-158.661687275888 1091.07848457985 -562.04220262911</t>
  </si>
  <si>
    <t>-149.633960549379 1059.77514909662 -666.605366249091</t>
  </si>
  <si>
    <t>-135.660764863206 1006.69347254185 -808.68657182695</t>
  </si>
  <si>
    <t>-134.089976125316 945.579102120215 -890.20686398438</t>
  </si>
  <si>
    <t>-110.262365813613 1029.10029054262 -742.310511468667</t>
  </si>
  <si>
    <t>29.8182001705206 1005.08178029304 -705.14502309324</t>
  </si>
  <si>
    <t>32.0910053667214 1060.82941954248 -393.579348967645</t>
  </si>
  <si>
    <t>52.6378830274625 822.432533892465 -291.663729467034</t>
  </si>
  <si>
    <t>-173.424600141386 1031.26053076654 -749.329319757116</t>
  </si>
  <si>
    <t>-319.614999876926 1047.36612616942 -752.628222416009</t>
  </si>
  <si>
    <t>-569.808346314838 948.11720511648 -586.07748458625</t>
  </si>
  <si>
    <t>-470.112659427098 727.447729162049 -680.986877412877</t>
  </si>
  <si>
    <t>-88.970192857802 1087.98932652536 -210.336134854964</t>
  </si>
  <si>
    <t>-75.9391312370626 882.322686171306 196.098408252778</t>
  </si>
  <si>
    <t>-63.6407048990945 1094.03074442887 615.075302166386</t>
  </si>
  <si>
    <t>-18.0959693024595 945.409380473796 697.421371303465</t>
  </si>
  <si>
    <t>-276.948140584599 1143.06898942106 -218.423789580102</t>
  </si>
  <si>
    <t>-203.920259604111 1136.72415451755 231.336546656677</t>
  </si>
  <si>
    <t>-47.3336487603124 1318.58999185413 635.191259322249</t>
  </si>
  <si>
    <t>-137.905829503282 1198.9555202944 726.994351670675</t>
  </si>
  <si>
    <t>9763-20170724T170035.767683900.bin</t>
  </si>
  <si>
    <t>-207.460814484906 1088.35006412322 -208.129854914434</t>
  </si>
  <si>
    <t>-200.272314339601 1096.70841294006 -328.737853078546</t>
  </si>
  <si>
    <t>-195.263325760035 1082.03265814912 -448.946305690627</t>
  </si>
  <si>
    <t>-190.753013353712 1059.42552238216 -556.013645311685</t>
  </si>
  <si>
    <t>-185.687367782072 1027.75432323881 -660.733003814277</t>
  </si>
  <si>
    <t>-177.563108023046 974.51034106433 -803.207857408431</t>
  </si>
  <si>
    <t>-177.208146602431 914.060530724995 -885.236309312984</t>
  </si>
  <si>
    <t>-149.418632059558 997.938173064287 -738.308276944669</t>
  </si>
  <si>
    <t>-6.47019783279052 980.871159160576 -708.071329150243</t>
  </si>
  <si>
    <t>17.8617883724148 1057.17506854401 -401.849357582919</t>
  </si>
  <si>
    <t>59.0217280443162 817.667530413319 -309.19912618468</t>
  </si>
  <si>
    <t>-212.897058797675 998.20033876455 -742.026035093802</t>
  </si>
  <si>
    <t>-359.639948256834 1006.11081936546 -737.570415131274</t>
  </si>
  <si>
    <t>-581.483607424742 876.531414581143 -552.69000714661</t>
  </si>
  <si>
    <t>-477.712909534918 662.294887556684 -657.458409484162</t>
  </si>
  <si>
    <t>-115.118267643416 1055.87498513517 -204.775106173709</t>
  </si>
  <si>
    <t>-151.7474083589 869.251266424742 209.335277187185</t>
  </si>
  <si>
    <t>-203.727701269842 1015.89383181772 652.414466945339</t>
  </si>
  <si>
    <t>-185.949780430795 864.205985815448 739.69700667494</t>
  </si>
  <si>
    <t>-299.56845530503 1119.5598706566 -211.110652930423</t>
  </si>
  <si>
    <t>-215.986706438615 1135.98934761581 236.551964154018</t>
  </si>
  <si>
    <t>-43.9406180802121 1317.93002439913 635.320686613866</t>
  </si>
  <si>
    <t>-139.767691235137 1199.91444679709 723.824781549152</t>
  </si>
  <si>
    <t>9763-20170724T170035.799772800.bin</t>
  </si>
  <si>
    <t>-220.056807195138 1071.81199899024 -205.334328326288</t>
  </si>
  <si>
    <t>-214.738994267463 1078.43186927229 -326.14712044295</t>
  </si>
  <si>
    <t>-211.608803996964 1062.85354526238 -446.305643459003</t>
  </si>
  <si>
    <t>-208.701878800338 1039.76757788918 -553.326404762454</t>
  </si>
  <si>
    <t>-205.08677730923 1007.9550357167 -658.062858780832</t>
  </si>
  <si>
    <t>-198.768488614074 954.867063003964 -800.687345587447</t>
  </si>
  <si>
    <t>-198.301520300523 894.919417533768 -883.083241074377</t>
  </si>
  <si>
    <t>-169.797738338306 978.848801633637 -736.356393529822</t>
  </si>
  <si>
    <t>-25.8828450174728 966.566944441579 -708.58756466331</t>
  </si>
  <si>
    <t>10.322450500146 1052.81311078766 -406.201975579918</t>
  </si>
  <si>
    <t>63.0083652094661 813.441873146664 -319.209530462258</t>
  </si>
  <si>
    <t>-233.330645807592 977.864546710752 -738.804491514141</t>
  </si>
  <si>
    <t>-380.016129144232 980.563262434513 -731.021034250045</t>
  </si>
  <si>
    <t>-585.49616393501 839.32996274172 -536.040805527728</t>
  </si>
  <si>
    <t>-477.915555760236 629.962383934953 -646.646709017715</t>
  </si>
  <si>
    <t>-128.082021558204 1038.57068201576 -202.319576442779</t>
  </si>
  <si>
    <t>-179.135380255969 872.016544390945 218.763526734869</t>
  </si>
  <si>
    <t>-263.636427202526 986.823443697516 667.137339721076</t>
  </si>
  <si>
    <t>-256.435399112789 836.177065940553 757.676201339592</t>
  </si>
  <si>
    <t>-311.171425882765 1104.50804143303 -206.797141321048</t>
  </si>
  <si>
    <t>-222.695078736995 1135.36268872994 239.159735253959</t>
  </si>
  <si>
    <t>-43.0958870164477 1317.58000580097 635.069486858095</t>
  </si>
  <si>
    <t>-141.594540600298 1201.24801352948 722.866748589472</t>
  </si>
  <si>
    <t>9763-20170724T170035.866951600.bin</t>
  </si>
  <si>
    <t>-257.261653957664 1032.55673136059 -195.771879255894</t>
  </si>
  <si>
    <t>-255.359867316885 1033.71019283328 -316.862248263967</t>
  </si>
  <si>
    <t>-254.869668542132 1014.58402348568 -436.547333930936</t>
  </si>
  <si>
    <t>-253.991876415395 989.112677697922 -543.061542348255</t>
  </si>
  <si>
    <t>-252.029359870429 955.750337434073 -647.359087907065</t>
  </si>
  <si>
    <t>-247.60125596613 901.385177475965 -789.572953342699</t>
  </si>
  <si>
    <t>-246.958163783934 843.326379099457 -873.309025553994</t>
  </si>
  <si>
    <t>-217.79656926103 926.726529447616 -726.150436776576</t>
  </si>
  <si>
    <t>-73.281668046814 922.848029999725 -698.941028371325</t>
  </si>
  <si>
    <t>-14.4408026483634 1029.04639034302 -406.629891792717</t>
  </si>
  <si>
    <t>60.8658568612782 791.062403079934 -333.592180003908</t>
  </si>
  <si>
    <t>-281.324404616151 924.154124935201 -727.145083938353</t>
  </si>
  <si>
    <t>-427.413688213628 916.274253561603 -714.901509693423</t>
  </si>
  <si>
    <t>-601.956007888219 755.737132500142 -505.261482210318</t>
  </si>
  <si>
    <t>-489.558628880381 554.155525917304 -625.152201655124</t>
  </si>
  <si>
    <t>-163.972641990706 997.336536974742 -192.890423111927</t>
  </si>
  <si>
    <t>-229.717365824547 875.439179603447 241.248163986978</t>
  </si>
  <si>
    <t>-327.018055158449 981.581002266956 688.82404932601</t>
  </si>
  <si>
    <t>-326.077322832115 829.194623770034 776.694009462524</t>
  </si>
  <si>
    <t>-349.074573753705 1064.91353479412 -195.23306093077</t>
  </si>
  <si>
    <t>-251.59609745946 1123.88768395395 245.989890569486</t>
  </si>
  <si>
    <t>-53.0286063634037 1318.06305162535 628.717534009008</t>
  </si>
  <si>
    <t>-148.703606935879 1207.57230230017 726.602919722051</t>
  </si>
  <si>
    <t>9763-20170724T170035.897552800.bin</t>
  </si>
  <si>
    <t>-285.200327099506 1005.84999810289 -210.840267701584</t>
  </si>
  <si>
    <t>-283.870603939411 1007.43513364279 -331.9333425354</t>
  </si>
  <si>
    <t>-284.09633790893 987.594776673259 -451.502912510013</t>
  </si>
  <si>
    <t>-283.903528545948 961.032385978783 -557.753711540652</t>
  </si>
  <si>
    <t>-282.650483237973 926.150632760274 -661.563817218274</t>
  </si>
  <si>
    <t>-279.222584786255 869.247705816691 -802.809506662983</t>
  </si>
  <si>
    <t>-279.370919297871 813.306375263186 -887.97714347514</t>
  </si>
  <si>
    <t>-248.958941354827 895.238434888561 -739.868873117868</t>
  </si>
  <si>
    <t>-104.994919919244 893.01949046707 -710.380790870724</t>
  </si>
  <si>
    <t>-37.3539081134791 1014.23778754403 -425.921599543006</t>
  </si>
  <si>
    <t>51.3572104177631 779.382040480525 -357.986730328353</t>
  </si>
  <si>
    <t>-312.519739390346 893.612510452057 -740.756573025443</t>
  </si>
  <si>
    <t>-458.662787883015 882.856478448552 -727.603354832694</t>
  </si>
  <si>
    <t>-615.433537096677 714.973165367351 -509.832010113621</t>
  </si>
  <si>
    <t>-503.046246386121 514.535848555662 -631.635322605537</t>
  </si>
  <si>
    <t>-195.344162808764 969.383193483653 -211.493777144468</t>
  </si>
  <si>
    <t>-255.176117760808 873.055985369097 229.866573058201</t>
  </si>
  <si>
    <t>-324.846094649597 995.082628037788 674.815679848203</t>
  </si>
  <si>
    <t>-332.549254188713 838.247466873378 754.105511174784</t>
  </si>
  <si>
    <t>-377.914958511746 1038.42561081558 -206.903754964916</t>
  </si>
  <si>
    <t>-285.906663047954 1093.90682220339 235.943785977316</t>
  </si>
  <si>
    <t>-69.9059306495806 1314.25442222965 591.356691493337</t>
  </si>
  <si>
    <t>-152.23920113214 1207.83056341848 704.664582561822</t>
  </si>
  <si>
    <t>9763-20170724T170035.965733400.bin</t>
  </si>
  <si>
    <t>-339.260043623289 1001.73843474012 -235.357506435202</t>
  </si>
  <si>
    <t>-339.126852587897 1004.96713539106 -356.425069194858</t>
  </si>
  <si>
    <t>-340.358144779414 986.071158037478 -476.141392369275</t>
  </si>
  <si>
    <t>-341.066522199273 960.084612811545 -582.532373053478</t>
  </si>
  <si>
    <t>-340.750474614018 925.501321997147 -686.449346029382</t>
  </si>
  <si>
    <t>-338.701599308889 868.72089361954 -827.771043157816</t>
  </si>
  <si>
    <t>-340.343194723922 817.062907918901 -915.587539437288</t>
  </si>
  <si>
    <t>-307.817218733514 894.040866417288 -764.858695124574</t>
  </si>
  <si>
    <t>-164.659567068188 884.909304357453 -733.060072207918</t>
  </si>
  <si>
    <t>-100.251363412197 1028.65566350425 -458.515592915036</t>
  </si>
  <si>
    <t>24.2946704815115 811.884256363819 -386.81799687479</t>
  </si>
  <si>
    <t>-371.39911846585 893.6481573257 -765.622548019817</t>
  </si>
  <si>
    <t>-518.16847555527 886.68804835887 -757.175542895106</t>
  </si>
  <si>
    <t>-618.277598502581 715.506832740572 -510.47447017088</t>
  </si>
  <si>
    <t>-500.686826710723 519.895073918745 -635.176078769786</t>
  </si>
  <si>
    <t>-245.312521786244 973.083880798651 -236.745690882993</t>
  </si>
  <si>
    <t>-280.727798251345 864.346886935818 204.366217769784</t>
  </si>
  <si>
    <t>-324.528790198176 990.057323161866 653.873159002585</t>
  </si>
  <si>
    <t>-343.168854100997 838.304790825599 740.862683549636</t>
  </si>
  <si>
    <t>-434.589229506174 1037.94438895166 -231.092279997205</t>
  </si>
  <si>
    <t>-389.810155905113 1014.13164636166 221.77133515513</t>
  </si>
  <si>
    <t>-118.578591635848 1268.72828474028 508.392232951708</t>
  </si>
  <si>
    <t>-138.757398849283 1159.103254708 644.47548396773</t>
  </si>
  <si>
    <t>9763-20170724T170036.001337500.bin</t>
  </si>
  <si>
    <t>-362.443107087446 983.823470858358 -239.396256807194</t>
  </si>
  <si>
    <t>-362.184026008111 988.531593052723 -360.415142173824</t>
  </si>
  <si>
    <t>-364.293748227208 971.116655217707 -480.343656788379</t>
  </si>
  <si>
    <t>-366.199416734974 946.410581907734 -587.024625949609</t>
  </si>
  <si>
    <t>-367.479703472081 913.015377279576 -691.322052655376</t>
  </si>
  <si>
    <t>-368.058686641589 857.758719133555 -833.260021232474</t>
  </si>
  <si>
    <t>-370.548779710668 807.561281528984 -921.899793873772</t>
  </si>
  <si>
    <t>-336.01118102945 882.519510304314 -770.707852833941</t>
  </si>
  <si>
    <t>-192.383279107782 871.893229593613 -741.76543891005</t>
  </si>
  <si>
    <t>-123.92918365106 1015.44886891628 -468.101516106904</t>
  </si>
  <si>
    <t>15.600476779344 807.376006527521 -398.250462506622</t>
  </si>
  <si>
    <t>-399.593811899925 881.89666998969 -770.205885697414</t>
  </si>
  <si>
    <t>-546.199596023202 874.360938759149 -758.981674584648</t>
  </si>
  <si>
    <t>-626.611250265748 698.023421866258 -508.731241001013</t>
  </si>
  <si>
    <t>-506.05112065126 505.304622640942 -635.09087565807</t>
  </si>
  <si>
    <t>-270.173658663055 948.349090371251 -239.891109445466</t>
  </si>
  <si>
    <t>-297.600399671381 854.390909624221 205.167740535779</t>
  </si>
  <si>
    <t>-328.035330608631 990.760655343996 652.584887480187</t>
  </si>
  <si>
    <t>-343.103668205994 838.280005180309 738.991404316569</t>
  </si>
  <si>
    <t>-455.59769143829 1014.8906230408 -237.995648575138</t>
  </si>
  <si>
    <t>-433.195910166024 960.710809567214 213.911789544322</t>
  </si>
  <si>
    <t>-154.09330191066 1229.17033716587 471.973038826409</t>
  </si>
  <si>
    <t>-165.221555812633 1121.33321235825 610.504025767953</t>
  </si>
  <si>
    <t>9763-20170724T170036.065503200.bin</t>
  </si>
  <si>
    <t>-408.619824158235 942.930922567672 -241.48677575847</t>
  </si>
  <si>
    <t>-408.211777005107 950.750945498429 -362.343999676081</t>
  </si>
  <si>
    <t>-412.516653111383 936.148558759363 -482.588861726573</t>
  </si>
  <si>
    <t>-417.262378403991 913.734588537721 -589.686681802164</t>
  </si>
  <si>
    <t>-422.178265198254 882.316863378487 -694.489372207586</t>
  </si>
  <si>
    <t>-428.576804057123 829.432623637376 -837.186047629375</t>
  </si>
  <si>
    <t>-432.483139317408 781.83450203235 -927.197831877078</t>
  </si>
  <si>
    <t>-394.032127929512 854.078674917377 -775.931105686714</t>
  </si>
  <si>
    <t>-248.5922751766 850.300305496864 -753.563923835806</t>
  </si>
  <si>
    <t>-160.239268436955 987.870088196164 -482.53885470332</t>
  </si>
  <si>
    <t>0.374792316520825 790.868499385663 -427.443251415941</t>
  </si>
  <si>
    <t>-457.459140870684 851.585938431255 -772.163223159429</t>
  </si>
  <si>
    <t>-602.385565344863 836.54728836466 -752.911608514943</t>
  </si>
  <si>
    <t>-652.883398732752 651.876212365286 -500.854354240103</t>
  </si>
  <si>
    <t>-526.096836341752 463.190408217201 -627.206596665496</t>
  </si>
  <si>
    <t>-315.279900048136 913.890630738072 -240.76503356059</t>
  </si>
  <si>
    <t>-327.457800796596 830.304029820642 207.032473087361</t>
  </si>
  <si>
    <t>-335.230696843911 991.84040039309 651.853548882389</t>
  </si>
  <si>
    <t>-346.85221619502 837.929895033406 736.233620557318</t>
  </si>
  <si>
    <t>-502.451604279486 971.668599443301 -243.412964067702</t>
  </si>
  <si>
    <t>-513.60085121058 851.585800844117 196.033812128286</t>
  </si>
  <si>
    <t>-264.941261672156 1123.01704170037 484.458956456812</t>
  </si>
  <si>
    <t>-295.929982671172 1049.80181075719 641.375236527341</t>
  </si>
  <si>
    <t>9763-20170724T170036.098594900.bin</t>
  </si>
  <si>
    <t>-433.608895581872 926.527363740367 -237.705074886419</t>
  </si>
  <si>
    <t>-433.514512399274 934.040897667256 -358.582404690671</t>
  </si>
  <si>
    <t>-438.898167507262 919.793560718443 -478.8264629257</t>
  </si>
  <si>
    <t>-444.928273779077 897.920171732105 -585.97140717481</t>
  </si>
  <si>
    <t>-451.439545786444 867.230223847261 -690.902650435425</t>
  </si>
  <si>
    <t>-460.377361060972 815.519659900642 -833.892841535401</t>
  </si>
  <si>
    <t>-465.279867783223 769.00658102908 -924.421439990997</t>
  </si>
  <si>
    <t>-424.809197059518 840.425798499261 -773.3327038515</t>
  </si>
  <si>
    <t>-279.159682858324 839.497803428957 -754.303569328986</t>
  </si>
  <si>
    <t>-183.818482519118 973.374497953623 -483.798094598112</t>
  </si>
  <si>
    <t>-13.2702267004479 783.225052198502 -434.823175107211</t>
  </si>
  <si>
    <t>-488.036108079087 836.374165655694 -767.915467832741</t>
  </si>
  <si>
    <t>-632.30947857842 817.415750414477 -746.072828713463</t>
  </si>
  <si>
    <t>-663.318467810671 629.076419073978 -493.579469198752</t>
  </si>
  <si>
    <t>-533.952457712178 445.581401710989 -624.865854838782</t>
  </si>
  <si>
    <t>-339.784941270918 899.979383792298 -235.927797393611</t>
  </si>
  <si>
    <t>-341.375064290409 818.150046711243 212.35683379342</t>
  </si>
  <si>
    <t>-340.872564687955 992.414441459554 652.882887551652</t>
  </si>
  <si>
    <t>-346.660309013494 837.035572655458 735.147379532822</t>
  </si>
  <si>
    <t>-526.898398937879 954.379696360021 -238.739791642971</t>
  </si>
  <si>
    <t>-558.5995899067 805.318098389401 190.717293317948</t>
  </si>
  <si>
    <t>-354.104591171902 1067.41084914269 521.867884968811</t>
  </si>
  <si>
    <t>-413.440174112228 1006.37530091943 675.807737523468</t>
  </si>
  <si>
    <t>9763-20170724T170036.163768800.bin</t>
  </si>
  <si>
    <t>-480.497022486697 887.249626919881 -226.86597909425</t>
  </si>
  <si>
    <t>-479.472042982812 896.284530403894 -347.63482609679</t>
  </si>
  <si>
    <t>-486.335581540597 883.521250555748 -467.970066795582</t>
  </si>
  <si>
    <t>-494.628769446499 862.851229261467 -575.202641846381</t>
  </si>
  <si>
    <t>-504.298787048248 833.162052129219 -680.178309026155</t>
  </si>
  <si>
    <t>-518.520707177901 782.578400101464 -823.14344864615</t>
  </si>
  <si>
    <t>-525.924521305052 738.068779926693 -914.50556099944</t>
  </si>
  <si>
    <t>-481.005612579504 808.922121238664 -764.393551255169</t>
  </si>
  <si>
    <t>-334.394499505852 815.501958038256 -753.208581143147</t>
  </si>
  <si>
    <t>-227.275793133138 942.715009449905 -483.897283060026</t>
  </si>
  <si>
    <t>-39.9233551967311 767.998199718107 -439.006183911996</t>
  </si>
  <si>
    <t>-543.450252576065 800.998210967857 -755.378083398574</t>
  </si>
  <si>
    <t>-684.845557041554 772.208455106058 -726.981862029483</t>
  </si>
  <si>
    <t>-670.590858599083 574.555191912706 -480.170044417335</t>
  </si>
  <si>
    <t>-543.002938457248 400.958573664168 -625.867113610447</t>
  </si>
  <si>
    <t>-382.947408566718 865.154288068525 -226.096286932159</t>
  </si>
  <si>
    <t>-364.252653247348 802.452804559513 224.876688575833</t>
  </si>
  <si>
    <t>-347.968565138046 996.098275732999 652.486206410816</t>
  </si>
  <si>
    <t>-341.350078230854 837.098914596036 727.445436777256</t>
  </si>
  <si>
    <t>-576.10776823845 908.866316274256 -226.325138962251</t>
  </si>
  <si>
    <t>-625.979773209569 725.305031790949 187.771062834422</t>
  </si>
  <si>
    <t>-560.062258219076 940.366593713322 600.439871435198</t>
  </si>
  <si>
    <t>-668.667203429572 877.686327182967 723.807977627872</t>
  </si>
  <si>
    <t>9763-20170724T170036.200892300.bin</t>
  </si>
  <si>
    <t>-502.278646532044 865.502243143417 -223.89129464784</t>
  </si>
  <si>
    <t>-503.155475491502 873.153881775619 -344.756875232011</t>
  </si>
  <si>
    <t>-511.75680352565 860.270714749816 -464.967498151321</t>
  </si>
  <si>
    <t>-521.588856389271 839.995919939496 -572.145564398691</t>
  </si>
  <si>
    <t>-532.799178787652 811.186542493946 -677.213023420141</t>
  </si>
  <si>
    <t>-549.19174292602 762.304435782278 -820.537277165239</t>
  </si>
  <si>
    <t>-557.641858880362 718.988193472525 -912.381175486012</t>
  </si>
  <si>
    <t>-511.043193297102 789.212759681704 -762.45497405321</t>
  </si>
  <si>
    <t>-364.552784856392 801.377175240027 -755.387300968049</t>
  </si>
  <si>
    <t>-252.022635113722 925.928584788888 -487.040355408049</t>
  </si>
  <si>
    <t>-58.6753466313803 757.784523590307 -442.470191837849</t>
  </si>
  <si>
    <t>-572.833867545055 778.653797292612 -751.786460460029</t>
  </si>
  <si>
    <t>-712.116180991241 743.839262720354 -720.170951435367</t>
  </si>
  <si>
    <t>-673.794528433738 542.275221739482 -479.153147616437</t>
  </si>
  <si>
    <t>-549.160363931826 366.446803730288 -624.730398272397</t>
  </si>
  <si>
    <t>-404.962411866305 848.104878943659 -224.800668165454</t>
  </si>
  <si>
    <t>-374.206641993183 798.206567561153 227.108528377795</t>
  </si>
  <si>
    <t>-351.073055186142 998.678607009382 651.612142733941</t>
  </si>
  <si>
    <t>-339.375607384279 837.779837337715 721.743111170912</t>
  </si>
  <si>
    <t>-598.390732027418 882.785844092521 -221.3103781964</t>
  </si>
  <si>
    <t>-652.018915958166 696.25145113049 190.983989122319</t>
  </si>
  <si>
    <t>-669.152508020623 863.742655767852 629.427988679297</t>
  </si>
  <si>
    <t>-791.042047444528 791.51842010635 733.687840987113</t>
  </si>
  <si>
    <t>9763-20170724T170036.264060100.bin</t>
  </si>
  <si>
    <t>-554.900887773051 819.881298786289 -215.49535917809</t>
  </si>
  <si>
    <t>-559.329881499637 824.481066778855 -336.437650670764</t>
  </si>
  <si>
    <t>-570.599119854073 811.617180842748 -456.42967429232</t>
  </si>
  <si>
    <t>-582.665880995887 792.623804998299 -563.614085361985</t>
  </si>
  <si>
    <t>-596.077701642217 766.332076593626 -669.083206421715</t>
  </si>
  <si>
    <t>-615.621328586147 722.188774920954 -813.545658249949</t>
  </si>
  <si>
    <t>-624.967848398262 681.368122346853 -906.439736068855</t>
  </si>
  <si>
    <t>-576.954833781158 749.888840736999 -756.182430278051</t>
  </si>
  <si>
    <t>-431.933701914828 774.039954075712 -754.44818292001</t>
  </si>
  <si>
    <t>-312.441995544188 894.082755222093 -487.057682973722</t>
  </si>
  <si>
    <t>-108.938871588163 737.88506186163 -444.2695783413</t>
  </si>
  <si>
    <t>-636.992915076276 733.552825071289 -743.068454414094</t>
  </si>
  <si>
    <t>-770.965793914203 684.887433584143 -706.748847692587</t>
  </si>
  <si>
    <t>-701.975973740792 488.906903386237 -467.963827023726</t>
  </si>
  <si>
    <t>-572.711614754021 310.216051884723 -605.813029118855</t>
  </si>
  <si>
    <t>-457.852638690601 815.635256860606 -218.595628713632</t>
  </si>
  <si>
    <t>-400.595664233714 788.77196598598 232.688851933701</t>
  </si>
  <si>
    <t>-357.079441923495 1003.03478187037 649.871810519921</t>
  </si>
  <si>
    <t>-333.401128290365 839.653524200255 710.612567374832</t>
  </si>
  <si>
    <t>-650.711173310538 822.623166995345 -210.79042401571</t>
  </si>
  <si>
    <t>-724.16716454908 656.310252311161 207.063456945404</t>
  </si>
  <si>
    <t>-859.33934252015 728.683461770605 652.815907884327</t>
  </si>
  <si>
    <t>-972.328216265984 613.349975630465 722.638577300949</t>
  </si>
  <si>
    <t>9763-20170724T170036.298711800.bin</t>
  </si>
  <si>
    <t>-585.270027966374 793.185730373633 -210.353657503005</t>
  </si>
  <si>
    <t>-588.93284846381 798.371294179914 -331.297862493377</t>
  </si>
  <si>
    <t>-600.453068647213 787.142206560173 -451.430132995415</t>
  </si>
  <si>
    <t>-613.237094030632 770.004909856571 -558.843966204714</t>
  </si>
  <si>
    <t>-627.914439502499 745.908291200797 -664.668226841223</t>
  </si>
  <si>
    <t>-649.834849491688 705.128779363226 -809.776939107858</t>
  </si>
  <si>
    <t>-659.81218614925 665.586366367491 -903.157052333669</t>
  </si>
  <si>
    <t>-610.648867663935 732.688285183866 -752.699551912054</t>
  </si>
  <si>
    <t>-466.675880679002 762.911651163603 -752.683476913219</t>
  </si>
  <si>
    <t>-344.126024059352 877.7451669765 -484.390762565276</t>
  </si>
  <si>
    <t>-134.873174724067 728.473178899425 -444.727335736756</t>
  </si>
  <si>
    <t>-669.622657932404 713.656515461736 -738.442174817596</t>
  </si>
  <si>
    <t>-800.66845979534 659.076447175885 -700.233077990037</t>
  </si>
  <si>
    <t>-715.112410081728 469.265978997988 -461.825176794553</t>
  </si>
  <si>
    <t>-587.026108149325 288.818748876095 -598.480688295395</t>
  </si>
  <si>
    <t>-487.412347130005 795.990676248007 -212.921498162476</t>
  </si>
  <si>
    <t>-420.082546915107 782.636062104705 237.573839158777</t>
  </si>
  <si>
    <t>-360.830107732748 1004.56520927454 649.415027394161</t>
  </si>
  <si>
    <t>-331.862113723062 840.55456715072 706.026377191943</t>
  </si>
  <si>
    <t>-680.09826696882 788.001963120858 -207.699079315944</t>
  </si>
  <si>
    <t>-756.465188667531 643.575818871241 217.702841368578</t>
  </si>
  <si>
    <t>-902.615010314254 701.831370961143 662.440401122789</t>
  </si>
  <si>
    <t>-1001.29035370681 568.113967669933 720.1143686475</t>
  </si>
  <si>
    <t>9763-20170724T170036.362890900.bin</t>
  </si>
  <si>
    <t>-647.522078755195 743.153795676869 -194.706960437681</t>
  </si>
  <si>
    <t>-647.444781605993 747.567645435254 -315.737173849943</t>
  </si>
  <si>
    <t>-657.839632639095 736.9026573405 -436.02346008975</t>
  </si>
  <si>
    <t>-670.747637486926 720.732328682336 -543.572272529576</t>
  </si>
  <si>
    <t>-686.753655294566 697.997494543804 -649.505164841152</t>
  </si>
  <si>
    <t>-711.820998834153 659.461967097833 -794.717531566031</t>
  </si>
  <si>
    <t>-721.891418297725 620.849653522838 -888.476066271172</t>
  </si>
  <si>
    <t>-672.438043191655 688.560196869792 -738.546456664032</t>
  </si>
  <si>
    <t>-532.619128670284 732.169104525114 -741.974357799279</t>
  </si>
  <si>
    <t>-398.914083524954 843.598812316194 -477.602335421134</t>
  </si>
  <si>
    <t>-178.473352542529 709.464678425571 -445.106324923242</t>
  </si>
  <si>
    <t>-729.020940627535 664.46519052293 -722.384656212356</t>
  </si>
  <si>
    <t>-853.3723870701 597.531964468219 -679.269168487945</t>
  </si>
  <si>
    <t>-731.508516114337 431.158026305817 -439.154559981227</t>
  </si>
  <si>
    <t>-605.39872723648 254.685376273927 -582.666862638318</t>
  </si>
  <si>
    <t>-550.903115292975 754.715717556076 -194.206638361204</t>
  </si>
  <si>
    <t>-458.970584898768 766.068514746734 251.974025763121</t>
  </si>
  <si>
    <t>-375.54988713285 1005.36124271128 649.508132017957</t>
  </si>
  <si>
    <t>-337.490741425555 840.938461520246 699.107509117289</t>
  </si>
  <si>
    <t>-748.104417980619 730.861561043793 -193.961413313388</t>
  </si>
  <si>
    <t>-808.93483233228 589.932683630916 235.103066336204</t>
  </si>
  <si>
    <t>-921.670522384778 696.388384716585 676.181628311447</t>
  </si>
  <si>
    <t>-1009.40104706216 560.895399638393 746.099031451778</t>
  </si>
  <si>
    <t>9763-20170724T170036.397801000.bin</t>
  </si>
  <si>
    <t>-667.313405015405 718.498703454933 -186.486089923204</t>
  </si>
  <si>
    <t>-664.763270566475 724.310804878333 -307.43035864722</t>
  </si>
  <si>
    <t>-674.916175293499 714.605679856732 -427.818419088135</t>
  </si>
  <si>
    <t>-688.456904867647 699.03686496734 -535.378256190855</t>
  </si>
  <si>
    <t>-705.910264847549 676.592622045811 -641.144510144583</t>
  </si>
  <si>
    <t>-733.794065041791 638.106333774438 -785.855489657544</t>
  </si>
  <si>
    <t>-744.346391614841 599.665795740179 -879.631679681294</t>
  </si>
  <si>
    <t>-693.894370862396 668.307440949421 -730.63939982223</t>
  </si>
  <si>
    <t>-555.524291342459 718.500946759176 -737.220585761709</t>
  </si>
  <si>
    <t>-415.267169248526 831.343293514034 -476.873219618431</t>
  </si>
  <si>
    <t>-188.170451791373 708.722743862577 -444.727745920747</t>
  </si>
  <si>
    <t>-749.018273347015 641.963385261727 -713.011411904648</t>
  </si>
  <si>
    <t>-868.504983246616 571.096377075853 -665.610942806058</t>
  </si>
  <si>
    <t>-731.993414132471 418.423714684681 -424.277533584473</t>
  </si>
  <si>
    <t>-610.364791596592 243.874208712573 -573.880284283102</t>
  </si>
  <si>
    <t>-565.594419412575 733.109736867724 -183.990521834324</t>
  </si>
  <si>
    <t>-461.890241555601 742.254764648756 259.652874220358</t>
  </si>
  <si>
    <t>-387.440410726888 1000.14483638473 650.044110580928</t>
  </si>
  <si>
    <t>-329.883209665564 841.995991707789 701.22705436007</t>
  </si>
  <si>
    <t>-767.006389194766 704.705287901335 -187.919571052629</t>
  </si>
  <si>
    <t>-824.529747168839 554.811919891275 238.555261005936</t>
  </si>
  <si>
    <t>-915.955341955904 689.92866022517 678.170746180314</t>
  </si>
  <si>
    <t>-1001.6710060659 559.606115370102 759.487597681255</t>
  </si>
  <si>
    <t>9763-20170724T170036.460969600.bin</t>
  </si>
  <si>
    <t>-721.899998560233 668.827539647544 -172.913029538026</t>
  </si>
  <si>
    <t>-720.870706361287 675.328788355513 -293.844805196202</t>
  </si>
  <si>
    <t>-735.179704767898 664.038058934606 -413.671026999493</t>
  </si>
  <si>
    <t>-753.479331815395 646.149017191661 -520.160241695718</t>
  </si>
  <si>
    <t>-776.660243809013 620.528068922097 -624.088312642546</t>
  </si>
  <si>
    <t>-813.468352355839 576.774385894653 -765.264994675881</t>
  </si>
  <si>
    <t>-825.644862882717 535.877778833777 -857.796985890664</t>
  </si>
  <si>
    <t>-771.451933236377 610.994129737802 -714.112442152134</t>
  </si>
  <si>
    <t>-639.027760125181 671.490564537877 -732.532016604549</t>
  </si>
  <si>
    <t>-482.625012752878 791.885068350585 -485.085932403536</t>
  </si>
  <si>
    <t>-245.357840415338 692.633472050936 -446.414620594549</t>
  </si>
  <si>
    <t>-822.911817107296 581.274131231308 -691.484843318656</t>
  </si>
  <si>
    <t>-932.438877484642 503.540696037822 -630.945918473264</t>
  </si>
  <si>
    <t>-755.352470371639 382.240384254384 -398.324424416764</t>
  </si>
  <si>
    <t>-643.8415157853 212.026493689595 -560.295296225116</t>
  </si>
  <si>
    <t>-626.267439952579 700.348598279264 -167.991435789312</t>
  </si>
  <si>
    <t>-485.423061782678 655.345436411744 263.04830759336</t>
  </si>
  <si>
    <t>-524.041980285997 922.116748408681 648.151259543816</t>
  </si>
  <si>
    <t>-393.755943575136 812.542352369087 692.451163176032</t>
  </si>
  <si>
    <t>-820.986222579033 637.158309818538 -177.292772362305</t>
  </si>
  <si>
    <t>-858.105101635509 507.019743332062 257.843722268362</t>
  </si>
  <si>
    <t>-916.930677206899 687.669334442337 683.100852907785</t>
  </si>
  <si>
    <t>-1006.77171827235 562.913223362161 768.587353559902</t>
  </si>
  <si>
    <t>9763-20170724T170036.497069800.bin</t>
  </si>
  <si>
    <t>-743.725972436743 641.080327198952 -172.146589997554</t>
  </si>
  <si>
    <t>-741.425060313824 649.441262625139 -292.946439458147</t>
  </si>
  <si>
    <t>-757.030566151855 637.767861965971 -412.574086824719</t>
  </si>
  <si>
    <t>-777.381069496949 618.567216639684 -518.460998374841</t>
  </si>
  <si>
    <t>-803.37269651039 590.667967895478 -621.129986870264</t>
  </si>
  <si>
    <t>-844.751002649755 542.76406560119 -759.668990964598</t>
  </si>
  <si>
    <t>-857.462469674837 499.860780718108 -851.215232813837</t>
  </si>
  <si>
    <t>-802.15664063266 579.998440559958 -711.169189185256</t>
  </si>
  <si>
    <t>-674.142318222139 647.372874023734 -737.174756968611</t>
  </si>
  <si>
    <t>-509.587670267359 770.788843310655 -496.599536782917</t>
  </si>
  <si>
    <t>-269.090025515104 680.59508327121 -455.757880231979</t>
  </si>
  <si>
    <t>-850.728094421469 547.92187258072 -685.570536644965</t>
  </si>
  <si>
    <t>-952.547494143433 466.655844072176 -617.343177004602</t>
  </si>
  <si>
    <t>-754.28856184505 362.78679203018 -393.533380231214</t>
  </si>
  <si>
    <t>-647.268233968 195.971305082397 -561.941579263864</t>
  </si>
  <si>
    <t>-651.738334614901 674.003468316136 -167.532615811272</t>
  </si>
  <si>
    <t>-505.982509206316 614.701087903713 260.131006979777</t>
  </si>
  <si>
    <t>-597.964267663345 860.925408217222 648.108459804054</t>
  </si>
  <si>
    <t>-452.258659409062 774.057438250848 694.663114480314</t>
  </si>
  <si>
    <t>-835.411005230621 607.040280890144 -177.908930275255</t>
  </si>
  <si>
    <t>-863.246939961398 491.496462002167 262.014328888008</t>
  </si>
  <si>
    <t>-916.035926954597 686.292128192432 683.577012020514</t>
  </si>
  <si>
    <t>-1008.18133131036 563.068861190577 768.833770749285</t>
  </si>
  <si>
    <t>9763-20170724T170036.564247900.bin</t>
  </si>
  <si>
    <t>-754.870869784614 593.923090346957 -177.759837631618</t>
  </si>
  <si>
    <t>-755.44243736948 603.247582651515 -298.509656845901</t>
  </si>
  <si>
    <t>-774.999196132475 590.256085422933 -417.418588776703</t>
  </si>
  <si>
    <t>-799.016304535292 568.85269651436 -522.108158618713</t>
  </si>
  <si>
    <t>-828.551964127948 537.727298070162 -622.873790671141</t>
  </si>
  <si>
    <t>-874.510578988324 484.297749542111 -757.903756649339</t>
  </si>
  <si>
    <t>-885.400079773971 439.540091525092 -848.794564084284</t>
  </si>
  <si>
    <t>-833.254342208043 526.895932874072 -712.778845004622</t>
  </si>
  <si>
    <t>-716.765077791372 608.630215372506 -749.598802201721</t>
  </si>
  <si>
    <t>-539.470888405224 743.478982097743 -524.723944159531</t>
  </si>
  <si>
    <t>-293.921770409136 667.307310595419 -485.41032508301</t>
  </si>
  <si>
    <t>-875.096222154189 488.981648802318 -683.535551636026</t>
  </si>
  <si>
    <t>-962.228049384593 400.196102922759 -604.784491823667</t>
  </si>
  <si>
    <t>-734.75306046804 338.532265960969 -393.505254677994</t>
  </si>
  <si>
    <t>-631.972829155081 169.244300269913 -562.087118234974</t>
  </si>
  <si>
    <t>-668.354591932205 634.999233187519 -174.524647017537</t>
  </si>
  <si>
    <t>-551.671298292687 540.059626201004 255.625498503409</t>
  </si>
  <si>
    <t>-720.32899298537 691.853172189236 667.137990664643</t>
  </si>
  <si>
    <t>-575.717597159814 622.84414661687 739.724534371019</t>
  </si>
  <si>
    <t>-841.974239829367 554.820110921541 -179.654742805156</t>
  </si>
  <si>
    <t>-859.939790356134 469.217994149617 267.566974319365</t>
  </si>
  <si>
    <t>-911.230171506791 683.851262482946 682.291557737358</t>
  </si>
  <si>
    <t>-1007.60351134418 563.081494212397 766.377239213628</t>
  </si>
  <si>
    <t>9763-20170724T170036.599369300.bin</t>
  </si>
  <si>
    <t>-755.048293617907 570.563990484343 -180.599087333864</t>
  </si>
  <si>
    <t>-757.932389098831 578.18480215636 -301.435318091489</t>
  </si>
  <si>
    <t>-778.843431264004 563.621426685333 -419.930987302209</t>
  </si>
  <si>
    <t>-803.617187635167 540.863670919881 -524.157734901328</t>
  </si>
  <si>
    <t>-833.409976346178 508.45190827903 -624.44080562373</t>
  </si>
  <si>
    <t>-879.178468471538 453.306670182224 -758.844174385685</t>
  </si>
  <si>
    <t>-887.832011777957 408.947297224717 -850.16970704289</t>
  </si>
  <si>
    <t>-839.543540213252 498.009060320062 -714.305579704164</t>
  </si>
  <si>
    <t>-729.235379097148 587.009503226792 -753.998513853724</t>
  </si>
  <si>
    <t>-549.883689665845 725.126693181303 -532.768132172186</t>
  </si>
  <si>
    <t>-302.215253559332 653.080539884627 -499.425310138584</t>
  </si>
  <si>
    <t>-878.311098021929 457.40445322343 -684.44413361134</t>
  </si>
  <si>
    <t>-958.927220538864 365.030643951657 -603.500102014767</t>
  </si>
  <si>
    <t>-729.783421670554 320.142121706416 -389.80791229084</t>
  </si>
  <si>
    <t>-621.362874119715 146.237812354325 -549.946411174877</t>
  </si>
  <si>
    <t>-670.563753473378 614.592042294621 -178.19152091828</t>
  </si>
  <si>
    <t>-564.260764607491 519.238826390668 254.549878583751</t>
  </si>
  <si>
    <t>-758.378217042657 599.462431775666 676.480506437804</t>
  </si>
  <si>
    <t>-613.659332615449 545.642026748086 760.761660650337</t>
  </si>
  <si>
    <t>-840.464684349887 526.463219319891 -180.048766569861</t>
  </si>
  <si>
    <t>-855.387101025484 458.221189773141 270.260052198909</t>
  </si>
  <si>
    <t>-911.828868017529 683.036618030102 680.552620729647</t>
  </si>
  <si>
    <t>-1007.69192281764 562.496201445285 765.545704033771</t>
  </si>
  <si>
    <t>9763-20170724T170036.660531400.bin</t>
  </si>
  <si>
    <t>-770.555816000264 515.792207562565 -172.828540562649</t>
  </si>
  <si>
    <t>-774.881852642121 523.287549651609 -293.629650507401</t>
  </si>
  <si>
    <t>-794.822753528813 508.897674024395 -412.313492835543</t>
  </si>
  <si>
    <t>-817.853204581237 486.54100095904 -517.025630009372</t>
  </si>
  <si>
    <t>-845.147211745162 454.810785354066 -618.233831986867</t>
  </si>
  <si>
    <t>-886.763234557351 400.927465286213 -754.486131128592</t>
  </si>
  <si>
    <t>-890.382657546947 360.112518404867 -847.781455197866</t>
  </si>
  <si>
    <t>-850.82930524759 447.173068947882 -708.409995783305</t>
  </si>
  <si>
    <t>-749.094362979614 545.917971186407 -747.059518553552</t>
  </si>
  <si>
    <t>-578.803035325757 701.9775255207 -530.651355976021</t>
  </si>
  <si>
    <t>-329.993233422919 626.405902154027 -525.685476775875</t>
  </si>
  <si>
    <t>-885.869567089521 402.365294090538 -679.987374438368</t>
  </si>
  <si>
    <t>-958.531231445175 301.988709268496 -600.682880428189</t>
  </si>
  <si>
    <t>-747.278539532079 272.313041636207 -366.849971910395</t>
  </si>
  <si>
    <t>-614.493344986291 104.052773777654 -514.154527842855</t>
  </si>
  <si>
    <t>-688.328135186919 573.518337294372 -173.296811318389</t>
  </si>
  <si>
    <t>-611.613008015 486.814513857252 267.446797726272</t>
  </si>
  <si>
    <t>-807.676077157082 496.415413502475 690.371783657183</t>
  </si>
  <si>
    <t>-667.426120312928 447.063124478529 784.381417401834</t>
  </si>
  <si>
    <t>-854.414767836659 460.412158012727 -169.604196291649</t>
  </si>
  <si>
    <t>-853.539264807676 385.723635350633 279.927214103298</t>
  </si>
  <si>
    <t>-932.203037781992 668.491763859315 655.538345406545</t>
  </si>
  <si>
    <t>-1009.32367807409 554.63363211704 765.229763494936</t>
  </si>
  <si>
    <t>9763-20170724T170036.698646100.bin</t>
  </si>
  <si>
    <t>-788.963569071864 479.512625555376 -167.904310122453</t>
  </si>
  <si>
    <t>-794.498022036417 491.338075060909 -288.309073687177</t>
  </si>
  <si>
    <t>-813.507494019935 479.883848934748 -407.464526873498</t>
  </si>
  <si>
    <t>-834.892767821754 459.717391908762 -512.967312408824</t>
  </si>
  <si>
    <t>-859.800595879997 429.767945200926 -615.326854911614</t>
  </si>
  <si>
    <t>-897.389779827525 377.984026864629 -753.549581758411</t>
  </si>
  <si>
    <t>-898.472332327967 339.700277767949 -847.974991022313</t>
  </si>
  <si>
    <t>-863.835730490349 424.265458944117 -705.747092485338</t>
  </si>
  <si>
    <t>-764.123674867814 526.744133015873 -740.851223065387</t>
  </si>
  <si>
    <t>-600.226987469347 689.929584298823 -524.761828785135</t>
  </si>
  <si>
    <t>-353.463217213624 608.857549139371 -538.06653602072</t>
  </si>
  <si>
    <t>-897.679722768464 377.528198880807 -679.033614796078</t>
  </si>
  <si>
    <t>-968.156090953915 273.100935354824 -603.598430903715</t>
  </si>
  <si>
    <t>-774.12370807033 247.066867089529 -354.881998035358</t>
  </si>
  <si>
    <t>-626.387241365177 87.3588271815581 -497.392979570368</t>
  </si>
  <si>
    <t>-701.717226979726 533.985631289978 -171.780127539999</t>
  </si>
  <si>
    <t>-642.531035455334 454.65208988778 273.03544075041</t>
  </si>
  <si>
    <t>-816.278719661214 490.171245904391 700.069568599121</t>
  </si>
  <si>
    <t>-667.600989270661 439.81596471591 779.459661444402</t>
  </si>
  <si>
    <t>-880.493298821229 423.371245369731 -160.912463974613</t>
  </si>
  <si>
    <t>-861.872781989698 311.195858515556 280.367181724834</t>
  </si>
  <si>
    <t>-960.659971762803 637.754737014582 617.918306398443</t>
  </si>
  <si>
    <t>-1008.95009502497 544.918936182858 759.315397489311</t>
  </si>
  <si>
    <t>9763-20170724T170036.763818900.bin</t>
  </si>
  <si>
    <t>-839.377470985656 433.292526864999 -162.598623031538</t>
  </si>
  <si>
    <t>-853.824655481314 450.428748948788 -281.617261658268</t>
  </si>
  <si>
    <t>-874.40809162543 443.335885718726 -400.850578254414</t>
  </si>
  <si>
    <t>-894.256265296315 426.942851798146 -507.303143483893</t>
  </si>
  <si>
    <t>-914.731088634914 400.699975550227 -611.64377726106</t>
  </si>
  <si>
    <t>-943.218942249688 354.088547623229 -753.826073166893</t>
  </si>
  <si>
    <t>-938.532834581872 321.546794772345 -850.273219440752</t>
  </si>
  <si>
    <t>-915.655191748513 400.346661091671 -702.315529987643</t>
  </si>
  <si>
    <t>-825.967178988276 513.323106894697 -728.874154305364</t>
  </si>
  <si>
    <t>-662.026322192559 678.170958734217 -514.084130402934</t>
  </si>
  <si>
    <t>-422.045457518675 589.139339696535 -560.177472594628</t>
  </si>
  <si>
    <t>-945.572747499355 349.078529474666 -679.514004007018</t>
  </si>
  <si>
    <t>-1009.32002879473 235.336522804819 -610.903288880593</t>
  </si>
  <si>
    <t>-845.174109815564 225.839786824792 -340.436900646812</t>
  </si>
  <si>
    <t>-678.641933163352 85.4757083798261 -482.588224389211</t>
  </si>
  <si>
    <t>-765.209168709145 502.329250403401 -162.323054927194</t>
  </si>
  <si>
    <t>-656.178641668621 418.759119547118 272.17209064451</t>
  </si>
  <si>
    <t>-830.599932560725 481.143480329237 697.924333310016</t>
  </si>
  <si>
    <t>-675.803023487581 439.005994108116 770.075970240451</t>
  </si>
  <si>
    <t>-919.881494254437 368.392949533848 -160.935074566263</t>
  </si>
  <si>
    <t>-862.295140798788 196.71302994785 257.236558664839</t>
  </si>
  <si>
    <t>-977.84719122014 550.634214537718 545.232194904171</t>
  </si>
  <si>
    <t>-987.733710830317 496.819698438812 712.414057783253</t>
  </si>
  <si>
    <t>9763-20170724T170036.793904900.bin</t>
  </si>
  <si>
    <t>-836.7981282169 404.556125000934 -165.855304929351</t>
  </si>
  <si>
    <t>-851.764009702612 422.648099048969 -284.668205240413</t>
  </si>
  <si>
    <t>-872.196441486951 417.333503701456 -404.019975186013</t>
  </si>
  <si>
    <t>-891.607201120655 402.872917313249 -510.832633355556</t>
  </si>
  <si>
    <t>-911.332387317486 378.874807208141 -615.855881031349</t>
  </si>
  <si>
    <t>-938.443139284821 335.696990202352 -759.385209922737</t>
  </si>
  <si>
    <t>-931.491030332408 305.817866060243 -856.554575599294</t>
  </si>
  <si>
    <t>-912.569755207187 381.365601158588 -706.49032844098</t>
  </si>
  <si>
    <t>-827.497985824805 498.705339848662 -729.938538774753</t>
  </si>
  <si>
    <t>-661.486429698908 662.041524283636 -515.584721304173</t>
  </si>
  <si>
    <t>-425.784491779592 569.407597279875 -574.792930500618</t>
  </si>
  <si>
    <t>-940.325187625902 328.238026994999 -685.265406242458</t>
  </si>
  <si>
    <t>-998.802658031155 209.870099214256 -619.762715135802</t>
  </si>
  <si>
    <t>-842.608426587948 215.604771699635 -344.523465405533</t>
  </si>
  <si>
    <t>-670.551126390567 82.4729996490069 -487.05161589554</t>
  </si>
  <si>
    <t>-757.120762532601 468.045406551891 -163.792059630008</t>
  </si>
  <si>
    <t>-652.293085149874 405.072109311521 275.187672396294</t>
  </si>
  <si>
    <t>-832.567210144789 480.670900617638 693.742314211241</t>
  </si>
  <si>
    <t>-675.361719872577 443.453526121026 763.347002797998</t>
  </si>
  <si>
    <t>-908.658302890706 338.230877510327 -167.00762808618</t>
  </si>
  <si>
    <t>-836.380699173216 148.868940197932 241.129130846621</t>
  </si>
  <si>
    <t>-971.351108371927 482.693604415821 539.135502070819</t>
  </si>
  <si>
    <t>-988.552126684407 422.136478521383 703.392806229877</t>
  </si>
  <si>
    <t>9763-20170724T170036.867099400.bin</t>
  </si>
  <si>
    <t>-837.069493566638 354.413216428173 -172.817819171085</t>
  </si>
  <si>
    <t>-855.10136045244 372.089068736375 -291.267049597947</t>
  </si>
  <si>
    <t>-878.041650772888 368.646226306259 -410.231231869966</t>
  </si>
  <si>
    <t>-899.536906588617 356.798128584043 -516.966407738736</t>
  </si>
  <si>
    <t>-921.20184771188 336.299932162034 -622.34807943516</t>
  </si>
  <si>
    <t>-950.891977261113 298.87331727525 -766.977825071488</t>
  </si>
  <si>
    <t>-943.166389190578 272.698869093443 -865.152181274941</t>
  </si>
  <si>
    <t>-925.802843353925 343.267629911125 -712.640118981981</t>
  </si>
  <si>
    <t>-847.253786945864 466.109903748144 -733.386659561117</t>
  </si>
  <si>
    <t>-678.848695737183 619.162394313694 -513.384750242321</t>
  </si>
  <si>
    <t>-450.090908144626 521.672433960147 -589.592488006534</t>
  </si>
  <si>
    <t>-949.70722652951 287.599085363141 -693.327290824828</t>
  </si>
  <si>
    <t>-1000.32459688292 165.4923818368 -629.421493157722</t>
  </si>
  <si>
    <t>-850.522118274768 179.668083824248 -350.953309947835</t>
  </si>
  <si>
    <t>-665.539093789247 66.9191502804508 -494.8665275142</t>
  </si>
  <si>
    <t>-769.871998978324 425.988957035195 -172.144945942271</t>
  </si>
  <si>
    <t>-652.663495054792 375.91881315528 265.362487891908</t>
  </si>
  <si>
    <t>-837.332357596236 478.263466511884 687.049701465537</t>
  </si>
  <si>
    <t>-675.667904734353 448.764210045931 749.802456315039</t>
  </si>
  <si>
    <t>-903.845274046902 285.317636543502 -174.123120414117</t>
  </si>
  <si>
    <t>-824.839248194328 84.4537276247906 227.21143185633</t>
  </si>
  <si>
    <t>-1013.3637480078 310.063187491285 594.167260589009</t>
  </si>
  <si>
    <t>-1065.21533929371 212.13006621049 730.783563626052</t>
  </si>
  <si>
    <t>9763-20170724T170036.895701600.bin</t>
  </si>
  <si>
    <t>-845.755456845375 333.570622339466 -174.438978539652</t>
  </si>
  <si>
    <t>-864.68525445896 349.950987182381 -292.934315110282</t>
  </si>
  <si>
    <t>-888.454038565435 346.330627939893 -411.730448361088</t>
  </si>
  <si>
    <t>-910.731603575424 334.778509045289 -518.337627940613</t>
  </si>
  <si>
    <t>-933.253892427901 315.018791294638 -623.680734183285</t>
  </si>
  <si>
    <t>-964.25081878818 279.060918276324 -768.408802654772</t>
  </si>
  <si>
    <t>-957.131517924546 254.244698463969 -866.980856949737</t>
  </si>
  <si>
    <t>-939.304403697462 323.185707759393 -713.786455071303</t>
  </si>
  <si>
    <t>-862.877408071412 447.036249006814 -734.169331859709</t>
  </si>
  <si>
    <t>-694.215990670107 597.534811522129 -512.607660688119</t>
  </si>
  <si>
    <t>-467.479605423063 498.733604210291 -593.05006417582</t>
  </si>
  <si>
    <t>-961.76687869754 266.756551650496 -694.955680123882</t>
  </si>
  <si>
    <t>-1009.92787735788 142.906030480848 -631.931550848672</t>
  </si>
  <si>
    <t>-862.234145229006 156.685216110993 -352.319470512688</t>
  </si>
  <si>
    <t>-669.642396208877 53.8444545354337 -493.64986368554</t>
  </si>
  <si>
    <t>-781.281675767452 406.62798005184 -173.839240475903</t>
  </si>
  <si>
    <t>-658.970365668892 365.51790237038 263.204870408215</t>
  </si>
  <si>
    <t>-840.359393778774 476.105739769826 684.62432242137</t>
  </si>
  <si>
    <t>-676.465601922657 450.141521053316 743.004102373498</t>
  </si>
  <si>
    <t>-912.394809518281 262.172275099623 -172.551675863158</t>
  </si>
  <si>
    <t>-831.347925803874 68.5805318582729 231.937268173412</t>
  </si>
  <si>
    <t>-1046.96954504836 205.120113913938 626.905441820662</t>
  </si>
  <si>
    <t>-1098.86647645026 85.5688484999307 745.048220993021</t>
  </si>
  <si>
    <t>9763-20170724T170036.965888200.bin</t>
  </si>
  <si>
    <t>-864.814838621291 284.830415452118 -172.966972668235</t>
  </si>
  <si>
    <t>-886.803277558184 302.135674009999 -290.800888722667</t>
  </si>
  <si>
    <t>-913.216791299408 299.765439119665 -409.068761375152</t>
  </si>
  <si>
    <t>-937.761601653418 289.495056212286 -515.308748418016</t>
  </si>
  <si>
    <t>-962.463368296757 271.1641573884 -620.421198130741</t>
  </si>
  <si>
    <t>-996.430411684203 237.340736474053 -764.997279305137</t>
  </si>
  <si>
    <t>-991.559273653658 214.536778102037 -864.190149087373</t>
  </si>
  <si>
    <t>-971.581951138478 281.157992472636 -710.083595616713</t>
  </si>
  <si>
    <t>-898.997070462919 407.527335135532 -729.972672611889</t>
  </si>
  <si>
    <t>-724.920991459991 552.370075707152 -508.829652972741</t>
  </si>
  <si>
    <t>-500.578502246525 451.442700143954 -593.246188806135</t>
  </si>
  <si>
    <t>-991.220156214394 223.455029857074 -691.970170636184</t>
  </si>
  <si>
    <t>-1032.47560824453 95.9767808558217 -631.349720926333</t>
  </si>
  <si>
    <t>-882.580885347641 112.285753719055 -353.048145843502</t>
  </si>
  <si>
    <t>-675.396810389806 24.9181193596871 -483.752667059019</t>
  </si>
  <si>
    <t>-803.062568452465 361.694285453539 -172.81701173664</t>
  </si>
  <si>
    <t>-673.733343838549 341.542093919586 263.675267582186</t>
  </si>
  <si>
    <t>-845.746055738849 472.113246722103 681.613365087704</t>
  </si>
  <si>
    <t>-678.472733259705 451.428769486189 731.965024260199</t>
  </si>
  <si>
    <t>-925.98104342182 207.960596667804 -173.363363187834</t>
  </si>
  <si>
    <t>-860.721513481255 40.8003294653879 245.511729721014</t>
  </si>
  <si>
    <t>-1069.82931851379 14.4499041570998 667.446502724483</t>
  </si>
  <si>
    <t>-1065.39436713241 -139.800235005966 751.890136497943</t>
  </si>
  <si>
    <t>9763-20170724T170036.998225000.bin</t>
  </si>
  <si>
    <t>-873.665505735087 259.77231540356 -171.183813587896</t>
  </si>
  <si>
    <t>-896.561753898985 276.559971345533 -288.91967409745</t>
  </si>
  <si>
    <t>-924.029714147325 274.179356954727 -406.946894578652</t>
  </si>
  <si>
    <t>-949.616238933251 264.102707661939 -512.959354604837</t>
  </si>
  <si>
    <t>-975.468983297243 246.157148288991 -617.861386986016</t>
  </si>
  <si>
    <t>-1011.16744381248 213.058054516564 -762.187675695195</t>
  </si>
  <si>
    <t>-1007.62839342214 191.162773130257 -861.641474849734</t>
  </si>
  <si>
    <t>-986.312388149016 256.843328688194 -707.251571282144</t>
  </si>
  <si>
    <t>-916.791428611196 384.954414263466 -726.51908316252</t>
  </si>
  <si>
    <t>-738.018854735563 530.305900896575 -509.494887580333</t>
  </si>
  <si>
    <t>-514.046573810657 428.767832418124 -594.161907737754</t>
  </si>
  <si>
    <t>-1004.43157964818 198.563474110226 -689.40415378838</t>
  </si>
  <si>
    <t>-1042.58775293669 69.7612691825232 -629.561488450764</t>
  </si>
  <si>
    <t>-888.664188457984 89.4114540697358 -353.685550270703</t>
  </si>
  <si>
    <t>-675.749202471544 12.4996473803035 -481.723967104592</t>
  </si>
  <si>
    <t>-813.515146513444 337.623451714655 -171.410064337069</t>
  </si>
  <si>
    <t>-680.253538816648 329.4061122784 264.286541688419</t>
  </si>
  <si>
    <t>-847.46178233469 470.973195330787 680.741430264898</t>
  </si>
  <si>
    <t>-679.096216117494 452.69366947589 728.306288444428</t>
  </si>
  <si>
    <t>-932.245658697849 180.871799877963 -171.616411587411</t>
  </si>
  <si>
    <t>-876.907225738966 21.9071250357867 251.8520598293</t>
  </si>
  <si>
    <t>-1066.61733440696 -19.9441019936723 680.330697814177</t>
  </si>
  <si>
    <t>-1040.96452571676 -174.406925359733 760.497106815009</t>
  </si>
  <si>
    <t>9763-20170724T170037.064400600.bin</t>
  </si>
  <si>
    <t>-888.059212393319 212.820144146742 -167.451161537059</t>
  </si>
  <si>
    <t>-913.79001002597 228.938152195694 -284.694149591263</t>
  </si>
  <si>
    <t>-944.189849402389 225.86282125683 -401.984337628576</t>
  </si>
  <si>
    <t>-972.453337377204 215.156634746783 -507.252547508676</t>
  </si>
  <si>
    <t>-1001.006712531 196.577402002921 -611.340858136348</t>
  </si>
  <si>
    <t>-1040.48084175412 162.592284491026 -754.472846718829</t>
  </si>
  <si>
    <t>-1039.78717738211 141.345432295933 -854.127732721752</t>
  </si>
  <si>
    <t>-1015.31386171038 207.097596307152 -700.262018573037</t>
  </si>
  <si>
    <t>-950.901260653 337.817675958995 -721.021771832305</t>
  </si>
  <si>
    <t>-766.699510727676 484.949757437324 -509.815531956642</t>
  </si>
  <si>
    <t>-539.068148126421 386.624672312685 -588.289851668763</t>
  </si>
  <si>
    <t>-1030.71565499461 148.161744782291 -682.02082047066</t>
  </si>
  <si>
    <t>-1061.47948854363 17.4889998033032 -622.2392931572</t>
  </si>
  <si>
    <t>-898.784099925435 44.1542100301583 -352.04420114431</t>
  </si>
  <si>
    <t>-831.861530682581 292.902469755705 -168.544455788372</t>
  </si>
  <si>
    <t>-696.895057219519 305.16254831146 266.531893937589</t>
  </si>
  <si>
    <t>-850.408823393104 468.945876348519 679.902772585437</t>
  </si>
  <si>
    <t>-680.516502330041 453.529355700552 722.826417000089</t>
  </si>
  <si>
    <t>-945.885286535412 133.453496677448 -165.038285407999</t>
  </si>
  <si>
    <t>-878.040754993972 -27.2420963488003 255.950670348383</t>
  </si>
  <si>
    <t>-1068.44695334565 -22.7953170647165 684.178915093865</t>
  </si>
  <si>
    <t>-1023.24420845456 -170.917997999807 767.604822635456</t>
  </si>
  <si>
    <t>9763-20170724T170037.096490100.bin</t>
  </si>
  <si>
    <t>-895.257524603689 189.061379233183 -167.62371558039</t>
  </si>
  <si>
    <t>-923.339532033257 205.275681885011 -284.312590042381</t>
  </si>
  <si>
    <t>-956.120125688238 201.5799213619 -400.941676152793</t>
  </si>
  <si>
    <t>-986.506003906885 190.034134948931 -505.527780960634</t>
  </si>
  <si>
    <t>-1017.12870672791 170.344818408442 -608.820740676409</t>
  </si>
  <si>
    <t>-1059.40354120746 134.546098922102 -750.705463069913</t>
  </si>
  <si>
    <t>-1060.40573409385 112.455759029005 -850.174080433161</t>
  </si>
  <si>
    <t>-1033.59521768843 179.866575492274 -697.480427933344</t>
  </si>
  <si>
    <t>-971.343691963 311.315744714146 -720.271886548563</t>
  </si>
  <si>
    <t>-785.554292211289 458.824072791479 -510.725505312603</t>
  </si>
  <si>
    <t>-555.469587322485 361.18811155799 -582.630305190886</t>
  </si>
  <si>
    <t>-1047.8012410055 120.905308604371 -678.371364729326</t>
  </si>
  <si>
    <t>-908.167628961799 20.8735589349258 -349.679245633666</t>
  </si>
  <si>
    <t>-840.772599888224 269.815431590239 -169.342257672218</t>
  </si>
  <si>
    <t>-709.272296155291 294.134260480751 266.288233450914</t>
  </si>
  <si>
    <t>-852.2062878639 467.515136244121 679.751021679737</t>
  </si>
  <si>
    <t>-681.803034376033 451.079595417255 720.199949497304</t>
  </si>
  <si>
    <t>-949.677936692522 107.596516798615 -165.165907548839</t>
  </si>
  <si>
    <t>-879.551128274722 -48.563496720978 257.153792817623</t>
  </si>
  <si>
    <t>-1074.2808225905 -16.7445727435886 683.218131505712</t>
  </si>
  <si>
    <t>-1028.44169556475 -163.914701105903 767.972200593857</t>
  </si>
  <si>
    <t>9763-20170724T170037.166677200.bin</t>
  </si>
  <si>
    <t>-906.240275962448 150.269805089726 -166.060391311735</t>
  </si>
  <si>
    <t>-938.711887422528 165.488049513029 -281.740184456721</t>
  </si>
  <si>
    <t>-975.684418775131 159.315121771941 -397.002943743305</t>
  </si>
  <si>
    <t>-1009.73705522216 144.97856377868 -500.103538453309</t>
  </si>
  <si>
    <t>-1043.88262409945 121.976452012449 -601.591710316475</t>
  </si>
  <si>
    <t>-1090.8865477329 81.0610658725898 -740.575632674404</t>
  </si>
  <si>
    <t>-1095.42285350698 56.2698380605616 -839.306475702934</t>
  </si>
  <si>
    <t>-1063.86396176661 128.441218236676 -689.803359371774</t>
  </si>
  <si>
    <t>-1004.57077119358 259.908546806011 -718.228906053212</t>
  </si>
  <si>
    <t>-823.14591803362 416.41123055019 -511.400309046399</t>
  </si>
  <si>
    <t>-587.383304352309 321.235380660274 -566.168756455851</t>
  </si>
  <si>
    <t>-1076.31357578679 69.8884911785262 -668.35574164065</t>
  </si>
  <si>
    <t>-855.867790600603 234.427659551191 -169.09097312832</t>
  </si>
  <si>
    <t>-736.592517680324 272.449820242707 269.070348430188</t>
  </si>
  <si>
    <t>-860.449704593129 463.387484681712 681.07849655682</t>
  </si>
  <si>
    <t>-687.901268547134 444.479430767356 709.592293651181</t>
  </si>
  <si>
    <t>-956.817689776609 67.1472509140938 -160.232991029917</t>
  </si>
  <si>
    <t>-881.731545916033 -69.9806148456726 267.803993053648</t>
  </si>
  <si>
    <t>-1073.24791794646 -3.93422771664041 691.992004894676</t>
  </si>
  <si>
    <t>-1027.9774120527 -152.43215117307 774.711022138188</t>
  </si>
  <si>
    <t>9763-20170724T170037.197492700.bin</t>
  </si>
  <si>
    <t>-910.367568773689 134.416753219463 -162.637137479324</t>
  </si>
  <si>
    <t>-944.402170295577 148.327756316411 -278.031736669823</t>
  </si>
  <si>
    <t>-982.468944690642 140.010830237604 -392.80255555751</t>
  </si>
  <si>
    <t>-1017.28723153372 123.440864092714 -495.311034700807</t>
  </si>
  <si>
    <t>-1051.95723150715 97.9395179205933 -596.020993588597</t>
  </si>
  <si>
    <t>-1099.42410302604 53.3026811030943 -733.696238882959</t>
  </si>
  <si>
    <t>-1104.99177964536 26.929620646129 -831.963524605654</t>
  </si>
  <si>
    <t>-1072.69332699863 102.169022540609 -684.193976550272</t>
  </si>
  <si>
    <t>-1014.62629848045 233.502597175845 -715.797895827869</t>
  </si>
  <si>
    <t>-837.252051440467 392.995637983641 -507.743584060549</t>
  </si>
  <si>
    <t>-599.529741972842 297.888562369046 -553.403205282693</t>
  </si>
  <si>
    <t>-1084.14966172084 43.9371448418387 -661.36438896778</t>
  </si>
  <si>
    <t>-861.243894559248 218.958614222366 -167.40251818659</t>
  </si>
  <si>
    <t>-745.05355351427 264.462034576906 270.874750367069</t>
  </si>
  <si>
    <t>-862.409356209789 457.94386045497 683.436413423858</t>
  </si>
  <si>
    <t>-688.715298762869 436.849353193527 701.572269702039</t>
  </si>
  <si>
    <t>-959.18326151317 49.3128968781189 -155.522737338959</t>
  </si>
  <si>
    <t>-882.373793135573 -79.8185449568427 274.690102052104</t>
  </si>
  <si>
    <t>-1073.37092787924 -3.13868982969007 696.859539259732</t>
  </si>
  <si>
    <t>-1028.65129159087 -152.413791283987 778.472039694413</t>
  </si>
  <si>
    <t>9763-20170724T170037.262665200.bin</t>
  </si>
  <si>
    <t>-914.325768882313 103.983536241248 -157.383755617293</t>
  </si>
  <si>
    <t>-950.838065946562 114.572174046587 -272.373151547975</t>
  </si>
  <si>
    <t>-989.867737698752 101.128936484134 -386.331632826768</t>
  </si>
  <si>
    <t>-1024.83831541094 79.3132960138532 -487.800758776042</t>
  </si>
  <si>
    <t>-1058.88747847686 48.0361746355461 -587.084439974905</t>
  </si>
  <si>
    <t>-1079.91011156673 47.1627916485515 -675.286682795523</t>
  </si>
  <si>
    <t>-1025.60548591386 178.567657973025 -712.924058980896</t>
  </si>
  <si>
    <t>-860.141393592515 344.110019332058 -499.843031096465</t>
  </si>
  <si>
    <t>-618.251309362547 251.565101551455 -523.64809202726</t>
  </si>
  <si>
    <t>-867.249537645062 189.192019615909 -163.841790975268</t>
  </si>
  <si>
    <t>-735.470203943527 245.710138954062 268.705968608253</t>
  </si>
  <si>
    <t>-861.358587100033 425.262539550024 683.294838033999</t>
  </si>
  <si>
    <t>-685.598924224228 423.864330568863 690.3722453583</t>
  </si>
  <si>
    <t>-961.183484362376 16.9809885744846 -150.114930127368</t>
  </si>
  <si>
    <t>-881.835417757448 -96.993402900807 283.902821043196</t>
  </si>
  <si>
    <t>-1073.50754038876 -2.3532100505206 700.923643902944</t>
  </si>
  <si>
    <t>-1030.05363849498 -152.580958403209 781.464812226971</t>
  </si>
  <si>
    <t>9763-20170724T170037.299772100.bin</t>
  </si>
  <si>
    <t>-917.426443376503 92.0830096655141 -156.004693917537</t>
  </si>
  <si>
    <t>-954.870104992651 100.771190048177 -270.853755273042</t>
  </si>
  <si>
    <t>-993.45525585371 84.4003060881946 -384.580358038689</t>
  </si>
  <si>
    <t>-1027.4134451488 59.6122808423556 -485.710142873751</t>
  </si>
  <si>
    <t>-1059.81453868386 25.0989467735862 -584.471832408394</t>
  </si>
  <si>
    <t>-1079.80565388862 21.3676897022435 -672.839018574831</t>
  </si>
  <si>
    <t>-1028.22644352967 153.123150720157 -712.913250442337</t>
  </si>
  <si>
    <t>-869.158300501012 321.589567211328 -497.268747522063</t>
  </si>
  <si>
    <t>-625.734061047148 230.661837931042 -508.170484900405</t>
  </si>
  <si>
    <t>-871.587768775393 178.395012699774 -163.91382104747</t>
  </si>
  <si>
    <t>-727.654180514091 238.270494440464 264.286696681462</t>
  </si>
  <si>
    <t>-859.977281943738 398.957462298324 684.666916200652</t>
  </si>
  <si>
    <t>-684.533064292112 410.537821975322 690.026264278084</t>
  </si>
  <si>
    <t>-962.857885156883 4.99949441980766 -147.957479280662</t>
  </si>
  <si>
    <t>-880.822272873057 -103.401748234084 286.987304013494</t>
  </si>
  <si>
    <t>-1073.30451635255 -2.07560115641013 702.180197112567</t>
  </si>
  <si>
    <t>-1030.21462189625 -152.567489672413 782.423322077681</t>
  </si>
  <si>
    <t>9763-20170724T170037.365948400.bin</t>
  </si>
  <si>
    <t>-922.848912377703 76.3150813799109 -156.579769849169</t>
  </si>
  <si>
    <t>-959.830851962829 81.2232381428526 -271.801579780778</t>
  </si>
  <si>
    <t>-994.84010555416 58.6067841134395 -385.614660139155</t>
  </si>
  <si>
    <t>-1024.24061469819 27.3947734265503 -486.392796961174</t>
  </si>
  <si>
    <t>-1019.39721450456 107.394514599677 -719.08233943609</t>
  </si>
  <si>
    <t>-878.73233941392 282.35799268805 -495.95143047593</t>
  </si>
  <si>
    <t>-634.270049733464 195.239336646139 -478.90507527614</t>
  </si>
  <si>
    <t>-881.351907254426 164.762210429684 -166.231253485205</t>
  </si>
  <si>
    <t>-717.628977965285 221.072434756535 255.291735829532</t>
  </si>
  <si>
    <t>-848.019673506562 349.421008181061 687.221318501918</t>
  </si>
  <si>
    <t>-674.271673574014 374.081843302622 699.345136563</t>
  </si>
  <si>
    <t>-878.65709511826 -108.296167483413 289.818724592606</t>
  </si>
  <si>
    <t>-1071.8869107197 -0.807875798360101 703.463156948206</t>
  </si>
  <si>
    <t>-1028.91528816203 -151.947231339371 782.544476919139</t>
  </si>
  <si>
    <t>9763-20170724T170037.399030600.bin</t>
  </si>
  <si>
    <t>-925.165742244957 70.0300642099705 -156.867035398945</t>
  </si>
  <si>
    <t>-961.616125783226 73.2550386130722 -272.317350213285</t>
  </si>
  <si>
    <t>-994.045731430087 47.5348313449804 -386.235581002388</t>
  </si>
  <si>
    <t>-1020.2766923527 13.0793081140923 -486.831837914005</t>
  </si>
  <si>
    <t>-1010.56992996715 86.0131904234809 -721.674467303626</t>
  </si>
  <si>
    <t>-878.231813009221 262.967128040191 -495.046652756345</t>
  </si>
  <si>
    <t>-634.531285921505 177.845636244025 -463.322208730712</t>
  </si>
  <si>
    <t>-886.834627740337 159.117435080426 -166.624512692739</t>
  </si>
  <si>
    <t>-710.66942447732 215.94158527079 249.782074774003</t>
  </si>
  <si>
    <t>-833.312373611276 328.262361072595 688.604585336674</t>
  </si>
  <si>
    <t>-660.522285567815 355.235151501565 707.567220806346</t>
  </si>
  <si>
    <t>-876.532208126718 -109.428707575618 290.795635145396</t>
  </si>
  <si>
    <t>-1071.09862118799 -0.463660585288153 703.7734476014</t>
  </si>
  <si>
    <t>-1027.57462946058 -151.503707427812 782.742267206496</t>
  </si>
  <si>
    <t>9763-20170724T170037.462193100.bin</t>
  </si>
  <si>
    <t>-934.463721170799 60.0427812874073 -153.796975593407</t>
  </si>
  <si>
    <t>-968.234295792108 61.3658867932747 -270.096681156618</t>
  </si>
  <si>
    <t>-993.451055270939 31.8441517375418 -384.914438629117</t>
  </si>
  <si>
    <t>-988.381890393448 58.3663572888793 -723.115546073064</t>
  </si>
  <si>
    <t>-873.91208466582 240.220508462398 -490.710876464479</t>
  </si>
  <si>
    <t>-633.977943101 158.984568652508 -431.766938430332</t>
  </si>
  <si>
    <t>-901.811797149786 152.038929958771 -162.264586033642</t>
  </si>
  <si>
    <t>-699.331436291841 210.011215554074 241.837656283599</t>
  </si>
  <si>
    <t>-798.684221399983 293.862602671819 692.637354830978</t>
  </si>
  <si>
    <t>-627.977160866673 326.006704406002 720.374900966984</t>
  </si>
  <si>
    <t>-872.791171762441 -112.813050707465 293.00602152211</t>
  </si>
  <si>
    <t>-1069.54280503693 -0.186007973568621 704.357551753609</t>
  </si>
  <si>
    <t>-1025.332220849 -150.917514186992 783.534164577229</t>
  </si>
  <si>
    <t>9763-20170724T170037.501046900.bin</t>
  </si>
  <si>
    <t>-939.082123676204 55.5994866070298 -151.731674411096</t>
  </si>
  <si>
    <t>-970.388057496881 56.2432244924121 -268.724528404716</t>
  </si>
  <si>
    <t>-991.201011328561 25.8564713813428 -384.197617577807</t>
  </si>
  <si>
    <t>-973.829927625418 51.3242292773923 -722.07366600159</t>
  </si>
  <si>
    <t>-865.5076959569 235.290588674073 -488.388401883948</t>
  </si>
  <si>
    <t>-628.284475706853 155.571121612707 -417.592855075907</t>
  </si>
  <si>
    <t>-909.389370028551 148.791130352345 -158.725300329526</t>
  </si>
  <si>
    <t>-693.819762961709 207.566686473648 238.430713679993</t>
  </si>
  <si>
    <t>-777.788332006351 279.12049580588 694.69017712469</t>
  </si>
  <si>
    <t>-608.309095507422 316.97128368327 722.754518668969</t>
  </si>
  <si>
    <t>-872.477342265862 -115.397100591986 294.011242574428</t>
  </si>
  <si>
    <t>-1068.99389690221 -0.165314073457921 704.609780528592</t>
  </si>
  <si>
    <t>-1025.15785066354 -150.865150332273 784.054522395304</t>
  </si>
  <si>
    <t>9763-20170724T170037.566215200.bin</t>
  </si>
  <si>
    <t>-945.46314067955 50.0015714753415 -149.769886871855</t>
  </si>
  <si>
    <t>-972.674024744835 49.4826140344121 -267.783054844596</t>
  </si>
  <si>
    <t>-984.691158668494 18.8826982229782 -384.444101392926</t>
  </si>
  <si>
    <t>-941.196584410193 49.4398553844785 -719.538074108941</t>
  </si>
  <si>
    <t>-846.81485375817 234.100880937808 -480.417699098183</t>
  </si>
  <si>
    <t>-615.968703962156 153.764067018816 -391.546412548189</t>
  </si>
  <si>
    <t>-921.732432934327 144.828351580165 -154.852675909246</t>
  </si>
  <si>
    <t>-689.344932458891 206.903320507596 232.187902803516</t>
  </si>
  <si>
    <t>-736.450144487813 255.970333865318 696.687505767396</t>
  </si>
  <si>
    <t>-570.95554778574 309.522656271301 722.901581714174</t>
  </si>
  <si>
    <t>-873.145587306618 -118.036138822355 294.792364987681</t>
  </si>
  <si>
    <t>-1068.57907562202 0.415789581302079 704.982678547322</t>
  </si>
  <si>
    <t>-1024.59905734913 -150.623010441907 783.700763829411</t>
  </si>
  <si>
    <t>9763-20170724T170037.597088500.bin</t>
  </si>
  <si>
    <t>-946.079934730506 49.5109557050396 -151.101976359593</t>
  </si>
  <si>
    <t>-971.609911601123 49.125030830769 -269.490643867392</t>
  </si>
  <si>
    <t>-979.695239539763 19.3010740946447 -386.690080816776</t>
  </si>
  <si>
    <t>-924.764356077801 55.1050208475115 -719.382581118782</t>
  </si>
  <si>
    <t>-840.076361992769 237.141443157253 -474.685038495273</t>
  </si>
  <si>
    <t>-611.730960243089 156.384931484029 -379.928402364767</t>
  </si>
  <si>
    <t>-924.874957974563 145.218593065851 -155.106475950785</t>
  </si>
  <si>
    <t>-691.858603971793 208.691864710956 231.328728007929</t>
  </si>
  <si>
    <t>-718.231602352248 240.304831626565 698.861035665519</t>
  </si>
  <si>
    <t>-555.926198117938 302.257317329005 726.471948435698</t>
  </si>
  <si>
    <t>-873.59691717287 -116.045409225601 293.912974766466</t>
  </si>
  <si>
    <t>-1068.47480295011 0.647451946637602 704.911067221416</t>
  </si>
  <si>
    <t>-1024.21057736337 -150.461788896329 783.33432712154</t>
  </si>
  <si>
    <t>9763-20170724T170037.662262400.bin</t>
  </si>
  <si>
    <t>-939.264198153604 52.3943075905531 -157.63211085896</t>
  </si>
  <si>
    <t>-959.072089978046 52.3318386678386 -277.111988250544</t>
  </si>
  <si>
    <t>-958.77419031075 25.3856918688421 -395.283071806439</t>
  </si>
  <si>
    <t>-883.046819285279 77.0446638068695 -721.598626562617</t>
  </si>
  <si>
    <t>-826.103588135509 250.569295620872 -463.078193819197</t>
  </si>
  <si>
    <t>-602.218970540837 165.647910667423 -361.559210372599</t>
  </si>
  <si>
    <t>-920.785207845976 149.150349133285 -160.075425089085</t>
  </si>
  <si>
    <t>-705.693244346948 212.944768937479 236.564656378264</t>
  </si>
  <si>
    <t>-701.028704315234 217.922783518325 706.305920654211</t>
  </si>
  <si>
    <t>-541.615537389806 281.533708244915 744.836481162548</t>
  </si>
  <si>
    <t>-876.598139259836 -107.086281298795 289.521265003359</t>
  </si>
  <si>
    <t>-1068.91392097847 0.905521507340836 704.638262021639</t>
  </si>
  <si>
    <t>-1023.59206808504 -150.135796158842 782.586709456307</t>
  </si>
  <si>
    <t>9763-20170724T170037.700372200.bin</t>
  </si>
  <si>
    <t>-930.485088779917 56.2662244042299 -161.567425657064</t>
  </si>
  <si>
    <t>-946.888733729616 56.7108614579015 -281.561367926285</t>
  </si>
  <si>
    <t>-942.723593753087 32.0824992117598 -400.164250652399</t>
  </si>
  <si>
    <t>-930.094169509274 0.546256797156047 -504.283470326351</t>
  </si>
  <si>
    <t>-858.983272574057 94.8850507918762 -722.211423837839</t>
  </si>
  <si>
    <t>-816.881327745487 260.417716205103 -455.729756259291</t>
  </si>
  <si>
    <t>-595.29691405772 172.704057444712 -351.572546950119</t>
  </si>
  <si>
    <t>-913.18590239254 152.924554840762 -163.208078821027</t>
  </si>
  <si>
    <t>-714.985262459581 211.83543412294 242.875198948648</t>
  </si>
  <si>
    <t>-705.661440613363 217.100788698031 713.27060095932</t>
  </si>
  <si>
    <t>-545.251196240228 273.991935258405 757.71673940482</t>
  </si>
  <si>
    <t>-878.370935970348 -100.568759459057 286.71501153866</t>
  </si>
  <si>
    <t>-1069.55765223462 0.810811503413106 704.400492720182</t>
  </si>
  <si>
    <t>-1023.48341019121 -150.04591117855 782.265225637353</t>
  </si>
  <si>
    <t>9763-20170724T170037.765539300.bin</t>
  </si>
  <si>
    <t>-905.292507887753 66.6244300334154 -168.163608577904</t>
  </si>
  <si>
    <t>-916.690251630161 67.0167356198326 -288.736161365252</t>
  </si>
  <si>
    <t>-906.890224915698 47.7672926670825 -408.000440302006</t>
  </si>
  <si>
    <t>-889.093541974255 23.1423689337928 -513.222795083171</t>
  </si>
  <si>
    <t>-812.997766935583 138.174461921153 -719.112142643552</t>
  </si>
  <si>
    <t>-797.803276839388 284.83910983667 -439.032184716782</t>
  </si>
  <si>
    <t>-582.016617320413 188.67442741488 -330.263902783021</t>
  </si>
  <si>
    <t>-890.997539818497 162.430178415272 -168.645859435883</t>
  </si>
  <si>
    <t>-730.965017815525 217.329864155809 254.47742773232</t>
  </si>
  <si>
    <t>-699.489924820657 229.811888075232 723.524236224056</t>
  </si>
  <si>
    <t>-538.853405044822 273.954108737341 780.012212558467</t>
  </si>
  <si>
    <t>-876.875941379359 -87.6694278904779 283.501478219358</t>
  </si>
  <si>
    <t>-1070.55376051401 -0.534027211730745 704.165479324145</t>
  </si>
  <si>
    <t>-1022.8681846663 -149.987598277444 783.746961740511</t>
  </si>
  <si>
    <t>9763-20170724T170037.795652100.bin</t>
  </si>
  <si>
    <t>-891.330595391935 72.3741344608427 -170.394607809263</t>
  </si>
  <si>
    <t>-901.064284440774 71.9207263548624 -291.11266919928</t>
  </si>
  <si>
    <t>-889.279939520709 55.5704125534307 -410.62995465927</t>
  </si>
  <si>
    <t>-869.643392017631 35.0115179467025 -516.396576097879</t>
  </si>
  <si>
    <t>-841.135859210448 9.13854210921681 -618.928357729325</t>
  </si>
  <si>
    <t>-813.112301825304 16.7966906763299 -704.825934477361</t>
  </si>
  <si>
    <t>-793.493264352415 162.116995367619 -715.196709759192</t>
  </si>
  <si>
    <t>-789.958996100071 297.317458483685 -429.024643002789</t>
  </si>
  <si>
    <t>-576.345903621825 196.299662040511 -320.364945307135</t>
  </si>
  <si>
    <t>-876.54249608204 169.365676523414 -172.821855124976</t>
  </si>
  <si>
    <t>-728.340631347038 222.042261909631 254.868456462827</t>
  </si>
  <si>
    <t>-699.273503743662 235.347180149922 725.282661171179</t>
  </si>
  <si>
    <t>-539.625462335 275.507418217389 787.275997378678</t>
  </si>
  <si>
    <t>-873.28629958519 -81.5622328078321 282.870188153425</t>
  </si>
  <si>
    <t>-1071.07404460746 -2.24342099970249 703.053786642947</t>
  </si>
  <si>
    <t>-1021.53715574189 -149.972466856016 784.697724517158</t>
  </si>
  <si>
    <t>9763-20170724T170037.867839200.bin</t>
  </si>
  <si>
    <t>-864.376528829772 79.6005310554283 -173.347228799291</t>
  </si>
  <si>
    <t>-873.960509803676 79.4415941630357 -294.078015505147</t>
  </si>
  <si>
    <t>-859.966501579543 70.1581089477927 -414.113705317682</t>
  </si>
  <si>
    <t>-837.642523726437 58.6643884664436 -520.717491038023</t>
  </si>
  <si>
    <t>-805.838180219809 44.4630956559301 -624.552321695495</t>
  </si>
  <si>
    <t>-751.888300295232 22.2705718477225 -765.253815085391</t>
  </si>
  <si>
    <t>-691.337490638494 14.8661832666685 -846.873327748119</t>
  </si>
  <si>
    <t>-776.036261589668 63.4780305251936 -708.054624295315</t>
  </si>
  <si>
    <t>-763.576856324965 209.847862641239 -702.719393097148</t>
  </si>
  <si>
    <t>-780.217890420581 320.576393591098 -406.664643373086</t>
  </si>
  <si>
    <t>-567.75317279607 211.531502027427 -303.659824095835</t>
  </si>
  <si>
    <t>-775.482607782828 0.702226968218156 -697.9407761871</t>
  </si>
  <si>
    <t>-853.229554519019 177.790300108677 -173.896990058754</t>
  </si>
  <si>
    <t>-726.226746582824 229.669102134637 260.656249285189</t>
  </si>
  <si>
    <t>-704.048397240672 242.34062993168 729.141684678616</t>
  </si>
  <si>
    <t>-546.026745800317 279.322467738736 797.001976539173</t>
  </si>
  <si>
    <t>-855.229959177439 -77.8080806188395 279.736057114329</t>
  </si>
  <si>
    <t>-1070.23033915954 -11.1625083344695 693.709992963714</t>
  </si>
  <si>
    <t>-1020.25656736163 -151.925523331093 786.618109837845</t>
  </si>
  <si>
    <t>9763-20170724T170037.896928700.bin</t>
  </si>
  <si>
    <t>-851.784906496859 80.5180406530528 -188.83117230532</t>
  </si>
  <si>
    <t>-861.018647887287 81.42559777613 -309.5860597069</t>
  </si>
  <si>
    <t>-845.773891947577 75.6871777176607 -429.691150386444</t>
  </si>
  <si>
    <t>-822.027952211246 68.3463960267372 -536.354613867492</t>
  </si>
  <si>
    <t>-788.556253589043 59.2060614937816 -640.234045757131</t>
  </si>
  <si>
    <t>-732.076159926578 44.9528726523261 -780.970839640534</t>
  </si>
  <si>
    <t>-669.405753195393 41.5761521763236 -861.245372726707</t>
  </si>
  <si>
    <t>-757.620616280751 82.863547382284 -722.122069924211</t>
  </si>
  <si>
    <t>-747.461977288998 229.144921720043 -709.315623577137</t>
  </si>
  <si>
    <t>-774.425656182272 326.217075164501 -409.255316817085</t>
  </si>
  <si>
    <t>-561.98033274175 213.919793232038 -309.764991532479</t>
  </si>
  <si>
    <t>-756.51315839318 19.6550901598155 -715.276193487329</t>
  </si>
  <si>
    <t>-837.39401979419 180.438127996469 -193.99131093376</t>
  </si>
  <si>
    <t>-724.920868488993 229.954081021718 244.820299594022</t>
  </si>
  <si>
    <t>-706.382931896734 242.669646469149 708.489304915149</t>
  </si>
  <si>
    <t>-549.123443012021 280.170110224187 777.819601348132</t>
  </si>
  <si>
    <t>-837.393483117263 -83.3197649937854 266.456763098424</t>
  </si>
  <si>
    <t>-1067.49623731014 -19.7433340255725 676.958863457755</t>
  </si>
  <si>
    <t>-1019.64693786919 -153.52442300719 780.672804351083</t>
  </si>
  <si>
    <t>9763-20170724T170037.966110000.bin</t>
  </si>
  <si>
    <t>-824.924032849022 80.2903768996807 -211.773608538234</t>
  </si>
  <si>
    <t>-835.597434568694 82.7156137427767 -332.388599778395</t>
  </si>
  <si>
    <t>-819.057029246034 83.0961846209584 -452.458763325333</t>
  </si>
  <si>
    <t>-793.168832940621 82.9610970439753 -558.876078672489</t>
  </si>
  <si>
    <t>-756.690279222726 82.5719680488521 -662.142826784796</t>
  </si>
  <si>
    <t>-695.239673219001 81.9713096447183 -801.510988096113</t>
  </si>
  <si>
    <t>-628.899657014608 84.9241444142526 -878.797841753792</t>
  </si>
  <si>
    <t>-723.21246908102 114.017667350117 -740.326946818603</t>
  </si>
  <si>
    <t>-715.013625310266 258.555988812407 -714.776669857778</t>
  </si>
  <si>
    <t>-763.862082601645 325.872836903665 -409.377777380603</t>
  </si>
  <si>
    <t>-552.021746661068 208.628384152789 -314.406874376894</t>
  </si>
  <si>
    <t>-721.646859284848 50.4565143923533 -739.36269502325</t>
  </si>
  <si>
    <t>-815.33483384895 180.72660364167 -213.95367491517</t>
  </si>
  <si>
    <t>-713.16308160292 229.321917816984 227.472555531836</t>
  </si>
  <si>
    <t>-705.768606179448 239.620437290816 694.418493707831</t>
  </si>
  <si>
    <t>-549.94245183307 277.690731202659 766.615257026724</t>
  </si>
  <si>
    <t>-778.292380200675 -88.0155841313506 237.653284294721</t>
  </si>
  <si>
    <t>-1027.51334271314 -14.7512280426326 628.639882237099</t>
  </si>
  <si>
    <t>-998.674318345934 -130.538962599948 757.887706225672</t>
  </si>
  <si>
    <t>9763-20170724T170037.997197800.bin</t>
  </si>
  <si>
    <t>-810.877076726153 84.6460493427164 -222.931320767176</t>
  </si>
  <si>
    <t>-822.883764222444 88.4066106382361 -343.386743062476</t>
  </si>
  <si>
    <t>-806.048820342692 91.8647326886212 -463.366631821918</t>
  </si>
  <si>
    <t>-779.282452577691 95.1027362125258 -569.517116026422</t>
  </si>
  <si>
    <t>-741.36573980988 98.6015880252533 -672.205596524659</t>
  </si>
  <si>
    <t>-677.393051944845 103.870755335934 -810.335097314107</t>
  </si>
  <si>
    <t>-609.303865117583 109.634926718881 -885.923627755426</t>
  </si>
  <si>
    <t>-706.678301745761 133.309090372253 -748.458723929826</t>
  </si>
  <si>
    <t>-699.900455327156 276.824003496994 -717.455517710196</t>
  </si>
  <si>
    <t>-755.594740518872 334.411547011977 -411.2399932736</t>
  </si>
  <si>
    <t>-545.43380317406 213.455746680826 -317.196588294719</t>
  </si>
  <si>
    <t>-704.719604728276 69.7696676827275 -749.975453477623</t>
  </si>
  <si>
    <t>-806.076655807938 184.06301901236 -221.055682630889</t>
  </si>
  <si>
    <t>-704.319133021172 230.573640662766 220.690661678848</t>
  </si>
  <si>
    <t>-705.124031851383 237.490662700255 690.161825214253</t>
  </si>
  <si>
    <t>-549.970781606349 276.698071668343 763.19436036008</t>
  </si>
  <si>
    <t>-746.073596528674 -81.102993891639 220.854183870659</t>
  </si>
  <si>
    <t>-1004.65740520088 -2.7500750013478 603.736531186835</t>
  </si>
  <si>
    <t>-987.519049703124 -112.387187760779 740.226422526682</t>
  </si>
  <si>
    <t>9763-20170724T170038.060365900.bin</t>
  </si>
  <si>
    <t>-788.155759368002 87.0015210171562 -237.273150462012</t>
  </si>
  <si>
    <t>-800.135895301501 94.0442651119599 -357.583957255482</t>
  </si>
  <si>
    <t>-781.514696719813 103.00629246504 -477.013731224046</t>
  </si>
  <si>
    <t>-752.494085681683 111.903636864693 -582.244489946243</t>
  </si>
  <si>
    <t>-711.757249060097 121.604166835351 -683.443538224186</t>
  </si>
  <si>
    <t>-643.35895562186 135.927793879851 -818.782028694871</t>
  </si>
  <si>
    <t>-572.26829589913 146.016175799091 -891.082344067716</t>
  </si>
  <si>
    <t>-675.012610793596 161.242907163941 -756.2512320529</t>
  </si>
  <si>
    <t>-671.638664584588 303.10646858824 -717.440597981585</t>
  </si>
  <si>
    <t>-734.266670882703 347.121531454836 -410.314237960195</t>
  </si>
  <si>
    <t>-527.663554372764 220.708369133848 -315.56757079392</t>
  </si>
  <si>
    <t>-672.233566545175 97.9371089574761 -761.546693651507</t>
  </si>
  <si>
    <t>-786.873971798781 184.493206372609 -229.695199243823</t>
  </si>
  <si>
    <t>-687.062070499252 231.609616989606 212.430687132861</t>
  </si>
  <si>
    <t>-703.883395063711 234.325593133798 684.183243969859</t>
  </si>
  <si>
    <t>-550.087731241428 277.098303845845 758.081225150671</t>
  </si>
  <si>
    <t>-700.257116362868 -70.0674379669031 199.563450495174</t>
  </si>
  <si>
    <t>-968.600643157354 2.98363931664267 578.681182319301</t>
  </si>
  <si>
    <t>-935.0912580724 -98.6907464209862 718.262519316594</t>
  </si>
  <si>
    <t>9763-20170724T170038.097049400.bin</t>
  </si>
  <si>
    <t>-779.227318515134 86.5998077498998 -240.998108590642</t>
  </si>
  <si>
    <t>-789.806499398659 95.0497245206609 -361.3495791895</t>
  </si>
  <si>
    <t>-769.735531109818 106.196531772667 -480.359922915536</t>
  </si>
  <si>
    <t>-739.416784245759 117.302560311693 -585.013076951238</t>
  </si>
  <si>
    <t>-697.413418237304 129.393362801094 -685.434050935131</t>
  </si>
  <si>
    <t>-627.305408218584 147.180181170593 -819.480709936551</t>
  </si>
  <si>
    <t>-555.079520558513 158.882646167727 -890.399298378476</t>
  </si>
  <si>
    <t>-659.893175141701 170.88590819872 -756.798933237145</t>
  </si>
  <si>
    <t>-657.671937557429 311.915054968635 -715.148762489013</t>
  </si>
  <si>
    <t>-723.360370217126 349.715757443696 -407.834011509286</t>
  </si>
  <si>
    <t>-518.341196354197 221.009140231828 -312.735312286295</t>
  </si>
  <si>
    <t>-656.758874978811 107.734166324456 -763.539477866373</t>
  </si>
  <si>
    <t>-779.442300799637 183.87468215208 -231.832611218843</t>
  </si>
  <si>
    <t>-680.515733075521 231.588526551632 210.428141954757</t>
  </si>
  <si>
    <t>-703.413999324471 233.256363901387 682.348467042794</t>
  </si>
  <si>
    <t>-550.070856795052 277.312193810811 756.432739853187</t>
  </si>
  <si>
    <t>-681.662774460716 -67.0992890965406 193.255014282056</t>
  </si>
  <si>
    <t>-940.937087022608 -4.23139858379022 579.781101539515</t>
  </si>
  <si>
    <t>-892.360106554318 -103.227940142671 716.833973054146</t>
  </si>
  <si>
    <t>9763-20170724T170038.164222900.bin</t>
  </si>
  <si>
    <t>-763.935965658255 83.9129085595507 -244.641954994955</t>
  </si>
  <si>
    <t>-774.83402870518 94.2180656320561 -364.820354322931</t>
  </si>
  <si>
    <t>-753.887204844093 108.639339666549 -483.327034883497</t>
  </si>
  <si>
    <t>-722.337503742462 123.160542206459 -587.195101994924</t>
  </si>
  <si>
    <t>-678.716867856199 139.039169600504 -686.391740330051</t>
  </si>
  <si>
    <t>-606.020929857898 162.402846088548 -818.184816010034</t>
  </si>
  <si>
    <t>-532.066539517159 176.75997762536 -886.796837278131</t>
  </si>
  <si>
    <t>-640.260943031841 183.481195209772 -755.445310750953</t>
  </si>
  <si>
    <t>-640.037092214181 323.305719752469 -709.8835201717</t>
  </si>
  <si>
    <t>-712.253884185252 353.020746736819 -403.145881557326</t>
  </si>
  <si>
    <t>-509.993890680019 220.820301560857 -306.937878329838</t>
  </si>
  <si>
    <t>-636.112303193099 120.649160066856 -764.295553609637</t>
  </si>
  <si>
    <t>-767.019421473338 180.994415777217 -233.658770044173</t>
  </si>
  <si>
    <t>-672.047988364292 229.761743476839 209.353474944462</t>
  </si>
  <si>
    <t>-702.65452226993 231.069410686855 680.589387747473</t>
  </si>
  <si>
    <t>-549.861558692192 277.426856292985 754.405519451049</t>
  </si>
  <si>
    <t>-652.474054512174 -59.0454090958549 186.6028797009</t>
  </si>
  <si>
    <t>-871.685625397205 -25.1320937609248 600.337133617783</t>
  </si>
  <si>
    <t>-801.51756276887 -131.35856830578 721.728495939991</t>
  </si>
  <si>
    <t>9763-20170724T170038.196896100.bin</t>
  </si>
  <si>
    <t>-758.80897293496 82.5202814893726 -244.822540263703</t>
  </si>
  <si>
    <t>-769.057014985495 93.0350693176806 -365.039888970693</t>
  </si>
  <si>
    <t>-747.361287905126 108.343680753553 -483.300187697973</t>
  </si>
  <si>
    <t>-715.114165106363 123.899242991343 -586.803803505768</t>
  </si>
  <si>
    <t>-670.790300115686 141.013570591221 -685.481784397089</t>
  </si>
  <si>
    <t>-597.125890933393 166.275328683806 -816.384185729703</t>
  </si>
  <si>
    <t>-522.543282873651 181.583414342048 -884.104732604829</t>
  </si>
  <si>
    <t>-632.060922324269 186.450049593622 -753.730779630389</t>
  </si>
  <si>
    <t>-633.110932525185 325.918669683568 -707.153612151083</t>
  </si>
  <si>
    <t>-707.752056453557 353.387314870179 -400.787261661551</t>
  </si>
  <si>
    <t>-506.746721843352 220.060415936186 -303.510064797315</t>
  </si>
  <si>
    <t>-627.379307473895 123.745447620233 -763.197046038548</t>
  </si>
  <si>
    <t>-762.957430107519 179.8010980209 -233.886424859553</t>
  </si>
  <si>
    <t>-669.877652182376 228.721358307909 209.510255362131</t>
  </si>
  <si>
    <t>-702.402982073573 230.175610745556 680.33357357001</t>
  </si>
  <si>
    <t>-549.732207056392 277.392768780757 753.856878948804</t>
  </si>
  <si>
    <t>-642.652378041327 -53.5872734341272 185.985810341863</t>
  </si>
  <si>
    <t>-833.28570455028 -36.5058312318511 614.556186233518</t>
  </si>
  <si>
    <t>-755.130263090073 -147.835548640352 726.09517657685</t>
  </si>
  <si>
    <t>9763-20170724T170038.261067800.bin</t>
  </si>
  <si>
    <t>-749.064708798579 81.7606811674661 -244.28909518708</t>
  </si>
  <si>
    <t>-757.609313130598 92.0887315293876 -364.655609229383</t>
  </si>
  <si>
    <t>-734.592558345256 108.276224049771 -482.548680619416</t>
  </si>
  <si>
    <t>-701.332082781421 125.027584347594 -585.54374573556</t>
  </si>
  <si>
    <t>-656.184521929762 143.712560431278 -683.561262793733</t>
  </si>
  <si>
    <t>-581.577497938144 171.521688360595 -813.40894145315</t>
  </si>
  <si>
    <t>-506.201789578279 188.174666877117 -879.923380944442</t>
  </si>
  <si>
    <t>-617.469592929283 190.476503465333 -750.915781928294</t>
  </si>
  <si>
    <t>-620.401581711012 329.644344618663 -703.541953953161</t>
  </si>
  <si>
    <t>-700.958661867729 355.033665783516 -398.497560248623</t>
  </si>
  <si>
    <t>-500.442276027423 223.029734666408 -298.446423368872</t>
  </si>
  <si>
    <t>-611.707995227417 127.957560647341 -760.994903975306</t>
  </si>
  <si>
    <t>-754.26687331767 179.66307347401 -234.471712519576</t>
  </si>
  <si>
    <t>-667.764415057839 228.552678591787 210.258289960823</t>
  </si>
  <si>
    <t>-702.424595592558 230.403473325375 679.715897842234</t>
  </si>
  <si>
    <t>-549.776312211857 277.645770410548 753.269930270023</t>
  </si>
  <si>
    <t>-622.669968408047 -44.7237459084163 185.454418379275</t>
  </si>
  <si>
    <t>-748.541717728448 -57.0875585945171 637.825855867464</t>
  </si>
  <si>
    <t>-651.270110709532 -169.868488271209 731.432528104465</t>
  </si>
  <si>
    <t>9763-20170724T170038.296324600.bin</t>
  </si>
  <si>
    <t>-742.776708035386 82.0110641465133 -244.030355440552</t>
  </si>
  <si>
    <t>-750.848789319604 92.0776162178142 -364.451715163246</t>
  </si>
  <si>
    <t>-727.543682484202 108.293070635075 -482.284313284393</t>
  </si>
  <si>
    <t>-694.100498741234 125.183972933752 -585.197288973584</t>
  </si>
  <si>
    <t>-648.846910531812 144.117392384142 -683.1181561515</t>
  </si>
  <si>
    <t>-574.169160668362 172.381329384293 -812.826926954342</t>
  </si>
  <si>
    <t>-498.600077663796 189.379820534171 -879.033877719619</t>
  </si>
  <si>
    <t>-610.36353835785 191.116266855675 -750.4419732824</t>
  </si>
  <si>
    <t>-614.164412309816 330.468593607511 -703.642319678116</t>
  </si>
  <si>
    <t>-697.997217293355 355.918041411928 -399.486817357669</t>
  </si>
  <si>
    <t>-496.983183252236 226.157279367827 -297.518476614108</t>
  </si>
  <si>
    <t>-604.059900545736 128.634781661806 -760.42768804299</t>
  </si>
  <si>
    <t>-748.712095984256 179.986590913677 -234.874390532779</t>
  </si>
  <si>
    <t>-665.121715918469 228.48546080485 210.454958524236</t>
  </si>
  <si>
    <t>-702.201265192014 230.442845934164 679.352731228243</t>
  </si>
  <si>
    <t>-549.740917967782 277.895957250242 753.160325992068</t>
  </si>
  <si>
    <t>-612.934983639904 -40.0502454547604 185.425231685056</t>
  </si>
  <si>
    <t>-706.978770036422 -64.8145323530066 645.245086917737</t>
  </si>
  <si>
    <t>-594.144018836817 -169.420453305515 730.505930447063</t>
  </si>
  <si>
    <t>9763-20170724T170038.363500900.bin</t>
  </si>
  <si>
    <t>-726.508260450115 80.4220040946211 -243.020295888636</t>
  </si>
  <si>
    <t>-734.776872439056 89.1877646334176 -363.529979375278</t>
  </si>
  <si>
    <t>-712.073253296632 104.455282451902 -481.60639979434</t>
  </si>
  <si>
    <t>-679.312747113902 120.63410506021 -584.852867216472</t>
  </si>
  <si>
    <t>-634.85818904806 138.995135996782 -683.247567706866</t>
  </si>
  <si>
    <t>-561.38815834734 166.604577428425 -813.78446225583</t>
  </si>
  <si>
    <t>-485.973362422402 183.583719976134 -880.171997954685</t>
  </si>
  <si>
    <t>-597.584713890055 185.640226133732 -751.491811595388</t>
  </si>
  <si>
    <t>-603.124427979917 325.767985132435 -707.223463826262</t>
  </si>
  <si>
    <t>-692.917523516932 353.409997271767 -404.96647389085</t>
  </si>
  <si>
    <t>-490.42912024746 230.290742139709 -297.811622231406</t>
  </si>
  <si>
    <t>-590.2080683528 123.136161179223 -760.560111650725</t>
  </si>
  <si>
    <t>-735.09356274356 177.188679076462 -235.021462402601</t>
  </si>
  <si>
    <t>-656.5891599099 228.133672003222 210.959819708606</t>
  </si>
  <si>
    <t>-701.567614756026 230.291377769391 678.892862329144</t>
  </si>
  <si>
    <t>-549.654284332513 278.492502325656 753.340814384733</t>
  </si>
  <si>
    <t>-598.388749199496 -37.0004419374493 188.800678600846</t>
  </si>
  <si>
    <t>-644.880739313926 -83.6034716139002 653.651515241027</t>
  </si>
  <si>
    <t>-509.735808357329 -166.952449285357 729.363589448159</t>
  </si>
  <si>
    <t>9763-20170724T170038.397478000.bin</t>
  </si>
  <si>
    <t>-717.197202821331 77.6597564821111 -242.077540510543</t>
  </si>
  <si>
    <t>-725.844436996541 85.2333008685875 -362.641412489454</t>
  </si>
  <si>
    <t>-703.955170458217 99.5139653415429 -480.99468654819</t>
  </si>
  <si>
    <t>-672.080383146045 114.903431408772 -584.638362227919</t>
  </si>
  <si>
    <t>-628.6369927387 132.585648186018 -683.607337103258</t>
  </si>
  <si>
    <t>-556.677033515173 159.374934344787 -815.152380926633</t>
  </si>
  <si>
    <t>-481.654990867046 176.057307557122 -882.058255694219</t>
  </si>
  <si>
    <t>-592.547528740121 178.783005459538 -752.786257962918</t>
  </si>
  <si>
    <t>-599.14985676592 319.393640101504 -710.160707252021</t>
  </si>
  <si>
    <t>-690.736252791772 349.423470309735 -408.670554334366</t>
  </si>
  <si>
    <t>-487.328921284003 230.545346848934 -298.509336999942</t>
  </si>
  <si>
    <t>-584.486698877827 116.259864103828 -761.109479927327</t>
  </si>
  <si>
    <t>-727.481500291804 174.295725554678 -234.919617682938</t>
  </si>
  <si>
    <t>-652.077967089762 226.706792398 211.426667003538</t>
  </si>
  <si>
    <t>-701.021477712685 229.582927340193 678.900512279525</t>
  </si>
  <si>
    <t>-549.50975100522 278.786644605931 753.510681024114</t>
  </si>
  <si>
    <t>-591.661212094428 -39.0803486909983 191.730163729564</t>
  </si>
  <si>
    <t>-628.30404098387 -91.8976167019152 657.033162054987</t>
  </si>
  <si>
    <t>-487.249622026173 -166.008180602563 731.563678458429</t>
  </si>
  <si>
    <t>9763-20170724T170038.467665800.bin</t>
  </si>
  <si>
    <t>-696.702279752082 69.26666694804 -240.006124746405</t>
  </si>
  <si>
    <t>-706.600699686333 73.6065325806564 -360.633662231099</t>
  </si>
  <si>
    <t>-687.334367224013 85.0272121479668 -479.750988212689</t>
  </si>
  <si>
    <t>-658.310171526157 98.0554879223826 -584.549396579078</t>
  </si>
  <si>
    <t>-618.127402518155 113.637241528328 -685.234139265544</t>
  </si>
  <si>
    <t>-551.050825380666 137.81371973756 -819.830701300802</t>
  </si>
  <si>
    <t>-477.565431016527 153.615015184283 -888.628855920126</t>
  </si>
  <si>
    <t>-585.646297559536 158.368117823793 -757.112291282066</t>
  </si>
  <si>
    <t>-595.295182939539 300.088428676255 -719.029122650349</t>
  </si>
  <si>
    <t>-688.194608500609 336.596363009087 -418.657640242854</t>
  </si>
  <si>
    <t>-482.195503961514 230.634238213845 -300.427197806287</t>
  </si>
  <si>
    <t>-575.813999085148 95.8645989615752 -763.439383612284</t>
  </si>
  <si>
    <t>-710.036665109651 165.733000122581 -235.125513854532</t>
  </si>
  <si>
    <t>-645.142742852132 222.333979618395 212.35943514077</t>
  </si>
  <si>
    <t>-700.289118484935 228.519646311728 678.981128980771</t>
  </si>
  <si>
    <t>-549.354827850034 279.227558423518 753.754430998457</t>
  </si>
  <si>
    <t>-573.016489674872 -44.3342168650227 197.679476329161</t>
  </si>
  <si>
    <t>-613.687018330607 -103.440442260265 662.175521000724</t>
  </si>
  <si>
    <t>-466.733644197139 -162.67000661168 738.595897638526</t>
  </si>
  <si>
    <t>9763-20170724T170038.499264100.bin</t>
  </si>
  <si>
    <t>-686.604941621074 63.4411820035127 -238.666869825757</t>
  </si>
  <si>
    <t>-697.031382625763 65.9291802155547 -359.302346936669</t>
  </si>
  <si>
    <t>-679.184920194622 75.4931987062912 -478.803806273021</t>
  </si>
  <si>
    <t>-651.765495184285 86.8863385153529 -584.223059558882</t>
  </si>
  <si>
    <t>-613.469648917874 100.900315851535 -685.869015318029</t>
  </si>
  <si>
    <t>-549.266055724694 122.992161637507 -822.21360381502</t>
  </si>
  <si>
    <t>-476.882202673727 138.1697932451 -892.307900285168</t>
  </si>
  <si>
    <t>-583.103098272488 144.44395394044 -759.38207908708</t>
  </si>
  <si>
    <t>-594.744267899865 286.759616680897 -724.344908954288</t>
  </si>
  <si>
    <t>-687.450717610763 328.252866552508 -424.561639850215</t>
  </si>
  <si>
    <t>-480.20817860861 231.009434293121 -301.126235167838</t>
  </si>
  <si>
    <t>-572.245214765998 81.9904669121045 -764.388552249162</t>
  </si>
  <si>
    <t>-701.905594695927 159.72658916115 -235.058044971065</t>
  </si>
  <si>
    <t>-642.082917992218 218.815384771856 212.811743748113</t>
  </si>
  <si>
    <t>-699.809810345296 227.654872777835 679.132025187077</t>
  </si>
  <si>
    <t>-549.214709796285 279.407516852086 753.873456779202</t>
  </si>
  <si>
    <t>-563.978014949291 -49.1246869271954 201.117195578526</t>
  </si>
  <si>
    <t>-609.103477828173 -108.1132029026 664.800931807012</t>
  </si>
  <si>
    <t>-461.331365548177 -162.995731524598 742.870213896649</t>
  </si>
  <si>
    <t>9763-20170724T170038.563439000.bin</t>
  </si>
  <si>
    <t>-668.164384937671 50.7969135845831 -237.432159657933</t>
  </si>
  <si>
    <t>-679.587511556553 50.8920334019781 -358.002985055424</t>
  </si>
  <si>
    <t>-663.870897408189 56.9262920333581 -478.032710365432</t>
  </si>
  <si>
    <t>-638.779118788076 64.7372470125952 -584.354220924903</t>
  </si>
  <si>
    <t>-603.15813257718 74.8171988015595 -687.428717292379</t>
  </si>
  <si>
    <t>-542.972959346086 91.1181551376062 -826.396503088767</t>
  </si>
  <si>
    <t>-472.349429142438 104.444233356918 -898.630267440218</t>
  </si>
  <si>
    <t>-575.963790104792 115.043587866612 -764.009870383123</t>
  </si>
  <si>
    <t>-591.613921134539 258.395047312692 -735.569069984413</t>
  </si>
  <si>
    <t>-685.385824171297 313.742762285481 -438.366078871323</t>
  </si>
  <si>
    <t>-476.581387638988 235.83629159394 -304.301313561823</t>
  </si>
  <si>
    <t>-563.242302917952 52.767312212774 -765.805346660271</t>
  </si>
  <si>
    <t>-687.330628777083 146.778280950988 -235.052933615503</t>
  </si>
  <si>
    <t>-638.181614943269 210.331436393566 213.503642365293</t>
  </si>
  <si>
    <t>-699.163591204223 226.63255970257 679.135279782947</t>
  </si>
  <si>
    <t>-549.097784300778 279.754180615957 753.980739366263</t>
  </si>
  <si>
    <t>-553.795383477431 -58.4627330428252 205.964323932415</t>
  </si>
  <si>
    <t>-606.498690143601 -110.661828700171 670.654245727696</t>
  </si>
  <si>
    <t>-460.03517769618 -167.911160732938 749.486108146414</t>
  </si>
  <si>
    <t>9763-20170724T170038.600053300.bin</t>
  </si>
  <si>
    <t>-662.121469295657 44.603879170664 -237.74443256928</t>
  </si>
  <si>
    <t>-673.617540314368 44.3307589028532 -358.308118077727</t>
  </si>
  <si>
    <t>-658.449343693301 48.7599989983648 -478.478287023385</t>
  </si>
  <si>
    <t>-634.026554405979 54.6392157224525 -585.07943464779</t>
  </si>
  <si>
    <t>-599.225709853711 62.3210267841762 -688.639758964219</t>
  </si>
  <si>
    <t>-540.313200567922 74.8192110717052 -828.54372433785</t>
  </si>
  <si>
    <t>-470.286445540946 86.6922461159795 -901.607099480453</t>
  </si>
  <si>
    <t>-573.092536826598 100.366308355116 -766.690839919863</t>
  </si>
  <si>
    <t>-590.017224502187 244.327668534936 -741.887415498688</t>
  </si>
  <si>
    <t>-686.062287437679 306.796918908354 -446.829657684725</t>
  </si>
  <si>
    <t>-477.224437489345 238.488736218823 -307.679385831287</t>
  </si>
  <si>
    <t>-559.667793617371 38.2119849257681 -766.59036884284</t>
  </si>
  <si>
    <t>-683.549057397746 140.088436341685 -235.175522217129</t>
  </si>
  <si>
    <t>-637.776544438077 206.874780611318 213.268542073505</t>
  </si>
  <si>
    <t>-698.967260374999 226.752817865177 678.869980017952</t>
  </si>
  <si>
    <t>-549.095158259944 280.04446984586 753.982319867355</t>
  </si>
  <si>
    <t>-549.974906938073 -63.7023563541079 206.841007924783</t>
  </si>
  <si>
    <t>-607.075375321319 -112.156538755682 671.085424412483</t>
  </si>
  <si>
    <t>-460.946894201021 -170.904031444346 749.435308468516</t>
  </si>
  <si>
    <t>9763-20170724T170038.665225100.bin</t>
  </si>
  <si>
    <t>-653.216173654803 35.2066627805129 -232.655492242552</t>
  </si>
  <si>
    <t>-663.94041979238 33.9803424890781 -353.284212451843</t>
  </si>
  <si>
    <t>-648.755795148566 34.7899795670955 -473.531170961349</t>
  </si>
  <si>
    <t>-624.608779710659 36.332733336154 -580.345975780982</t>
  </si>
  <si>
    <t>-590.349259922077 38.6226047857747 -684.345524184477</t>
  </si>
  <si>
    <t>-532.435081913786 42.5447909660984 -825.166456094774</t>
  </si>
  <si>
    <t>-462.926989387931 50.9038724454274 -899.205272885413</t>
  </si>
  <si>
    <t>-565.393106006897 71.6708603963316 -765.013843203149</t>
  </si>
  <si>
    <t>-584.863977893424 216.508451793439 -748.257623384393</t>
  </si>
  <si>
    <t>-687.380186149866 292.726739771048 -458.658971912343</t>
  </si>
  <si>
    <t>-480.296915727493 240.692467879985 -310.163037724553</t>
  </si>
  <si>
    <t>-550.72747496602 9.94794517871219 -760.701430464919</t>
  </si>
  <si>
    <t>-679.039735752349 129.229641983877 -231.566412135641</t>
  </si>
  <si>
    <t>-633.835333617931 211.163332311384 214.416921527003</t>
  </si>
  <si>
    <t>-698.662610315007 232.668329745424 678.627870021892</t>
  </si>
  <si>
    <t>-549.169244690867 283.564935618615 756.118362230597</t>
  </si>
  <si>
    <t>-549.55196428852 -70.1169757825935 216.000526885243</t>
  </si>
  <si>
    <t>-608.186064571263 -111.22442804973 679.987822366975</t>
  </si>
  <si>
    <t>-461.173338949986 -171.061408422925 755.818592731649</t>
  </si>
  <si>
    <t>9763-20170724T170038.698322100.bin</t>
  </si>
  <si>
    <t>-648.154121697833 34.8343119705964 -229.856663348209</t>
  </si>
  <si>
    <t>-658.347181173519 33.1853726606539 -350.52655529577</t>
  </si>
  <si>
    <t>-642.775963252032 32.2511905810225 -470.723192338955</t>
  </si>
  <si>
    <t>-618.34325058301 31.6767536159941 -577.482488361372</t>
  </si>
  <si>
    <t>-583.860953722552 31.3045993895994 -681.432899186192</t>
  </si>
  <si>
    <t>-525.701015750097 30.9584203866709 -822.206724270316</t>
  </si>
  <si>
    <t>-456.077747764331 37.5296744066461 -896.317594344689</t>
  </si>
  <si>
    <t>-559.04111727184 61.8140566706613 -763.136673502799</t>
  </si>
  <si>
    <t>-580.089673953891 206.757813714148 -750.3966719789</t>
  </si>
  <si>
    <t>-685.035714213004 290.386695200531 -463.728261431474</t>
  </si>
  <si>
    <t>-479.314759893355 245.938073054686 -310.936685813481</t>
  </si>
  <si>
    <t>-543.828923134454 0.409050695565611 -756.700853683295</t>
  </si>
  <si>
    <t>-675.539347435409 128.665786021148 -228.972312174452</t>
  </si>
  <si>
    <t>-628.213889145828 220.633728503064 214.829235444701</t>
  </si>
  <si>
    <t>-697.496643606533 242.500153379403 679.243020376236</t>
  </si>
  <si>
    <t>-548.143812372519 292.266674293698 757.732158585439</t>
  </si>
  <si>
    <t>-550.470288575596 -70.3479752642065 219.938338302181</t>
  </si>
  <si>
    <t>-608.635929870898 -110.339819287253 683.640111513478</t>
  </si>
  <si>
    <t>-460.86766232294 -170.071072832204 758.072835641928</t>
  </si>
  <si>
    <t>9763-20170724T170038.763494900.bin</t>
  </si>
  <si>
    <t>-642.781755782366 36.3381718462911 -227.080635852556</t>
  </si>
  <si>
    <t>-651.182803861747 34.5176157200372 -347.885868613657</t>
  </si>
  <si>
    <t>-634.223810771421 30.6164585005861 -467.834853851163</t>
  </si>
  <si>
    <t>-608.731952601763 26.2040330794296 -574.256448613212</t>
  </si>
  <si>
    <t>-573.398009633064 20.8232887077113 -677.781281491865</t>
  </si>
  <si>
    <t>-514.279606712745 12.2904318384276 -817.896230601507</t>
  </si>
  <si>
    <t>-444.092920880645 15.3258237484538 -891.704049156293</t>
  </si>
  <si>
    <t>-548.357429401601 46.4171196827588 -761.089657508511</t>
  </si>
  <si>
    <t>-571.936332155249 191.556868583702 -756.196925223559</t>
  </si>
  <si>
    <t>-679.928868287634 286.761110710831 -474.310627974191</t>
  </si>
  <si>
    <t>-477.213327071648 255.778001850086 -314.34652219731</t>
  </si>
  <si>
    <t>-673.76118251967 129.581710890126 -226.071125518996</t>
  </si>
  <si>
    <t>-620.256873090038 241.803814941012 212.336437516848</t>
  </si>
  <si>
    <t>-701.740014860082 261.829482946648 674.482116112521</t>
  </si>
  <si>
    <t>-552.390942869268 311.490824002803 753.044917695693</t>
  </si>
  <si>
    <t>-549.90677976713 -68.7454674414889 223.481610994679</t>
  </si>
  <si>
    <t>-609.129360090143 -109.061873438524 687.131487343227</t>
  </si>
  <si>
    <t>-460.020998767929 -167.844525030083 759.621595366989</t>
  </si>
  <si>
    <t>9763-20170724T170038.794605600.bin</t>
  </si>
  <si>
    <t>-640.715304829307 35.616154766773 -226.420273688852</t>
  </si>
  <si>
    <t>-648.526533349569 33.6253054669405 -347.262424319143</t>
  </si>
  <si>
    <t>-631.018852073272 28.3097361627886 -467.078148344588</t>
  </si>
  <si>
    <t>-605.069599533712 22.0993554841643 -573.299191568412</t>
  </si>
  <si>
    <t>-569.330726028726 14.3925444073627 -676.53763789274</t>
  </si>
  <si>
    <t>-509.717289188733 2.07179910445916 -816.16016534528</t>
  </si>
  <si>
    <t>-439.158476271872 3.21284934888308 -889.666187697018</t>
  </si>
  <si>
    <t>-543.941942126888 37.7402974352826 -760.398738079364</t>
  </si>
  <si>
    <t>-567.697840372123 182.872998225584 -758.633473618928</t>
  </si>
  <si>
    <t>-675.967468821178 282.831026554254 -478.504456303027</t>
  </si>
  <si>
    <t>-474.776740360399 256.435281267024 -315.815648470845</t>
  </si>
  <si>
    <t>-672.879311114036 128.915946088313 -226.063817076612</t>
  </si>
  <si>
    <t>-619.42260360187 242.225007440746 212.069746879996</t>
  </si>
  <si>
    <t>-703.934881541732 262.062867659859 672.947102514277</t>
  </si>
  <si>
    <t>-553.555334531765 308.528705110423 751.499148595058</t>
  </si>
  <si>
    <t>-548.416997748872 -67.6564605041676 224.475719833308</t>
  </si>
  <si>
    <t>-609.123219991912 -108.531640216341 688.081574342299</t>
  </si>
  <si>
    <t>-459.504403310099 -166.515897380248 760.161758050494</t>
  </si>
  <si>
    <t>9763-20170724T170038.864772800.bin</t>
  </si>
  <si>
    <t>-636.583970019751 33.7048417741576 -225.972434524621</t>
  </si>
  <si>
    <t>-643.926120522171 31.311874869094 -346.836554151655</t>
  </si>
  <si>
    <t>-626.197178143508 23.4706546557595 -466.481058966473</t>
  </si>
  <si>
    <t>-600.181154011487 14.1031543077324 -572.453865855035</t>
  </si>
  <si>
    <t>-564.529633709655 2.36227941265679 -675.342018607035</t>
  </si>
  <si>
    <t>-538.896042276618 21.909325871537 -760.095849892109</t>
  </si>
  <si>
    <t>-561.050322352952 167.273398903842 -763.205769364805</t>
  </si>
  <si>
    <t>-667.532537923709 274.870714606414 -485.23001608148</t>
  </si>
  <si>
    <t>-469.049360929821 251.735362156477 -318.763135557664</t>
  </si>
  <si>
    <t>-670.473388757358 123.798513509393 -224.486041351381</t>
  </si>
  <si>
    <t>-627.464983680289 233.719818253557 215.65624019122</t>
  </si>
  <si>
    <t>-702.213313571126 260.860301284684 678.414967746439</t>
  </si>
  <si>
    <t>-552.730557308042 327.854834535196 742.525352199166</t>
  </si>
  <si>
    <t>-547.367111643998 -67.8336483047374 225.699870794576</t>
  </si>
  <si>
    <t>-608.899635790575 -108.073380858515 689.332243056618</t>
  </si>
  <si>
    <t>-458.939470056418 -165.280314926387 761.324076867197</t>
  </si>
  <si>
    <t>9763-20170724T170038.895396200.bin</t>
  </si>
  <si>
    <t>-635.209099492528 34.6798357699518 -226.103474433319</t>
  </si>
  <si>
    <t>-642.336147786726 32.383725916284 -346.982545276904</t>
  </si>
  <si>
    <t>-624.950038928065 23.568913968372 -466.609385928877</t>
  </si>
  <si>
    <t>-599.478539245193 12.8772622272043 -572.589365102864</t>
  </si>
  <si>
    <t>-539.390227633727 17.2529826912366 -760.770939329507</t>
  </si>
  <si>
    <t>-559.608795904442 162.841298306389 -765.572261075741</t>
  </si>
  <si>
    <t>-664.443402041295 273.735912422408 -488.266794804125</t>
  </si>
  <si>
    <t>-466.902397253998 250.565750839808 -320.687771772134</t>
  </si>
  <si>
    <t>-669.249978261654 124.992848949037 -224.263367933969</t>
  </si>
  <si>
    <t>-634.443287316016 234.789148233303 216.634491333752</t>
  </si>
  <si>
    <t>-700.68569638782 268.59703281706 680.116452575153</t>
  </si>
  <si>
    <t>-553.384778686466 344.047262482872 739.725458532821</t>
  </si>
  <si>
    <t>-548.549879822244 -68.7422930787156 225.819829364228</t>
  </si>
  <si>
    <t>-608.880749623858 -108.110685287052 689.71473756626</t>
  </si>
  <si>
    <t>-458.96446732057 -165.386602350785 761.743128983484</t>
  </si>
  <si>
    <t>9763-20170724T170038.963578200.bin</t>
  </si>
  <si>
    <t>-636.076225645231 42.040790435286 -226.734082529895</t>
  </si>
  <si>
    <t>-642.931793153913 40.8457666935626 -347.64469336966</t>
  </si>
  <si>
    <t>-626.863432093103 30.7033817093452 -467.350571176</t>
  </si>
  <si>
    <t>-603.250540949024 17.7909998104631 -573.513424865489</t>
  </si>
  <si>
    <t>-570.912508662582 1.0220444366314 -676.799002532857</t>
  </si>
  <si>
    <t>-547.255383354095 15.7843515480388 -763.08214426206</t>
  </si>
  <si>
    <t>-563.330462821086 161.797324510092 -770.552249580373</t>
  </si>
  <si>
    <t>-662.395062682878 276.78833496428 -492.794301583426</t>
  </si>
  <si>
    <t>-465.911276377655 250.754692913113 -324.394772694484</t>
  </si>
  <si>
    <t>-668.409245764818 135.41572196473 -225.708705717288</t>
  </si>
  <si>
    <t>-648.803024999909 233.086939698811 218.963671727789</t>
  </si>
  <si>
    <t>-699.671402496965 279.615379769877 683.110453957444</t>
  </si>
  <si>
    <t>-555.576419883304 358.060561025603 746.565093772569</t>
  </si>
  <si>
    <t>-555.45001595912 -68.5540883549149 225.153301782067</t>
  </si>
  <si>
    <t>-609.021108401529 -108.529796070967 690.031905293292</t>
  </si>
  <si>
    <t>-458.357429892231 -163.64569368607 762.185927801861</t>
  </si>
  <si>
    <t>9763-20170724T170038.995604700.bin</t>
  </si>
  <si>
    <t>-638.262666927486 47.7837142373994 -226.776070952991</t>
  </si>
  <si>
    <t>-644.98036481466 47.6666613925133 -347.700159768689</t>
  </si>
  <si>
    <t>-629.686015151174 37.2730483345636 -467.485998420504</t>
  </si>
  <si>
    <t>-607.163617901392 23.5710401112151 -573.786716522755</t>
  </si>
  <si>
    <t>-576.317082479165 5.43965426685577 -677.297990891472</t>
  </si>
  <si>
    <t>-553.612419504617 18.8307982519459 -764.059428260274</t>
  </si>
  <si>
    <t>-567.860825754416 164.89571763269 -772.635980211758</t>
  </si>
  <si>
    <t>-663.220417183095 281.535278248805 -494.269445153977</t>
  </si>
  <si>
    <t>-467.05414474676 252.782215401169 -325.942106403713</t>
  </si>
  <si>
    <t>-670.488994626383 140.41961760091 -225.151133179125</t>
  </si>
  <si>
    <t>-657.636852711852 229.136796709998 221.63933282915</t>
  </si>
  <si>
    <t>-700.124073360197 280.273645143105 685.568341517196</t>
  </si>
  <si>
    <t>-559.918838308857 358.879914338733 757.032075282827</t>
  </si>
  <si>
    <t>-560.793117588925 -67.3267215536034 224.590393236992</t>
  </si>
  <si>
    <t>-609.038715255579 -108.824152131547 690.07568111606</t>
  </si>
  <si>
    <t>-458.161275940909 -163.045063478463 762.460761389588</t>
  </si>
  <si>
    <t>9763-20170724T170039.064788500.bin</t>
  </si>
  <si>
    <t>-643.776769691508 62.2340053763787 -226.555991340119</t>
  </si>
  <si>
    <t>-652.057355052221 63.605553547864 -347.375610220922</t>
  </si>
  <si>
    <t>-639.374988257071 53.0567023776373 -467.45236029489</t>
  </si>
  <si>
    <t>-619.667757650811 38.4956772681351 -574.197238506483</t>
  </si>
  <si>
    <t>-592.110018392101 18.7644766580124 -678.341752387269</t>
  </si>
  <si>
    <t>-571.192875576769 30.6436154698511 -765.770138219711</t>
  </si>
  <si>
    <t>-580.618514500609 177.178796391098 -774.683814704734</t>
  </si>
  <si>
    <t>-669.323515238789 293.378019057144 -493.943074832039</t>
  </si>
  <si>
    <t>-473.2187502794 258.430662808377 -326.719614619481</t>
  </si>
  <si>
    <t>-676.076012444169 154.446515349986 -223.292121813407</t>
  </si>
  <si>
    <t>-677.938504077448 230.515127603806 226.004762468602</t>
  </si>
  <si>
    <t>-713.257652783811 284.718626558235 692.129698925549</t>
  </si>
  <si>
    <t>-575.085866400076 366.38747941055 764.117828109912</t>
  </si>
  <si>
    <t>-575.038335866583 -65.0557953321156 223.589086663653</t>
  </si>
  <si>
    <t>-609.220738818493 -110.259500200018 690.13565301874</t>
  </si>
  <si>
    <t>-457.631561463163 -161.320270964179 763.327426405738</t>
  </si>
  <si>
    <t>9763-20170724T170039.110417800.bin</t>
  </si>
  <si>
    <t>-646.731117612979 70.2734141948033 -226.817384440546</t>
  </si>
  <si>
    <t>-655.10459830543 71.8136550116676 -347.628345357399</t>
  </si>
  <si>
    <t>-643.349017556748 61.3259841886713 -467.804938617498</t>
  </si>
  <si>
    <t>-624.800354653605 46.7834980350553 -574.759646649307</t>
  </si>
  <si>
    <t>-598.705910944661 27.039816465702 -679.278159465042</t>
  </si>
  <si>
    <t>-578.594481050807 39.0320749750715 -766.879941938261</t>
  </si>
  <si>
    <t>-585.682359141849 185.567387271279 -774.936468761912</t>
  </si>
  <si>
    <t>-671.698343183682 300.764951637795 -492.948979482713</t>
  </si>
  <si>
    <t>-475.61505158765 262.059616430577 -326.529960270386</t>
  </si>
  <si>
    <t>-677.065113991264 164.026164785269 -223.552633286488</t>
  </si>
  <si>
    <t>-685.796056424276 232.416726928681 226.896224097674</t>
  </si>
  <si>
    <t>-715.147447132267 286.982353036896 693.08852753342</t>
  </si>
  <si>
    <t>-576.304972632033 366.910760355654 765.736568596579</t>
  </si>
  <si>
    <t>-583.813756817226 -63.3988008585209 223.278209114734</t>
  </si>
  <si>
    <t>-609.375398859327 -111.021551736833 690.187349887772</t>
  </si>
  <si>
    <t>-457.594474401595 -160.902126699454 763.794389813772</t>
  </si>
  <si>
    <t>9763-20170724T170039.165564300.bin</t>
  </si>
  <si>
    <t>-649.102946018092 84.6458803776507 -228.612634964577</t>
  </si>
  <si>
    <t>-657.102413662585 87.214528442119 -349.431469585927</t>
  </si>
  <si>
    <t>-646.475375273051 78.0277396267438 -469.819334815189</t>
  </si>
  <si>
    <t>-629.481220246429 64.8298244063762 -577.205962712424</t>
  </si>
  <si>
    <t>-605.417661149554 46.6358068653258 -682.490162521045</t>
  </si>
  <si>
    <t>-564.828170000509 16.0786150358006 -826.082435968314</t>
  </si>
  <si>
    <t>-502.969910960599 3.07306936461305 -906.003726589364</t>
  </si>
  <si>
    <t>-586.295063515532 60.2905797796705 -770.069998902742</t>
  </si>
  <si>
    <t>-588.790811004695 207.202933961274 -774.983981535892</t>
  </si>
  <si>
    <t>-672.589177417069 319.816405955162 -491.290098475432</t>
  </si>
  <si>
    <t>-476.184025084189 272.757575787428 -327.42258746807</t>
  </si>
  <si>
    <t>-673.834295112609 179.087948284506 -225.664763565813</t>
  </si>
  <si>
    <t>-694.404426625637 237.183904383785 225.843193791152</t>
  </si>
  <si>
    <t>-720.097543297141 286.961790020089 690.780323175522</t>
  </si>
  <si>
    <t>-579.740475597466 363.180709416564 764.496622183546</t>
  </si>
  <si>
    <t>-595.197385599935 -58.5727747655014 221.480110221927</t>
  </si>
  <si>
    <t>-609.942391205447 -112.227493282912 688.970751437558</t>
  </si>
  <si>
    <t>-458.49078523147 -162.791631010832 762.789358761912</t>
  </si>
  <si>
    <t>9763-20170724T170039.198814300.bin</t>
  </si>
  <si>
    <t>-652.283425788774 89.7561031958905 -232.752860482376</t>
  </si>
  <si>
    <t>-660.044802758758 92.6107298391353 -353.580825801247</t>
  </si>
  <si>
    <t>-649.637939525647 84.2485951226165 -474.048084465433</t>
  </si>
  <si>
    <t>-632.993923682209 72.0323752876348 -581.605400669285</t>
  </si>
  <si>
    <t>-609.405664401222 55.0683268930059 -687.202118061253</t>
  </si>
  <si>
    <t>-569.579973951227 26.4855482300884 -831.413612428991</t>
  </si>
  <si>
    <t>-508.387274433815 13.864793957033 -911.906899014814</t>
  </si>
  <si>
    <t>-590.232896363241 70.0075731504792 -774.561049719109</t>
  </si>
  <si>
    <t>-590.599574865068 217.050699925735 -777.159457386128</t>
  </si>
  <si>
    <t>-674.381306266785 327.392075076801 -492.569227057299</t>
  </si>
  <si>
    <t>-477.717364296233 276.389963646457 -330.19881769617</t>
  </si>
  <si>
    <t>-584.170303266269 8.25749179500735 -760.647909961583</t>
  </si>
  <si>
    <t>-675.49485893038 184.618450480387 -230.585195519583</t>
  </si>
  <si>
    <t>-696.588313924664 239.193116044263 221.337717212382</t>
  </si>
  <si>
    <t>-721.193965658437 286.787761079695 686.458450141828</t>
  </si>
  <si>
    <t>-580.474217755792 362.414501246401 760.092887193594</t>
  </si>
  <si>
    <t>-597.147592226897 -55.9555784166525 217.773660851489</t>
  </si>
  <si>
    <t>-610.050291267263 -112.352412063317 686.050561250989</t>
  </si>
  <si>
    <t>-459.36789115409 -164.977815748956 760.002518370595</t>
  </si>
  <si>
    <t>9763-20170724T170039.266992100.bin</t>
  </si>
  <si>
    <t>-656.715457600216 95.7564307421487 -237.193824621339</t>
  </si>
  <si>
    <t>-663.639284087785 99.0389384605767 -358.061868093868</t>
  </si>
  <si>
    <t>-653.113589673436 92.4415675224295 -478.62828778275</t>
  </si>
  <si>
    <t>-636.608713838908 82.369591695068 -586.428944213236</t>
  </si>
  <si>
    <t>-613.370771561584 68.1063087322686 -692.501610387257</t>
  </si>
  <si>
    <t>-574.21390334444 43.8564730568114 -837.686700517111</t>
  </si>
  <si>
    <t>-513.712561854905 32.1397868643157 -918.83633390154</t>
  </si>
  <si>
    <t>-593.540811984663 85.7913236387681 -779.198633362788</t>
  </si>
  <si>
    <t>-589.058052256742 232.809771590867 -777.178954328579</t>
  </si>
  <si>
    <t>-674.023957774876 336.590417323019 -490.479569711669</t>
  </si>
  <si>
    <t>-477.097773619718 278.915040299408 -330.680665360685</t>
  </si>
  <si>
    <t>-589.538450350279 23.3810685410162 -767.69489278514</t>
  </si>
  <si>
    <t>-675.780722997146 192.374118797988 -234.68172873629</t>
  </si>
  <si>
    <t>-696.848743513995 241.52897493736 217.863895194082</t>
  </si>
  <si>
    <t>-721.068161476573 284.768943175439 684.46194286254</t>
  </si>
  <si>
    <t>-580.222843615237 360.968140211016 757.261513023196</t>
  </si>
  <si>
    <t>-596.947210388531 -51.5872407083984 212.55443416678</t>
  </si>
  <si>
    <t>-610.142538383637 -112.723630941979 680.67850646288</t>
  </si>
  <si>
    <t>-461.337511891815 -169.726202609023 755.18544820262</t>
  </si>
  <si>
    <t>9763-20170724T170039.298715000.bin</t>
  </si>
  <si>
    <t>-657.936626878996 97.2873150167272 -238.090345336309</t>
  </si>
  <si>
    <t>-664.910519962929 101.047301884918 -358.941660184418</t>
  </si>
  <si>
    <t>-654.448938568539 95.479137635368 -479.565542078771</t>
  </si>
  <si>
    <t>-637.992348143668 86.5586091136211 -587.475092948033</t>
  </si>
  <si>
    <t>-614.782607343974 73.6686143462514 -693.729481881379</t>
  </si>
  <si>
    <t>-575.633158221092 51.5575256580737 -839.257437640305</t>
  </si>
  <si>
    <t>-515.35055218765 40.2853854251032 -920.632649922473</t>
  </si>
  <si>
    <t>-594.480045053411 92.6743501431395 -780.036752297389</t>
  </si>
  <si>
    <t>-587.607480116902 239.538330607618 -775.766691205253</t>
  </si>
  <si>
    <t>-674.467569235885 339.068496680899 -488.129324770917</t>
  </si>
  <si>
    <t>-477.334333962069 277.2333654377 -330.151662733639</t>
  </si>
  <si>
    <t>-591.431129510649 30.0075161846737 -769.695083992779</t>
  </si>
  <si>
    <t>-675.380464233056 194.705472961173 -235.292180264416</t>
  </si>
  <si>
    <t>-697.401351923262 241.524142585105 217.455810794591</t>
  </si>
  <si>
    <t>-720.654469554398 283.317699413785 684.299949217187</t>
  </si>
  <si>
    <t>-579.873182784281 360.170765859547 756.534009001971</t>
  </si>
  <si>
    <t>-596.516648518491 -50.4091280595476 210.694100559381</t>
  </si>
  <si>
    <t>-610.182601900827 -113.114314840517 678.297297107926</t>
  </si>
  <si>
    <t>-462.206499739084 -171.592619728726 753.309730680312</t>
  </si>
  <si>
    <t>9763-20170724T170039.366920300.bin</t>
  </si>
  <si>
    <t>-658.994321979092 100.613148254173 -240.158142127504</t>
  </si>
  <si>
    <t>-666.865442057019 105.700842869963 -360.905564300001</t>
  </si>
  <si>
    <t>-657.137830873897 102.345063188047 -481.672781113806</t>
  </si>
  <si>
    <t>-641.247067432977 95.7819253910682 -589.835759438646</t>
  </si>
  <si>
    <t>-618.485571644887 85.6136680643156 -696.48181462791</t>
  </si>
  <si>
    <t>-579.817617375102 67.6671606296768 -842.710161055997</t>
  </si>
  <si>
    <t>-520.00854344517 57.7166525929113 -924.605454733992</t>
  </si>
  <si>
    <t>-597.657436075392 107.132825840054 -782.070842901823</t>
  </si>
  <si>
    <t>-587.064257157381 253.512839355738 -773.190319368529</t>
  </si>
  <si>
    <t>-676.056055293252 346.244323435378 -483.936979428577</t>
  </si>
  <si>
    <t>-478.141751562065 277.105707219015 -330.015379527616</t>
  </si>
  <si>
    <t>-596.196524172005 44.0830430552617 -773.946314694753</t>
  </si>
  <si>
    <t>-673.584163077422 199.818509304696 -236.108328944847</t>
  </si>
  <si>
    <t>-698.79585174024 241.97980898267 216.930831105823</t>
  </si>
  <si>
    <t>-720.619816603939 282.649369637066 683.78618497837</t>
  </si>
  <si>
    <t>-579.472682851892 359.338878994546 755.478047284881</t>
  </si>
  <si>
    <t>-645.051299737095 2.15568765014223 -243.295439201533</t>
  </si>
  <si>
    <t>-598.404434009605 -48.5298790078523 207.162809192164</t>
  </si>
  <si>
    <t>-610.528327005717 -113.955410786948 674.087986949483</t>
  </si>
  <si>
    <t>-463.770132911299 -174.692676714764 749.695732966095</t>
  </si>
  <si>
    <t>9763-20170724T170039.397978100.bin</t>
  </si>
  <si>
    <t>-660.085160366307 102.902698640049 -241.206150037934</t>
  </si>
  <si>
    <t>-667.902024412124 108.281352143775 -361.944488187317</t>
  </si>
  <si>
    <t>-658.329447632289 105.754585909644 -482.7441198485</t>
  </si>
  <si>
    <t>-642.649260008768 100.161634257362 -590.992579052044</t>
  </si>
  <si>
    <t>-620.157937832529 91.1871006999211 -697.802875446899</t>
  </si>
  <si>
    <t>-581.915901824374 75.1342277290278 -844.362888317979</t>
  </si>
  <si>
    <t>-522.456974556787 65.8620471947868 -926.592151241154</t>
  </si>
  <si>
    <t>-599.262002103228 113.826934345034 -783.085632809077</t>
  </si>
  <si>
    <t>-587.496854281659 260.014854311532 -772.159404398069</t>
  </si>
  <si>
    <t>-676.823640548326 349.685017202695 -482.045363536246</t>
  </si>
  <si>
    <t>-478.583917719262 276.954981676427 -330.211899348931</t>
  </si>
  <si>
    <t>-598.411646669418 50.6472468093518 -775.94361609639</t>
  </si>
  <si>
    <t>-673.261304287681 202.282445984662 -236.751446202524</t>
  </si>
  <si>
    <t>-699.680735993788 242.797327651354 216.369191719311</t>
  </si>
  <si>
    <t>-720.933674000137 283.036315408141 683.403598715444</t>
  </si>
  <si>
    <t>-579.31031422244 358.851013154052 755.086687021823</t>
  </si>
  <si>
    <t>-647.449542354774 4.11732088164672 -244.634675398936</t>
  </si>
  <si>
    <t>-600.191603560423 -47.5387158978851 205.64966558187</t>
  </si>
  <si>
    <t>-610.868549117297 -114.139572269393 672.202392112642</t>
  </si>
  <si>
    <t>-464.484637113967 -175.864765612483 747.735618381172</t>
  </si>
  <si>
    <t>9763-20170724T170039.431066900.bin</t>
  </si>
  <si>
    <t>-661.045729267823 104.449930114236 -242.087739615294</t>
  </si>
  <si>
    <t>-668.854749830733 110.047992335839 -362.816801984749</t>
  </si>
  <si>
    <t>-659.425967691592 108.24045503673 -483.640574279582</t>
  </si>
  <si>
    <t>-643.925049862954 103.503095970292 -591.955583246907</t>
  </si>
  <si>
    <t>-621.652950319417 95.5930207180859 -698.895878813986</t>
  </si>
  <si>
    <t>-583.747648714883 81.2385723711532 -845.719442379861</t>
  </si>
  <si>
    <t>-524.781646938781 72.5415087771758 -928.365213418772</t>
  </si>
  <si>
    <t>-600.709288235727 119.227605742379 -783.896569226775</t>
  </si>
  <si>
    <t>-588.219706921538 265.183910520605 -771.211164586691</t>
  </si>
  <si>
    <t>-677.661960243995 351.733210641446 -480.186314357748</t>
  </si>
  <si>
    <t>-478.885619070679 276.076955209265 -330.499426324038</t>
  </si>
  <si>
    <t>-600.329833150181 55.9523034876574 -777.612413738156</t>
  </si>
  <si>
    <t>-672.938601673693 203.674318391304 -237.331610020733</t>
  </si>
  <si>
    <t>-700.266840687769 243.564665480254 215.790456574805</t>
  </si>
  <si>
    <t>-721.1200977182 283.217931390475 683.065557374244</t>
  </si>
  <si>
    <t>-579.171513126936 358.453365169446 754.715612096701</t>
  </si>
  <si>
    <t>-649.295470743397 5.26332887639569 -245.859304591938</t>
  </si>
  <si>
    <t>-601.540554410547 -46.7592712696471 204.330481665326</t>
  </si>
  <si>
    <t>-611.206029567522 -114.267952995759 670.581381581332</t>
  </si>
  <si>
    <t>-465.353027254362 -177.367092140528 746.00628397213</t>
  </si>
  <si>
    <t>9763-20170724T170039.498863900.bin</t>
  </si>
  <si>
    <t>-661.721436929153 105.063123562752 -243.432498817193</t>
  </si>
  <si>
    <t>-669.611827165054 111.197127871433 -364.130015500695</t>
  </si>
  <si>
    <t>-660.350826854377 110.748777310125 -484.97951747369</t>
  </si>
  <si>
    <t>-645.019325069635 107.578137236719 -593.375726154362</t>
  </si>
  <si>
    <t>-622.921852657622 101.577837864819 -700.476401375081</t>
  </si>
  <si>
    <t>-585.251859341072 90.2381516082874 -847.623875010554</t>
  </si>
  <si>
    <t>-528.590470747241 81.6890463814034 -931.881761484984</t>
  </si>
  <si>
    <t>-601.911990646652 126.955583245673 -784.956749325167</t>
  </si>
  <si>
    <t>-588.81026750882 272.557254058815 -769.217940856606</t>
  </si>
  <si>
    <t>-679.227319604102 352.472412580428 -476.601277154483</t>
  </si>
  <si>
    <t>-479.285250003196 273.471170254616 -330.231735387552</t>
  </si>
  <si>
    <t>-601.927369161751 63.5555858994485 -780.074765269763</t>
  </si>
  <si>
    <t>-671.940713840993 204.729439492619 -238.283853535078</t>
  </si>
  <si>
    <t>-700.017110156447 243.535977349507 214.886537363833</t>
  </si>
  <si>
    <t>-720.899938626448 282.979594359164 682.515173398537</t>
  </si>
  <si>
    <t>-578.781729727855 357.951871737522 754.104949674338</t>
  </si>
  <si>
    <t>-651.423304608736 5.62900913700446 -247.90626992221</t>
  </si>
  <si>
    <t>-602.322919213395 -46.6940740152065 202.103879247152</t>
  </si>
  <si>
    <t>-611.891560025322 -114.606356765871 668.007465140349</t>
  </si>
  <si>
    <t>-466.724739703267 -179.502185815038 743.231319226337</t>
  </si>
  <si>
    <t>9763-20170724T170039.565039900.bin</t>
  </si>
  <si>
    <t>-661.05062451594 104.711918885025 -244.554204103254</t>
  </si>
  <si>
    <t>-668.713947779128 111.348817906726 -365.239920374971</t>
  </si>
  <si>
    <t>-659.353142311594 112.149049014752 -486.079893927316</t>
  </si>
  <si>
    <t>-643.977475010544 110.396544507335 -594.502002460235</t>
  </si>
  <si>
    <t>-621.87650375017 106.096849846665 -701.683657784422</t>
  </si>
  <si>
    <t>-584.238278396582 97.4077159426092 -849.019596341966</t>
  </si>
  <si>
    <t>-531.930573481107 87.1448013920224 -935.86179382721</t>
  </si>
  <si>
    <t>-600.817431506324 132.992197348913 -785.680815366032</t>
  </si>
  <si>
    <t>-587.796738267684 278.309789971135 -767.348842112258</t>
  </si>
  <si>
    <t>-681.300801963415 352.365033959289 -474.161142500035</t>
  </si>
  <si>
    <t>-479.987647278541 271.556012069555 -330.686550721132</t>
  </si>
  <si>
    <t>-600.966605718232 69.512588827215 -781.975170653849</t>
  </si>
  <si>
    <t>-670.88495493256 204.613868204362 -238.825769004694</t>
  </si>
  <si>
    <t>-699.478770285035 243.277760422102 214.324520317068</t>
  </si>
  <si>
    <t>-720.749156969003 282.915455048723 682.024731303897</t>
  </si>
  <si>
    <t>-578.633032045062 357.864442114306 753.643006271078</t>
  </si>
  <si>
    <t>-651.127038736651 5.10502550718547 -249.564272539789</t>
  </si>
  <si>
    <t>-602.516881806627 -47.3576625136322 200.482908946205</t>
  </si>
  <si>
    <t>-612.386276778582 -114.81221699667 666.179267256652</t>
  </si>
  <si>
    <t>-467.552024286271 -180.53499793249 741.32618857478</t>
  </si>
  <si>
    <t>9763-20170724T170039.598664400.bin</t>
  </si>
  <si>
    <t>-660.481504502062 104.159000005754 -245.024392276839</t>
  </si>
  <si>
    <t>-668.135710909945 110.890101879707 -365.705395943934</t>
  </si>
  <si>
    <t>-658.760128348978 112.184205920403 -486.539981741754</t>
  </si>
  <si>
    <t>-643.368456391901 111.026867406047 -594.967893063527</t>
  </si>
  <si>
    <t>-621.248397463116 107.462704785647 -702.172569839266</t>
  </si>
  <si>
    <t>-583.579672914324 99.9346730572861 -849.564554671958</t>
  </si>
  <si>
    <t>-533.830986675326 88.4512758275137 -937.747237334808</t>
  </si>
  <si>
    <t>-600.116380684394 135.019486497211 -785.936607983034</t>
  </si>
  <si>
    <t>-586.919037257029 280.149402509694 -766.363643338257</t>
  </si>
  <si>
    <t>-682.506239840855 352.476086508861 -473.416502901684</t>
  </si>
  <si>
    <t>-480.772191715201 271.268884346647 -330.760135517817</t>
  </si>
  <si>
    <t>-600.377443370541 71.5117594650369 -782.759687934183</t>
  </si>
  <si>
    <t>-670.570682761622 203.746079936563 -239.058400880919</t>
  </si>
  <si>
    <t>-699.178918985854 243.03078424936 214.037528072679</t>
  </si>
  <si>
    <t>-720.805382808505 283.112492129996 681.731216887217</t>
  </si>
  <si>
    <t>-578.642776183852 357.910192262232 753.415223027356</t>
  </si>
  <si>
    <t>-650.568745742262 4.6405708856712 -250.263376772592</t>
  </si>
  <si>
    <t>-602.879336653842 -47.7932467329165 199.885588391477</t>
  </si>
  <si>
    <t>-612.618552004403 -114.831622511971 665.490248660489</t>
  </si>
  <si>
    <t>-467.672077047258 -180.414806059234 740.542756146414</t>
  </si>
  <si>
    <t>9763-20170724T170039.663839300.bin</t>
  </si>
  <si>
    <t>-659.832063507715 102.306708362413 -245.818281334143</t>
  </si>
  <si>
    <t>-667.811080737584 109.213012345045 -366.468387050106</t>
  </si>
  <si>
    <t>-658.579311603743 111.082336838839 -487.306369717053</t>
  </si>
  <si>
    <t>-643.245851842221 110.584037805704 -595.747602480819</t>
  </si>
  <si>
    <t>-621.113828119773 107.805355627394 -702.973094457738</t>
  </si>
  <si>
    <t>-583.35744136801 101.488861232545 -850.399551440903</t>
  </si>
  <si>
    <t>-537.785946776681 87.7120603874021 -940.490720793731</t>
  </si>
  <si>
    <t>-599.784713886583 136.050112785204 -786.457438855402</t>
  </si>
  <si>
    <t>-585.711232107679 280.936853227586 -765.389218586627</t>
  </si>
  <si>
    <t>-685.972361385595 350.555212100757 -473.34953906292</t>
  </si>
  <si>
    <t>-484.3516753606 268.562525908978 -330.982574533262</t>
  </si>
  <si>
    <t>-600.342277065169 72.5172503832275 -783.878251268583</t>
  </si>
  <si>
    <t>-669.944151544167 201.334669688787 -239.447226930401</t>
  </si>
  <si>
    <t>-698.147225828808 242.226626758507 213.531957145325</t>
  </si>
  <si>
    <t>-720.730346552221 283.146563091554 681.335943483094</t>
  </si>
  <si>
    <t>-578.500180980204 357.817291250156 753.018351897456</t>
  </si>
  <si>
    <t>-649.919371733729 3.05379513647108 -251.321058838562</t>
  </si>
  <si>
    <t>-603.673468088974 -49.3974031662763 198.976515210863</t>
  </si>
  <si>
    <t>-613.170784790343 -115.007498827503 664.543376534845</t>
  </si>
  <si>
    <t>-468.124302180648 -180.627050446603 739.37048762341</t>
  </si>
  <si>
    <t>9763-20170724T170039.695436200.bin</t>
  </si>
  <si>
    <t>-659.283535850996 100.891869577867 -245.936819464673</t>
  </si>
  <si>
    <t>-667.51863231823 107.897311698657 -366.564025042803</t>
  </si>
  <si>
    <t>-658.390062583493 109.80165651053 -487.409397626403</t>
  </si>
  <si>
    <t>-643.089306499483 109.305405074198 -595.855280143457</t>
  </si>
  <si>
    <t>-620.931367154716 106.497209160992 -703.074481579653</t>
  </si>
  <si>
    <t>-583.080093873883 100.105845715322 -850.473469479954</t>
  </si>
  <si>
    <t>-538.8601941808 85.3109158518207 -941.075237929669</t>
  </si>
  <si>
    <t>-599.480699083915 134.69977253263 -786.542249978497</t>
  </si>
  <si>
    <t>-584.982065496903 279.486196643878 -765.430477653779</t>
  </si>
  <si>
    <t>-686.811705579463 348.725396724163 -473.843682856657</t>
  </si>
  <si>
    <t>-485.620958193817 266.785184527879 -330.839730119741</t>
  </si>
  <si>
    <t>-600.175470176563 71.16803417644 -783.965748498276</t>
  </si>
  <si>
    <t>-669.183350087623 199.88855376809 -239.540896150652</t>
  </si>
  <si>
    <t>-697.000217588808 241.477005852136 213.398748517744</t>
  </si>
  <si>
    <t>-720.54441343062 282.936393404762 681.200300130997</t>
  </si>
  <si>
    <t>-578.354908619384 357.714758556918 752.851429838943</t>
  </si>
  <si>
    <t>-649.229234775171 1.73189379777546 -251.734917129828</t>
  </si>
  <si>
    <t>-603.833262422881 -50.4152193874518 198.684387700146</t>
  </si>
  <si>
    <t>-613.475261277687 -115.153028126914 664.252588943671</t>
  </si>
  <si>
    <t>-468.32081932903 -180.675270227255 738.955521307725</t>
  </si>
  <si>
    <t>9763-20170724T170039.764620800.bin</t>
  </si>
  <si>
    <t>-657.685266583347 98.3397050441811 -246.284443986844</t>
  </si>
  <si>
    <t>-665.997268517544 105.422395234798 -366.90180668738</t>
  </si>
  <si>
    <t>-657.089635349156 107.187395030956 -487.765747502294</t>
  </si>
  <si>
    <t>-642.045222414963 106.484506187407 -596.246256380831</t>
  </si>
  <si>
    <t>-620.198822902296 103.39334687543 -703.521705864909</t>
  </si>
  <si>
    <t>-582.836614899141 96.5324644156233 -851.024342631709</t>
  </si>
  <si>
    <t>-540.221966436111 80.2690727582444 -942.142144681081</t>
  </si>
  <si>
    <t>-599.035901688356 131.329728242875 -787.152161345849</t>
  </si>
  <si>
    <t>-584.184368308731 276.166274068504 -766.597894315587</t>
  </si>
  <si>
    <t>-687.163192981557 345.899061385047 -475.532808929375</t>
  </si>
  <si>
    <t>-486.936998450845 264.515823747397 -330.866634526785</t>
  </si>
  <si>
    <t>-599.700562374685 67.8066951814831 -784.365795470648</t>
  </si>
  <si>
    <t>-667.282611608768 197.432792231435 -239.627635129225</t>
  </si>
  <si>
    <t>-694.530362470249 240.064897951345 213.249539944056</t>
  </si>
  <si>
    <t>-720.051185207001 282.2671750199 681.092891186091</t>
  </si>
  <si>
    <t>-578.151448228363 357.734762384057 752.595254523288</t>
  </si>
  <si>
    <t>-603.816144166836 -52.5701464617832 198.374678747628</t>
  </si>
  <si>
    <t>-614.1343511241 -115.58923767342 664.021027989935</t>
  </si>
  <si>
    <t>-469.049150331279 -181.464039005445 738.548247931225</t>
  </si>
  <si>
    <t>9763-20170724T170039.799233700.bin</t>
  </si>
  <si>
    <t>-656.900636563797 96.7349017206373 -246.237495941669</t>
  </si>
  <si>
    <t>-664.957770251531 103.906074984024 -366.867024067725</t>
  </si>
  <si>
    <t>-655.959929906471 105.558973346476 -487.725882149535</t>
  </si>
  <si>
    <t>-640.900223630099 104.682538476567 -596.202933136388</t>
  </si>
  <si>
    <t>-619.10364594797 101.35097730096 -703.481402743348</t>
  </si>
  <si>
    <t>-581.877007612415 94.0914103486032 -850.999137442665</t>
  </si>
  <si>
    <t>-539.689093228798 77.2948019526818 -942.218889921103</t>
  </si>
  <si>
    <t>-598.07858977659 129.061082787009 -787.221865426267</t>
  </si>
  <si>
    <t>-583.394542857847 273.969241404142 -767.142077829751</t>
  </si>
  <si>
    <t>-686.132782759146 344.893770232775 -476.27992539967</t>
  </si>
  <si>
    <t>-486.280094073552 263.761051292305 -330.958155718417</t>
  </si>
  <si>
    <t>-598.618680542309 65.5459877970234 -784.232338148431</t>
  </si>
  <si>
    <t>-666.643203834906 195.583130500326 -239.477632712442</t>
  </si>
  <si>
    <t>-693.093849059073 239.35816049668 213.337679154182</t>
  </si>
  <si>
    <t>-719.678422024619 281.710795678884 681.117059872579</t>
  </si>
  <si>
    <t>-578.003491653373 357.731203749436 752.479912477488</t>
  </si>
  <si>
    <t>-603.759703268399 -53.9011467421631 198.356937657492</t>
  </si>
  <si>
    <t>-614.507016335549 -115.944974786554 664.058747531619</t>
  </si>
  <si>
    <t>-469.410861942844 -181.850698930857 738.537268613078</t>
  </si>
  <si>
    <t>9763-20170724T170039.860394700.bin</t>
  </si>
  <si>
    <t>-655.377824663304 93.2590669237827 -245.913963180775</t>
  </si>
  <si>
    <t>-663.377068192888 100.358317753249 -366.551455760183</t>
  </si>
  <si>
    <t>-654.462103639742 101.548643338065 -487.422027940388</t>
  </si>
  <si>
    <t>-639.53503147946 100.106035005455 -595.911412471616</t>
  </si>
  <si>
    <t>-617.929020914951 96.06561223979 -703.203916656788</t>
  </si>
  <si>
    <t>-581.027899531689 87.6767772463975 -850.743555280676</t>
  </si>
  <si>
    <t>-539.475815042579 70.0007609741299 -942.08896508734</t>
  </si>
  <si>
    <t>-597.202474800016 123.132888285907 -787.228473736675</t>
  </si>
  <si>
    <t>-582.830862263921 268.230126829076 -768.142071009021</t>
  </si>
  <si>
    <t>-684.706793821234 341.546749173656 -477.569922779192</t>
  </si>
  <si>
    <t>-485.288952071888 261.781018157023 -330.900222120584</t>
  </si>
  <si>
    <t>-597.508576802387 59.6441905919162 -783.695263821593</t>
  </si>
  <si>
    <t>-665.307502926647 191.263258396278 -238.923219934992</t>
  </si>
  <si>
    <t>-690.193646370206 237.019153193442 213.785035105371</t>
  </si>
  <si>
    <t>-718.386232304728 279.791018543812 681.508974359411</t>
  </si>
  <si>
    <t>-577.577394627719 357.939556774022 752.284721816385</t>
  </si>
  <si>
    <t>-603.585699978265 -56.8598501382523 198.794272387803</t>
  </si>
  <si>
    <t>-615.229030391139 -116.767446246694 664.457776925782</t>
  </si>
  <si>
    <t>-470.252798980778 -182.977037756105 738.900274924841</t>
  </si>
  <si>
    <t>9763-20170724T170039.897531600.bin</t>
  </si>
  <si>
    <t>-654.779153037539 91.499005073435 -245.678098231054</t>
  </si>
  <si>
    <t>-662.746519677197 98.5351257910472 -366.321394761827</t>
  </si>
  <si>
    <t>-653.874690078968 99.464361474711 -487.19740366579</t>
  </si>
  <si>
    <t>-639.019315332264 97.7054663903425 -595.691956480526</t>
  </si>
  <si>
    <t>-617.519190897393 93.2679672476311 -702.990249673727</t>
  </si>
  <si>
    <t>-580.802150169546 84.2428045773866 -850.538222828679</t>
  </si>
  <si>
    <t>-539.45668125603 66.11397421014 -941.888573204526</t>
  </si>
  <si>
    <t>-596.924872558078 119.972399007178 -787.16334077488</t>
  </si>
  <si>
    <t>-582.629956895021 265.142887045654 -768.524817646928</t>
  </si>
  <si>
    <t>-684.081635064714 339.383020473372 -478.038789106665</t>
  </si>
  <si>
    <t>-484.677137913168 260.357187068187 -330.950986674592</t>
  </si>
  <si>
    <t>-597.171734556546 56.4999338510881 -783.342172509602</t>
  </si>
  <si>
    <t>-664.959096976438 189.281124957888 -238.653273296209</t>
  </si>
  <si>
    <t>-689.146882749806 236.042166210536 213.990035822796</t>
  </si>
  <si>
    <t>-717.973208266579 279.206331964769 681.657838597268</t>
  </si>
  <si>
    <t>-577.507943435606 358.169158400157 752.212017922832</t>
  </si>
  <si>
    <t>-603.493557489569 -58.2659796778148 199.104135738443</t>
  </si>
  <si>
    <t>-615.573656352016 -117.196288992709 664.783083465295</t>
  </si>
  <si>
    <t>-470.796324612585 -183.809034228802 739.253068052987</t>
  </si>
  <si>
    <t>9763-20170724T170039.962704400.bin</t>
  </si>
  <si>
    <t>-654.073331703657 88.8887766214939 -245.184770395005</t>
  </si>
  <si>
    <t>-661.742555534556 95.7961138623787 -365.855012052224</t>
  </si>
  <si>
    <t>-652.731520839288 96.3171884259921 -486.723110847406</t>
  </si>
  <si>
    <t>-637.820478268542 94.0744436196487 -595.20107703123</t>
  </si>
  <si>
    <t>-616.338122440982 89.0353801565377 -702.476244239215</t>
  </si>
  <si>
    <t>-579.724935678744 79.0500736122169 -849.988230024982</t>
  </si>
  <si>
    <t>-538.609639037849 60.0835103538227 -941.272332725541</t>
  </si>
  <si>
    <t>-595.880971367408 115.19022456396 -786.855083801079</t>
  </si>
  <si>
    <t>-581.63631206068 260.466208805562 -769.03183959196</t>
  </si>
  <si>
    <t>-682.246357910813 336.535845646164 -478.72642395466</t>
  </si>
  <si>
    <t>-482.657479509448 258.625591979246 -331.293902973087</t>
  </si>
  <si>
    <t>-595.969299937593 51.746309197508 -782.582339247453</t>
  </si>
  <si>
    <t>-664.843618168389 186.540595796187 -238.357834214543</t>
  </si>
  <si>
    <t>-687.988856605232 235.080980751396 214.152764661429</t>
  </si>
  <si>
    <t>-717.627278976156 278.939586949414 681.6185408049</t>
  </si>
  <si>
    <t>-577.34378227138 358.340609606669 752.042374902821</t>
  </si>
  <si>
    <t>-603.540821548512 -60.6598103728854 199.713674620627</t>
  </si>
  <si>
    <t>-616.164552223103 -117.982706514761 665.486273438404</t>
  </si>
  <si>
    <t>-471.352975966009 -184.513847540559 739.962641429196</t>
  </si>
  <si>
    <t>9763-20170724T170039.998309200.bin</t>
  </si>
  <si>
    <t>-653.853646211997 87.9336615532879 -244.928922126603</t>
  </si>
  <si>
    <t>-661.285113346361 94.7833363086772 -365.617304590157</t>
  </si>
  <si>
    <t>-652.178796803339 95.1133963013037 -486.478938073564</t>
  </si>
  <si>
    <t>-637.243660673709 92.6395845072348 -594.948562037621</t>
  </si>
  <si>
    <t>-615.801596002423 87.3076058283457 -702.217736470625</t>
  </si>
  <si>
    <t>-579.313173891593 76.8483405294819 -849.727720943847</t>
  </si>
  <si>
    <t>-538.269913864849 57.4702791742993 -940.95771933641</t>
  </si>
  <si>
    <t>-595.407726735057 113.191333633796 -786.695387856153</t>
  </si>
  <si>
    <t>-581.202958266742 258.526044513169 -769.239093429324</t>
  </si>
  <si>
    <t>-681.504041744342 335.293650680636 -479.010507318409</t>
  </si>
  <si>
    <t>-481.805936628084 257.831781895541 -331.489750335873</t>
  </si>
  <si>
    <t>-595.508608777569 49.7611252234551 -782.222773075266</t>
  </si>
  <si>
    <t>-664.978329272451 185.435948297413 -238.179298439839</t>
  </si>
  <si>
    <t>-687.92685670404 234.697554288866 214.263323777334</t>
  </si>
  <si>
    <t>-717.485237404616 278.812425523088 681.6732287789</t>
  </si>
  <si>
    <t>-577.287099637773 358.434461068089 752.017662623891</t>
  </si>
  <si>
    <t>-603.859273832642 -61.5132624538312 200.070699753615</t>
  </si>
  <si>
    <t>-616.382976314167 -118.230494182381 665.849797600557</t>
  </si>
  <si>
    <t>-471.47643425108 -184.565329860988 740.316554466898</t>
  </si>
  <si>
    <t>9763-20170724T170040.062479900.bin</t>
  </si>
  <si>
    <t>-653.445662035069 86.5332856866623 -244.55197849479</t>
  </si>
  <si>
    <t>-660.02533933198 93.3350740274007 -365.292414375612</t>
  </si>
  <si>
    <t>-650.634454168278 93.3157994023484 -486.132737667746</t>
  </si>
  <si>
    <t>-635.677675466239 90.4039564210923 -594.588514772428</t>
  </si>
  <si>
    <t>-614.450712526603 84.5107201440371 -701.871048749977</t>
  </si>
  <si>
    <t>-578.50812203183 73.1406668914924 -849.447612134456</t>
  </si>
  <si>
    <t>-537.50704087816 53.087943743521 -940.550803297661</t>
  </si>
  <si>
    <t>-594.374167364324 109.87220160397 -786.582787286259</t>
  </si>
  <si>
    <t>-580.113939868837 255.273548816265 -769.855569196892</t>
  </si>
  <si>
    <t>-679.477482587295 333.580116490031 -479.71563970198</t>
  </si>
  <si>
    <t>-479.859360828909 256.802279981188 -331.729714315093</t>
  </si>
  <si>
    <t>-594.449037408146 46.4709034417717 -781.716286780515</t>
  </si>
  <si>
    <t>-665.117434430439 183.741719878098 -237.919016517935</t>
  </si>
  <si>
    <t>-688.0717532398 234.18384817987 214.393212005578</t>
  </si>
  <si>
    <t>-717.373757269402 278.871360555516 681.693590877574</t>
  </si>
  <si>
    <t>-577.234469405704 358.63188910176 751.998457461651</t>
  </si>
  <si>
    <t>-605.237796181396 -62.6288411965456 200.680156323955</t>
  </si>
  <si>
    <t>-616.599213461806 -118.256687868586 666.553134975449</t>
  </si>
  <si>
    <t>-471.597069853416 -184.473223760185 740.939041185342</t>
  </si>
  <si>
    <t>9763-20170724T170040.100103800.bin</t>
  </si>
  <si>
    <t>-653.275883293943 86.2381327115966 -244.464079207939</t>
  </si>
  <si>
    <t>-659.475837354936 92.9994804128701 -365.226815169449</t>
  </si>
  <si>
    <t>-649.912577812134 92.8352685776265 -486.053495499598</t>
  </si>
  <si>
    <t>-634.885833043114 89.7518538116892 -594.494822105831</t>
  </si>
  <si>
    <t>-613.675138852612 83.6467098257062 -701.768804311755</t>
  </si>
  <si>
    <t>-577.844706232122 71.9407837868498 -849.346444791816</t>
  </si>
  <si>
    <t>-536.746727013519 51.6855832869312 -940.361085909626</t>
  </si>
  <si>
    <t>-593.687369212309 108.814894161764 -786.5592262627</t>
  </si>
  <si>
    <t>-579.457893384533 254.247247935862 -770.22047102015</t>
  </si>
  <si>
    <t>-678.433973352548 333.303760796086 -480.151608402017</t>
  </si>
  <si>
    <t>-478.96869131345 256.733498542726 -331.852381632794</t>
  </si>
  <si>
    <t>-593.709717131798 45.4257992736502 -781.53663431815</t>
  </si>
  <si>
    <t>-665.215023056105 183.331585184521 -237.868756617635</t>
  </si>
  <si>
    <t>-688.347553983094 234.13839243402 214.393573443518</t>
  </si>
  <si>
    <t>-717.55021823966 279.229674079763 681.631026325027</t>
  </si>
  <si>
    <t>-577.142769935065 358.471916043241 751.986808707645</t>
  </si>
  <si>
    <t>-606.085042086889 -62.8448291005336 200.931783312535</t>
  </si>
  <si>
    <t>-616.644079510413 -118.127563741661 666.8876479609</t>
  </si>
  <si>
    <t>-471.415489132348 -183.916687380308 741.211019903942</t>
  </si>
  <si>
    <t>9763-20170724T170040.168286100.bin</t>
  </si>
  <si>
    <t>-652.963599148759 85.2800178032296 -244.228620876657</t>
  </si>
  <si>
    <t>-658.863938018388 91.8268870325451 -365.018338489169</t>
  </si>
  <si>
    <t>-649.014209097958 91.4002122714912 -485.821252890766</t>
  </si>
  <si>
    <t>-633.74021744877 88.0537788180825 -594.220324107569</t>
  </si>
  <si>
    <t>-612.297637544496 81.6561146931576 -701.431000623598</t>
  </si>
  <si>
    <t>-576.16456630182 69.5088819536093 -848.89921282109</t>
  </si>
  <si>
    <t>-534.626860965087 48.8849007329559 -939.631013505183</t>
  </si>
  <si>
    <t>-592.112267737594 106.570977125949 -786.249389466095</t>
  </si>
  <si>
    <t>-577.913416771123 252.077346623356 -770.304061246873</t>
  </si>
  <si>
    <t>-676.522726401189 332.644930908021 -480.525966506119</t>
  </si>
  <si>
    <t>-477.25679818403 256.452110069127 -331.765188318431</t>
  </si>
  <si>
    <t>-592.192406666098 43.1963394007964 -781.04870149821</t>
  </si>
  <si>
    <t>-665.152453112942 181.952966676763 -237.78749902578</t>
  </si>
  <si>
    <t>-688.450433366904 233.514174582519 214.38100628082</t>
  </si>
  <si>
    <t>-717.406340077389 279.260774001486 681.659167828379</t>
  </si>
  <si>
    <t>-576.863931975694 358.313452350085 751.958523169349</t>
  </si>
  <si>
    <t>-606.751850150675 -63.4464383632214 201.473522766014</t>
  </si>
  <si>
    <t>-616.788862051624 -118.028752324812 667.577762380448</t>
  </si>
  <si>
    <t>-471.279145447897 -183.300068201528 741.807770811323</t>
  </si>
  <si>
    <t>9763-20170724T170040.197872100.bin</t>
  </si>
  <si>
    <t>-652.779579414687 84.6589528749032 -244.046636534094</t>
  </si>
  <si>
    <t>-658.706194403777 91.1607156963166 -364.837511557105</t>
  </si>
  <si>
    <t>-648.732519599856 90.6297674200096 -485.629993272637</t>
  </si>
  <si>
    <t>-633.28907419309 87.1624986261784 -594.001246114429</t>
  </si>
  <si>
    <t>-611.622677773154 80.6154059941703 -701.157815041908</t>
  </si>
  <si>
    <t>-575.124889427449 68.2296961590728 -848.516266600119</t>
  </si>
  <si>
    <t>-533.266917252275 47.3981518053035 -939.053203120875</t>
  </si>
  <si>
    <t>-591.205681455426 105.393449873981 -785.960919735979</t>
  </si>
  <si>
    <t>-577.014081601885 250.904485662871 -770.097435617015</t>
  </si>
  <si>
    <t>-675.673077961031 331.913552659768 -480.459604830255</t>
  </si>
  <si>
    <t>-476.397660930645 255.97453935743 -331.58158469298</t>
  </si>
  <si>
    <t>-591.342414568686 42.0264417729993 -780.668637331168</t>
  </si>
  <si>
    <t>-664.978981743302 181.299594152588 -237.698375799352</t>
  </si>
  <si>
    <t>-687.98365783573 233.345992541569 214.429586808171</t>
  </si>
  <si>
    <t>-717.251665072152 279.232848585867 681.649389575931</t>
  </si>
  <si>
    <t>-576.780339320715 358.41201614822 751.948473009702</t>
  </si>
  <si>
    <t>-606.590071747997 -63.9254918603317 201.726370521234</t>
  </si>
  <si>
    <t>-616.872771182881 -118.018278623202 667.895436987654</t>
  </si>
  <si>
    <t>-471.269400748797 -183.115703875413 742.094488176224</t>
  </si>
  <si>
    <t>9763-20170724T170040.265048800.bin</t>
  </si>
  <si>
    <t>-651.990054127994 83.8912774868052 -243.692850175013</t>
  </si>
  <si>
    <t>-658.084485644077 90.3401901066084 -364.478037256623</t>
  </si>
  <si>
    <t>-647.953547983728 89.6589873860037 -485.256706895343</t>
  </si>
  <si>
    <t>-632.242773357677 86.0096452024463 -593.583494881295</t>
  </si>
  <si>
    <t>-610.189448554065 79.2310547925672 -700.646766674402</t>
  </si>
  <si>
    <t>-573.035329314487 66.4694335520232 -847.80906800294</t>
  </si>
  <si>
    <t>-530.627663182825 45.2529932564564 -938.000146680211</t>
  </si>
  <si>
    <t>-589.337097795633 103.79367234954 -785.406553714508</t>
  </si>
  <si>
    <t>-575.154444386622 249.317454023322 -769.69164042903</t>
  </si>
  <si>
    <t>-674.208932131173 331.015428041946 -480.382298540451</t>
  </si>
  <si>
    <t>-474.915824388249 255.362192980133 -331.382605371522</t>
  </si>
  <si>
    <t>-589.612686543199 40.4382920877981 -779.982023899849</t>
  </si>
  <si>
    <t>-664.117529663278 180.757158152844 -237.473133044221</t>
  </si>
  <si>
    <t>-687.098926980351 233.140391458738 214.616958508448</t>
  </si>
  <si>
    <t>-716.998275068385 279.238607833861 681.6632275094</t>
  </si>
  <si>
    <t>-576.561449867715 358.446315933157 751.999061726724</t>
  </si>
  <si>
    <t>-606.007514037645 -64.4565714811856 202.165979106051</t>
  </si>
  <si>
    <t>-616.994335570601 -117.963199417805 668.424184942815</t>
  </si>
  <si>
    <t>-471.384218129358 -183.06562817159 742.605570433631</t>
  </si>
  <si>
    <t>9763-20170724T170040.302155800.bin</t>
  </si>
  <si>
    <t>-651.523150799275 83.7657547100814 -243.577688248484</t>
  </si>
  <si>
    <t>-657.650153218916 90.2585381929562 -364.358898409452</t>
  </si>
  <si>
    <t>-647.457904205944 89.5673944769655 -485.132259048769</t>
  </si>
  <si>
    <t>-631.656421397856 85.8841884442681 -593.444773274523</t>
  </si>
  <si>
    <t>-609.479266797978 79.045596459348 -700.478651390831</t>
  </si>
  <si>
    <t>-572.120787910669 66.1721196097133 -847.579385083935</t>
  </si>
  <si>
    <t>-529.513052412439 44.8224875161748 -937.64469114664</t>
  </si>
  <si>
    <t>-588.485378366745 103.544141582238 -785.221904429631</t>
  </si>
  <si>
    <t>-574.290471918818 249.062746258434 -769.563129703401</t>
  </si>
  <si>
    <t>-673.651734967434 330.98244886341 -480.421734092682</t>
  </si>
  <si>
    <t>-474.398227242192 255.351611930544 -331.357791967243</t>
  </si>
  <si>
    <t>-588.816154758059 40.1921913852486 -779.761807957518</t>
  </si>
  <si>
    <t>-663.7166804929 180.762118670126 -237.352678258185</t>
  </si>
  <si>
    <t>-686.793548628301 233.13262460444 214.734095658618</t>
  </si>
  <si>
    <t>-716.942933773052 279.318180857711 681.684619785312</t>
  </si>
  <si>
    <t>-576.459686865944 358.422485693569 752.044249909558</t>
  </si>
  <si>
    <t>-605.82058576685 -64.5971219689629 202.322386019436</t>
  </si>
  <si>
    <t>-617.093625757744 -118.007528181814 668.619026069626</t>
  </si>
  <si>
    <t>-471.573950559156 -183.30197029582 742.809076392655</t>
  </si>
  <si>
    <t>9763-20170724T170040.366326800.bin</t>
  </si>
  <si>
    <t>-650.266790459387 83.8458596784335 -243.468496240431</t>
  </si>
  <si>
    <t>-656.250885311808 90.5292154940096 -364.246523215219</t>
  </si>
  <si>
    <t>-645.769675950441 89.899862795877 -484.995568039491</t>
  </si>
  <si>
    <t>-629.65538400191 86.2122785232839 -593.261724926914</t>
  </si>
  <si>
    <t>-607.119292403112 79.3050761952372 -700.216300566354</t>
  </si>
  <si>
    <t>-569.219480334677 66.2656125137948 -847.16389858409</t>
  </si>
  <si>
    <t>-526.283131827975 44.7217079873824 -937.026526074662</t>
  </si>
  <si>
    <t>-585.731178930922 103.709384662776 -784.888311635814</t>
  </si>
  <si>
    <t>-571.436013427118 249.226218407654 -769.173983477345</t>
  </si>
  <si>
    <t>-671.712871347699 331.906877725729 -480.565932030823</t>
  </si>
  <si>
    <t>-472.698861753102 255.968469916921 -331.338395742582</t>
  </si>
  <si>
    <t>-586.246756877022 40.3609964154737 -779.399974267016</t>
  </si>
  <si>
    <t>-662.229662592357 180.704281172556 -237.146340521085</t>
  </si>
  <si>
    <t>-685.932145109478 233.371078818452 214.873627035946</t>
  </si>
  <si>
    <t>-716.876237486771 279.664064143522 681.617756689627</t>
  </si>
  <si>
    <t>-576.399778814211 358.642704388945 752.13188712745</t>
  </si>
  <si>
    <t>-605.675047896586 -64.7195495328319 202.429091614482</t>
  </si>
  <si>
    <t>-617.257375459599 -118.122306421098 668.837411293092</t>
  </si>
  <si>
    <t>-471.747813898022 -183.387036435103 743.073484150711</t>
  </si>
  <si>
    <t>9763-20170724T170040.395918100.bin</t>
  </si>
  <si>
    <t>-649.65215923341 84.0850125280199 -243.493734147426</t>
  </si>
  <si>
    <t>-655.557197828091 90.8363408034641 -364.271784379713</t>
  </si>
  <si>
    <t>-644.895351272591 90.2114024722803 -485.005011908695</t>
  </si>
  <si>
    <t>-628.583218380182 86.493182087994 -593.240557425073</t>
  </si>
  <si>
    <t>-605.819599069721 79.5151940567091 -700.142219730532</t>
  </si>
  <si>
    <t>-567.577298194905 66.3315815529668 -846.988180941</t>
  </si>
  <si>
    <t>-524.542279628645 44.5770467832463 -936.752835505922</t>
  </si>
  <si>
    <t>-584.139827494168 103.837608502889 -784.76365370575</t>
  </si>
  <si>
    <t>-569.745273457599 249.336615905502 -768.999703169078</t>
  </si>
  <si>
    <t>-670.459037005417 332.2125617899 -480.599734626382</t>
  </si>
  <si>
    <t>-471.629530593519 256.153048047198 -331.188198000641</t>
  </si>
  <si>
    <t>-584.856835648326 40.4922710561386 -779.263220734411</t>
  </si>
  <si>
    <t>-661.578531318356 180.994074913773 -237.174151176646</t>
  </si>
  <si>
    <t>-685.712833846494 233.570839035904 214.833413136941</t>
  </si>
  <si>
    <t>-716.920406906725 279.995635355468 681.506229169526</t>
  </si>
  <si>
    <t>-576.386602913079 358.726833658366 752.182601933313</t>
  </si>
  <si>
    <t>-605.443586989353 -64.7089994993876 202.398020551649</t>
  </si>
  <si>
    <t>-617.325856416341 -118.177014784488 668.858848370963</t>
  </si>
  <si>
    <t>-472.022038524406 -183.838064039202 743.148390160629</t>
  </si>
  <si>
    <t>9763-20170724T170040.462090500.bin</t>
  </si>
  <si>
    <t>-648.23459459308 84.6589041442953 -243.706216161717</t>
  </si>
  <si>
    <t>-654.068366158147 91.5414467604121 -364.480429741693</t>
  </si>
  <si>
    <t>-643.285718368366 90.9250177777319 -485.202813452257</t>
  </si>
  <si>
    <t>-626.856304987588 87.1452384324994 -593.418595097437</t>
  </si>
  <si>
    <t>-603.975633585417 80.0253996701288 -700.285940792381</t>
  </si>
  <si>
    <t>-565.578956141534 66.5515672212339 -847.065211017211</t>
  </si>
  <si>
    <t>-522.705003346023 44.176574714156 -936.754598006226</t>
  </si>
  <si>
    <t>-581.983848329695 104.182266530264 -784.874160496952</t>
  </si>
  <si>
    <t>-566.941608569616 249.617360888849 -769.047465171096</t>
  </si>
  <si>
    <t>-668.211284950362 332.622871346761 -480.879628909526</t>
  </si>
  <si>
    <t>-469.807099323962 256.258942669952 -331.058484807761</t>
  </si>
  <si>
    <t>-583.152731907182 40.8443838846863 -779.365695098516</t>
  </si>
  <si>
    <t>-660.208094739294 181.757607412872 -237.351067816267</t>
  </si>
  <si>
    <t>-685.005842053591 234.246012735457 214.630947482725</t>
  </si>
  <si>
    <t>-716.833772535889 280.475788801857 681.283451649533</t>
  </si>
  <si>
    <t>-576.294885090273 358.924212493107 752.263641061144</t>
  </si>
  <si>
    <t>-604.555585113955 -64.5186959258804 202.207053582583</t>
  </si>
  <si>
    <t>-617.434190948444 -118.204915182199 668.729778587831</t>
  </si>
  <si>
    <t>-472.28363641199 -184.126101316712 743.088459074958</t>
  </si>
  <si>
    <t>9763-20170724T170040.496157200.bin</t>
  </si>
  <si>
    <t>-647.680829646175 85.1434843392826 -243.843815542038</t>
  </si>
  <si>
    <t>-653.521630019634 92.0679846435216 -364.61526454413</t>
  </si>
  <si>
    <t>-642.834535394577 91.4365197041786 -485.346160445356</t>
  </si>
  <si>
    <t>-626.530254450204 87.6142326414124 -593.579257641537</t>
  </si>
  <si>
    <t>-603.815254542425 80.4199513021395 -700.47699539685</t>
  </si>
  <si>
    <t>-565.692787159402 66.8055817257055 -847.314729199355</t>
  </si>
  <si>
    <t>-522.983743772905 44.1404516207517 -937.00996466358</t>
  </si>
  <si>
    <t>-581.881732307527 104.496088632809 -785.103360961052</t>
  </si>
  <si>
    <t>-566.423394185024 249.880094333434 -769.327223209772</t>
  </si>
  <si>
    <t>-667.668202429783 333.115141713241 -481.216686767147</t>
  </si>
  <si>
    <t>-469.528577579956 256.289849587753 -331.281444589126</t>
  </si>
  <si>
    <t>-583.239890057572 41.1629255001976 -779.583876364824</t>
  </si>
  <si>
    <t>-659.623547499642 182.387291317973 -237.461762368778</t>
  </si>
  <si>
    <t>-684.755753001017 234.548302710823 214.539687773703</t>
  </si>
  <si>
    <t>-716.845626762198 280.693768414817 681.213574671184</t>
  </si>
  <si>
    <t>-576.247412749359 358.937845886649 752.301707677109</t>
  </si>
  <si>
    <t>-604.260898841644 -64.3091584755216 202.076607681505</t>
  </si>
  <si>
    <t>-617.466960310361 -118.210925470645 668.618304781565</t>
  </si>
  <si>
    <t>-472.371039311235 -184.193530999138 743.029205055743</t>
  </si>
  <si>
    <t>9763-20170724T170040.561334900.bin</t>
  </si>
  <si>
    <t>-646.655892934516 86.1939975499999 -244.034908924772</t>
  </si>
  <si>
    <t>-652.408629211002 93.138763368099 -364.809318924741</t>
  </si>
  <si>
    <t>-641.877081502338 92.3432133534234 -485.553010923576</t>
  </si>
  <si>
    <t>-625.816108345609 88.2940494468137 -593.814220278387</t>
  </si>
  <si>
    <t>-603.448937792297 80.7931441275446 -700.764283349065</t>
  </si>
  <si>
    <t>-565.920227630291 66.6678549419432 -847.706739656762</t>
  </si>
  <si>
    <t>-523.402224087021 43.3990455057344 -937.338043528184</t>
  </si>
  <si>
    <t>-581.663805640981 104.574432210289 -785.51217642575</t>
  </si>
  <si>
    <t>-565.300700085062 249.896596925455 -769.986802988895</t>
  </si>
  <si>
    <t>-665.667807898395 334.388345081095 -481.935170788928</t>
  </si>
  <si>
    <t>-468.061033254916 256.572076508013 -331.807812207229</t>
  </si>
  <si>
    <t>-583.387228051766 41.2613646886182 -779.86617977169</t>
  </si>
  <si>
    <t>-658.150155245393 183.370472903616 -237.616115914481</t>
  </si>
  <si>
    <t>-684.195435837084 235.044202140454 214.389548271044</t>
  </si>
  <si>
    <t>-716.662828485578 280.855036451305 681.06006165599</t>
  </si>
  <si>
    <t>-576.113476525543 359.01747008856 752.334311599493</t>
  </si>
  <si>
    <t>-604.078201236716 -63.8034527200118 201.870147030861</t>
  </si>
  <si>
    <t>-617.527971093869 -118.181106170878 668.384380146224</t>
  </si>
  <si>
    <t>-472.560050917366 -184.35796004837 742.872194933512</t>
  </si>
  <si>
    <t>9763-20170724T170040.598459900.bin</t>
  </si>
  <si>
    <t>-646.134351511868 86.6375780197966 -244.094018217246</t>
  </si>
  <si>
    <t>-652.009075449135 93.5757302376792 -364.863026764209</t>
  </si>
  <si>
    <t>-641.554872740262 92.6662961811844 -485.61247664306</t>
  </si>
  <si>
    <t>-625.547306099307 88.4706299356292 -593.876185171973</t>
  </si>
  <si>
    <t>-603.218635181206 80.7798356053388 -700.820633903889</t>
  </si>
  <si>
    <t>-565.729722279048 66.3456218777922 -847.743161762966</t>
  </si>
  <si>
    <t>-523.24651563155 42.7292003140972 -937.300129932817</t>
  </si>
  <si>
    <t>-581.366527598607 104.382432814158 -785.601326660058</t>
  </si>
  <si>
    <t>-564.564883613544 249.645024415423 -770.230453045495</t>
  </si>
  <si>
    <t>-664.579452452231 335.132857578319 -482.350099700075</t>
  </si>
  <si>
    <t>-467.199680271247 256.858594681167 -332.162209025315</t>
  </si>
  <si>
    <t>-583.268263163844 41.0822809926863 -779.867675407902</t>
  </si>
  <si>
    <t>-657.288616898528 183.873103856711 -237.688791456895</t>
  </si>
  <si>
    <t>-683.617052322858 235.302047884345 214.328466266464</t>
  </si>
  <si>
    <t>-716.580744448121 280.910985537214 680.995836646682</t>
  </si>
  <si>
    <t>-576.060347695262 359.059804536327 752.342009430314</t>
  </si>
  <si>
    <t>-604.064946333907 -63.5305064152062 201.791239219524</t>
  </si>
  <si>
    <t>-617.55432020657 -118.171314742718 668.279268208167</t>
  </si>
  <si>
    <t>-472.609341806549 -184.357564907375 742.803374740909</t>
  </si>
  <si>
    <t>9763-20170724T170040.662628100.bin</t>
  </si>
  <si>
    <t>-645.56271714846 87.4615298555029 -244.227819969002</t>
  </si>
  <si>
    <t>-651.978363985632 94.3474343268635 -364.972253324922</t>
  </si>
  <si>
    <t>-641.789130567488 93.2228115528651 -485.742623825006</t>
  </si>
  <si>
    <t>-625.910898237998 88.7656015376133 -594.014732855404</t>
  </si>
  <si>
    <t>-603.60428253315 80.7475179449043 -700.939913491079</t>
  </si>
  <si>
    <t>-566.03793244922 65.7908539595419 -847.790325005336</t>
  </si>
  <si>
    <t>-523.719653618544 41.4503597921594 -937.23136284197</t>
  </si>
  <si>
    <t>-581.521451601663 104.046700143189 -785.744720045713</t>
  </si>
  <si>
    <t>-563.91957191266 249.272112682227 -770.727369083485</t>
  </si>
  <si>
    <t>-663.923547344565 336.334621465825 -483.315538338935</t>
  </si>
  <si>
    <t>-466.836865186726 257.448186861587 -333.063119577702</t>
  </si>
  <si>
    <t>-583.798277048408 40.7707006556166 -779.882479734334</t>
  </si>
  <si>
    <t>-656.003696921502 185.118674904413 -237.861719627569</t>
  </si>
  <si>
    <t>-682.697948848666 235.701175636764 214.229548323457</t>
  </si>
  <si>
    <t>-716.373876013465 280.867879697362 680.938367281771</t>
  </si>
  <si>
    <t>-575.892167187321 359.013394203077 752.364296437528</t>
  </si>
  <si>
    <t>-603.866070894502 -62.8885242077695 201.691460415326</t>
  </si>
  <si>
    <t>-617.589990779101 -118.076092181558 668.1101603948</t>
  </si>
  <si>
    <t>-472.859319554499 -184.664229402981 742.692813896412</t>
  </si>
  <si>
    <t>9763-20170724T170040.699749500.bin</t>
  </si>
  <si>
    <t>-645.511150780921 87.7931435473886 -244.334240362857</t>
  </si>
  <si>
    <t>-652.275741512014 94.6638164396343 -365.060488584648</t>
  </si>
  <si>
    <t>-642.242847997957 93.4398533792855 -485.843008775627</t>
  </si>
  <si>
    <t>-626.428851684932 88.8575762993953 -594.119472389085</t>
  </si>
  <si>
    <t>-604.111436898364 80.67897733363 -701.029993351684</t>
  </si>
  <si>
    <t>-566.454184796394 65.463271230881 -847.830706396733</t>
  </si>
  <si>
    <t>-524.229047200184 40.8290493625593 -937.23529451994</t>
  </si>
  <si>
    <t>-581.881403472972 103.827203741316 -785.837724536349</t>
  </si>
  <si>
    <t>-563.89219699046 249.015559687963 -770.971678714366</t>
  </si>
  <si>
    <t>-663.927081711664 336.855395206422 -483.807322580362</t>
  </si>
  <si>
    <t>-467.153072779027 257.563502611476 -333.358627973737</t>
  </si>
  <si>
    <t>-584.351354526209 40.5641561656073 -779.914070600907</t>
  </si>
  <si>
    <t>-655.672962398224 185.639598843382 -237.940547101176</t>
  </si>
  <si>
    <t>-682.322873647532 235.877688189975 214.191790042747</t>
  </si>
  <si>
    <t>-716.295443284757 280.864243437883 680.914432986357</t>
  </si>
  <si>
    <t>-575.794163359337 358.948910680409 752.368560911115</t>
  </si>
  <si>
    <t>-603.651202120265 -62.6336360086898 201.592936260463</t>
  </si>
  <si>
    <t>-617.616762340186 -118.015335848236 668.020832778775</t>
  </si>
  <si>
    <t>-472.875884337472 -184.577022332467 742.607245156468</t>
  </si>
  <si>
    <t>9763-20170724T170040.763912000.bin</t>
  </si>
  <si>
    <t>-645.840980993038 88.1868557962268 -244.447176951655</t>
  </si>
  <si>
    <t>-653.252249847296 95.0536163647473 -365.13582702744</t>
  </si>
  <si>
    <t>-643.542621065704 93.6717837262179 -485.942906479632</t>
  </si>
  <si>
    <t>-627.890851627369 88.8826020084389 -594.233941985412</t>
  </si>
  <si>
    <t>-605.608517075801 80.4341083311656 -701.130905918008</t>
  </si>
  <si>
    <t>-567.871568614132 64.7782793955448 -847.864768063669</t>
  </si>
  <si>
    <t>-525.801424360849 39.7344010784939 -937.228648218031</t>
  </si>
  <si>
    <t>-583.166795194176 103.325212111183 -785.952586113159</t>
  </si>
  <si>
    <t>-564.36687426665 248.43489825318 -771.319312136923</t>
  </si>
  <si>
    <t>-664.56359809483 337.739627319143 -484.663645825483</t>
  </si>
  <si>
    <t>-468.665117383535 257.531383297511 -333.559390457845</t>
  </si>
  <si>
    <t>-585.971190930923 40.0858314597444 -779.926676468939</t>
  </si>
  <si>
    <t>-655.518117564696 186.275110795273 -238.063371098367</t>
  </si>
  <si>
    <t>-681.879242332249 236.215501407038 214.118802692461</t>
  </si>
  <si>
    <t>-716.193472500879 280.96765767796 680.831516264779</t>
  </si>
  <si>
    <t>-575.65462898259 358.901319613722 752.376473338019</t>
  </si>
  <si>
    <t>-603.578387746822 -62.3130317374932 201.414077470255</t>
  </si>
  <si>
    <t>-617.731415383884 -117.911131119198 667.823544608999</t>
  </si>
  <si>
    <t>-472.989519880069 -184.520491681834 742.365420053935</t>
  </si>
  <si>
    <t>9763-20170724T170040.798746300.bin</t>
  </si>
  <si>
    <t>-646.298940344137 88.469817654538 -244.551588736766</t>
  </si>
  <si>
    <t>-653.955352738543 95.301587578891 -365.22678671272</t>
  </si>
  <si>
    <t>-644.360608826934 93.8707761751643 -486.04258477529</t>
  </si>
  <si>
    <t>-628.759653127253 89.0307260572035 -594.338666869764</t>
  </si>
  <si>
    <t>-606.475860653826 80.5249691057147 -701.230740569331</t>
  </si>
  <si>
    <t>-568.68351436631 64.7830082428034 -847.941221361793</t>
  </si>
  <si>
    <t>-526.608528569381 39.6398479512538 -937.274867514318</t>
  </si>
  <si>
    <t>-583.958377825372 103.365416522045 -786.04613399313</t>
  </si>
  <si>
    <t>-564.815937445951 248.425240804478 -771.470773184727</t>
  </si>
  <si>
    <t>-665.06484218955 338.172229032615 -484.971430542065</t>
  </si>
  <si>
    <t>-469.503604510406 257.502030166443 -333.676358999294</t>
  </si>
  <si>
    <t>-586.852507728001 40.1313078004091 -780.006587753389</t>
  </si>
  <si>
    <t>-655.840434080154 186.715320248524 -238.167686478628</t>
  </si>
  <si>
    <t>-682.349901586576 236.348357173065 214.039575344144</t>
  </si>
  <si>
    <t>-716.245093342909 281.122986704143 680.790605765356</t>
  </si>
  <si>
    <t>-575.584542086389 358.810418785474 752.36431357317</t>
  </si>
  <si>
    <t>-603.679242285873 -62.105693959837 201.30587585357</t>
  </si>
  <si>
    <t>-617.79533740625 -117.844631894333 667.716368118969</t>
  </si>
  <si>
    <t>-472.97258299667 -184.321563208469 742.2194330764</t>
  </si>
  <si>
    <t>9763-20170724T170040.864922300.bin</t>
  </si>
  <si>
    <t>-647.148053122185 88.7870405044876 -244.718188269775</t>
  </si>
  <si>
    <t>-655.003551921149 95.6795205271908 -365.377159798813</t>
  </si>
  <si>
    <t>-645.548322397115 94.2286527477527 -486.20372117556</t>
  </si>
  <si>
    <t>-630.046981037961 89.3423746667731 -594.512054971516</t>
  </si>
  <si>
    <t>-607.835197023587 80.7661188892814 -701.413575775044</t>
  </si>
  <si>
    <t>-570.113584536727 64.9037783053707 -848.129153798393</t>
  </si>
  <si>
    <t>-527.772798258791 39.7624295249584 -937.337610445402</t>
  </si>
  <si>
    <t>-585.307367312551 103.535863023399 -786.245076627226</t>
  </si>
  <si>
    <t>-565.618872658916 248.546540569936 -771.745999122098</t>
  </si>
  <si>
    <t>-665.747641888308 338.528119088169 -485.278329424697</t>
  </si>
  <si>
    <t>-470.739697540925 257.358124783717 -333.537162660524</t>
  </si>
  <si>
    <t>-588.301049926992 40.3090414478147 -780.179015244142</t>
  </si>
  <si>
    <t>-656.452324787526 187.22312128666 -238.364638387711</t>
  </si>
  <si>
    <t>-683.510133991754 236.591728494376 213.839160049623</t>
  </si>
  <si>
    <t>-716.392772949754 281.615567399926 680.602935869307</t>
  </si>
  <si>
    <t>-575.507705499845 358.757888062875 752.324336220454</t>
  </si>
  <si>
    <t>-603.807380924822 -61.8226040333236 201.038492642516</t>
  </si>
  <si>
    <t>-617.923093538032 -117.704916194987 667.469286805276</t>
  </si>
  <si>
    <t>-473.082176034864 -184.199251804493 741.921486431582</t>
  </si>
  <si>
    <t>9763-20170724T170040.894776300.bin</t>
  </si>
  <si>
    <t>-647.354443056035 88.911917308666 -244.87896957681</t>
  </si>
  <si>
    <t>-655.452102183979 95.8120239465327 -365.521479468701</t>
  </si>
  <si>
    <t>-646.199027237079 94.3312854564031 -486.363340092669</t>
  </si>
  <si>
    <t>-630.861996934489 89.4050872326407 -594.693181762108</t>
  </si>
  <si>
    <t>-608.795232567718 80.7775929483082 -701.620640200769</t>
  </si>
  <si>
    <t>-571.254490739598 64.8337478099529 -848.373726383744</t>
  </si>
  <si>
    <t>-528.463145452919 39.9758418274705 -937.446621542093</t>
  </si>
  <si>
    <t>-586.348120497452 103.499565789931 -786.486397078688</t>
  </si>
  <si>
    <t>-566.421344645045 248.476609417148 -772.088171036405</t>
  </si>
  <si>
    <t>-666.414119370359 338.415663973846 -485.559581387218</t>
  </si>
  <si>
    <t>-471.66136333552 257.172511247554 -333.530238340641</t>
  </si>
  <si>
    <t>-589.382132354438 40.2770796044069 -780.393740828462</t>
  </si>
  <si>
    <t>-656.482268834413 187.517871501867 -238.53750376273</t>
  </si>
  <si>
    <t>-683.925808796399 236.791660294351 213.653436308041</t>
  </si>
  <si>
    <t>-716.550975216139 282.08958491146 680.402402539529</t>
  </si>
  <si>
    <t>-575.478434670421 358.724227262811 752.299397292986</t>
  </si>
  <si>
    <t>-603.589024844101 -61.6619624995728 200.876413937986</t>
  </si>
  <si>
    <t>-617.956497234038 -117.5711406795 667.308261115319</t>
  </si>
  <si>
    <t>-473.208754993784 -184.288446565177 741.742165312632</t>
  </si>
  <si>
    <t>9763-20170724T170040.962960400.bin</t>
  </si>
  <si>
    <t>-647.208823243331 88.9386691717964 -245.306358145398</t>
  </si>
  <si>
    <t>-655.610945008413 95.8693001549593 -365.926267684318</t>
  </si>
  <si>
    <t>-647.09459130423 94.449498324421 -486.823046431639</t>
  </si>
  <si>
    <t>-632.583040019224 89.6079343821693 -595.270283695598</t>
  </si>
  <si>
    <t>-611.489332117122 81.1049110623619 -702.40393337031</t>
  </si>
  <si>
    <t>-575.442719981299 65.383388479582 -849.555099942834</t>
  </si>
  <si>
    <t>-530.899050109251 42.6116406866013 -938.326081439665</t>
  </si>
  <si>
    <t>-589.948401355092 103.956383726198 -787.469543990035</t>
  </si>
  <si>
    <t>-569.66124180811 248.903657858832 -773.402321095229</t>
  </si>
  <si>
    <t>-668.462885903564 338.843242309215 -486.460973707799</t>
  </si>
  <si>
    <t>-474.087054741289 257.142841923513 -334.194335788215</t>
  </si>
  <si>
    <t>-592.836058909507 40.7229424540456 -781.421076617173</t>
  </si>
  <si>
    <t>-655.907758931206 187.910726233327 -238.959614895426</t>
  </si>
  <si>
    <t>-683.971680532719 237.340485203334 213.176192028702</t>
  </si>
  <si>
    <t>-716.900641370512 283.129289094306 679.926004677739</t>
  </si>
  <si>
    <t>-575.467357304782 358.704014014563 752.235007293079</t>
  </si>
  <si>
    <t>-602.765012980072 -61.1950842443753 200.476277699281</t>
  </si>
  <si>
    <t>-617.833559561295 -116.941614039579 666.955271760393</t>
  </si>
  <si>
    <t>-472.911182022381 -183.353545891307 741.322397564703</t>
  </si>
  <si>
    <t>9763-20170724T170040.998952100.bin</t>
  </si>
  <si>
    <t>-646.903437572248 88.5597970754275 -245.458429342979</t>
  </si>
  <si>
    <t>-655.544919089197 95.4689866474944 -366.06285384429</t>
  </si>
  <si>
    <t>-647.475494371094 94.1057640756824 -486.990848400918</t>
  </si>
  <si>
    <t>-633.440556295514 89.3600865912485 -595.505145070011</t>
  </si>
  <si>
    <t>-612.8879646866 81.0042112527806 -702.755434658916</t>
  </si>
  <si>
    <t>-577.652262123094 65.5472014388754 -850.13091841681</t>
  </si>
  <si>
    <t>-531.76736678875 44.60688702742 -938.669450549764</t>
  </si>
  <si>
    <t>-591.919107427303 104.010660672864 -787.922132849808</t>
  </si>
  <si>
    <t>-571.876578085138 249.023183192238 -774.000925637444</t>
  </si>
  <si>
    <t>-669.142682761194 339.064845139181 -486.567498879258</t>
  </si>
  <si>
    <t>-474.622527897055 257.222480737419 -334.561584570822</t>
  </si>
  <si>
    <t>-594.566898469608 40.7620613694362 -781.921508024133</t>
  </si>
  <si>
    <t>-655.510438872266 187.674604059129 -239.110991388677</t>
  </si>
  <si>
    <t>-683.673848514847 237.206826799664 213.007402263095</t>
  </si>
  <si>
    <t>-716.937939716747 283.329552108423 679.784140585886</t>
  </si>
  <si>
    <t>-575.424982802101 358.655627268441 752.196713327874</t>
  </si>
  <si>
    <t>-602.250800636933 -61.0333666451716 200.330897901349</t>
  </si>
  <si>
    <t>-617.723915774514 -116.563201417571 666.819494582859</t>
  </si>
  <si>
    <t>-472.857316774614 -183.10413962543 741.179966457012</t>
  </si>
  <si>
    <t>9763-20170724T170041.061122300.bin</t>
  </si>
  <si>
    <t>-645.862541630613 86.7069617306649 -245.38798972515</t>
  </si>
  <si>
    <t>-655.050366807875 93.6358130420674 -365.950711372452</t>
  </si>
  <si>
    <t>-647.980897126722 92.5488236432529 -486.944221432004</t>
  </si>
  <si>
    <t>-635.009256390975 88.1821640656538 -595.606679570167</t>
  </si>
  <si>
    <t>-615.661870664133 80.347232150167 -703.120075351356</t>
  </si>
  <si>
    <t>-582.231663534502 65.7732751662822 -851.00518709977</t>
  </si>
  <si>
    <t>-532.92672923541 49.7440922032408 -938.726859301061</t>
  </si>
  <si>
    <t>-596.125549602785 103.868981270285 -788.486328228063</t>
  </si>
  <si>
    <t>-576.944627213484 248.986512722834 -774.378009239703</t>
  </si>
  <si>
    <t>-669.297369852042 337.492237696829 -484.854463919382</t>
  </si>
  <si>
    <t>-473.900904457332 255.891462223025 -333.84577824377</t>
  </si>
  <si>
    <t>-597.921408312429 40.5746745369086 -782.654864542874</t>
  </si>
  <si>
    <t>-654.495125503864 185.533146649633 -238.874692803234</t>
  </si>
  <si>
    <t>-682.330819955223 235.45560416632 213.221134820987</t>
  </si>
  <si>
    <t>-716.098897981605 281.940288139223 680.156976126458</t>
  </si>
  <si>
    <t>-575.096070982874 358.607453240238 752.155929350681</t>
  </si>
  <si>
    <t>-601.032939872353 -61.9797345442635 200.276379763352</t>
  </si>
  <si>
    <t>-617.828376938915 -116.413706664687 666.803069488611</t>
  </si>
  <si>
    <t>-472.944114241195 -182.902596262719 741.175765451883</t>
  </si>
  <si>
    <t>9763-20170724T170041.097960200.bin</t>
  </si>
  <si>
    <t>-645.191384002781 85.4057757630101 -245.273745751705</t>
  </si>
  <si>
    <t>-654.524746106335 92.315300017546 -365.826389459179</t>
  </si>
  <si>
    <t>-647.83275232704 91.37342857319 -486.842508050592</t>
  </si>
  <si>
    <t>-635.286794134454 87.2141989388115 -595.563088332597</t>
  </si>
  <si>
    <t>-616.442532018576 79.6665551471315 -703.186387687477</t>
  </si>
  <si>
    <t>-583.785000762681 65.5787234421512 -851.291199803815</t>
  </si>
  <si>
    <t>-532.610877922696 52.266030149314 -938.39430927327</t>
  </si>
  <si>
    <t>-597.616381964318 103.469723636124 -788.634273141337</t>
  </si>
  <si>
    <t>-579.542960845837 248.705022680744 -774.436370570801</t>
  </si>
  <si>
    <t>-668.118810443517 335.394391142138 -483.188144853776</t>
  </si>
  <si>
    <t>-472.153388385832 254.056600459779 -332.776101622617</t>
  </si>
  <si>
    <t>-598.853531876782 40.1545233060258 -782.884378820662</t>
  </si>
  <si>
    <t>-654.116090114154 184.024027901288 -238.629032065515</t>
  </si>
  <si>
    <t>-681.351607773126 234.404427866923 213.452421867681</t>
  </si>
  <si>
    <t>-715.648994429205 281.190436575028 680.328888725621</t>
  </si>
  <si>
    <t>-574.934093425888 358.618716103134 752.076179900394</t>
  </si>
  <si>
    <t>-600.438595637087 -63.0402962919404 200.387128166257</t>
  </si>
  <si>
    <t>-618.043135607846 -116.640365506758 666.890438893522</t>
  </si>
  <si>
    <t>-473.287048144055 -183.402978104392 741.267465108827</t>
  </si>
  <si>
    <t>9763-20170724T170041.166139800.bin</t>
  </si>
  <si>
    <t>-643.607145956427 82.3462502792679 -244.711317938343</t>
  </si>
  <si>
    <t>-653.341425582184 89.1983754651669 -365.235477972201</t>
  </si>
  <si>
    <t>-647.217078502785 88.6917672961242 -486.28417327415</t>
  </si>
  <si>
    <t>-635.23556592689 85.1389916807848 -595.089882821885</t>
  </si>
  <si>
    <t>-616.995429550739 78.4149958556416 -702.871748183399</t>
  </si>
  <si>
    <t>-585.207607691194 65.7027347182013 -851.289969172243</t>
  </si>
  <si>
    <t>-530.788752369036 57.3284885514518 -937.030474818232</t>
  </si>
  <si>
    <t>-599.307030110017 103.004723441057 -788.340010141972</t>
  </si>
  <si>
    <t>-583.376203269546 248.42744754798 -773.310504675599</t>
  </si>
  <si>
    <t>-665.765507385994 332.255611768607 -479.421040741344</t>
  </si>
  <si>
    <t>-468.012077585457 252.40658868781 -330.559331200542</t>
  </si>
  <si>
    <t>-599.238474124405 39.6502276220242 -782.899058978285</t>
  </si>
  <si>
    <t>-653.631500880109 180.448763113526 -237.905992964104</t>
  </si>
  <si>
    <t>-679.535358706479 232.139708191214 214.105794311832</t>
  </si>
  <si>
    <t>-714.697660784533 279.548838093995 680.831868951347</t>
  </si>
  <si>
    <t>-574.613643037079 358.656508662438 751.979220427733</t>
  </si>
  <si>
    <t>-599.175002840202 -65.3729385012145 200.900312980238</t>
  </si>
  <si>
    <t>-618.428989716557 -117.049236388518 667.307135456012</t>
  </si>
  <si>
    <t>-473.600252452928 -183.685268450782 741.656219663071</t>
  </si>
  <si>
    <t>9763-20170724T170041.197760700.bin</t>
  </si>
  <si>
    <t>-642.856194655889 80.6411451963063 -244.437641691877</t>
  </si>
  <si>
    <t>-652.849027506658 87.4832675651016 -364.941282377879</t>
  </si>
  <si>
    <t>-646.918694808503 87.2662009152073 -486.000529901005</t>
  </si>
  <si>
    <t>-635.080746765704 84.0982974514063 -594.833832946476</t>
  </si>
  <si>
    <t>-616.948523180601 77.8824114046915 -702.664407068162</t>
  </si>
  <si>
    <t>-585.270043827743 66.0047513558156 -851.175056311927</t>
  </si>
  <si>
    <t>-529.649456487164 59.6116198160385 -936.312905296783</t>
  </si>
  <si>
    <t>-599.631204887145 102.945049633266 -788.071256374683</t>
  </si>
  <si>
    <t>-585.160960458788 248.447069382712 -772.448455438972</t>
  </si>
  <si>
    <t>-665.446511536352 330.198174651518 -477.393951031884</t>
  </si>
  <si>
    <t>-466.577059527522 251.36112169246 -329.482855528057</t>
  </si>
  <si>
    <t>-598.942407949756 39.5753435597615 -782.856137911077</t>
  </si>
  <si>
    <t>-653.61351081272 178.302411946551 -237.544250815437</t>
  </si>
  <si>
    <t>-678.660945089492 231.107321895779 214.387079958527</t>
  </si>
  <si>
    <t>-714.393426691364 279.137495035565 680.907566910631</t>
  </si>
  <si>
    <t>-574.602746952077 358.894339533288 751.906824890825</t>
  </si>
  <si>
    <t>-598.532258231048 -66.6621873555873 201.156438692852</t>
  </si>
  <si>
    <t>-618.599954718799 -117.226107658699 667.56369097683</t>
  </si>
  <si>
    <t>-473.730807676233 -183.801015666515 741.888859651913</t>
  </si>
  <si>
    <t>9763-20170724T170041.261955300.bin</t>
  </si>
  <si>
    <t>-641.540052174008 77.2936848252484 -243.951430147925</t>
  </si>
  <si>
    <t>-651.531863942559 84.2322745945494 -364.449641900913</t>
  </si>
  <si>
    <t>-645.303785902083 84.7660751053027 -485.493027584641</t>
  </si>
  <si>
    <t>-633.070653242059 82.5431152297595 -594.305904553569</t>
  </si>
  <si>
    <t>-614.413291494666 77.535879657059 -702.10980362092</t>
  </si>
  <si>
    <t>-581.866057524922 67.6122077109101 -850.575962760769</t>
  </si>
  <si>
    <t>-524.392069767567 64.2593673834817 -934.650287397049</t>
  </si>
  <si>
    <t>-597.198903278733 103.698369543172 -787.207084623316</t>
  </si>
  <si>
    <t>-585.431631911414 249.283398235869 -770.167173416791</t>
  </si>
  <si>
    <t>-664.708287688495 325.984605177937 -473.488337262981</t>
  </si>
  <si>
    <t>-464.032185733156 248.502994120663 -327.311176166127</t>
  </si>
  <si>
    <t>-595.335474029068 40.3078830051511 -782.561547844791</t>
  </si>
  <si>
    <t>-653.573127798536 174.238633909544 -236.868844684196</t>
  </si>
  <si>
    <t>-677.240517786956 229.707422442689 214.817643662561</t>
  </si>
  <si>
    <t>-714.159306963041 278.911961891344 680.99867362444</t>
  </si>
  <si>
    <t>-574.61635362644 359.237370291213 751.844236772168</t>
  </si>
  <si>
    <t>-597.856242803215 -68.8604186263701 201.608922069325</t>
  </si>
  <si>
    <t>-618.729504997583 -117.260934719302 668.092835709364</t>
  </si>
  <si>
    <t>-473.625079527705 -183.386249190325 742.360370174324</t>
  </si>
  <si>
    <t>9763-20170724T170041.296342500.bin</t>
  </si>
  <si>
    <t>-640.540998768053 75.8129555508613 -243.777060979997</t>
  </si>
  <si>
    <t>-650.384834244669 82.8388588781513 -364.282330545539</t>
  </si>
  <si>
    <t>-643.671825392394 83.8382393902443 -485.29684596588</t>
  </si>
  <si>
    <t>-630.864220659214 82.1866446853178 -594.053819363694</t>
  </si>
  <si>
    <t>-611.496858377763 77.8987114763725 -701.763488830672</t>
  </si>
  <si>
    <t>-577.822561861625 69.127379329756 -850.050722087419</t>
  </si>
  <si>
    <t>-519.510019785867 66.9345181275903 -933.584222222052</t>
  </si>
  <si>
    <t>-593.929944173707 104.706586409872 -786.587422318068</t>
  </si>
  <si>
    <t>-583.531674717653 250.314090711914 -768.788396039461</t>
  </si>
  <si>
    <t>-662.426987489021 324.995810358459 -471.493224311268</t>
  </si>
  <si>
    <t>-461.01212352062 247.528613708976 -326.328109048824</t>
  </si>
  <si>
    <t>-591.514841143944 41.3102772375728 -782.289076656927</t>
  </si>
  <si>
    <t>-653.193671411413 172.592991906712 -236.606059352452</t>
  </si>
  <si>
    <t>-676.492808538383 229.264903465496 214.950281096233</t>
  </si>
  <si>
    <t>-714.181222902507 279.067692511443 680.931843856149</t>
  </si>
  <si>
    <t>-574.632559205543 359.34533815194 751.820426691678</t>
  </si>
  <si>
    <t>-597.450801018274 -69.7792266964229 201.801922972454</t>
  </si>
  <si>
    <t>-618.722023661435 -117.151175986494 668.347353451032</t>
  </si>
  <si>
    <t>-473.571101343015 -183.210620678871 742.58256842215</t>
  </si>
  <si>
    <t>9763-20170724T170041.366560200.bin</t>
  </si>
  <si>
    <t>-638.565632483449 73.2318987929159 -243.58404277701</t>
  </si>
  <si>
    <t>-648.292525632752 80.4325368231164 -364.088622850997</t>
  </si>
  <si>
    <t>-640.717135111721 82.3264200656636 -485.041480330683</t>
  </si>
  <si>
    <t>-626.832661183226 81.7591202137 -593.677325598723</t>
  </si>
  <si>
    <t>-606.095988138978 78.8193667576825 -701.177085241271</t>
  </si>
  <si>
    <t>-570.219370665776 72.1886063691197 -849.058497832746</t>
  </si>
  <si>
    <t>-510.682142847156 71.6760139724649 -931.750899216552</t>
  </si>
  <si>
    <t>-587.695170748686 106.8244514842 -785.435526906594</t>
  </si>
  <si>
    <t>-579.602374503907 252.369786736443 -765.846331395218</t>
  </si>
  <si>
    <t>-657.541629806748 325.221853372695 -467.846034017132</t>
  </si>
  <si>
    <t>-454.49896189617 247.463114394345 -325.124943057533</t>
  </si>
  <si>
    <t>-584.492138658828 43.4206786613429 -781.815634631184</t>
  </si>
  <si>
    <t>-652.288602658694 169.808573518545 -236.348807368004</t>
  </si>
  <si>
    <t>-675.456803089066 228.460431933879 214.961332364845</t>
  </si>
  <si>
    <t>-714.115073407579 279.537537846171 680.597252926206</t>
  </si>
  <si>
    <t>-574.666424389431 359.696956818814 751.815597769515</t>
  </si>
  <si>
    <t>-596.718279276596 -70.5692664169935 202.066672360719</t>
  </si>
  <si>
    <t>-618.380292928229 -116.358869746224 668.764948894812</t>
  </si>
  <si>
    <t>-472.575933458422 -181.110020160913 742.872286470857</t>
  </si>
  <si>
    <t>9763-20170724T170041.397468900.bin</t>
  </si>
  <si>
    <t>-637.483712731918 71.9479216741372 -243.664300440833</t>
  </si>
  <si>
    <t>-647.28409123547 79.2739082978967 -364.155199775639</t>
  </si>
  <si>
    <t>-639.452406842669 81.6105537793692 -485.083958565081</t>
  </si>
  <si>
    <t>-625.204838618286 81.5614853240534 -593.67439952799</t>
  </si>
  <si>
    <t>-603.9760399566 79.2509438401053 -701.093453776851</t>
  </si>
  <si>
    <t>-567.284105381033 73.6042859488971 -848.815517551237</t>
  </si>
  <si>
    <t>-507.199363013591 73.6994489477493 -931.112542507354</t>
  </si>
  <si>
    <t>-585.284277757946 107.80457284416 -785.10323332835</t>
  </si>
  <si>
    <t>-578.250264098005 253.321094389342 -764.905018824354</t>
  </si>
  <si>
    <t>-655.944505732014 324.377932766301 -466.407490387724</t>
  </si>
  <si>
    <t>-451.913703093607 246.902987595637 -324.946856759705</t>
  </si>
  <si>
    <t>-581.75409086285 44.4007640725861 -781.802912657809</t>
  </si>
  <si>
    <t>-651.76774791877 168.23495462297 -236.264202344576</t>
  </si>
  <si>
    <t>-674.74672973067 228.134725765032 214.891689587361</t>
  </si>
  <si>
    <t>-714.087870822299 279.855583853393 680.367153572277</t>
  </si>
  <si>
    <t>-574.669467683979 359.833861063852 751.847855601861</t>
  </si>
  <si>
    <t>-596.025776111178 -71.0134509524066 202.05918280385</t>
  </si>
  <si>
    <t>-618.202048836681 -115.977306599588 668.910463483002</t>
  </si>
  <si>
    <t>-472.176260637686 -180.280462271389 742.97185412518</t>
  </si>
  <si>
    <t>9763-20170724T170041.464645600.bin</t>
  </si>
  <si>
    <t>-634.979397502314 69.3211970558323 -243.829779967331</t>
  </si>
  <si>
    <t>-644.270821966364 76.9960213085792 -364.339281900431</t>
  </si>
  <si>
    <t>-635.695201067321 80.1304108270376 -485.199515345123</t>
  </si>
  <si>
    <t>-620.685646480858 80.9664834135967 -593.683997622336</t>
  </si>
  <si>
    <t>-598.608805309793 79.6931467492923 -700.949319615869</t>
  </si>
  <si>
    <t>-560.65204628595 75.6369220014396 -848.403867726762</t>
  </si>
  <si>
    <t>-499.680396484455 76.7744926943119 -930.038050414779</t>
  </si>
  <si>
    <t>-579.462952314698 109.131108274946 -784.550715683467</t>
  </si>
  <si>
    <t>-573.857999331157 254.547480465903 -763.283940692571</t>
  </si>
  <si>
    <t>-652.100115301092 322.474142705131 -464.201518123966</t>
  </si>
  <si>
    <t>-446.151674426192 246.282008269168 -324.83845807112</t>
  </si>
  <si>
    <t>-575.430482557934 45.7323509330015 -781.768767726683</t>
  </si>
  <si>
    <t>-650.128925369644 165.165109895646 -236.171200500496</t>
  </si>
  <si>
    <t>-672.946002795049 227.302637337968 214.69018424239</t>
  </si>
  <si>
    <t>-714.005022410987 280.641432258276 679.765072752857</t>
  </si>
  <si>
    <t>-574.744625480096 360.258951115434 751.9531105333</t>
  </si>
  <si>
    <t>-594.034777069329 -72.1598620721345 201.895295447272</t>
  </si>
  <si>
    <t>-617.886191389689 -115.360699263193 669.02335496429</t>
  </si>
  <si>
    <t>-471.596184320775 -179.082569247791 743.06571738224</t>
  </si>
  <si>
    <t>9763-20170724T170041.501758900.bin</t>
  </si>
  <si>
    <t>-633.585728687667 68.0033953939776 -243.910819416189</t>
  </si>
  <si>
    <t>-642.692572985521 75.834706994214 -364.424482181061</t>
  </si>
  <si>
    <t>-633.880703196149 79.2894673280109 -485.25900574929</t>
  </si>
  <si>
    <t>-618.638662483073 80.4733970992618 -593.707810092983</t>
  </si>
  <si>
    <t>-596.311659929936 79.6003449614191 -700.925178622832</t>
  </si>
  <si>
    <t>-557.989958236405 76.1501680158549 -848.300853909096</t>
  </si>
  <si>
    <t>-496.67867453166 77.7150378028273 -929.673142184999</t>
  </si>
  <si>
    <t>-577.041662875707 109.375358165979 -784.378716904702</t>
  </si>
  <si>
    <t>-571.996964685529 254.74713775742 -762.725954954026</t>
  </si>
  <si>
    <t>-650.640292405553 321.442567723897 -463.471654464991</t>
  </si>
  <si>
    <t>-443.999950156302 245.694129520053 -324.893184174487</t>
  </si>
  <si>
    <t>-572.850576597139 45.9780895602032 -781.80467974479</t>
  </si>
  <si>
    <t>-649.076173428171 163.765493826244 -236.118348300762</t>
  </si>
  <si>
    <t>-672.327089891161 226.92508023973 214.578869245142</t>
  </si>
  <si>
    <t>-713.981018985307 281.031986833562 679.479883743354</t>
  </si>
  <si>
    <t>-574.784237604873 360.471025087064 751.986563648374</t>
  </si>
  <si>
    <t>-593.003044271546 -72.8643490488364 201.808387321959</t>
  </si>
  <si>
    <t>-617.77536930655 -115.1582279954 669.014776521853</t>
  </si>
  <si>
    <t>-471.419526683196 -178.725753872639 743.059707282973</t>
  </si>
  <si>
    <t>9763-20170724T170041.563921000.bin</t>
  </si>
  <si>
    <t>-631.189500174114 65.2441134132882 -243.834698282237</t>
  </si>
  <si>
    <t>-639.754186397406 73.5458262730381 -364.356674136259</t>
  </si>
  <si>
    <t>-630.346466902234 77.6395894223288 -485.126329457146</t>
  </si>
  <si>
    <t>-614.548730604435 79.4588459819884 -593.486780120464</t>
  </si>
  <si>
    <t>-591.651338623002 79.2718861166695 -700.587246779265</t>
  </si>
  <si>
    <t>-552.523777185869 76.8224679421055 -847.77090485067</t>
  </si>
  <si>
    <t>-490.722716226435 79.2318363021441 -928.751212094397</t>
  </si>
  <si>
    <t>-572.070518314663 109.601662169568 -783.768044402072</t>
  </si>
  <si>
    <t>-567.866196249351 254.882017853798 -761.384198632922</t>
  </si>
  <si>
    <t>-646.405781230604 320.416989751338 -461.84629195551</t>
  </si>
  <si>
    <t>-439.200926827722 244.995400846875 -323.934167148631</t>
  </si>
  <si>
    <t>-567.602520545671 46.2107641433354 -781.52529736491</t>
  </si>
  <si>
    <t>-647.347832861835 160.610932303118 -235.728039924081</t>
  </si>
  <si>
    <t>-671.224417291123 225.805019174964 214.646550231043</t>
  </si>
  <si>
    <t>-713.796164063843 281.164106189799 679.343016179289</t>
  </si>
  <si>
    <t>-574.770105967174 360.669807013995 752.103533852321</t>
  </si>
  <si>
    <t>-591.566394437706 -74.6738781686859 201.655194607564</t>
  </si>
  <si>
    <t>-617.741121473698 -115.061818417995 668.946187689112</t>
  </si>
  <si>
    <t>-471.396608629762 -178.688906537411 742.962308551932</t>
  </si>
  <si>
    <t>9763-20170724T170041.596526500.bin</t>
  </si>
  <si>
    <t>-630.069815767583 64.0255841591586 -243.736800785876</t>
  </si>
  <si>
    <t>-638.409090576959 72.5134618345191 -364.261667636653</t>
  </si>
  <si>
    <t>-628.794731978179 76.8516167026044 -485.006389059195</t>
  </si>
  <si>
    <t>-612.819260831236 78.9115381324948 -593.336406335573</t>
  </si>
  <si>
    <t>-589.753659960648 78.9827633319289 -700.401036301224</t>
  </si>
  <si>
    <t>-550.402633609368 76.9082666877603 -847.530912560962</t>
  </si>
  <si>
    <t>-488.453102673442 79.6350920521618 -928.387559003564</t>
  </si>
  <si>
    <t>-570.076128188556 109.522092082446 -783.482320761277</t>
  </si>
  <si>
    <t>-566.060303242359 254.756741684373 -760.775911802812</t>
  </si>
  <si>
    <t>-644.49703488724 320.188141341012 -461.188609830375</t>
  </si>
  <si>
    <t>-437.227755060394 244.884490040686 -323.308739541788</t>
  </si>
  <si>
    <t>-565.552353498383 46.130407366187 -781.378712944608</t>
  </si>
  <si>
    <t>-646.351562169708 159.249023501213 -235.495872336208</t>
  </si>
  <si>
    <t>-670.355592770321 225.236967815665 214.756394054155</t>
  </si>
  <si>
    <t>-713.66784534854 281.08986457694 679.351707654686</t>
  </si>
  <si>
    <t>-574.740048171301 360.75610050698 752.12427672409</t>
  </si>
  <si>
    <t>-590.852568443597 -75.5067535735291 201.637938334062</t>
  </si>
  <si>
    <t>-617.716198082371 -114.968508601657 668.930324428783</t>
  </si>
  <si>
    <t>-471.22673766953 -178.326890751927 742.890178818038</t>
  </si>
  <si>
    <t>9763-20170724T170041.666713500.bin</t>
  </si>
  <si>
    <t>-627.964746205991 61.8550457102283 -243.493091655298</t>
  </si>
  <si>
    <t>-636.192619267465 70.648028675595 -364.003641408907</t>
  </si>
  <si>
    <t>-626.40156566234 75.3092346408866 -484.722225781356</t>
  </si>
  <si>
    <t>-610.24160615537 77.6648255529972 -593.018867736217</t>
  </si>
  <si>
    <t>-586.968108558244 78.0330138892873 -700.037776342483</t>
  </si>
  <si>
    <t>-547.304903545655 76.3711988752152 -847.089057722532</t>
  </si>
  <si>
    <t>-485.152248077668 79.4751730231069 -927.776049149395</t>
  </si>
  <si>
    <t>-567.127920046805 108.804026353238 -782.994901437279</t>
  </si>
  <si>
    <t>-563.403586071075 253.970490942713 -759.751263531993</t>
  </si>
  <si>
    <t>-641.579782439726 318.687301654685 -459.940826138096</t>
  </si>
  <si>
    <t>-434.556478938425 243.564337367539 -321.59346084097</t>
  </si>
  <si>
    <t>-562.581379866976 45.4089228845371 -781.052185143311</t>
  </si>
  <si>
    <t>-644.168851851376 156.934632646513 -234.971875010503</t>
  </si>
  <si>
    <t>-669.021958458245 224.091879344715 215.06134450102</t>
  </si>
  <si>
    <t>-713.431537501628 280.856026175034 679.417679705258</t>
  </si>
  <si>
    <t>-574.672134293649 360.873728300978 752.126128143636</t>
  </si>
  <si>
    <t>-589.72679941743 -77.0023919110001 201.68972798315</t>
  </si>
  <si>
    <t>-617.696122433257 -114.876502348486 668.981869657169</t>
  </si>
  <si>
    <t>-471.160454909243 -178.222157526004 742.861117913785</t>
  </si>
  <si>
    <t>9763-20170724T170041.698311500.bin</t>
  </si>
  <si>
    <t>-626.932532598486 60.9953430182277 -243.40065309795</t>
  </si>
  <si>
    <t>-635.062354626676 69.9273227619626 -363.907758998223</t>
  </si>
  <si>
    <t>-625.168124222564 74.7055261253995 -484.613255802822</t>
  </si>
  <si>
    <t>-608.913813133331 77.1569659437675 -592.893664091538</t>
  </si>
  <si>
    <t>-585.545683951252 77.6101858780735 -699.891686219573</t>
  </si>
  <si>
    <t>-545.75117406039 76.0551415021644 -846.90862063019</t>
  </si>
  <si>
    <t>-483.541153423388 79.2284792565056 -927.548726857039</t>
  </si>
  <si>
    <t>-565.611667998772 108.443088387277 -782.803262112701</t>
  </si>
  <si>
    <t>-561.872415906408 253.543146052945 -759.289847975404</t>
  </si>
  <si>
    <t>-640.259748741437 317.954664474504 -459.468612070234</t>
  </si>
  <si>
    <t>-433.370536895235 242.940878339896 -320.861913037173</t>
  </si>
  <si>
    <t>-561.10632973907 45.0434006048779 -780.913120461741</t>
  </si>
  <si>
    <t>-643.065851184625 156.000709507489 -234.746004221679</t>
  </si>
  <si>
    <t>-668.398719060671 223.693090540582 215.180219398089</t>
  </si>
  <si>
    <t>-713.316708925495 280.736242591026 679.445594244333</t>
  </si>
  <si>
    <t>-574.64107486684 360.931394053982 752.118178949697</t>
  </si>
  <si>
    <t>-589.42240096605 -77.673511949537 201.737322114225</t>
  </si>
  <si>
    <t>-617.689546028591 -114.866558619735 669.048153843656</t>
  </si>
  <si>
    <t>-471.190593979663 -178.320859739123 742.906950721335</t>
  </si>
  <si>
    <t>9763-20170724T170041.765489300.bin</t>
  </si>
  <si>
    <t>-624.950354904391 59.5964087240275 -243.151570851345</t>
  </si>
  <si>
    <t>-632.943613468598 68.7667876981666 -363.649719483068</t>
  </si>
  <si>
    <t>-622.914043023429 73.7437767928955 -484.336085629883</t>
  </si>
  <si>
    <t>-606.538934846604 76.3588422052035 -592.594408402413</t>
  </si>
  <si>
    <t>-583.051917245606 76.9605316293148 -699.565754167315</t>
  </si>
  <si>
    <t>-543.094661651796 75.5962126874708 -846.540371265104</t>
  </si>
  <si>
    <t>-480.833740414939 78.8176968687642 -927.139324047147</t>
  </si>
  <si>
    <t>-562.996889294313 107.903260508974 -782.407143312211</t>
  </si>
  <si>
    <t>-559.289057982791 252.967150677745 -758.555383596047</t>
  </si>
  <si>
    <t>-638.89991024069 316.51747755497 -458.872703304376</t>
  </si>
  <si>
    <t>-432.094919121165 241.755913587284 -320.004207756082</t>
  </si>
  <si>
    <t>-558.552126721385 44.4964997407567 -780.610257995745</t>
  </si>
  <si>
    <t>-640.768183784158 154.491049722783 -234.303094186335</t>
  </si>
  <si>
    <t>-667.015533951798 222.8388583819 215.471633998607</t>
  </si>
  <si>
    <t>-713.059669548347 280.425571626322 679.552380594902</t>
  </si>
  <si>
    <t>-574.558480386279 361.016441384565 752.119883210432</t>
  </si>
  <si>
    <t>-588.900785601662 -78.8110660261821 201.876499994405</t>
  </si>
  <si>
    <t>-617.689536325796 -114.900190474128 669.232696813787</t>
  </si>
  <si>
    <t>-471.313794635988 -178.684837512337 743.051298813763</t>
  </si>
  <si>
    <t>9763-20170724T170041.793571700.bin</t>
  </si>
  <si>
    <t>-624.051542271194 59.1315886013401 -243.05629129367</t>
  </si>
  <si>
    <t>-632.144314305182 68.3541970690192 -363.543807215322</t>
  </si>
  <si>
    <t>-622.106728335693 73.3807672281387 -484.227387486995</t>
  </si>
  <si>
    <t>-605.681666147597 76.0375514115915 -592.477233557067</t>
  </si>
  <si>
    <t>-582.103122531068 76.6769607906119 -699.428139882112</t>
  </si>
  <si>
    <t>-541.976692759921 75.3602741118284 -846.357171073989</t>
  </si>
  <si>
    <t>-479.63000609965 78.5526478990562 -926.890843882646</t>
  </si>
  <si>
    <t>-561.932640232004 107.648114188841 -782.230882881798</t>
  </si>
  <si>
    <t>-558.147094251538 252.682618604024 -758.245988975912</t>
  </si>
  <si>
    <t>-638.42189304914 315.840775647298 -458.657603421484</t>
  </si>
  <si>
    <t>-431.787138775423 241.092222581207 -319.528973646674</t>
  </si>
  <si>
    <t>-557.530124345491 44.2377004867535 -780.460289489481</t>
  </si>
  <si>
    <t>-639.720054151799 154.099615316988 -234.1441418414</t>
  </si>
  <si>
    <t>-666.341638354716 222.492458033203 215.601694029803</t>
  </si>
  <si>
    <t>-712.962906224489 280.313110358897 679.588979580344</t>
  </si>
  <si>
    <t>-574.532104210017 361.06196282975 752.115439113783</t>
  </si>
  <si>
    <t>-588.55922227579 -79.1526607868664 201.970404571728</t>
  </si>
  <si>
    <t>-617.667459920833 -114.882941067403 669.338000466083</t>
  </si>
  <si>
    <t>-471.208380434026 -178.502089384966 743.134026332417</t>
  </si>
  <si>
    <t>9763-20170724T170041.862754800.bin</t>
  </si>
  <si>
    <t>-622.479531568649 58.3554321711276 -242.804292561273</t>
  </si>
  <si>
    <t>-630.570573031003 67.6765301534153 -363.284498806952</t>
  </si>
  <si>
    <t>-620.4286403391 72.7650955166098 -483.956744194901</t>
  </si>
  <si>
    <t>-603.870053395228 75.4591639056407 -592.185164104397</t>
  </si>
  <si>
    <t>-580.120853867539 76.1153672595394 -699.098336149475</t>
  </si>
  <si>
    <t>-539.720858658104 74.7987910666359 -845.952257549753</t>
  </si>
  <si>
    <t>-477.07176583542 77.8327893258299 -926.257065608742</t>
  </si>
  <si>
    <t>-559.747202235486 107.090215280396 -781.849865989048</t>
  </si>
  <si>
    <t>-555.793832271674 252.108479074247 -757.782102821729</t>
  </si>
  <si>
    <t>-636.27285398332 314.583294463577 -458.105265502567</t>
  </si>
  <si>
    <t>-430.047761453343 239.683536286088 -318.451089346758</t>
  </si>
  <si>
    <t>-555.446069374582 43.6723658888466 -780.098029834242</t>
  </si>
  <si>
    <t>-637.883778043299 153.224999542841 -233.802633743599</t>
  </si>
  <si>
    <t>-664.981548664083 222.360905199703 215.80119312303</t>
  </si>
  <si>
    <t>-712.765256272075 280.111070858435 679.656877781299</t>
  </si>
  <si>
    <t>-574.470590790746 361.150852838096 752.118231006583</t>
  </si>
  <si>
    <t>-587.686524028921 -79.7050319746143 202.196229984725</t>
  </si>
  <si>
    <t>-617.604465759602 -114.828982747004 669.573506580861</t>
  </si>
  <si>
    <t>-470.969174989681 -178.096671722727 743.321730014441</t>
  </si>
  <si>
    <t>9763-20170724T170041.897479800.bin</t>
  </si>
  <si>
    <t>-621.802099048894 58.0219137633612 -242.672837878126</t>
  </si>
  <si>
    <t>-629.881134279982 67.3413116273846 -363.153788691119</t>
  </si>
  <si>
    <t>-619.697500237807 72.4040981063215 -483.823685198032</t>
  </si>
  <si>
    <t>-603.090755307624 75.0618645551097 -592.045815149263</t>
  </si>
  <si>
    <t>-579.284095807969 75.6668640853106 -698.946305062399</t>
  </si>
  <si>
    <t>-538.795728779144 74.2623091573578 -845.775264232379</t>
  </si>
  <si>
    <t>-475.907375507584 77.1030529946797 -925.899954414647</t>
  </si>
  <si>
    <t>-558.822851282295 106.595052001582 -781.693891843045</t>
  </si>
  <si>
    <t>-554.74748021285 251.597146223208 -757.578558693856</t>
  </si>
  <si>
    <t>-634.969358401607 314.134257269282 -457.845760830535</t>
  </si>
  <si>
    <t>-428.83966404504 238.950783074678 -318.203195519845</t>
  </si>
  <si>
    <t>-554.598328630097 43.1724625843176 -779.922279842124</t>
  </si>
  <si>
    <t>-637.210040392448 152.87460132554 -233.67589166903</t>
  </si>
  <si>
    <t>-664.268442336611 222.352473734529 215.877525069891</t>
  </si>
  <si>
    <t>-712.65391268855 280.005473313559 679.67487728898</t>
  </si>
  <si>
    <t>-574.438520228095 361.192805232707 752.122227743483</t>
  </si>
  <si>
    <t>-587.265506465741 -79.9422095204368 202.336430719232</t>
  </si>
  <si>
    <t>-617.57537244891 -114.83383762059 669.697011835425</t>
  </si>
  <si>
    <t>-471.019997004822 -178.29575460997 743.437202599451</t>
  </si>
  <si>
    <t>9763-20170724T170041.965661800.bin</t>
  </si>
  <si>
    <t>-620.516553886092 57.6973732247684 -242.449711574113</t>
  </si>
  <si>
    <t>-628.605831637243 67.0080718224378 -362.930703025588</t>
  </si>
  <si>
    <t>-618.344626069806 72.0374010783562 -483.595528983159</t>
  </si>
  <si>
    <t>-601.634574549183 74.6502374600107 -591.802699974902</t>
  </si>
  <si>
    <t>-577.693536639087 75.1930869677601 -698.673501451823</t>
  </si>
  <si>
    <t>-536.988318907878 73.6814384298486 -845.441445705675</t>
  </si>
  <si>
    <t>-473.729627170423 76.1798746854279 -925.285549123662</t>
  </si>
  <si>
    <t>-557.05924970412 106.064633539166 -781.399238711423</t>
  </si>
  <si>
    <t>-552.800029754218 251.080455971749 -757.362873898555</t>
  </si>
  <si>
    <t>-632.860039382401 314.345993384072 -457.739774516296</t>
  </si>
  <si>
    <t>-426.310106241149 239.029029738142 -318.791749477819</t>
  </si>
  <si>
    <t>-552.939007486182 42.6359952843197 -779.603186612383</t>
  </si>
  <si>
    <t>-635.740779206144 152.572190317202 -233.487093668391</t>
  </si>
  <si>
    <t>-663.184134018454 222.383023806078 215.991495123098</t>
  </si>
  <si>
    <t>-712.515172668053 279.981928975293 679.649398070679</t>
  </si>
  <si>
    <t>-574.436267258247 361.360042501471 752.143048617385</t>
  </si>
  <si>
    <t>-586.444909957137 -80.2325610436362 202.584010257906</t>
  </si>
  <si>
    <t>-617.502520245425 -114.843963643908 669.935608824948</t>
  </si>
  <si>
    <t>-470.972865845053 -178.368036138566 743.673439179273</t>
  </si>
  <si>
    <t>9763-20170724T170041.996602600.bin</t>
  </si>
  <si>
    <t>-620.001805141923 57.7088282387581 -242.370355067007</t>
  </si>
  <si>
    <t>-628.100484545222 67.0086864660752 -362.851608632221</t>
  </si>
  <si>
    <t>-617.808329223187 71.9733085051646 -483.516547310827</t>
  </si>
  <si>
    <t>-601.055473585559 74.5042535522346 -591.719060676992</t>
  </si>
  <si>
    <t>-577.058288949435 74.9401045314337 -698.57772696064</t>
  </si>
  <si>
    <t>-536.262511947118 73.2531391615933 -845.318531122441</t>
  </si>
  <si>
    <t>-472.887234397175 75.5887291004208 -925.075129008906</t>
  </si>
  <si>
    <t>-556.34571337074 105.714784620832 -781.319963007965</t>
  </si>
  <si>
    <t>-552.025633237664 250.729066441433 -757.318065198097</t>
  </si>
  <si>
    <t>-631.873413329176 314.659399020785 -457.779212612911</t>
  </si>
  <si>
    <t>-425.197991178181 239.434588224156 -318.96806724114</t>
  </si>
  <si>
    <t>-552.28101498916 42.2844070718261 -779.460714849005</t>
  </si>
  <si>
    <t>-635.163933459181 152.607242484047 -233.423373155262</t>
  </si>
  <si>
    <t>-662.726464741111 222.534458312091 216.02978113401</t>
  </si>
  <si>
    <t>-712.483882573121 280.010775008379 679.641766371592</t>
  </si>
  <si>
    <t>-574.440017007774 361.429581729981 752.156252593649</t>
  </si>
  <si>
    <t>-586.171638509128 -80.2918056973183 202.688803159838</t>
  </si>
  <si>
    <t>-617.472333018131 -114.884456143827 670.044871747932</t>
  </si>
  <si>
    <t>-470.969627193717 -178.461898177028 743.790196592104</t>
  </si>
  <si>
    <t>9763-20170724T170042.061778200.bin</t>
  </si>
  <si>
    <t>-619.298451235157 57.9286791616378 -242.223014179817</t>
  </si>
  <si>
    <t>-627.179047811672 67.23017856515 -362.718648127904</t>
  </si>
  <si>
    <t>-616.687282130385 72.0471933627502 -483.372174348561</t>
  </si>
  <si>
    <t>-599.765417665559 74.3827076180489 -591.552852347421</t>
  </si>
  <si>
    <t>-575.612887776624 74.560922161359 -698.377424030292</t>
  </si>
  <si>
    <t>-534.617567867583 72.4502811880373 -845.057066171626</t>
  </si>
  <si>
    <t>-471.14203300454 74.5158885896969 -924.741299710737</t>
  </si>
  <si>
    <t>-554.728284510544 105.100860635596 -781.163314902167</t>
  </si>
  <si>
    <t>-550.146118016687 250.161412913425 -757.468604819353</t>
  </si>
  <si>
    <t>-630.294279432275 314.675015781707 -458.135216173942</t>
  </si>
  <si>
    <t>-423.431303969881 240.371725525873 -319.107292236781</t>
  </si>
  <si>
    <t>-550.785128496644 41.6674705436303 -779.148485934105</t>
  </si>
  <si>
    <t>-634.41328680582 152.802903223507 -233.348997870136</t>
  </si>
  <si>
    <t>-662.29808271561 222.781588644932 216.076223407696</t>
  </si>
  <si>
    <t>-712.409847866993 280.044253890815 679.641164652465</t>
  </si>
  <si>
    <t>-574.415445615342 361.510825356343 752.196225623</t>
  </si>
  <si>
    <t>-585.987738255038 -80.3212821409079 202.855922063549</t>
  </si>
  <si>
    <t>-617.397313627469 -114.897234844306 670.219511204208</t>
  </si>
  <si>
    <t>-470.827760913938 -178.325408544404 743.96054391044</t>
  </si>
  <si>
    <t>9763-20170724T170042.095374100.bin</t>
  </si>
  <si>
    <t>-618.955638924367 58.127491971426 -242.188163720443</t>
  </si>
  <si>
    <t>-626.787145255964 67.3912506390325 -362.689845458569</t>
  </si>
  <si>
    <t>-616.224700564731 72.103234140706 -483.341444616009</t>
  </si>
  <si>
    <t>-599.232036365373 74.3157890714367 -591.513530868241</t>
  </si>
  <si>
    <t>-575.003058412879 74.343037835449 -698.320838334118</t>
  </si>
  <si>
    <t>-533.896952451104 71.9928100273203 -844.965880402169</t>
  </si>
  <si>
    <t>-470.403994902158 73.9406766598422 -924.639173558952</t>
  </si>
  <si>
    <t>-554.033623104014 104.749317890887 -781.134532217547</t>
  </si>
  <si>
    <t>-549.434195109977 249.840685286892 -757.626282015112</t>
  </si>
  <si>
    <t>-629.592799426584 314.681874577921 -458.366503401791</t>
  </si>
  <si>
    <t>-422.79121130548 241.016618599145 -318.9082482935</t>
  </si>
  <si>
    <t>-550.136626716953 41.316197484512 -779.025483582881</t>
  </si>
  <si>
    <t>-634.033213994034 152.995436953106 -233.337166526255</t>
  </si>
  <si>
    <t>-662.101957107661 222.93990883687 216.081999804312</t>
  </si>
  <si>
    <t>-712.380084383761 280.060952623703 679.655142361019</t>
  </si>
  <si>
    <t>-574.418171276314 361.576294141245 752.217297505105</t>
  </si>
  <si>
    <t>-585.81803078905 -80.2775649380064 202.935978906529</t>
  </si>
  <si>
    <t>-617.363014029925 -114.927604820033 670.298494751638</t>
  </si>
  <si>
    <t>-470.801986413202 -178.36802561899 744.046008111009</t>
  </si>
  <si>
    <t>9763-20170724T170042.166563600.bin</t>
  </si>
  <si>
    <t>-618.390878713869 58.6063048315791 -242.093373582545</t>
  </si>
  <si>
    <t>-626.119084941074 67.8052185431295 -362.606734185464</t>
  </si>
  <si>
    <t>-615.457223674267 72.3685218882613 -483.255245246055</t>
  </si>
  <si>
    <t>-598.377743300998 74.4149702692898 -591.416902094063</t>
  </si>
  <si>
    <t>-574.065938044008 74.2454389187355 -698.205438914666</t>
  </si>
  <si>
    <t>-532.849656482775 71.5913482232074 -844.814168277312</t>
  </si>
  <si>
    <t>-469.314274713075 73.3943054072506 -924.457182434537</t>
  </si>
  <si>
    <t>-553.038534267092 104.479563106505 -781.067172111906</t>
  </si>
  <si>
    <t>-548.372044665771 249.577635601125 -757.762172538593</t>
  </si>
  <si>
    <t>-627.819294281261 315.555799206382 -458.561237711176</t>
  </si>
  <si>
    <t>-421.490436178662 242.655900011558 -318.005029136675</t>
  </si>
  <si>
    <t>-549.134668490813 41.0516092807416 -778.821402378025</t>
  </si>
  <si>
    <t>-633.455834194134 153.566282520818 -233.347268608912</t>
  </si>
  <si>
    <t>-661.824416631229 223.374818123068 216.074208326167</t>
  </si>
  <si>
    <t>-712.371642344943 280.154283286806 679.647376268671</t>
  </si>
  <si>
    <t>-574.427598424002 361.672939539003 752.239797362423</t>
  </si>
  <si>
    <t>-585.534701149017 -80.1286122548465 203.081155728714</t>
  </si>
  <si>
    <t>-617.297155738032 -114.968396350014 670.424593714411</t>
  </si>
  <si>
    <t>-470.669111267245 -178.257924331999 744.168521517372</t>
  </si>
  <si>
    <t>9763-20170724T170042.198232500.bin</t>
  </si>
  <si>
    <t>-618.009431514337 58.9264800164931 -242.062102758226</t>
  </si>
  <si>
    <t>-625.61905959288 68.1287048288464 -362.582742135756</t>
  </si>
  <si>
    <t>-614.853249852454 72.6887755435175 -483.222099657443</t>
  </si>
  <si>
    <t>-597.686114616433 74.7312080736413 -591.369982529022</t>
  </si>
  <si>
    <t>-573.292872023596 74.5581566964649 -698.139775156364</t>
  </si>
  <si>
    <t>-531.969860937105 71.9001353706351 -844.718660320207</t>
  </si>
  <si>
    <t>-468.390723219224 73.6316810713088 -924.32810465049</t>
  </si>
  <si>
    <t>-552.201229443435 104.790490868602 -780.986115231464</t>
  </si>
  <si>
    <t>-547.402665063263 249.917031578001 -757.718192751456</t>
  </si>
  <si>
    <t>-627.147315948595 316.11758491293 -458.645472473721</t>
  </si>
  <si>
    <t>-420.415332382319 243.536747746995 -318.517024919744</t>
  </si>
  <si>
    <t>-548.306783348829 41.3619269932283 -778.738046559363</t>
  </si>
  <si>
    <t>-632.978708937268 153.928206782534 -233.36672794988</t>
  </si>
  <si>
    <t>-661.653728389076 223.493178919879 216.073052020907</t>
  </si>
  <si>
    <t>-712.328736017639 280.198889301515 679.616419146225</t>
  </si>
  <si>
    <t>-574.408429869488 361.711683416407 752.260563803178</t>
  </si>
  <si>
    <t>-585.364813509679 -80.0245154582456 203.112325987268</t>
  </si>
  <si>
    <t>-617.263013638853 -114.99899839143 670.462023927455</t>
  </si>
  <si>
    <t>-470.699061282156 -178.411083183582 744.228082331302</t>
  </si>
  <si>
    <t>9763-20170724T170042.265411300.bin</t>
  </si>
  <si>
    <t>-617.152623842616 59.5696995877938 -242.123383338308</t>
  </si>
  <si>
    <t>-624.671870108244 68.7007858492918 -362.655218724143</t>
  </si>
  <si>
    <t>-613.757870291796 73.2158144998291 -483.282893428685</t>
  </si>
  <si>
    <t>-596.434249912124 75.2288329839166 -591.406324920246</t>
  </si>
  <si>
    <t>-571.862908420605 75.0377974943299 -698.135350711054</t>
  </si>
  <si>
    <t>-530.270466838101 72.3676463163433 -844.637705335248</t>
  </si>
  <si>
    <t>-466.605905482784 73.9649984941429 -924.181736061529</t>
  </si>
  <si>
    <t>-550.597802541866 105.264892926521 -780.939240395533</t>
  </si>
  <si>
    <t>-545.907260004136 250.389888440416 -757.697562208127</t>
  </si>
  <si>
    <t>-627.000562737215 316.33236923921 -458.930629180177</t>
  </si>
  <si>
    <t>-420.007245406176 244.22940758252 -318.941372813748</t>
  </si>
  <si>
    <t>-546.749882068718 41.8333784091942 -778.690695782834</t>
  </si>
  <si>
    <t>-632.013861451819 154.59390979558 -233.471430550051</t>
  </si>
  <si>
    <t>-661.096998677704 223.992865514249 215.967724814436</t>
  </si>
  <si>
    <t>-712.299345991614 280.419905882915 679.483409366678</t>
  </si>
  <si>
    <t>-574.426141621457 361.85675386061 752.301788695241</t>
  </si>
  <si>
    <t>-584.76556365533 -79.8271058016842 203.157799122883</t>
  </si>
  <si>
    <t>-617.193360052373 -115.137319233468 670.490243719101</t>
  </si>
  <si>
    <t>-470.803789853243 -178.847749186208 744.345457776742</t>
  </si>
  <si>
    <t>9763-20170724T170042.299517900.bin</t>
  </si>
  <si>
    <t>-616.72158617949 59.712423415622 -242.106985254392</t>
  </si>
  <si>
    <t>-624.143877205884 68.8467760360215 -362.644487496438</t>
  </si>
  <si>
    <t>-613.143233198405 73.3899629296807 -483.263292509179</t>
  </si>
  <si>
    <t>-595.745272833386 75.4402480422539 -591.374103471668</t>
  </si>
  <si>
    <t>-571.103189769214 75.2993871546332 -698.086788310964</t>
  </si>
  <si>
    <t>-529.415894870433 72.7129629660587 -844.563833834673</t>
  </si>
  <si>
    <t>-465.687159271297 74.3114206512594 -924.056374246006</t>
  </si>
  <si>
    <t>-549.786681756399 105.57348636214 -780.860388303984</t>
  </si>
  <si>
    <t>-545.154372610738 250.69785370407 -757.541029825106</t>
  </si>
  <si>
    <t>-627.113917932434 316.802817913264 -459.046527646481</t>
  </si>
  <si>
    <t>-419.55273083568 244.757553122062 -319.870745199192</t>
  </si>
  <si>
    <t>-545.935805908919 42.14118827013 -778.644305837719</t>
  </si>
  <si>
    <t>-631.533102336097 154.788348264836 -233.489799426686</t>
  </si>
  <si>
    <t>-660.642003242964 224.245524292814 215.938816043465</t>
  </si>
  <si>
    <t>-712.242842148836 280.456852402369 679.438502717685</t>
  </si>
  <si>
    <t>-574.417033526568 361.907572511745 752.331166491734</t>
  </si>
  <si>
    <t>-584.532947790087 -79.8205219537399 203.175901352184</t>
  </si>
  <si>
    <t>-617.166644401622 -115.232279867883 670.501372354016</t>
  </si>
  <si>
    <t>-470.875972150726 -179.107537138786 744.410109155541</t>
  </si>
  <si>
    <t>9763-20170724T170042.362679700.bin</t>
  </si>
  <si>
    <t>-615.876270878274 60.1240937746586 -242.061412179471</t>
  </si>
  <si>
    <t>-623.146254552431 69.2396343855553 -362.609641870824</t>
  </si>
  <si>
    <t>-612.024055003606 73.7812448031318 -483.217383205283</t>
  </si>
  <si>
    <t>-594.528496587344 75.8401699432739 -591.312266422241</t>
  </si>
  <si>
    <t>-569.800500358152 75.7201859538059 -698.005126330199</t>
  </si>
  <si>
    <t>-528.005129870078 73.177373928479 -844.451946959303</t>
  </si>
  <si>
    <t>-464.104475652509 74.7709790676654 -923.80656894778</t>
  </si>
  <si>
    <t>-548.454356667137 106.016664523094 -780.76271410995</t>
  </si>
  <si>
    <t>-544.309059960692 251.16302359082 -757.543191539413</t>
  </si>
  <si>
    <t>-625.66536825224 317.538303445829 -458.94367822003</t>
  </si>
  <si>
    <t>-417.321148350399 245.430883170433 -320.975353514999</t>
  </si>
  <si>
    <t>-544.542243256374 42.588265978083 -778.544834654199</t>
  </si>
  <si>
    <t>-630.767738744796 155.23143277572 -233.495103971444</t>
  </si>
  <si>
    <t>-659.900431789834 224.609888087062 215.944145286046</t>
  </si>
  <si>
    <t>-712.126175091086 280.432360104834 679.440254873444</t>
  </si>
  <si>
    <t>-574.381787490858 361.974894705546 752.383979306012</t>
  </si>
  <si>
    <t>-583.862341649026 -79.7856716277001 203.228958612058</t>
  </si>
  <si>
    <t>-617.102301650335 -115.375574269548 670.492992788644</t>
  </si>
  <si>
    <t>-470.943624306217 -179.435150499895 744.50330586183</t>
  </si>
  <si>
    <t>9763-20170724T170042.393765700.bin</t>
  </si>
  <si>
    <t>-615.550594277218 60.340502438208 -242.006354799469</t>
  </si>
  <si>
    <t>-622.747055563331 69.4681491229551 -362.558059987016</t>
  </si>
  <si>
    <t>-611.603991171211 74.0025215690782 -483.164154435097</t>
  </si>
  <si>
    <t>-594.110927877787 76.0477939802988 -591.259716803485</t>
  </si>
  <si>
    <t>-569.406462647277 75.9073979975365 -697.957976142</t>
  </si>
  <si>
    <t>-527.665364420446 73.3289105236775 -844.419745715466</t>
  </si>
  <si>
    <t>-463.701920136003 74.8949345756423 -923.724327980237</t>
  </si>
  <si>
    <t>-548.09219375335 106.183777473261 -780.731187017558</t>
  </si>
  <si>
    <t>-544.043449329066 251.346102208375 -757.533361022273</t>
  </si>
  <si>
    <t>-624.07473212475 317.486064602181 -458.523798644882</t>
  </si>
  <si>
    <t>-415.658912200974 245.422970575838 -320.640552756566</t>
  </si>
  <si>
    <t>-544.176813290859 42.75585739742 -778.498771662105</t>
  </si>
  <si>
    <t>-630.464468806195 155.441370427347 -233.458593570307</t>
  </si>
  <si>
    <t>-659.70612536026 224.702336231143 215.991668751369</t>
  </si>
  <si>
    <t>-712.087302640152 280.428325930227 679.45529096885</t>
  </si>
  <si>
    <t>-574.377077823561 362.025060704131 752.403116510594</t>
  </si>
  <si>
    <t>-583.492804843442 -79.7398687020591 203.252437545672</t>
  </si>
  <si>
    <t>-617.085003402441 -115.463778088532 670.477184233868</t>
  </si>
  <si>
    <t>-471.004465109963 -179.645694754266 744.535790594746</t>
  </si>
  <si>
    <t>9763-20170724T170042.460500900.bin</t>
  </si>
  <si>
    <t>-615.122278359166 60.9358622595405 -241.979407569999</t>
  </si>
  <si>
    <t>-622.016217858237 70.052164003677 -362.549592801094</t>
  </si>
  <si>
    <t>-610.712446489487 74.6114217540523 -483.139795464585</t>
  </si>
  <si>
    <t>-593.132656476052 76.6906046534193 -591.22064457314</t>
  </si>
  <si>
    <t>-568.399834729274 76.5930211888372 -697.912387225475</t>
  </si>
  <si>
    <t>-526.679252948504 74.0819396759578 -844.381194489598</t>
  </si>
  <si>
    <t>-462.614844224396 75.6396574656649 -923.60430820361</t>
  </si>
  <si>
    <t>-547.063128116132 106.909895057572 -780.665011535908</t>
  </si>
  <si>
    <t>-542.735134324525 252.010603140761 -757.25331366021</t>
  </si>
  <si>
    <t>-620.447147280741 316.396295909771 -457.250757746245</t>
  </si>
  <si>
    <t>-413.633464796991 244.325780161274 -316.979642787766</t>
  </si>
  <si>
    <t>-543.215483391237 43.4761128924815 -778.481524487311</t>
  </si>
  <si>
    <t>-630.252959274044 155.972430821572 -233.449441843153</t>
  </si>
  <si>
    <t>-659.503367743219 225.160145801327 216.011467187428</t>
  </si>
  <si>
    <t>-712.067136150506 280.454066619852 679.507923805357</t>
  </si>
  <si>
    <t>-574.368603505137 362.095534227346 752.427712566451</t>
  </si>
  <si>
    <t>-582.58212470894 -79.6977560758155 203.281350638756</t>
  </si>
  <si>
    <t>-617.123596001028 -115.707248799556 670.412076438964</t>
  </si>
  <si>
    <t>-471.137874695603 -180.049751736261 744.518171079108</t>
  </si>
  <si>
    <t>9763-20170724T170042.496150200.bin</t>
  </si>
  <si>
    <t>-615.030442553418 61.3517062082815 -241.975785027515</t>
  </si>
  <si>
    <t>-621.83101675615 70.4692447051773 -362.551095582681</t>
  </si>
  <si>
    <t>-610.463494862401 75.0911105050288 -483.132958313338</t>
  </si>
  <si>
    <t>-592.837482192509 77.2519705869479 -591.204709635698</t>
  </si>
  <si>
    <t>-568.069156768286 77.2611741636574 -697.888326028138</t>
  </si>
  <si>
    <t>-526.309796747641 74.9244078146389 -844.348937246718</t>
  </si>
  <si>
    <t>-462.223055804738 76.5129554210275 -923.553301855237</t>
  </si>
  <si>
    <t>-546.697980014891 107.677392669069 -780.595585387655</t>
  </si>
  <si>
    <t>-542.264676948695 252.748381691296 -756.977789808214</t>
  </si>
  <si>
    <t>-618.902284070114 316.255437784665 -456.512010150938</t>
  </si>
  <si>
    <t>-413.843676234989 243.088969968802 -314.24568821794</t>
  </si>
  <si>
    <t>-542.876063376596 44.2393315363495 -778.493689340357</t>
  </si>
  <si>
    <t>-630.205104545409 156.489654306992 -233.475714325605</t>
  </si>
  <si>
    <t>-659.529071008154 225.372083118452 216.027412447643</t>
  </si>
  <si>
    <t>-712.08536912786 280.48401567891 679.550753556581</t>
  </si>
  <si>
    <t>-574.359251329912 362.108609435024 752.437371800739</t>
  </si>
  <si>
    <t>-582.356146143393 -79.6554614896818 203.270833528476</t>
  </si>
  <si>
    <t>-617.215528952967 -115.955620967201 670.357581187906</t>
  </si>
  <si>
    <t>-471.478973920259 -180.812322888966 744.505954023923</t>
  </si>
  <si>
    <t>9763-20170724T170042.568339000.bin</t>
  </si>
  <si>
    <t>-615.119859628322 62.5385777913743 -242.033646190083</t>
  </si>
  <si>
    <t>-621.758267896377 71.6644308411167 -362.617514186943</t>
  </si>
  <si>
    <t>-610.272247418454 76.4179209877129 -483.183027647565</t>
  </si>
  <si>
    <t>-592.554496182876 78.7521022363323 -591.236191107853</t>
  </si>
  <si>
    <t>-567.707760885161 78.9922972360516 -697.901306490726</t>
  </si>
  <si>
    <t>-525.850978607597 77.0391642403692 -844.33962122807</t>
  </si>
  <si>
    <t>-461.7582120394 78.7088905602081 -923.537503276028</t>
  </si>
  <si>
    <t>-546.280412362284 109.62506498081 -780.513915989071</t>
  </si>
  <si>
    <t>-541.859701794706 254.637166389094 -756.528676792449</t>
  </si>
  <si>
    <t>-616.252388730737 316.892443904784 -455.237797153017</t>
  </si>
  <si>
    <t>-414.718911009335 243.914001157742 -307.927032941174</t>
  </si>
  <si>
    <t>-542.462201574253 46.1816646368932 -778.576460310505</t>
  </si>
  <si>
    <t>-630.195366644189 157.794354030254 -233.569667765741</t>
  </si>
  <si>
    <t>-659.845469198986 225.900856710904 216.030141448305</t>
  </si>
  <si>
    <t>-712.05591194532 280.438432591473 679.672048379313</t>
  </si>
  <si>
    <t>-574.337630237883 362.157142989906 752.467828593007</t>
  </si>
  <si>
    <t>-582.234465736 -79.288568011207 203.192258114443</t>
  </si>
  <si>
    <t>-617.276188122695 -116.219260361295 670.216861957781</t>
  </si>
  <si>
    <t>-471.76025179369 -181.490820247496 744.434433260635</t>
  </si>
  <si>
    <t>9763-20170724T170042.598464500.bin</t>
  </si>
  <si>
    <t>-615.139916887486 63.3071562391899 -242.111332440394</t>
  </si>
  <si>
    <t>-621.817088878317 72.4344359700344 -362.69290331588</t>
  </si>
  <si>
    <t>-610.31097400058 77.2666845943099 -483.253344179765</t>
  </si>
  <si>
    <t>-592.550426422561 79.7039010554038 -591.297200620779</t>
  </si>
  <si>
    <t>-567.635972543562 80.0792482972292 -697.946111195569</t>
  </si>
  <si>
    <t>-525.658935700956 78.3478740467272 -844.352866494941</t>
  </si>
  <si>
    <t>-461.517199542482 80.0707021931055 -923.510015139543</t>
  </si>
  <si>
    <t>-546.114127733991 110.838865460273 -780.486923360705</t>
  </si>
  <si>
    <t>-541.513630915855 255.827298544866 -756.368590748673</t>
  </si>
  <si>
    <t>-615.5192580073 317.6119875838 -454.885479794033</t>
  </si>
  <si>
    <t>-415.067811215993 245.576259341426 -305.647052256118</t>
  </si>
  <si>
    <t>-542.350824024295 47.3889779163151 -778.657598131254</t>
  </si>
  <si>
    <t>-630.014885674342 158.704536499478 -233.664904692433</t>
  </si>
  <si>
    <t>-659.972789306086 226.206321580562 216.005751554345</t>
  </si>
  <si>
    <t>-712.069951897526 280.49530329213 679.683628381655</t>
  </si>
  <si>
    <t>-574.325506638526 362.169652133581 752.479661339018</t>
  </si>
  <si>
    <t>-582.210930405569 -78.8825908970473 203.095509399003</t>
  </si>
  <si>
    <t>-617.284094369708 -116.325220045756 670.122422910799</t>
  </si>
  <si>
    <t>-471.733989425022 -181.474717767544 744.38017986791</t>
  </si>
  <si>
    <t>9763-20170724T170042.663636900.bin</t>
  </si>
  <si>
    <t>-615.330469841176 64.9935423815807 -242.281219177315</t>
  </si>
  <si>
    <t>-621.924708094573 74.1337420602924 -362.866369911006</t>
  </si>
  <si>
    <t>-610.365918678191 79.0364607448107 -483.419008835623</t>
  </si>
  <si>
    <t>-592.569105546416 81.5608589981982 -591.454897937013</t>
  </si>
  <si>
    <t>-567.629077942544 82.0477181490969 -698.097161155426</t>
  </si>
  <si>
    <t>-525.626840703919 80.4968450516844 -844.498818051835</t>
  </si>
  <si>
    <t>-461.417987478556 82.1971140512846 -923.601924424915</t>
  </si>
  <si>
    <t>-545.961853930346 112.917692745265 -780.558876494511</t>
  </si>
  <si>
    <t>-540.847410816823 257.818437835984 -756.052919595518</t>
  </si>
  <si>
    <t>-613.417525634561 319.088939811882 -454.116370479021</t>
  </si>
  <si>
    <t>-413.595265382139 247.640401405062 -303.756000033744</t>
  </si>
  <si>
    <t>-542.461244053318 49.448481558783 -778.882279119053</t>
  </si>
  <si>
    <t>-629.699223509007 160.648336499065 -233.914417397973</t>
  </si>
  <si>
    <t>-660.14287250761 227.035627692557 215.889489314447</t>
  </si>
  <si>
    <t>-712.123893160521 280.701032954044 679.648845988087</t>
  </si>
  <si>
    <t>-574.294048182553 362.16410264635 752.520183808532</t>
  </si>
  <si>
    <t>-581.909807939418 -77.8940721289564 202.902020003795</t>
  </si>
  <si>
    <t>-617.226137888612 -116.410874733298 669.871956321173</t>
  </si>
  <si>
    <t>-471.809004266196 -181.743081823728 744.229688383272</t>
  </si>
  <si>
    <t>9763-20170724T170042.697734300.bin</t>
  </si>
  <si>
    <t>-615.403134184376 65.8888790886406 -242.376045205091</t>
  </si>
  <si>
    <t>-621.936807957344 74.9942506232496 -362.967104864039</t>
  </si>
  <si>
    <t>-610.327807155957 79.9352537586219 -483.513269319844</t>
  </si>
  <si>
    <t>-592.489614708005 82.521858366222 -591.54088224477</t>
  </si>
  <si>
    <t>-567.512091708329 83.097245495672 -698.174032149073</t>
  </si>
  <si>
    <t>-525.461305652554 81.6963332371784 -844.563207887091</t>
  </si>
  <si>
    <t>-461.216912995999 83.4110766468834 -923.63724197735</t>
  </si>
  <si>
    <t>-545.735994566319 114.056561899087 -780.573555728996</t>
  </si>
  <si>
    <t>-540.271031095378 258.926006365872 -755.869175531603</t>
  </si>
  <si>
    <t>-612.52056383427 320.484551311648 -453.914205763902</t>
  </si>
  <si>
    <t>-411.595614386206 249.758964442545 -304.685819957715</t>
  </si>
  <si>
    <t>-542.398904890708 50.5758579391559 -779.007524814155</t>
  </si>
  <si>
    <t>-629.604956058776 161.694899629961 -234.047053145132</t>
  </si>
  <si>
    <t>-660.271996799509 227.477780614499 215.830425048492</t>
  </si>
  <si>
    <t>-712.152790272452 280.782982874614 679.650986038676</t>
  </si>
  <si>
    <t>-574.263907309623 362.127276202507 752.543284137348</t>
  </si>
  <si>
    <t>-581.673810934499 -77.3737924320778 202.797378414814</t>
  </si>
  <si>
    <t>-617.185646759628 -116.421820925413 669.723351295287</t>
  </si>
  <si>
    <t>-471.877443019441 -181.936130304972 744.133778552497</t>
  </si>
  <si>
    <t>9763-20170724T170042.761905300.bin</t>
  </si>
  <si>
    <t>-615.657947473276 67.6537384621388 -242.572237723954</t>
  </si>
  <si>
    <t>-622.168286612981 76.6839854252762 -363.170220571661</t>
  </si>
  <si>
    <t>-610.547447061939 81.594841226128 -483.716551464423</t>
  </si>
  <si>
    <t>-592.703035782702 84.1705007715416 -591.743381410664</t>
  </si>
  <si>
    <t>-567.723423733186 84.7516596628709 -698.376134307188</t>
  </si>
  <si>
    <t>-525.674048880711 83.3748172342241 -844.765848331901</t>
  </si>
  <si>
    <t>-461.374864091018 85.0164306167815 -923.79688178071</t>
  </si>
  <si>
    <t>-545.825277333271 115.731672350019 -780.73546516608</t>
  </si>
  <si>
    <t>-539.829574945977 260.560115950444 -755.922049699418</t>
  </si>
  <si>
    <t>-610.212629748659 323.546088834377 -453.82070656289</t>
  </si>
  <si>
    <t>-407.731793548523 251.078717379666 -307.560583994824</t>
  </si>
  <si>
    <t>-542.733921069951 52.2363709501656 -779.250294512971</t>
  </si>
  <si>
    <t>-629.607953688947 163.768557529658 -234.348897607433</t>
  </si>
  <si>
    <t>-660.656189259639 228.195110132803 215.698842050087</t>
  </si>
  <si>
    <t>-712.14746713076 280.840590848906 679.674081927628</t>
  </si>
  <si>
    <t>-574.212600573531 362.094929230684 752.579634084956</t>
  </si>
  <si>
    <t>-581.152110684295 -76.2963592521212 202.589978910067</t>
  </si>
  <si>
    <t>-617.113194042281 -116.46538460956 669.427502873602</t>
  </si>
  <si>
    <t>-472.119059202771 -182.537166618546 743.957589645405</t>
  </si>
  <si>
    <t>9763-20170724T170042.796525900.bin</t>
  </si>
  <si>
    <t>-615.952159098848 68.6270303186086 -242.695313941144</t>
  </si>
  <si>
    <t>-622.385700252246 77.6575595332174 -363.297331183935</t>
  </si>
  <si>
    <t>-610.703791118118 82.5775844359976 -483.837344974985</t>
  </si>
  <si>
    <t>-592.810967779068 85.1642090276487 -591.855871022178</t>
  </si>
  <si>
    <t>-567.78996297286 85.7584543607304 -698.478782543006</t>
  </si>
  <si>
    <t>-525.690396155878 84.4015340712031 -844.854364467398</t>
  </si>
  <si>
    <t>-461.335897689947 86.0168136432367 -923.840869912132</t>
  </si>
  <si>
    <t>-545.810248755235 116.752553168915 -780.811128710608</t>
  </si>
  <si>
    <t>-539.431590495207 261.539022672883 -755.945802701275</t>
  </si>
  <si>
    <t>-609.121956843036 325.172209884634 -453.819585549765</t>
  </si>
  <si>
    <t>-405.87465984122 252.310780986922 -308.823606118263</t>
  </si>
  <si>
    <t>-542.826031128028 53.2513774530651 -779.364223462874</t>
  </si>
  <si>
    <t>-629.795658687663 164.85394067353 -234.490283398071</t>
  </si>
  <si>
    <t>-661.050891206706 228.666837550409 215.630436207082</t>
  </si>
  <si>
    <t>-712.161630308576 280.876265721767 679.694858534969</t>
  </si>
  <si>
    <t>-574.191291147161 362.074138465849 752.596246574666</t>
  </si>
  <si>
    <t>-581.039573277953 -75.8153781104045 202.434468427284</t>
  </si>
  <si>
    <t>-617.134253338902 -116.561869354338 669.244000604378</t>
  </si>
  <si>
    <t>-472.281098599807 -182.885010510709 743.824954132125</t>
  </si>
  <si>
    <t>9763-20170724T170042.864707200.bin</t>
  </si>
  <si>
    <t>-616.558397028491 70.8316719411851 -242.92490667833</t>
  </si>
  <si>
    <t>-622.92392542991 79.7989946450937 -363.535332676738</t>
  </si>
  <si>
    <t>-611.205132481094 84.7461068045529 -484.070576575613</t>
  </si>
  <si>
    <t>-593.290762094926 87.3927099452449 -592.084111050323</t>
  </si>
  <si>
    <t>-568.259355357105 88.081629404591 -698.704076911342</t>
  </si>
  <si>
    <t>-526.155875024006 86.8925404221093 -845.079982918974</t>
  </si>
  <si>
    <t>-461.740157194682 88.4765940624156 -924.01716004515</t>
  </si>
  <si>
    <t>-546.204463188157 119.173968853627 -780.979258043688</t>
  </si>
  <si>
    <t>-539.286771158949 263.918606600559 -755.969367244359</t>
  </si>
  <si>
    <t>-606.309203290492 327.492747107734 -453.227870498758</t>
  </si>
  <si>
    <t>-401.759224477867 253.965646084692 -310.416312935593</t>
  </si>
  <si>
    <t>-543.366245777878 55.6635365514167 -779.647007110955</t>
  </si>
  <si>
    <t>-630.173961835935 167.308525989374 -234.797904254898</t>
  </si>
  <si>
    <t>-661.791822752227 229.597218762013 215.511004740977</t>
  </si>
  <si>
    <t>-712.165502827264 280.864477276193 679.767444879322</t>
  </si>
  <si>
    <t>-574.123944556435 361.985582352847 752.619481496077</t>
  </si>
  <si>
    <t>-581.115649668557 -74.5062793603311 202.181882669103</t>
  </si>
  <si>
    <t>-617.107066122905 -116.588650205303 668.868570055775</t>
  </si>
  <si>
    <t>-472.246204099639 -182.838198062042 743.499938323075</t>
  </si>
  <si>
    <t>9763-20170724T170042.897813400.bin</t>
  </si>
  <si>
    <t>-616.90594288777 72.0461794018527 -243.062881993295</t>
  </si>
  <si>
    <t>-623.307187304351 80.957790062788 -363.675587178135</t>
  </si>
  <si>
    <t>-611.6247258153 85.9191621161074 -484.213819478319</t>
  </si>
  <si>
    <t>-593.741963615528 88.6084569471827 -592.231568023553</t>
  </si>
  <si>
    <t>-568.739704671607 89.3715048752169 -698.857823179993</t>
  </si>
  <si>
    <t>-526.673276232621 88.3188729927392 -845.245295851804</t>
  </si>
  <si>
    <t>-462.257164079713 89.9498723124707 -924.181311362181</t>
  </si>
  <si>
    <t>-546.697229088337 120.54077318684 -781.107202050833</t>
  </si>
  <si>
    <t>-539.650279601068 265.226270365864 -755.905627308357</t>
  </si>
  <si>
    <t>-604.337875675539 328.754537560997 -452.646885422342</t>
  </si>
  <si>
    <t>-399.384409846221 254.714769290019 -310.681183165407</t>
  </si>
  <si>
    <t>-543.875562233465 57.02840953798 -779.83957039112</t>
  </si>
  <si>
    <t>-630.386279966444 168.619556998833 -234.980715092646</t>
  </si>
  <si>
    <t>-662.227108843743 230.112920829088 215.421745059292</t>
  </si>
  <si>
    <t>-712.205368469906 280.928593215577 679.781934411245</t>
  </si>
  <si>
    <t>-574.108088347778 361.961288929462 752.626624185843</t>
  </si>
  <si>
    <t>-580.937178793456 -73.7844419127696 202.03223930715</t>
  </si>
  <si>
    <t>-617.07027011885 -116.546514594515 668.674614541224</t>
  </si>
  <si>
    <t>-472.202563415197 -182.761894443014 743.322965606382</t>
  </si>
  <si>
    <t>9763-20170724T170042.963990800.bin</t>
  </si>
  <si>
    <t>-617.751602724504 74.3605313560022 -243.370725463092</t>
  </si>
  <si>
    <t>-624.404232284957 83.1306895757843 -363.98011268657</t>
  </si>
  <si>
    <t>-612.917045201829 88.1041595248071 -484.536619726681</t>
  </si>
  <si>
    <t>-595.185118216826 90.8658348646854 -592.577377995075</t>
  </si>
  <si>
    <t>-570.306763980569 91.7620732353237 -699.231634202275</t>
  </si>
  <si>
    <t>-528.383280264463 90.9575313147461 -845.661587867272</t>
  </si>
  <si>
    <t>-464.002114126077 92.6652078247582 -924.624523085807</t>
  </si>
  <si>
    <t>-548.312082501976 123.072300543215 -781.440265105348</t>
  </si>
  <si>
    <t>-540.718227558668 267.677075959584 -755.773214420738</t>
  </si>
  <si>
    <t>-600.201621292302 331.1564835103 -451.440693530642</t>
  </si>
  <si>
    <t>-395.152669776067 255.614740665767 -310.40713678604</t>
  </si>
  <si>
    <t>-545.55415597119 59.5546761073203 -780.301622519196</t>
  </si>
  <si>
    <t>-631.041267105428 171.306803234593 -235.404329589471</t>
  </si>
  <si>
    <t>-663.203451071104 231.245987160028 215.184754268792</t>
  </si>
  <si>
    <t>-712.330163736289 281.123987231199 679.749872511739</t>
  </si>
  <si>
    <t>-574.084053088451 361.883183960822 752.616024657275</t>
  </si>
  <si>
    <t>-580.732277254465 -72.2026573426651 201.7138174333</t>
  </si>
  <si>
    <t>-617.000127911361 -116.466699579637 668.265520594437</t>
  </si>
  <si>
    <t>-472.234685484832 -182.851876938537 742.961554852051</t>
  </si>
  <si>
    <t>9763-20170724T170042.999198500.bin</t>
  </si>
  <si>
    <t>-618.218462552866 75.4160506926605 -243.516533952194</t>
  </si>
  <si>
    <t>-624.979229201904 84.1055079880716 -364.125670662414</t>
  </si>
  <si>
    <t>-613.60279677394 89.0714942640539 -484.692908887677</t>
  </si>
  <si>
    <t>-595.971032691109 91.8531190044268 -592.749592304556</t>
  </si>
  <si>
    <t>-571.192225488897 92.7946316552184 -699.426522474315</t>
  </si>
  <si>
    <t>-529.406146806397 92.0771850057311 -845.896442279066</t>
  </si>
  <si>
    <t>-465.074551908538 93.8214371484366 -924.898858029928</t>
  </si>
  <si>
    <t>-549.241665425737 124.155337291293 -781.627757445902</t>
  </si>
  <si>
    <t>-541.245827057911 268.704385940352 -755.774848261735</t>
  </si>
  <si>
    <t>-598.63890201174 332.00758407484 -451.004625725567</t>
  </si>
  <si>
    <t>-393.437046632498 255.751691255804 -310.579169407599</t>
  </si>
  <si>
    <t>-546.548697042864 60.6338955463625 -780.548453357418</t>
  </si>
  <si>
    <t>-631.448667795439 172.465637549313 -235.605565236816</t>
  </si>
  <si>
    <t>-663.65162444402 231.699381754277 215.073884999818</t>
  </si>
  <si>
    <t>-712.340419530186 281.138172177692 679.740728638165</t>
  </si>
  <si>
    <t>-574.065353503717 361.843153028979 752.612096968269</t>
  </si>
  <si>
    <t>-580.733205958335 -71.5244931775676 201.559168601307</t>
  </si>
  <si>
    <t>-616.959369772263 -116.425115279861 668.065247034294</t>
  </si>
  <si>
    <t>-472.40946767513 -183.235338060386 742.799612445722</t>
  </si>
  <si>
    <t>9763-20170724T170043.067376300.bin</t>
  </si>
  <si>
    <t>-618.904123008206 77.4351119971386 -243.805043232776</t>
  </si>
  <si>
    <t>-625.752931628724 85.9747372288412 -364.42003046656</t>
  </si>
  <si>
    <t>-614.537736376502 90.8647060137525 -485.005559135252</t>
  </si>
  <si>
    <t>-597.079380563323 93.6056272567446 -593.091355198362</t>
  </si>
  <si>
    <t>-572.50033634675 94.5330344266622 -699.8147205184</t>
  </si>
  <si>
    <t>-531.017743054646 93.8230015514566 -846.37073989368</t>
  </si>
  <si>
    <t>-466.858106462904 95.5383239340583 -925.513546871301</t>
  </si>
  <si>
    <t>-550.655663848773 125.90088297949 -782.041386825079</t>
  </si>
  <si>
    <t>-542.135444629176 270.416167461377 -756.167856027968</t>
  </si>
  <si>
    <t>-596.225404745717 333.3009466238 -450.707682997383</t>
  </si>
  <si>
    <t>-391.226288856531 255.262338661498 -310.967153027404</t>
  </si>
  <si>
    <t>-548.089299774644 62.3735266112772 -781.007120029835</t>
  </si>
  <si>
    <t>-632.005537472386 174.645239894711 -235.975680461454</t>
  </si>
  <si>
    <t>-664.448747316844 232.566087260474 214.857172006228</t>
  </si>
  <si>
    <t>-712.35665543958 281.132712134067 679.738733630962</t>
  </si>
  <si>
    <t>-574.025651487517 361.754080732736 752.596530948155</t>
  </si>
  <si>
    <t>-580.507188892365 -70.195013772229 201.278485140713</t>
  </si>
  <si>
    <t>-616.88262110538 -116.328363272796 667.678746101274</t>
  </si>
  <si>
    <t>-472.376302498164 -183.173375337819 742.466326345772</t>
  </si>
  <si>
    <t>9763-20170724T170043.099276200.bin</t>
  </si>
  <si>
    <t>-619.137074611743 78.3231069904889 -243.892134300499</t>
  </si>
  <si>
    <t>-625.945354152173 86.767698988597 -364.516114423813</t>
  </si>
  <si>
    <t>-614.779247033441 91.581900968773 -485.109318863282</t>
  </si>
  <si>
    <t>-597.400787655743 94.2615603649408 -593.209521327461</t>
  </si>
  <si>
    <t>-572.936163836213 95.1348123260693 -699.959577930829</t>
  </si>
  <si>
    <t>-531.647499462886 94.3564478459157 -846.570076120772</t>
  </si>
  <si>
    <t>-467.600703159113 96.0102446133292 -925.805427492598</t>
  </si>
  <si>
    <t>-551.162412988599 126.466046090407 -782.218915653433</t>
  </si>
  <si>
    <t>-542.44766977658 270.967220951874 -756.369920371238</t>
  </si>
  <si>
    <t>-595.302397093405 333.929147972658 -450.709330836801</t>
  </si>
  <si>
    <t>-390.655060896985 255.105639266905 -310.89372898054</t>
  </si>
  <si>
    <t>-548.670461277527 62.9357441079906 -781.17989971718</t>
  </si>
  <si>
    <t>-632.247233435693 175.548982970394 -236.117893037101</t>
  </si>
  <si>
    <t>-664.618839679206 232.935733851001 214.788419193381</t>
  </si>
  <si>
    <t>-712.303613692043 281.000601866342 679.78828288211</t>
  </si>
  <si>
    <t>-573.984970048141 361.694784919036 752.588798475853</t>
  </si>
  <si>
    <t>-580.272817636907 -69.6360642831507 201.198370025587</t>
  </si>
  <si>
    <t>-616.847400317636 -116.269137893981 667.512369733538</t>
  </si>
  <si>
    <t>-472.286228761788 -182.976034309923 742.317242177892</t>
  </si>
  <si>
    <t>9763-20170724T170043.162444300.bin</t>
  </si>
  <si>
    <t>-619.347016714435 79.6992850279291 -243.943807625425</t>
  </si>
  <si>
    <t>-626.229553135168 87.944859960962 -364.577439946064</t>
  </si>
  <si>
    <t>-615.197669650641 92.6090431562684 -485.188805301201</t>
  </si>
  <si>
    <t>-597.963260241073 95.1724377580495 -593.314980203482</t>
  </si>
  <si>
    <t>-573.664219770479 95.9487687196338 -700.103558061648</t>
  </si>
  <si>
    <t>-532.626859541741 95.0553273391145 -846.783960614077</t>
  </si>
  <si>
    <t>-468.759255077877 96.5577613311773 -926.166846993634</t>
  </si>
  <si>
    <t>-551.953518682699 127.218785451209 -782.402816900349</t>
  </si>
  <si>
    <t>-542.53822846941 271.695411741751 -756.658218565392</t>
  </si>
  <si>
    <t>-594.015836916804 334.307519057138 -450.690947701915</t>
  </si>
  <si>
    <t>-390.140791900353 254.038117334462 -310.570166496428</t>
  </si>
  <si>
    <t>-549.61571375859 63.6825458268218 -781.361690814881</t>
  </si>
  <si>
    <t>-632.382127391003 177.01540803924 -236.288509061806</t>
  </si>
  <si>
    <t>-664.388240875743 233.318994727252 214.780413205666</t>
  </si>
  <si>
    <t>-711.965420369563 280.390758458293 679.97839727369</t>
  </si>
  <si>
    <t>-573.822292155607 361.569034243666 752.573549663029</t>
  </si>
  <si>
    <t>-579.569900160727 -68.766636611668 201.15569931954</t>
  </si>
  <si>
    <t>-616.827922693569 -116.22221144858 667.281194251086</t>
  </si>
  <si>
    <t>-472.432006771629 -183.248991618684 742.119317553214</t>
  </si>
  <si>
    <t>9763-20170724T170043.194531400.bin</t>
  </si>
  <si>
    <t>-619.344365218588 80.4203354794702 -243.971155018689</t>
  </si>
  <si>
    <t>-626.430523895762 88.5472434572735 -364.601128771245</t>
  </si>
  <si>
    <t>-615.579493745665 93.1427135635072 -485.231499260768</t>
  </si>
  <si>
    <t>-598.497772713233 95.6632283461083 -593.382814800816</t>
  </si>
  <si>
    <t>-574.340092473846 96.4149739437019 -700.203606977348</t>
  </si>
  <si>
    <t>-533.486985855125 95.5057565494637 -846.935344356405</t>
  </si>
  <si>
    <t>-469.710646129841 96.9358494260198 -926.393060010431</t>
  </si>
  <si>
    <t>-552.691447162136 127.677806926032 -782.52214812742</t>
  </si>
  <si>
    <t>-542.89009785072 272.132324351391 -756.801740594509</t>
  </si>
  <si>
    <t>-593.748723241225 334.114949438949 -450.602966948092</t>
  </si>
  <si>
    <t>-389.770852960621 253.681038266894 -310.726247172676</t>
  </si>
  <si>
    <t>-550.434988177226 64.1383302737886 -781.500215380029</t>
  </si>
  <si>
    <t>-632.317336597839 177.902570743616 -236.388427291878</t>
  </si>
  <si>
    <t>-664.320432742714 233.607688904429 214.754990428032</t>
  </si>
  <si>
    <t>-711.931823083391 280.352248959747 679.957866058021</t>
  </si>
  <si>
    <t>-573.774665098095 361.510048539469 752.549503918922</t>
  </si>
  <si>
    <t>-579.046436117385 -68.2476443110406 201.157116449031</t>
  </si>
  <si>
    <t>-616.793597008081 -116.176973239483 667.19168365992</t>
  </si>
  <si>
    <t>-472.546576341262 -183.48542106311 742.06413046716</t>
  </si>
  <si>
    <t>9763-20170724T170043.265723800.bin</t>
  </si>
  <si>
    <t>-619.359519608496 81.7549944229957 -244.057455889857</t>
  </si>
  <si>
    <t>-626.759657457293 89.7257600627574 -364.678877892327</t>
  </si>
  <si>
    <t>-616.130260852343 94.3029118560448 -485.329647157319</t>
  </si>
  <si>
    <t>-599.20918667946 96.8598207760911 -593.505439056144</t>
  </si>
  <si>
    <t>-575.171637561536 97.699661817325 -700.352774548868</t>
  </si>
  <si>
    <t>-534.442921049957 96.9652071993285 -847.119986491403</t>
  </si>
  <si>
    <t>-470.785020869689 98.363992922292 -926.673110029035</t>
  </si>
  <si>
    <t>-553.544811588526 129.062400084399 -782.638903642183</t>
  </si>
  <si>
    <t>-543.156137367752 273.468489420442 -756.861717598573</t>
  </si>
  <si>
    <t>-592.775486978057 333.594733314345 -450.089854222743</t>
  </si>
  <si>
    <t>-386.791258501566 254.725875288399 -312.277568328411</t>
  </si>
  <si>
    <t>-551.383410346703 65.5180530249652 -781.721049864167</t>
  </si>
  <si>
    <t>-632.178072302273 179.521312186301 -236.590424275421</t>
  </si>
  <si>
    <t>-664.29153170479 234.38012423853 214.648802715168</t>
  </si>
  <si>
    <t>-711.932426492404 280.375210263705 679.90904977613</t>
  </si>
  <si>
    <t>-573.762117593233 361.471536400494 752.54390994988</t>
  </si>
  <si>
    <t>-577.805794123386 -67.146999330859 201.105773160813</t>
  </si>
  <si>
    <t>-616.662055959679 -115.975450158925 667.000003195189</t>
  </si>
  <si>
    <t>-472.440268247282 -183.266491242516 741.936635696338</t>
  </si>
  <si>
    <t>9763-20170724T170043.296384500.bin</t>
  </si>
  <si>
    <t>-619.429437347019 82.3317520532935 -244.111123035337</t>
  </si>
  <si>
    <t>-627.025865475896 90.2049596529475 -364.726725634508</t>
  </si>
  <si>
    <t>-616.539622435626 94.7732510508902 -485.390481450087</t>
  </si>
  <si>
    <t>-599.724798100704 97.3568684663774 -593.582028628033</t>
  </si>
  <si>
    <t>-575.769651123276 98.2576738947489 -700.44739986519</t>
  </si>
  <si>
    <t>-535.130295855539 97.6427604263624 -847.239943429758</t>
  </si>
  <si>
    <t>-471.570062862796 99.0466517549071 -926.871029343613</t>
  </si>
  <si>
    <t>-554.203347168307 129.687033362673 -782.723999133906</t>
  </si>
  <si>
    <t>-543.748487408203 274.077876740587 -756.905134915851</t>
  </si>
  <si>
    <t>-592.374358168893 333.377713976901 -449.813401911737</t>
  </si>
  <si>
    <t>-384.917986155878 256.225296801704 -313.243205723973</t>
  </si>
  <si>
    <t>-552.020544839486 66.1426294006149 -781.853442795339</t>
  </si>
  <si>
    <t>-632.288306962379 180.181462612215 -236.70348758727</t>
  </si>
  <si>
    <t>-664.383032863128 234.710815608487 214.577093992738</t>
  </si>
  <si>
    <t>-711.941239276037 280.411570769423 679.870677916764</t>
  </si>
  <si>
    <t>-573.733351321169 361.409352379914 752.544329289194</t>
  </si>
  <si>
    <t>-577.200279240887 -66.7175997574673 201.07437674193</t>
  </si>
  <si>
    <t>-616.63001902978 -115.923882781218 666.891701443566</t>
  </si>
  <si>
    <t>-472.530245613592 -183.434221954678 741.865842644336</t>
  </si>
  <si>
    <t>9763-20170724T170043.364564400.bin</t>
  </si>
  <si>
    <t>-619.452971603301 83.0645748066509 -244.288247828032</t>
  </si>
  <si>
    <t>-627.393350697909 90.86183129613 -364.886556721543</t>
  </si>
  <si>
    <t>-617.198126696735 95.438083731183 -485.574915225172</t>
  </si>
  <si>
    <t>-600.621691821365 98.0646459793759 -593.802310811835</t>
  </si>
  <si>
    <t>-576.878897946379 99.0439140444023 -700.714226525082</t>
  </si>
  <si>
    <t>-536.506326120126 98.5760705050855 -847.581066975534</t>
  </si>
  <si>
    <t>-473.554762939104 100.002833233419 -927.693851724671</t>
  </si>
  <si>
    <t>-555.55202675252 130.552107326818 -783.023237535613</t>
  </si>
  <si>
    <t>-545.177853207353 274.966198691044 -757.236820925017</t>
  </si>
  <si>
    <t>-591.344542293781 335.658150467593 -450.037745453492</t>
  </si>
  <si>
    <t>-381.58246621033 259.452024402635 -316.491591393763</t>
  </si>
  <si>
    <t>-553.187882498685 67.0140575368619 -782.170902243905</t>
  </si>
  <si>
    <t>-632.517288960095 181.102457837059 -236.901852557812</t>
  </si>
  <si>
    <t>-664.704301336694 235.118613143237 214.433824361061</t>
  </si>
  <si>
    <t>-712.067238539894 280.673948532419 679.75288586633</t>
  </si>
  <si>
    <t>-573.743318908853 361.359315571371 752.553224232561</t>
  </si>
  <si>
    <t>-575.830111840564 -66.0454459097323 200.894996287888</t>
  </si>
  <si>
    <t>-616.502402620848 -115.695810789267 666.629110741466</t>
  </si>
  <si>
    <t>-472.324421890714 -182.96798404632 741.667013366683</t>
  </si>
  <si>
    <t>9763-20170724T170043.396152200.bin</t>
  </si>
  <si>
    <t>-619.388065046147 83.1230768437902 -244.376126806251</t>
  </si>
  <si>
    <t>-627.579825009651 90.8860948942388 -364.959806565922</t>
  </si>
  <si>
    <t>-617.512704807186 95.4558531593291 -485.6591694567</t>
  </si>
  <si>
    <t>-601.001724846677 98.0866296241181 -593.89647669949</t>
  </si>
  <si>
    <t>-577.274416809268 99.0795692531401 -700.811850486995</t>
  </si>
  <si>
    <t>-536.872296440462 98.6398224660409 -847.670390485408</t>
  </si>
  <si>
    <t>-474.78069918334 100.049967394833 -928.451962989519</t>
  </si>
  <si>
    <t>-555.990369371102 130.601062066997 -783.126654126335</t>
  </si>
  <si>
    <t>-545.829409726707 275.062744069872 -757.522474614371</t>
  </si>
  <si>
    <t>-591.047581065506 336.453656849775 -450.321067984863</t>
  </si>
  <si>
    <t>-380.360048857539 260.963616491446 -317.829428556934</t>
  </si>
  <si>
    <t>-553.507558057092 67.0678928872333 -782.253415183499</t>
  </si>
  <si>
    <t>-632.592315115608 181.253425161736 -237.004204584142</t>
  </si>
  <si>
    <t>-664.977409604621 235.339841628323 214.308882371058</t>
  </si>
  <si>
    <t>-712.185302671308 280.918244008652 679.641183757414</t>
  </si>
  <si>
    <t>-573.760434430323 361.339457137492 752.541787328836</t>
  </si>
  <si>
    <t>-574.587344096541 -65.8897538136591 200.787718076116</t>
  </si>
  <si>
    <t>-616.425439483058 -115.548004053729 666.459556232985</t>
  </si>
  <si>
    <t>-472.37855221141 -183.063206200828 741.530931063135</t>
  </si>
  <si>
    <t>9763-20170724T170043.465337800.bin</t>
  </si>
  <si>
    <t>-618.73020807055 82.4781621990664 -244.609038770873</t>
  </si>
  <si>
    <t>-627.675449550746 90.2116657893148 -365.141111093122</t>
  </si>
  <si>
    <t>-618.085871571639 94.7263896977943 -485.88133528379</t>
  </si>
  <si>
    <t>-601.893267680581 97.2950469331183 -594.168313601396</t>
  </si>
  <si>
    <t>-578.372241085115 98.2110647613827 -701.129827457154</t>
  </si>
  <si>
    <t>-538.142189724269 97.6478985268323 -848.035300967888</t>
  </si>
  <si>
    <t>-478.868993485084 98.9605191308235 -930.908551669341</t>
  </si>
  <si>
    <t>-557.35319566962 129.655683327095 -783.542235830619</t>
  </si>
  <si>
    <t>-547.722892502244 274.256943560827 -758.600904529722</t>
  </si>
  <si>
    <t>-591.577139325613 337.699404811008 -451.618809878944</t>
  </si>
  <si>
    <t>-381.216823410577 262.52441099548 -318.429683063403</t>
  </si>
  <si>
    <t>-554.532225540928 66.1386101518262 -782.526280224205</t>
  </si>
  <si>
    <t>-632.412030856133 180.982095752483 -237.184280894777</t>
  </si>
  <si>
    <t>-664.903317070438 235.534702817498 214.065115860349</t>
  </si>
  <si>
    <t>-712.343142466038 281.370894264053 679.359519460692</t>
  </si>
  <si>
    <t>-573.880418628113 361.465118032409 752.547788006312</t>
  </si>
  <si>
    <t>-571.134113723528 -65.5197240645352 200.501506342475</t>
  </si>
  <si>
    <t>-616.085492992149 -115.005890901079 666.028672217278</t>
  </si>
  <si>
    <t>-472.239330194358 -182.804706020316 741.229117309478</t>
  </si>
  <si>
    <t>9763-20170724T170043.499448500.bin</t>
  </si>
  <si>
    <t>-618.111468908113 81.5430597220709 -244.727813034661</t>
  </si>
  <si>
    <t>-627.218622001581 89.2915243964303 -365.246773402796</t>
  </si>
  <si>
    <t>-617.856555460534 93.7858133912064 -486.005673135988</t>
  </si>
  <si>
    <t>-601.895041120751 96.3204043768847 -594.327608015774</t>
  </si>
  <si>
    <t>-578.629496903698 97.1858208534502 -701.345425943976</t>
  </si>
  <si>
    <t>-538.779294643523 96.5336482878943 -848.354091650297</t>
  </si>
  <si>
    <t>-480.978665792871 97.8018122070321 -932.261603321004</t>
  </si>
  <si>
    <t>-557.920803493165 128.575558061309 -783.857201472415</t>
  </si>
  <si>
    <t>-548.296419013349 273.255193549776 -759.363782263173</t>
  </si>
  <si>
    <t>-591.853418910123 337.709264813138 -452.550069432651</t>
  </si>
  <si>
    <t>-382.584661016464 262.645864677263 -317.59030830349</t>
  </si>
  <si>
    <t>-554.902766914298 65.0689060047309 -782.757483476368</t>
  </si>
  <si>
    <t>-632.145910955871 180.189118299864 -237.267445679223</t>
  </si>
  <si>
    <t>-664.526122120529 235.275264712313 213.925152817773</t>
  </si>
  <si>
    <t>-712.374629885355 281.533028406111 679.190922915045</t>
  </si>
  <si>
    <t>-573.89391237466 361.459324728075 752.52853122762</t>
  </si>
  <si>
    <t>-569.772824537719 -65.5791935897676 200.364244162605</t>
  </si>
  <si>
    <t>-615.77733577963 -114.56300505295 665.841636422075</t>
  </si>
  <si>
    <t>-471.92472800833 -182.21727667029 741.159859756771</t>
  </si>
  <si>
    <t>9763-20170724T170043.565611800.bin</t>
  </si>
  <si>
    <t>-616.654399706134 78.1818658885968 -244.634482278529</t>
  </si>
  <si>
    <t>-626.056498151724 85.876747345573 -365.13425320878</t>
  </si>
  <si>
    <t>-617.255762543183 90.1693332784814 -485.942656413846</t>
  </si>
  <si>
    <t>-601.908293596975 92.4552133235309 -594.358878058747</t>
  </si>
  <si>
    <t>-579.361800980332 92.9997699490159 -701.532751898357</t>
  </si>
  <si>
    <t>-540.618523379354 91.8219837500387 -848.833725307159</t>
  </si>
  <si>
    <t>-485.152708896527 92.933209300737 -934.304656306035</t>
  </si>
  <si>
    <t>-559.462497313762 124.083815606142 -784.358831758746</t>
  </si>
  <si>
    <t>-549.835541399676 268.923030096136 -760.899629609327</t>
  </si>
  <si>
    <t>-592.768573809913 336.993465926675 -454.779784761789</t>
  </si>
  <si>
    <t>-385.676523901797 261.260646453618 -316.868582939902</t>
  </si>
  <si>
    <t>-556.059877960562 60.602600098267 -782.956235073852</t>
  </si>
  <si>
    <t>-631.418804394611 176.28047026725 -237.006281441771</t>
  </si>
  <si>
    <t>-663.267483409456 233.777149526909 213.923304400812</t>
  </si>
  <si>
    <t>-712.209581922257 281.280769073244 679.059984463695</t>
  </si>
  <si>
    <t>-573.937078750859 361.535636499629 752.431584786658</t>
  </si>
  <si>
    <t>-570.065636920054 -66.9052417273842 200.42639649807</t>
  </si>
  <si>
    <t>-615.392950072406 -113.701901977849 665.842837597041</t>
  </si>
  <si>
    <t>-470.859909564682 -180.027097193674 741.040388678023</t>
  </si>
  <si>
    <t>9763-20170724T170043.597321600.bin</t>
  </si>
  <si>
    <t>-615.998987010745 75.9527146860057 -244.509130394754</t>
  </si>
  <si>
    <t>-625.506219604749 83.6504867541341 -365.00053317832</t>
  </si>
  <si>
    <t>-616.979509083688 87.8562922662961 -485.83169785311</t>
  </si>
  <si>
    <t>-601.947851807396 90.0245727141628 -594.294615244933</t>
  </si>
  <si>
    <t>-579.784415328061 90.4094289381908 -701.548828260804</t>
  </si>
  <si>
    <t>-541.642787751428 88.9630000089385 -849.004392473205</t>
  </si>
  <si>
    <t>-487.04558253234 90.017768275392 -935.033484500404</t>
  </si>
  <si>
    <t>-560.342241226892 121.3349455228 -784.542612916012</t>
  </si>
  <si>
    <t>-550.701741208042 266.235815759557 -761.566416406673</t>
  </si>
  <si>
    <t>-592.791815077907 336.061848254531 -455.725004221334</t>
  </si>
  <si>
    <t>-385.902034011183 260.51061071983 -317.41139068846</t>
  </si>
  <si>
    <t>-556.696276840303 57.8711492746318 -782.977157842708</t>
  </si>
  <si>
    <t>-631.073426960371 173.555482565827 -236.723409148546</t>
  </si>
  <si>
    <t>-662.519737369109 232.863816232866 213.999623621583</t>
  </si>
  <si>
    <t>-712.062321999294 280.986569359624 679.022770203649</t>
  </si>
  <si>
    <t>-573.984866684019 361.634507144005 752.330631414754</t>
  </si>
  <si>
    <t>-571.6242028653 -67.998178417804 200.517312142412</t>
  </si>
  <si>
    <t>-615.332157017314 -113.321960920991 666.043185722604</t>
  </si>
  <si>
    <t>-470.269802007904 -178.759806687851 740.998617448447</t>
  </si>
  <si>
    <t>9763-20170724T170043.660489800.bin</t>
  </si>
  <si>
    <t>-614.067363319221 69.8850074539394 -244.204175389027</t>
  </si>
  <si>
    <t>-623.337250978965 77.8531485899746 -364.69654324592</t>
  </si>
  <si>
    <t>-615.157931912818 82.0593463025609 -485.551622218763</t>
  </si>
  <si>
    <t>-600.676869648384 84.1216257969356 -594.091435115784</t>
  </si>
  <si>
    <t>-579.297745759292 84.2928935961672 -701.505463466919</t>
  </si>
  <si>
    <t>-542.485492491104 82.4379262455334 -849.293749713912</t>
  </si>
  <si>
    <t>-489.299158025062 83.3740478930638 -936.203621324677</t>
  </si>
  <si>
    <t>-560.921741629571 114.966186577381 -784.834964302946</t>
  </si>
  <si>
    <t>-552.034630867435 260.023223677291 -762.526944975027</t>
  </si>
  <si>
    <t>-590.61710148102 330.495643171336 -456.371317859325</t>
  </si>
  <si>
    <t>-381.870045696695 257.466172989627 -319.501276904049</t>
  </si>
  <si>
    <t>-556.625775258123 51.5512477774232 -782.969023650869</t>
  </si>
  <si>
    <t>-629.874672104177 166.167019664108 -235.839806140661</t>
  </si>
  <si>
    <t>-660.341988868998 230.024956477784 214.328584345053</t>
  </si>
  <si>
    <t>-711.684061931904 280.175525239534 679.02249481779</t>
  </si>
  <si>
    <t>-574.056161359705 361.820053940266 752.072169131705</t>
  </si>
  <si>
    <t>-575.080762457461 -71.8696755620424 200.853441850772</t>
  </si>
  <si>
    <t>-615.455194588965 -112.952691681606 666.862253838818</t>
  </si>
  <si>
    <t>-469.348635762779 -176.728640811146 741.219563472</t>
  </si>
  <si>
    <t>9763-20170724T170043.699115800.bin</t>
  </si>
  <si>
    <t>-612.864435607758 65.5546177017118 -243.798142691949</t>
  </si>
  <si>
    <t>-621.979511332844 73.6329859912735 -364.294823333488</t>
  </si>
  <si>
    <t>-613.942864709255 77.8792690086639 -485.158113664226</t>
  </si>
  <si>
    <t>-599.710544134202 79.9514700327272 -593.730774348353</t>
  </si>
  <si>
    <t>-578.697990245663 80.106012787031 -701.216867988968</t>
  </si>
  <si>
    <t>-542.515561749438 78.2004219793866 -849.160173078297</t>
  </si>
  <si>
    <t>-489.887446546755 79.167557369884 -936.408920490743</t>
  </si>
  <si>
    <t>-560.856601623932 110.736834110525 -784.678278025706</t>
  </si>
  <si>
    <t>-552.692835629931 255.882747376308 -762.500734619074</t>
  </si>
  <si>
    <t>-588.729409504597 324.860415175656 -455.695279957194</t>
  </si>
  <si>
    <t>-378.356169281889 254.842328057642 -319.74450016181</t>
  </si>
  <si>
    <t>-556.193708669199 47.3504396002979 -782.721512817074</t>
  </si>
  <si>
    <t>-629.181757522817 160.871379121507 -235.123162236479</t>
  </si>
  <si>
    <t>-658.309569373184 228.537469618223 214.57740078566</t>
  </si>
  <si>
    <t>-711.44434901889 279.71419237047 679.011352883115</t>
  </si>
  <si>
    <t>-574.078774895597 361.916229961136 751.929215380634</t>
  </si>
  <si>
    <t>-576.212880598491 -74.7343280709533 201.295449374207</t>
  </si>
  <si>
    <t>-615.598327747896 -112.891422466171 667.479315147969</t>
  </si>
  <si>
    <t>-468.973686729781 -175.885665358497 741.482347879387</t>
  </si>
  <si>
    <t>9763-20170724T170043.769302500.bin</t>
  </si>
  <si>
    <t>-609.866765540015 54.2655878899438 -242.247873311483</t>
  </si>
  <si>
    <t>-618.76517692595 62.505593912414 -362.749839436414</t>
  </si>
  <si>
    <t>-610.917193604262 66.9141095493628 -483.619661446839</t>
  </si>
  <si>
    <t>-597.01804401821 69.1342825179518 -592.232554190287</t>
  </si>
  <si>
    <t>-576.49824478008 69.4358750376641 -699.813638621715</t>
  </si>
  <si>
    <t>-541.163397399826 67.732410428863 -847.964039131274</t>
  </si>
  <si>
    <t>-489.406098354211 68.9490175795202 -935.728977672242</t>
  </si>
  <si>
    <t>-559.524112237117 100.146656252997 -783.426302882857</t>
  </si>
  <si>
    <t>-553.322081624185 245.384502047928 -761.263584145943</t>
  </si>
  <si>
    <t>-585.517315625349 309.348458124703 -452.948437684894</t>
  </si>
  <si>
    <t>-371.782794001617 248.513357709568 -317.823612464755</t>
  </si>
  <si>
    <t>-554.071866442654 36.8254937718602 -781.397790438976</t>
  </si>
  <si>
    <t>-627.042287107098 147.949862417393 -233.04462891947</t>
  </si>
  <si>
    <t>-651.701797857883 225.007015472776 215.410205408639</t>
  </si>
  <si>
    <t>-710.67488398957 278.450802946358 679.01742325186</t>
  </si>
  <si>
    <t>-574.118887260338 362.234192386205 751.655829828194</t>
  </si>
  <si>
    <t>-577.293024613394 -81.770657169016 202.854883129935</t>
  </si>
  <si>
    <t>-615.835408276544 -112.882002049697 669.314978040331</t>
  </si>
  <si>
    <t>-468.383839224316 -174.700039863989 742.66395186051</t>
  </si>
  <si>
    <t>9763-20170724T170043.796387300.bin</t>
  </si>
  <si>
    <t>-608.072271747203 47.7714993591444 -241.143559061294</t>
  </si>
  <si>
    <t>-616.91182577991 56.0679426903894 -361.646027219374</t>
  </si>
  <si>
    <t>-609.110650667876 60.5753495939841 -482.515283796143</t>
  </si>
  <si>
    <t>-595.296506926328 62.8997281026302 -591.136791517559</t>
  </si>
  <si>
    <t>-574.903755745725 63.3174019804158 -698.741684058057</t>
  </si>
  <si>
    <t>-539.788644194515 61.7853026698353 -846.946137183971</t>
  </si>
  <si>
    <t>-488.315242642097 63.182716924458 -934.875156991794</t>
  </si>
  <si>
    <t>-558.25355111044 94.1055376961781 -782.39110234742</t>
  </si>
  <si>
    <t>-553.022730953717 239.397500629798 -760.249161395569</t>
  </si>
  <si>
    <t>-583.865651444054 301.77784624822 -451.471478146815</t>
  </si>
  <si>
    <t>-369.293038196095 244.526911681926 -316.109232138775</t>
  </si>
  <si>
    <t>-552.398529510696 30.8207509567499 -780.349572414989</t>
  </si>
  <si>
    <t>-625.702406148309 140.589210711819 -231.690251801285</t>
  </si>
  <si>
    <t>-647.221269186353 223.264818672807 215.92485865338</t>
  </si>
  <si>
    <t>-710.114120504789 277.741209050384 678.924355664415</t>
  </si>
  <si>
    <t>-574.10328245131 362.418832338481 751.548290005639</t>
  </si>
  <si>
    <t>-577.299625418371 -85.8028560162606 203.993615761145</t>
  </si>
  <si>
    <t>-615.878994383091 -112.820634237891 670.542366119028</t>
  </si>
  <si>
    <t>-467.885113929515 -173.715652420419 743.570593160356</t>
  </si>
  <si>
    <t>9763-20170724T170043.865657200.bin</t>
  </si>
  <si>
    <t>-604.500877321839 34.2005066734855 -238.111126544147</t>
  </si>
  <si>
    <t>-613.236430887611 42.6520341573589 -358.610384921658</t>
  </si>
  <si>
    <t>-605.33030293279 47.4215550132403 -479.462827735567</t>
  </si>
  <si>
    <t>-591.421560253953 50.0225030746874 -588.065802259876</t>
  </si>
  <si>
    <t>-570.934396938563 50.7511748738689 -695.651162830951</t>
  </si>
  <si>
    <t>-535.688285464542 49.6843119890609 -843.828665279294</t>
  </si>
  <si>
    <t>-484.395676626607 51.645435133458 -931.852488647605</t>
  </si>
  <si>
    <t>-554.642488721413 81.7556154315416 -779.291142572979</t>
  </si>
  <si>
    <t>-551.122569871307 227.093533899494 -757.242533727334</t>
  </si>
  <si>
    <t>-580.690808516606 287.957299290754 -448.03789175156</t>
  </si>
  <si>
    <t>-364.927528961404 237.233474786419 -311.966708637133</t>
  </si>
  <si>
    <t>-547.924697037756 18.5571548200078 -777.238248702765</t>
  </si>
  <si>
    <t>-622.853994612259 125.599895987815 -228.292295932063</t>
  </si>
  <si>
    <t>-636.073177304957 220.61380985719 217.190893448986</t>
  </si>
  <si>
    <t>-708.457620537863 275.87674239462 678.724777113137</t>
  </si>
  <si>
    <t>-573.911877559563 362.606257586132 751.65580937617</t>
  </si>
  <si>
    <t>-577.327410410616 -94.2081968922826 206.920876137904</t>
  </si>
  <si>
    <t>-615.959339009594 -112.944121355506 673.59932659851</t>
  </si>
  <si>
    <t>-466.80282981988 -171.649461455318 746.052996231599</t>
  </si>
  <si>
    <t>9763-20170724T170043.902264100.bin</t>
  </si>
  <si>
    <t>-603.111374434348 27.2419659628445 -236.13045301518</t>
  </si>
  <si>
    <t>-611.661791357932 35.8363028760955 -356.632824674011</t>
  </si>
  <si>
    <t>-603.524703805541 40.7712782922731 -477.463288356004</t>
  </si>
  <si>
    <t>-589.389678786013 43.5323816377099 -586.033239004442</t>
  </si>
  <si>
    <t>-568.659124660969 44.4314338988547 -693.570539580433</t>
  </si>
  <si>
    <t>-533.057200532312 43.6126386822582 -841.664631797041</t>
  </si>
  <si>
    <t>-481.683284626768 45.9068421237578 -929.633083091175</t>
  </si>
  <si>
    <t>-552.38080851886 75.5507370392147 -777.170695930828</t>
  </si>
  <si>
    <t>-549.814691693081 220.937759898391 -755.234131392862</t>
  </si>
  <si>
    <t>-578.705905467866 281.331334407354 -445.873424491463</t>
  </si>
  <si>
    <t>-362.245624255756 233.676779669075 -309.799624900205</t>
  </si>
  <si>
    <t>-545.239074358543 12.3991464029816 -775.104680744973</t>
  </si>
  <si>
    <t>-621.749429238815 117.972710640505 -226.067982608157</t>
  </si>
  <si>
    <t>-629.164024313894 220.138962699656 217.96441426543</t>
  </si>
  <si>
    <t>-707.560584113633 274.944895533175 678.566402046478</t>
  </si>
  <si>
    <t>-573.763776641976 362.422007296124 751.980966560974</t>
  </si>
  <si>
    <t>-577.534487003781 -98.5826257046806 208.798464210864</t>
  </si>
  <si>
    <t>-615.959007544572 -113.067417216554 675.476316646994</t>
  </si>
  <si>
    <t>-466.21088427826 -170.567229746528 747.675948604357</t>
  </si>
  <si>
    <t>9763-20170724T170043.963426900.bin</t>
  </si>
  <si>
    <t>-601.851012644661 15.3572250304651 -231.334761715559</t>
  </si>
  <si>
    <t>-609.835577146618 24.1315702881525 -351.863193868926</t>
  </si>
  <si>
    <t>-601.063895899727 29.2772536564128 -472.640336108151</t>
  </si>
  <si>
    <t>-586.327437635312 32.2579571909448 -581.12437876449</t>
  </si>
  <si>
    <t>-564.966417181458 33.4145414483407 -688.535925879002</t>
  </si>
  <si>
    <t>-528.456711416467 33.0016386268514 -836.410423646367</t>
  </si>
  <si>
    <t>-476.815452166043 35.9968986683039 -924.201044019596</t>
  </si>
  <si>
    <t>-548.613518632642 64.7068856796748 -772.056774921152</t>
  </si>
  <si>
    <t>-548.523419641718 210.096409664824 -750.245248828301</t>
  </si>
  <si>
    <t>-574.671826387016 270.534766278501 -440.649265060302</t>
  </si>
  <si>
    <t>-356.717525274592 228.563410566562 -305.089823177526</t>
  </si>
  <si>
    <t>-540.608761549517 1.66172658707001 -769.904265312493</t>
  </si>
  <si>
    <t>-620.930496600967 105.570290008164 -220.86290157975</t>
  </si>
  <si>
    <t>-612.949130454672 222.325103510866 219.548666370455</t>
  </si>
  <si>
    <t>-705.570442793295 272.802401928647 678.454481809473</t>
  </si>
  <si>
    <t>-573.435977376185 362.038908398894 752.7569487149</t>
  </si>
  <si>
    <t>-578.603311202406 -107.164600300768 213.462470853759</t>
  </si>
  <si>
    <t>-615.942598762655 -113.417954549215 680.03398339717</t>
  </si>
  <si>
    <t>-465.52333785931 -169.669324199155 751.820753016569</t>
  </si>
  <si>
    <t>9763-20170724T170043.997022500.bin</t>
  </si>
  <si>
    <t>-602.70457781817 10.9724901286265 -227.493606606626</t>
  </si>
  <si>
    <t>-610.766369975904 19.4268399134519 -348.039630105601</t>
  </si>
  <si>
    <t>-601.8183538616 24.429300600548 -468.809907410135</t>
  </si>
  <si>
    <t>-586.817291920766 27.3626886597574 -577.259033131588</t>
  </si>
  <si>
    <t>-565.085432552246 28.5592443853313 -684.595688365913</t>
  </si>
  <si>
    <t>-527.94900501385 28.2982180363169 -832.314353963782</t>
  </si>
  <si>
    <t>-476.069201747837 31.6366915741578 -919.951856443574</t>
  </si>
  <si>
    <t>-548.584134100995 59.9088234015273 -768.065694951042</t>
  </si>
  <si>
    <t>-549.695964529266 205.313929689601 -746.203753820706</t>
  </si>
  <si>
    <t>-574.089357040108 266.05157280057 -436.523185669384</t>
  </si>
  <si>
    <t>-355.481008509715 226.885339910031 -301.177502580506</t>
  </si>
  <si>
    <t>-622.535495107208 100.510229178813 -217.545251913729</t>
  </si>
  <si>
    <t>-604.54052862383 227.667712885872 219.678760024588</t>
  </si>
  <si>
    <t>-705.012110326912 272.952202060342 677.384322077988</t>
  </si>
  <si>
    <t>-575.21465732766 364.727534516232 752.706343069954</t>
  </si>
  <si>
    <t>-579.875470064643 -110.928599143866 217.951636718837</t>
  </si>
  <si>
    <t>-615.995602907485 -113.734361904782 684.936563839289</t>
  </si>
  <si>
    <t>-465.377471437933 -169.771882806748 756.47318555636</t>
  </si>
  <si>
    <t>9763-20170724T170044.065708400.bin</t>
  </si>
  <si>
    <t>-610.297422023242 14.6257910751247 -226.353836147482</t>
  </si>
  <si>
    <t>-618.793336217408 21.5925513430489 -346.965180193503</t>
  </si>
  <si>
    <t>-609.671738734593 25.7647058848627 -467.753997807471</t>
  </si>
  <si>
    <t>-594.261924540204 28.2262601219022 -576.157626283541</t>
  </si>
  <si>
    <t>-571.86769268675 29.2358774961651 -683.359892065469</t>
  </si>
  <si>
    <t>-533.546320329707 29.0169405852423 -830.775706112595</t>
  </si>
  <si>
    <t>-481.152186521448 32.8059656634907 -918.088342896664</t>
  </si>
  <si>
    <t>-555.064214157595 60.5545645058871 -766.781423016531</t>
  </si>
  <si>
    <t>-558.555489961279 205.989929844072 -745.141552306462</t>
  </si>
  <si>
    <t>-578.47792505811 268.22870947638 -435.439184243873</t>
  </si>
  <si>
    <t>-359.535849430555 232.829915498396 -299.59600259815</t>
  </si>
  <si>
    <t>-633.456925793207 110.622623837503 -218.784545231945</t>
  </si>
  <si>
    <t>-586.25168052661 245.26919058475 213.99687853039</t>
  </si>
  <si>
    <t>-698.487282766936 275.953139135077 668.57361703673</t>
  </si>
  <si>
    <t>-580.682698780866 381.515786028097 745.528986287213</t>
  </si>
  <si>
    <t>-585.339493932548 -110.706072162146 220.778809716165</t>
  </si>
  <si>
    <t>-615.640908260316 -115.145779998093 688.453701808921</t>
  </si>
  <si>
    <t>-464.608898511529 -168.342124229087 761.275425636187</t>
  </si>
  <si>
    <t>9763-20170724T170044.096796900.bin</t>
  </si>
  <si>
    <t>-612.21696433569 16.1782532236925 -226.765552319421</t>
  </si>
  <si>
    <t>-620.905828095932 22.4387202142727 -347.401845606904</t>
  </si>
  <si>
    <t>-611.663435194813 26.1447298966089 -468.196700053147</t>
  </si>
  <si>
    <t>-596.016399762291 28.288373468188 -576.573121603531</t>
  </si>
  <si>
    <t>-573.257654538296 29.086265970308 -683.700361251381</t>
  </si>
  <si>
    <t>-534.298374169677 28.6865218081882 -830.948458301026</t>
  </si>
  <si>
    <t>-481.656773438646 32.4553330958388 -918.112979027138</t>
  </si>
  <si>
    <t>-556.222677096764 60.2821302596874 -767.120873916674</t>
  </si>
  <si>
    <t>-560.539496699917 205.682592255995 -745.722668946898</t>
  </si>
  <si>
    <t>-578.558452710069 268.419797443349 -436.004168248428</t>
  </si>
  <si>
    <t>-359.795723733458 233.89113466148 -299.649116450611</t>
  </si>
  <si>
    <t>-636.314771981887 112.508895088379 -220.09115915981</t>
  </si>
  <si>
    <t>-574.908446116963 243.963685714116 211.888679653866</t>
  </si>
  <si>
    <t>-682.925323891611 263.279442230719 668.110459940117</t>
  </si>
  <si>
    <t>-569.180990991844 374.712764518468 742.865877698398</t>
  </si>
  <si>
    <t>-586.151560948315 -110.452379159242 221.242738124474</t>
  </si>
  <si>
    <t>-615.229185499266 -115.910078073851 689.557565645928</t>
  </si>
  <si>
    <t>-464.201925593205 -167.737316805964 763.369599491278</t>
  </si>
  <si>
    <t>9763-20170724T170044.162973300.bin</t>
  </si>
  <si>
    <t>-611.753157032407 21.0555620964406 -227.993063233257</t>
  </si>
  <si>
    <t>-620.021311723002 25.6380773524727 -348.73425610958</t>
  </si>
  <si>
    <t>-610.445204633317 28.1815336041041 -469.533283841356</t>
  </si>
  <si>
    <t>-594.526697616349 29.5013812677037 -577.883197055897</t>
  </si>
  <si>
    <t>-571.522365140745 29.712298144035 -684.960703544034</t>
  </si>
  <si>
    <t>-532.243654417739 28.7521784860078 -832.121366374565</t>
  </si>
  <si>
    <t>-479.351471909519 32.1418897372027 -919.149645113331</t>
  </si>
  <si>
    <t>-554.362311929112 60.5813482973124 -768.477186057334</t>
  </si>
  <si>
    <t>-559.263363707508 206.085779303775 -747.503767019236</t>
  </si>
  <si>
    <t>-574.079994210827 267.978117052036 -437.445605484506</t>
  </si>
  <si>
    <t>-355.783555934086 234.240795350624 -300.148385269749</t>
  </si>
  <si>
    <t>-634.887529575425 115.853968157202 -221.840430792756</t>
  </si>
  <si>
    <t>-561.182256108484 224.317437358407 214.577807031682</t>
  </si>
  <si>
    <t>-640.657201327328 232.945168900593 677.430069796486</t>
  </si>
  <si>
    <t>-511.402308118664 331.929366209606 744.054613326006</t>
  </si>
  <si>
    <t>-584.587604097089 -107.090339789528 221.644161714623</t>
  </si>
  <si>
    <t>-614.907810106751 -115.682253630719 690.399768934057</t>
  </si>
  <si>
    <t>-464.286167355123 -168.094694493009 764.626291585245</t>
  </si>
  <si>
    <t>9763-20170724T170044.196066000.bin</t>
  </si>
  <si>
    <t>-609.648160508443 24.8256936142175 -228.109842880991</t>
  </si>
  <si>
    <t>-617.858058647704 28.5945251583121 -348.883118574938</t>
  </si>
  <si>
    <t>-608.429316495858 30.549684860476 -469.704665712951</t>
  </si>
  <si>
    <t>-592.72184448832 31.4402243320806 -578.089873285582</t>
  </si>
  <si>
    <t>-570.00183558493 31.3313400671987 -685.228322418662</t>
  </si>
  <si>
    <t>-531.189854154328 30.0461081238568 -832.510135442289</t>
  </si>
  <si>
    <t>-478.43672327797 33.152342711398 -919.633421414764</t>
  </si>
  <si>
    <t>-553.041427593126 62.026365453014 -768.849530424664</t>
  </si>
  <si>
    <t>-557.461216298341 207.519737580252 -748.085948532771</t>
  </si>
  <si>
    <t>-571.571507084186 268.754955149484 -437.864517614621</t>
  </si>
  <si>
    <t>-353.483031330675 234.489535193642 -300.367776689464</t>
  </si>
  <si>
    <t>-630.969213857218 118.96757348591 -222.289349335915</t>
  </si>
  <si>
    <t>-560.879368052158 214.580997584233 217.714166917418</t>
  </si>
  <si>
    <t>-624.269374762657 226.858881372978 682.745073443803</t>
  </si>
  <si>
    <t>-481.665161125884 308.588737619662 745.417002604426</t>
  </si>
  <si>
    <t>-581.794502208157 -103.939427903192 221.959345189208</t>
  </si>
  <si>
    <t>-614.752522726092 -114.869111742367 690.506203510526</t>
  </si>
  <si>
    <t>-464.154503614579 -167.849306737664 764.376630125112</t>
  </si>
  <si>
    <t>9763-20170724T170044.232724100.bin</t>
  </si>
  <si>
    <t>-606.454034988627 29.3220324208894 -227.949036424317</t>
  </si>
  <si>
    <t>-615.60327814271 32.523359791119 -348.671236525348</t>
  </si>
  <si>
    <t>-606.823557739464 34.0446479045725 -469.547972631756</t>
  </si>
  <si>
    <t>-591.580021457036 34.6038794359763 -578.001494501385</t>
  </si>
  <si>
    <t>-569.200057471563 34.2299360210777 -685.210905371078</t>
  </si>
  <si>
    <t>-530.731874769655 32.6485679773809 -832.580140031534</t>
  </si>
  <si>
    <t>-478.162444905813 35.4710282590838 -919.823867847736</t>
  </si>
  <si>
    <t>-552.323409594727 64.774605974211 -768.904078568555</t>
  </si>
  <si>
    <t>-555.967061103109 210.381251923091 -748.164517401869</t>
  </si>
  <si>
    <t>-569.392663284183 271.062856988087 -437.803946559492</t>
  </si>
  <si>
    <t>-351.57107756349 235.342742799285 -300.254547946329</t>
  </si>
  <si>
    <t>-543.182283727684 1.92180888162352 -765.843570348051</t>
  </si>
  <si>
    <t>-626.455636205188 124.190807702792 -223.058168618915</t>
  </si>
  <si>
    <t>-560.360921992688 208.666326304918 219.833521453808</t>
  </si>
  <si>
    <t>-617.69601626024 231.781653351326 685.16121408941</t>
  </si>
  <si>
    <t>-464.130844988555 290.654504550626 747.573043027482</t>
  </si>
  <si>
    <t>-578.20468517886 -100.221981341663 222.364448209639</t>
  </si>
  <si>
    <t>-614.634355115836 -114.039950038822 690.502435573332</t>
  </si>
  <si>
    <t>-464.193308928847 -168.061888770387 763.937008264427</t>
  </si>
  <si>
    <t>9763-20170724T170044.361574900.bin</t>
  </si>
  <si>
    <t>-602.876627461869 34.1230068395689 -228.086471939338</t>
  </si>
  <si>
    <t>-613.462729180075 36.8672282838177 -348.702404101684</t>
  </si>
  <si>
    <t>-605.61249604615 37.9790846102667 -469.647484797718</t>
  </si>
  <si>
    <t>-590.998116730337 38.1921232687243 -578.188720212908</t>
  </si>
  <si>
    <t>-569.036898530886 37.4997780108629 -685.483123414588</t>
  </si>
  <si>
    <t>-530.933649592322 35.5084089105269 -832.942248383452</t>
  </si>
  <si>
    <t>-478.480952623534 37.9320350192779 -920.268195232115</t>
  </si>
  <si>
    <t>-552.20184921648 67.837289410505 -769.260077734461</t>
  </si>
  <si>
    <t>-555.359147009027 213.426563920158 -748.595367309512</t>
  </si>
  <si>
    <t>-567.644022228161 274.124648921676 -438.190875787128</t>
  </si>
  <si>
    <t>-350.342327800687 236.802194873969 -300.244897155386</t>
  </si>
  <si>
    <t>-543.38445409606 4.94165566261586 -766.132230300671</t>
  </si>
  <si>
    <t>-622.630539848641 129.69960931166 -224.670546072742</t>
  </si>
  <si>
    <t>-554.833147691461 204.854222487203 219.641243499031</t>
  </si>
  <si>
    <t>-613.273978322011 237.21072627855 684.669080405733</t>
  </si>
  <si>
    <t>-455.54811838629 279.843538742203 749.84972296916</t>
  </si>
  <si>
    <t>-573.881983921731 -96.262546118412 222.612616002369</t>
  </si>
  <si>
    <t>-614.403422753582 -113.130613876933 690.453611059459</t>
  </si>
  <si>
    <t>-464.226252701417 -168.372791540134 763.51948588742</t>
  </si>
  <si>
    <t>9763-20170724T170044.394664500.bin</t>
  </si>
  <si>
    <t>-588.845757692543 55.6065155837027 -232.295509350902</t>
  </si>
  <si>
    <t>-602.154908256735 56.9627156078031 -352.664990680518</t>
  </si>
  <si>
    <t>-596.783736086309 56.8779302976222 -473.750570252872</t>
  </si>
  <si>
    <t>-584.288253442137 56.1131737834312 -582.553719543762</t>
  </si>
  <si>
    <t>-564.314153187885 54.5698664693102 -690.226845347449</t>
  </si>
  <si>
    <t>-528.827682634542 51.54469602157 -838.319977264313</t>
  </si>
  <si>
    <t>-477.744690745247 52.4935909208368 -926.482330270821</t>
  </si>
  <si>
    <t>-547.8756873592 84.4674245414112 -774.240425144268</t>
  </si>
  <si>
    <t>-545.547151554089 230.017825699703 -753.384149509186</t>
  </si>
  <si>
    <t>-555.857213293113 291.394965935322 -443.041170411289</t>
  </si>
  <si>
    <t>-341.047276713719 243.557965605503 -304.439634002215</t>
  </si>
  <si>
    <t>-541.183014766051 21.2991354106368 -771.346295005065</t>
  </si>
  <si>
    <t>-603.937242426216 153.768953892364 -231.36952091054</t>
  </si>
  <si>
    <t>-560.951438398072 207.932108488214 219.048395153714</t>
  </si>
  <si>
    <t>-606.643137621351 237.175814133321 684.029111071448</t>
  </si>
  <si>
    <t>-448.369021081711 266.264903721092 755.068863859425</t>
  </si>
  <si>
    <t>-551.827761320235 -78.1944487549374 220.756154728418</t>
  </si>
  <si>
    <t>-613.160316852583 -111.022231782264 687.258379602519</t>
  </si>
  <si>
    <t>-465.217319243717 -171.88258187062 760.418482130819</t>
  </si>
  <si>
    <t>9763-20170724T170044.465390700.bin</t>
  </si>
  <si>
    <t>-584.782326127029 72.1901635043573 -237.207077773354</t>
  </si>
  <si>
    <t>-598.581103110991 72.0242452055427 -357.529073131384</t>
  </si>
  <si>
    <t>-593.857246023443 70.6800828633229 -478.634109710311</t>
  </si>
  <si>
    <t>-582.003379409653 68.8874410966462 -587.497021458527</t>
  </si>
  <si>
    <t>-562.722590430792 66.4320154269151 -695.279557586118</t>
  </si>
  <si>
    <t>-528.24896445941 62.2615927740378 -843.583881135174</t>
  </si>
  <si>
    <t>-477.625022106724 62.2126290600336 -932.015807483885</t>
  </si>
  <si>
    <t>-546.322564804977 95.737753894759 -779.508879861314</t>
  </si>
  <si>
    <t>-541.001507214494 241.310467783191 -759.354570017576</t>
  </si>
  <si>
    <t>-549.97454817523 304.358437943308 -449.305340178888</t>
  </si>
  <si>
    <t>-336.471160907901 249.468977341476 -311.299710107418</t>
  </si>
  <si>
    <t>-540.682348642221 32.4760371584598 -776.418690723179</t>
  </si>
  <si>
    <t>-599.68919335653 173.113137605812 -237.394081850184</t>
  </si>
  <si>
    <t>-568.374133691254 216.360769806815 215.161657932809</t>
  </si>
  <si>
    <t>-606.659966352526 241.403366883201 680.872760426241</t>
  </si>
  <si>
    <t>-448.498769295007 267.684233414695 753.245814561997</t>
  </si>
  <si>
    <t>-536.29864087283 -64.7004774688046 217.281347037408</t>
  </si>
  <si>
    <t>-611.833982458113 -109.249904623089 681.842898695294</t>
  </si>
  <si>
    <t>-465.963428320309 -174.176704822457 755.665675446669</t>
  </si>
  <si>
    <t>9763-20170724T170044.496978100.bin</t>
  </si>
  <si>
    <t>-583.22380696102 79.8870652134215 -238.468486598328</t>
  </si>
  <si>
    <t>-597.68927547142 78.9388375599474 -358.70856260056</t>
  </si>
  <si>
    <t>-593.431175871698 76.8221963991914 -479.819763778641</t>
  </si>
  <si>
    <t>-581.913182190307 74.3436269590293 -588.705266011309</t>
  </si>
  <si>
    <t>-562.882644679114 71.2208757875137 -696.515060381139</t>
  </si>
  <si>
    <t>-528.668122559945 66.1466669143695 -844.85131226249</t>
  </si>
  <si>
    <t>-478.173261414668 65.4596106295032 -933.35417591031</t>
  </si>
  <si>
    <t>-546.355693885573 100.039276313557 -780.887447930005</t>
  </si>
  <si>
    <t>-539.735671504851 245.636610800398 -761.344582581683</t>
  </si>
  <si>
    <t>-547.70270780688 310.65369407706 -451.674620381121</t>
  </si>
  <si>
    <t>-334.878818347426 251.644678448861 -314.321018631951</t>
  </si>
  <si>
    <t>-541.25830437877 36.7443127257584 -777.546679245122</t>
  </si>
  <si>
    <t>-597.747178897209 182.969212127021 -239.53105129962</t>
  </si>
  <si>
    <t>-571.872283030724 219.622080497037 213.94959783133</t>
  </si>
  <si>
    <t>-606.900972193204 242.219553542968 680.472468766951</t>
  </si>
  <si>
    <t>-448.524418518057 267.200961902665 752.834816728108</t>
  </si>
  <si>
    <t>-526.314347275294 -58.1221467862226 216.149671963873</t>
  </si>
  <si>
    <t>-611.066971895595 -108.296837909515 678.847646512476</t>
  </si>
  <si>
    <t>-466.364186439731 -175.280091303601 753.129946110737</t>
  </si>
  <si>
    <t>9763-20170724T170044.565086800.bin</t>
  </si>
  <si>
    <t>-581.483663968536 93.7181771036401 -239.406308180055</t>
  </si>
  <si>
    <t>-598.789278549544 90.550325150004 -359.232283013011</t>
  </si>
  <si>
    <t>-596.242420546394 86.5746254979999 -480.34509178385</t>
  </si>
  <si>
    <t>-585.798239719528 82.5773371910386 -589.293695223242</t>
  </si>
  <si>
    <t>-567.368511941626 78.1098499098512 -697.160241786563</t>
  </si>
  <si>
    <t>-533.500916017423 71.3571745359257 -845.509129601132</t>
  </si>
  <si>
    <t>-483.021019811641 69.338967797222 -934.000355721127</t>
  </si>
  <si>
    <t>-550.389084308443 106.026299025986 -781.745980916839</t>
  </si>
  <si>
    <t>-540.284214819649 251.574752051094 -763.190688961831</t>
  </si>
  <si>
    <t>-546.802258330491 320.263058052532 -454.280317098776</t>
  </si>
  <si>
    <t>-335.069630566992 253.718302764987 -318.695806282916</t>
  </si>
  <si>
    <t>-546.583540352476 42.6636131098121 -777.992974849289</t>
  </si>
  <si>
    <t>-595.568463063132 201.334746023838 -242.220085631158</t>
  </si>
  <si>
    <t>-580.524406043891 224.67948445104 212.62758870885</t>
  </si>
  <si>
    <t>-607.254808707627 243.722618822289 679.692303994838</t>
  </si>
  <si>
    <t>-448.411873044086 265.367323116164 752.107427513356</t>
  </si>
  <si>
    <t>-503.364909212244 -46.1297272765837 214.598592596692</t>
  </si>
  <si>
    <t>-609.024488267228 -106.168692363297 671.559934275618</t>
  </si>
  <si>
    <t>-467.546526622011 -177.274646738171 748.185270669397</t>
  </si>
  <si>
    <t>9763-20170724T170044.595698900.bin</t>
  </si>
  <si>
    <t>-580.663772568233 99.7157245380893 -240.003995207204</t>
  </si>
  <si>
    <t>-599.264020527785 95.3238861039617 -359.597116255864</t>
  </si>
  <si>
    <t>-597.476736004121 90.2921139090922 -480.684115898461</t>
  </si>
  <si>
    <t>-587.494595556951 85.4157110181789 -589.640198223674</t>
  </si>
  <si>
    <t>-569.302270318906 80.151261840502 -697.511371763384</t>
  </si>
  <si>
    <t>-535.533460805419 72.3806057298864 -845.832934030187</t>
  </si>
  <si>
    <t>-484.995666061836 69.5962228175667 -934.270336145978</t>
  </si>
  <si>
    <t>-552.014229367751 107.511786968829 -782.216015711379</t>
  </si>
  <si>
    <t>-540.127383891706 252.995995183924 -764.226030242197</t>
  </si>
  <si>
    <t>-544.973372380951 322.66607050345 -455.504837612496</t>
  </si>
  <si>
    <t>-334.008344013329 252.99155633664 -320.29653952196</t>
  </si>
  <si>
    <t>-548.935987400628 44.126075137342 -778.194382014978</t>
  </si>
  <si>
    <t>-594.058173864405 209.424094349736 -243.52421129935</t>
  </si>
  <si>
    <t>-584.870999100284 228.148012677493 211.692909514119</t>
  </si>
  <si>
    <t>-607.396935066211 244.613789012859 679.156672520674</t>
  </si>
  <si>
    <t>-448.275103814131 264.915062748787 751.34820507907</t>
  </si>
  <si>
    <t>-492.525186968008 -41.1013791273972 213.027437814657</t>
  </si>
  <si>
    <t>-607.537024349551 -105.299413990821 666.589945837418</t>
  </si>
  <si>
    <t>-468.184947960487 -178.124863123225 745.463050179832</t>
  </si>
  <si>
    <t>9763-20170724T170044.662076600.bin</t>
  </si>
  <si>
    <t>-576.625304201635 109.30539208598 -240.879118447341</t>
  </si>
  <si>
    <t>-597.060198718621 103.456881207412 -360.110187772798</t>
  </si>
  <si>
    <t>-596.527398557718 96.799736611043 -481.130534697693</t>
  </si>
  <si>
    <t>-587.432877814149 90.3936906111969 -590.085214703862</t>
  </si>
  <si>
    <t>-569.881234526521 83.5474902857236 -697.973583136028</t>
  </si>
  <si>
    <t>-536.748268655851 73.5291051233276 -846.30382660008</t>
  </si>
  <si>
    <t>-486.151473328282 68.9896762561114 -934.634712336285</t>
  </si>
  <si>
    <t>-552.230520714257 109.659945523028 -782.996918545457</t>
  </si>
  <si>
    <t>-537.036932371689 254.944022880593 -766.111292596495</t>
  </si>
  <si>
    <t>-536.51302738543 325.69329084315 -457.597973766773</t>
  </si>
  <si>
    <t>-328.227010422305 250.130359688942 -321.402367179154</t>
  </si>
  <si>
    <t>-550.586628396756 46.2637952604687 -778.34784867904</t>
  </si>
  <si>
    <t>-588.969598195556 222.674607079269 -245.585990746305</t>
  </si>
  <si>
    <t>-591.350288614136 234.697075988603 209.943822844312</t>
  </si>
  <si>
    <t>-607.761259468505 246.149692124347 678.139369490972</t>
  </si>
  <si>
    <t>-447.948331908295 263.405053467428 749.592845760894</t>
  </si>
  <si>
    <t>-472.772369641215 -31.2923593284363 210.289667738937</t>
  </si>
  <si>
    <t>-604.588100360679 -101.44916159831 658.299988911726</t>
  </si>
  <si>
    <t>-469.445418656716 -177.360495360875 741.471186467684</t>
  </si>
  <si>
    <t>9763-20170724T170044.697678200.bin</t>
  </si>
  <si>
    <t>-577.396361823795 122.467833526337 -241.306433110851</t>
  </si>
  <si>
    <t>-598.555173050425 115.931369660012 -360.375186282351</t>
  </si>
  <si>
    <t>-598.61257409039 108.570934677309 -481.356152890126</t>
  </si>
  <si>
    <t>-589.991937732106 101.517086151541 -590.309249565133</t>
  </si>
  <si>
    <t>-572.853174156854 94.0086793898581 -698.220051660292</t>
  </si>
  <si>
    <t>-540.23029867929 83.0521703380434 -846.597051338475</t>
  </si>
  <si>
    <t>-489.599386824445 77.706002314583 -934.863006068142</t>
  </si>
  <si>
    <t>-555.138135526548 119.596401355512 -783.389338906349</t>
  </si>
  <si>
    <t>-538.07822080142 264.728675160678 -766.949114368005</t>
  </si>
  <si>
    <t>-535.18615503421 335.52504847754 -458.459703941098</t>
  </si>
  <si>
    <t>-328.381487042573 257.342365156492 -321.487503532258</t>
  </si>
  <si>
    <t>-554.191637570031 56.2039657274502 -778.500219108478</t>
  </si>
  <si>
    <t>-588.55600633238 233.113611999793 -246.497221614385</t>
  </si>
  <si>
    <t>-594.529359028171 242.137542838605 209.069011757462</t>
  </si>
  <si>
    <t>-607.907519346117 247.218970297617 677.486371781372</t>
  </si>
  <si>
    <t>-447.931681929249 263.0989755071 748.894067269548</t>
  </si>
  <si>
    <t>-567.148464333467 15.3240247861806 -235.667661964221</t>
  </si>
  <si>
    <t>-470.353903739669 -9.69308253576628 208.924994259812</t>
  </si>
  <si>
    <t>-611.296992848043 -68.7910052089446 653.84842050359</t>
  </si>
  <si>
    <t>-478.536396968677 -147.930982369295 737.842500600368</t>
  </si>
  <si>
    <t>9763-20170724T170044.760377400.bin</t>
  </si>
  <si>
    <t>-584.869468738721 162.60252787869 -244.229045481822</t>
  </si>
  <si>
    <t>-607.318411553312 154.578065958096 -362.970136818274</t>
  </si>
  <si>
    <t>-608.593293021964 145.991166930975 -483.863592667851</t>
  </si>
  <si>
    <t>-601.031249661932 137.896868301256 -592.82296560965</t>
  </si>
  <si>
    <t>-584.904292695911 129.394576431051 -700.815879891261</t>
  </si>
  <si>
    <t>-553.636197378436 117.083287172173 -849.378088859916</t>
  </si>
  <si>
    <t>-502.673631741804 110.333266647303 -937.35671686844</t>
  </si>
  <si>
    <t>-567.238667427698 154.218966365671 -786.220897602639</t>
  </si>
  <si>
    <t>-546.826727978374 298.900332160544 -770.130300505559</t>
  </si>
  <si>
    <t>-539.175347815011 371.120639576627 -462.052594007774</t>
  </si>
  <si>
    <t>-334.986449648735 286.538092995131 -324.958603935022</t>
  </si>
  <si>
    <t>-567.704071405408 90.8422576385472 -781.066932272833</t>
  </si>
  <si>
    <t>-591.088807989195 260.109346586588 -249.309280212882</t>
  </si>
  <si>
    <t>-602.340264645587 264.417361972603 206.226131234966</t>
  </si>
  <si>
    <t>-608.279071229041 249.923049918457 675.711916556354</t>
  </si>
  <si>
    <t>-448.204846650637 262.725877974476 747.516077173136</t>
  </si>
  <si>
    <t>-579.294272507067 67.4222976628816 -238.874470346575</t>
  </si>
  <si>
    <t>-477.636673908949 48.3794308175027 204.928107632606</t>
  </si>
  <si>
    <t>-628.776197416907 -4.49212622813548 646.255225569237</t>
  </si>
  <si>
    <t>-500.640655511894 -90.9278728920558 730.241290941947</t>
  </si>
  <si>
    <t>9763-20170724T170044.796447600.bin</t>
  </si>
  <si>
    <t>-585.791058940118 173.272297428936 -245.353636426324</t>
  </si>
  <si>
    <t>-608.717010229199 164.676280408676 -363.963551890186</t>
  </si>
  <si>
    <t>-610.538905633844 155.640913854465 -484.817171143084</t>
  </si>
  <si>
    <t>-603.494210467649 147.170234427207 -593.782756009077</t>
  </si>
  <si>
    <t>-587.904330702163 138.309339434026 -701.825734225119</t>
  </si>
  <si>
    <t>-557.400973199466 125.506509221554 -850.505369281717</t>
  </si>
  <si>
    <t>-506.220147749773 118.09357427128 -938.303776097428</t>
  </si>
  <si>
    <t>-570.335353751149 162.852628812393 -787.331941737163</t>
  </si>
  <si>
    <t>-548.286860947783 307.365663354587 -771.404627938049</t>
  </si>
  <si>
    <t>-538.343198353436 380.452049261491 -463.596650173296</t>
  </si>
  <si>
    <t>-335.35323388416 292.331078846397 -326.951813813071</t>
  </si>
  <si>
    <t>-571.460211074073 99.4900025929333 -782.106526975933</t>
  </si>
  <si>
    <t>-590.91779527008 268.568333762631 -250.559320756888</t>
  </si>
  <si>
    <t>-603.508679405309 270.573551566887 204.956928815416</t>
  </si>
  <si>
    <t>-608.406115650195 251.018749098937 674.889534595588</t>
  </si>
  <si>
    <t>-448.385302621188 262.666013680116 747.00882767752</t>
  </si>
  <si>
    <t>-580.119258653586 77.6656049661296 -239.606055711018</t>
  </si>
  <si>
    <t>-477.673056031812 62.0316766884137 204.14842571466</t>
  </si>
  <si>
    <t>-632.49216012432 2.93845427785368 644.226553414504</t>
  </si>
  <si>
    <t>-502.64434007556 -82.0545436155953 727.047164459731</t>
  </si>
  <si>
    <t>9763-20170724T170044.861621800.bin</t>
  </si>
  <si>
    <t>-583.472334168642 180.566803412147 -246.088629009788</t>
  </si>
  <si>
    <t>-607.301493880338 171.269777827768 -364.467454497624</t>
  </si>
  <si>
    <t>-610.095138987662 161.654745406464 -485.257817021768</t>
  </si>
  <si>
    <t>-603.947081631207 152.672129455796 -594.236510061117</t>
  </si>
  <si>
    <t>-589.267917486668 143.289638637153 -702.363100347697</t>
  </si>
  <si>
    <t>-560.041941637102 129.731168661291 -851.232202146092</t>
  </si>
  <si>
    <t>-508.555594795014 121.229861885479 -938.752880855994</t>
  </si>
  <si>
    <t>-571.875581003488 167.393109699444 -788.030416617469</t>
  </si>
  <si>
    <t>-547.035090176066 311.486623025618 -772.375158622333</t>
  </si>
  <si>
    <t>-532.795682393636 385.035831349468 -464.846488174169</t>
  </si>
  <si>
    <t>-331.778414988089 290.619537548424 -329.496283792796</t>
  </si>
  <si>
    <t>-574.071426768392 104.067786100611 -782.693958998338</t>
  </si>
  <si>
    <t>-588.384008767084 276.075464302736 -251.779859849678</t>
  </si>
  <si>
    <t>-601.29739970235 275.650834700361 203.731652159418</t>
  </si>
  <si>
    <t>-608.429501708957 251.871245397466 673.785327752094</t>
  </si>
  <si>
    <t>-448.567528504645 262.199558235855 746.455835932675</t>
  </si>
  <si>
    <t>-577.651344718252 83.4616839304222 -239.55435750057</t>
  </si>
  <si>
    <t>-476.466544831922 74.4267828830398 204.672688835501</t>
  </si>
  <si>
    <t>-629.780273624858 1.09697368605271 643.048343889323</t>
  </si>
  <si>
    <t>-486.478817500547 -60.6215327310649 724.282767562775</t>
  </si>
  <si>
    <t>9763-20170724T170044.898222800.bin</t>
  </si>
  <si>
    <t>-581.681980791326 181.4598542428 -246.009266981008</t>
  </si>
  <si>
    <t>-605.867919097379 171.925165626405 -364.296759528775</t>
  </si>
  <si>
    <t>-609.077849841717 162.11042025685 -485.060736241545</t>
  </si>
  <si>
    <t>-603.326323977938 152.946844479843 -594.046080815826</t>
  </si>
  <si>
    <t>-589.062016831211 143.373814604439 -702.211315180388</t>
  </si>
  <si>
    <t>-560.430224425891 129.531900937941 -851.169906982552</t>
  </si>
  <si>
    <t>-508.996447445119 120.62094647527 -938.680703266213</t>
  </si>
  <si>
    <t>-571.781595211264 167.309068848144 -787.948443722181</t>
  </si>
  <si>
    <t>-545.800117994807 311.195824977046 -772.327396313967</t>
  </si>
  <si>
    <t>-529.220926615374 384.285782164504 -464.806471254074</t>
  </si>
  <si>
    <t>-329.262245515655 287.168850557962 -329.799554310944</t>
  </si>
  <si>
    <t>-574.416253798519 104.003874182351 -782.572219330838</t>
  </si>
  <si>
    <t>-586.906848557708 277.708562344182 -251.92766852739</t>
  </si>
  <si>
    <t>-599.508312545866 276.391124076193 203.590829612806</t>
  </si>
  <si>
    <t>-608.37048811471 251.988621291602 673.428648346156</t>
  </si>
  <si>
    <t>-448.620937527005 261.881007427164 746.406295296166</t>
  </si>
  <si>
    <t>-575.993207219006 84.2012138007187 -239.14828472651</t>
  </si>
  <si>
    <t>-475.778704934842 77.8937584624175 205.345793629737</t>
  </si>
  <si>
    <t>-626.223680326843 0.329411287248604 643.761923359089</t>
  </si>
  <si>
    <t>-477.276041712222 -47.0203222229004 724.484359791322</t>
  </si>
  <si>
    <t>9763-20170724T170044.967536700.bin</t>
  </si>
  <si>
    <t>-578.54224722571 181.341546761646 -245.447757966476</t>
  </si>
  <si>
    <t>-602.908658870259 171.27636376377 -363.654292305388</t>
  </si>
  <si>
    <t>-606.625867861613 161.098885251825 -484.373605531541</t>
  </si>
  <si>
    <t>-601.460325197263 151.650699473366 -593.364026631106</t>
  </si>
  <si>
    <t>-587.904964092692 141.821891402143 -701.597455655256</t>
  </si>
  <si>
    <t>-560.381867787053 127.640764202149 -850.732983982029</t>
  </si>
  <si>
    <t>-509.241967577729 118.164155247094 -938.356423326116</t>
  </si>
  <si>
    <t>-570.896956697724 165.550674242577 -787.446482446106</t>
  </si>
  <si>
    <t>-543.187685179685 309.105357057564 -771.783744499224</t>
  </si>
  <si>
    <t>-521.92343161227 380.378243366714 -464.124610531384</t>
  </si>
  <si>
    <t>-324.563189453354 278.48088544933 -328.817705805152</t>
  </si>
  <si>
    <t>-574.223002298921 102.280294607628 -782.043894661879</t>
  </si>
  <si>
    <t>-583.87891431221 278.375084838349 -251.879178439785</t>
  </si>
  <si>
    <t>-596.222627230779 276.072236181733 203.642517707897</t>
  </si>
  <si>
    <t>-608.129919746349 251.091739613763 673.171811336986</t>
  </si>
  <si>
    <t>-448.559843692366 260.715819751682 746.576695095283</t>
  </si>
  <si>
    <t>-573.112517317878 84.2426148983366 -238.074937656958</t>
  </si>
  <si>
    <t>-473.514831917473 81.190270824211 206.591968482958</t>
  </si>
  <si>
    <t>-622.074007950244 1.45124300230373 644.863382626827</t>
  </si>
  <si>
    <t>-470.222045872436 -31.8213717089966 727.188517686744</t>
  </si>
  <si>
    <t>9763-20170724T170044.998126200.bin</t>
  </si>
  <si>
    <t>-577.464483133452 181.393239148733 -244.971075149156</t>
  </si>
  <si>
    <t>-601.364537537521 170.926527165979 -363.237862667534</t>
  </si>
  <si>
    <t>-605.061319102456 160.546518378194 -483.940727351959</t>
  </si>
  <si>
    <t>-600.057388067551 150.989403784847 -592.92907338718</t>
  </si>
  <si>
    <t>-586.840097677607 141.121674731078 -701.20081096019</t>
  </si>
  <si>
    <t>-559.965568564523 126.954613348442 -850.455872445182</t>
  </si>
  <si>
    <t>-509.060746614146 117.323402694591 -938.199279055543</t>
  </si>
  <si>
    <t>-570.047921930462 164.852359386829 -787.091703674126</t>
  </si>
  <si>
    <t>-541.525831557432 308.224854422686 -771.376434621279</t>
  </si>
  <si>
    <t>-518.241675161312 378.381323173195 -463.606800769742</t>
  </si>
  <si>
    <t>-322.064368883505 274.976907428521 -327.724371228815</t>
  </si>
  <si>
    <t>-573.665518090059 101.593802103158 -781.738597043806</t>
  </si>
  <si>
    <t>-582.692135791564 278.450167191858 -251.805552979019</t>
  </si>
  <si>
    <t>-594.941763122791 275.57114468173 203.715436230722</t>
  </si>
  <si>
    <t>-607.996029843849 250.488190555881 673.140959076414</t>
  </si>
  <si>
    <t>-448.522897450932 259.989916897204 746.772003935705</t>
  </si>
  <si>
    <t>-572.268242985771 84.7611508967761 -237.200127703926</t>
  </si>
  <si>
    <t>-471.895993719685 79.4072229207932 207.270842299732</t>
  </si>
  <si>
    <t>-620.911074514331 -0.816572393813885 645.353378662028</t>
  </si>
  <si>
    <t>-469.206592525985 -33.7426780289115 728.088665214608</t>
  </si>
  <si>
    <t>9763-20170724T170045.064421700.bin</t>
  </si>
  <si>
    <t>-575.887263796263 184.07999993878 -244.081460854901</t>
  </si>
  <si>
    <t>-599.302106130571 172.984837653657 -362.387981549002</t>
  </si>
  <si>
    <t>-603.099973626976 162.347778205602 -483.065277497408</t>
  </si>
  <si>
    <t>-598.420971280386 152.712148108256 -592.0612459606</t>
  </si>
  <si>
    <t>-585.755162694489 142.92293065489 -700.405921910527</t>
  </si>
  <si>
    <t>-559.874289008075 129.030166726943 -849.862292853702</t>
  </si>
  <si>
    <t>-509.243411684137 119.299666713503 -937.753149700099</t>
  </si>
  <si>
    <t>-569.310476312782 166.801209049467 -786.323097203911</t>
  </si>
  <si>
    <t>-539.667342246874 309.90476131449 -770.163317283908</t>
  </si>
  <si>
    <t>-514.685964544626 377.625184744297 -461.981402262398</t>
  </si>
  <si>
    <t>-320.178202621359 273.471797793959 -324.282979686736</t>
  </si>
  <si>
    <t>-573.341086455491 103.55324352238 -781.141899314723</t>
  </si>
  <si>
    <t>-580.428599033366 280.488781243306 -251.652175150879</t>
  </si>
  <si>
    <t>-592.999084353746 276.701443504467 203.853327146667</t>
  </si>
  <si>
    <t>-607.77750190486 250.32353520537 672.947037977595</t>
  </si>
  <si>
    <t>-448.582216090812 258.729751080843 747.309041655216</t>
  </si>
  <si>
    <t>-571.200549213484 88.0161224258729 -235.852249961657</t>
  </si>
  <si>
    <t>-471.657819496305 79.5591197250947 208.756997136992</t>
  </si>
  <si>
    <t>-621.764909607965 1.47756617604637 647.282672424477</t>
  </si>
  <si>
    <t>-469.09750325366 -32.4582287874712 727.80929517103</t>
  </si>
  <si>
    <t>9763-20170724T170045.102558300.bin</t>
  </si>
  <si>
    <t>-575.305089898617 185.104886764919 -243.625513906385</t>
  </si>
  <si>
    <t>-598.635178695387 173.81171289869 -361.930040018528</t>
  </si>
  <si>
    <t>-602.541608908227 163.088232446602 -482.596178999438</t>
  </si>
  <si>
    <t>-598.037139323044 153.430255235001 -591.597477066663</t>
  </si>
  <si>
    <t>-585.619591706188 143.681125520803 -699.974654394533</t>
  </si>
  <si>
    <t>-560.156972182273 129.91493798927 -849.514435270295</t>
  </si>
  <si>
    <t>-509.584590875969 120.129475807365 -937.432940387489</t>
  </si>
  <si>
    <t>-569.345158678789 167.628624770859 -785.904920172135</t>
  </si>
  <si>
    <t>-539.437324926157 310.688665692056 -769.612696793335</t>
  </si>
  <si>
    <t>-514.694950617615 377.391568762153 -461.189760333397</t>
  </si>
  <si>
    <t>-320.982870495456 273.006391960767 -322.548481796358</t>
  </si>
  <si>
    <t>-573.501620399082 104.383426490747 -780.790501706054</t>
  </si>
  <si>
    <t>-578.975711996838 281.469998582828 -251.643935296871</t>
  </si>
  <si>
    <t>-592.045138945623 277.499829878258 203.846077130097</t>
  </si>
  <si>
    <t>-607.709617681393 250.749805102232 672.783236197471</t>
  </si>
  <si>
    <t>-448.675467520678 258.324857903832 747.578058500687</t>
  </si>
  <si>
    <t>-571.714854550684 88.787193377791 -234.82378722783</t>
  </si>
  <si>
    <t>-470.986267369356 79.2602526230417 209.496762276971</t>
  </si>
  <si>
    <t>-622.379923149049 2.01956456481321 648.019161398118</t>
  </si>
  <si>
    <t>-469.18928617254 -32.5250181966658 727.283343452587</t>
  </si>
  <si>
    <t>9763-20170724T170045.161731700.bin</t>
  </si>
  <si>
    <t>-574.867866432995 185.438783481489 -242.30372817318</t>
  </si>
  <si>
    <t>-597.624905004268 173.523027333678 -360.658775227065</t>
  </si>
  <si>
    <t>-601.325004168065 162.498451397071 -481.304247086565</t>
  </si>
  <si>
    <t>-596.781330450365 152.715122637913 -590.292736450117</t>
  </si>
  <si>
    <t>-584.467850961673 142.997957613982 -698.684773976333</t>
  </si>
  <si>
    <t>-559.293579925568 129.448873296788 -848.293087905037</t>
  </si>
  <si>
    <t>-508.580047751072 119.460118171047 -936.107464006798</t>
  </si>
  <si>
    <t>-568.289105256434 167.066628892273 -784.599259452215</t>
  </si>
  <si>
    <t>-538.018561496472 310.05787099838 -768.258406123528</t>
  </si>
  <si>
    <t>-515.519972971221 374.654830604488 -459.216075599282</t>
  </si>
  <si>
    <t>-323.244185204409 269.197728409426 -319.391480084996</t>
  </si>
  <si>
    <t>-572.575692276017 103.821315053866 -779.592820112058</t>
  </si>
  <si>
    <t>-577.463838776437 281.616562409773 -251.102142885914</t>
  </si>
  <si>
    <t>-589.92454558977 277.275281631361 204.401500330406</t>
  </si>
  <si>
    <t>-607.745163516604 249.672292447339 673.27652965905</t>
  </si>
  <si>
    <t>-448.722108059249 257.030440099488 748.11657564936</t>
  </si>
  <si>
    <t>-572.018861938297 89.1351605031846 -232.644696302019</t>
  </si>
  <si>
    <t>-469.112572956212 78.9636744724241 211.162140486839</t>
  </si>
  <si>
    <t>-623.184024237789 2.86592035654235 648.77733940229</t>
  </si>
  <si>
    <t>-469.484306144237 -33.1129127866814 726.401018878867</t>
  </si>
  <si>
    <t>9763-20170724T170045.194796200.bin</t>
  </si>
  <si>
    <t>-574.360579867653 184.866821192955 -241.614846171897</t>
  </si>
  <si>
    <t>-597.337607919534 172.653248442465 -359.897144199858</t>
  </si>
  <si>
    <t>-601.143859724345 161.442426717429 -480.522019855491</t>
  </si>
  <si>
    <t>-596.647322961864 151.542157869007 -589.501975393269</t>
  </si>
  <si>
    <t>-584.33112186573 141.763490907797 -697.887963737217</t>
  </si>
  <si>
    <t>-559.100804614519 128.189784908122 -847.484805968302</t>
  </si>
  <si>
    <t>-508.266123740219 118.071180679815 -935.214107685816</t>
  </si>
  <si>
    <t>-568.128608937039 165.818378809999 -783.801965766902</t>
  </si>
  <si>
    <t>-538.033438759306 308.829703579147 -767.40330335789</t>
  </si>
  <si>
    <t>-515.850847924552 373.2404514219 -458.299200773329</t>
  </si>
  <si>
    <t>-324.597133435114 265.845320741995 -318.548216181837</t>
  </si>
  <si>
    <t>-572.400242943055 102.573127722492 -778.783832338088</t>
  </si>
  <si>
    <t>-577.002570286882 280.908238278092 -250.679199635034</t>
  </si>
  <si>
    <t>-588.425977665909 276.509834311854 204.851110485036</t>
  </si>
  <si>
    <t>-607.743779769367 248.581285815958 673.640251184807</t>
  </si>
  <si>
    <t>-448.664509042567 256.199739092763 748.334663798948</t>
  </si>
  <si>
    <t>-571.625862796182 88.7881229273644 -231.76487639796</t>
  </si>
  <si>
    <t>-468.174122837951 78.9117445635065 211.921861623</t>
  </si>
  <si>
    <t>-623.356653135979 3.01862178469787 648.95598166276</t>
  </si>
  <si>
    <t>-469.455681748725 -33.0467407662957 726.139501390802</t>
  </si>
  <si>
    <t>9763-20170724T170045.262976500.bin</t>
  </si>
  <si>
    <t>-573.262908877624 183.747390228922 -240.390561130174</t>
  </si>
  <si>
    <t>-596.785779587566 170.813172975105 -358.488781972965</t>
  </si>
  <si>
    <t>-600.811625349705 159.121888468509 -479.061022040111</t>
  </si>
  <si>
    <t>-596.375088509903 148.894353155757 -588.013053286487</t>
  </si>
  <si>
    <t>-583.978857318866 138.901001769279 -696.370572573091</t>
  </si>
  <si>
    <t>-558.491467069102 125.15048538138 -845.907569588334</t>
  </si>
  <si>
    <t>-507.366725202118 114.8554236598 -933.447575728311</t>
  </si>
  <si>
    <t>-567.684232782254 162.857194885104 -782.294547440123</t>
  </si>
  <si>
    <t>-537.903265970029 305.946880920036 -766.132769631157</t>
  </si>
  <si>
    <t>-515.005692909903 369.586601901756 -456.921077172132</t>
  </si>
  <si>
    <t>-324.724985466665 260.940903309245 -316.808908328327</t>
  </si>
  <si>
    <t>-571.853478538618 99.6120437592856 -777.189580093155</t>
  </si>
  <si>
    <t>-576.148562730283 279.395241599251 -249.836752605748</t>
  </si>
  <si>
    <t>-585.29157897724 274.970171400326 205.744832184658</t>
  </si>
  <si>
    <t>-607.807756729331 246.334800387982 674.469986738943</t>
  </si>
  <si>
    <t>-448.511302234624 254.846642441374 748.602953421544</t>
  </si>
  <si>
    <t>-570.25318616386 88.0177652221066 -230.157479457094</t>
  </si>
  <si>
    <t>-466.151862583133 79.7177853979488 213.409613452541</t>
  </si>
  <si>
    <t>-623.402830022242 3.54634106346816 649.236496286246</t>
  </si>
  <si>
    <t>-469.397257621944 -33.0744883435796 725.948416673895</t>
  </si>
  <si>
    <t>9763-20170724T170045.299577800.bin</t>
  </si>
  <si>
    <t>-572.724864043857 183.282037987094 -239.778176456118</t>
  </si>
  <si>
    <t>-596.279701976851 170.012441770216 -357.832882220214</t>
  </si>
  <si>
    <t>-600.271053427431 158.057358533448 -478.380338709819</t>
  </si>
  <si>
    <t>-595.775285729749 147.624597911898 -587.310491547081</t>
  </si>
  <si>
    <t>-583.291900584122 137.460505609562 -695.642085271229</t>
  </si>
  <si>
    <t>-557.654227717012 123.510744690537 -845.134873412069</t>
  </si>
  <si>
    <t>-506.370001344768 113.178685020155 -932.57716132316</t>
  </si>
  <si>
    <t>-566.953761454901 161.304395580114 -781.589030947958</t>
  </si>
  <si>
    <t>-537.302737168464 304.445212456043 -765.628980826426</t>
  </si>
  <si>
    <t>-513.556926799478 368.528854480299 -456.572981805638</t>
  </si>
  <si>
    <t>-323.470397606146 260.280345071507 -315.890938883512</t>
  </si>
  <si>
    <t>-571.042464204086 98.061746945355 -776.388827593957</t>
  </si>
  <si>
    <t>-575.818572754357 278.822915073279 -249.441621275618</t>
  </si>
  <si>
    <t>-583.935145043161 274.441195743061 206.159730786673</t>
  </si>
  <si>
    <t>-607.835045948616 245.404827650771 674.82672408946</t>
  </si>
  <si>
    <t>-448.423744552619 254.420609831159 748.652521288807</t>
  </si>
  <si>
    <t>-569.466638290483 87.8742151637844 -229.415077695985</t>
  </si>
  <si>
    <t>-465.043324713992 80.029026262155 214.084515697537</t>
  </si>
  <si>
    <t>-623.318450670551 3.68278192713819 649.355132002547</t>
  </si>
  <si>
    <t>-469.269488440597 -32.9070275622835 725.994624083219</t>
  </si>
  <si>
    <t>9763-20170724T170045.366262600.bin</t>
  </si>
  <si>
    <t>-571.285466807971 183.279600951556 -238.890672674288</t>
  </si>
  <si>
    <t>-594.837289280922 169.4895794677 -356.886350237017</t>
  </si>
  <si>
    <t>-598.763003216258 157.0719050697 -477.389252676273</t>
  </si>
  <si>
    <t>-594.181842144254 146.246900849344 -586.277625664495</t>
  </si>
  <si>
    <t>-581.58698359241 135.716886704773 -694.561295999667</t>
  </si>
  <si>
    <t>-555.76773924824 121.285975918652 -843.977206790411</t>
  </si>
  <si>
    <t>-504.180456914795 110.662405549142 -931.206096251561</t>
  </si>
  <si>
    <t>-565.263344909799 159.289686075876 -780.585788618549</t>
  </si>
  <si>
    <t>-536.050899728802 302.575770400578 -765.106594187878</t>
  </si>
  <si>
    <t>-509.823953829387 367.07786551232 -456.338476705282</t>
  </si>
  <si>
    <t>-320.332328466147 259.621156863346 -314.253924622526</t>
  </si>
  <si>
    <t>-569.12058361733 96.0526624409329 -775.14468312734</t>
  </si>
  <si>
    <t>-575.008530315638 278.765454904774 -248.86788085903</t>
  </si>
  <si>
    <t>-581.840683836202 274.32467959845 206.753932861317</t>
  </si>
  <si>
    <t>-607.804643941032 244.448716785568 675.15635688462</t>
  </si>
  <si>
    <t>-448.306121639526 254.222047082278 748.696982280565</t>
  </si>
  <si>
    <t>-567.437134449991 88.063616338188 -228.262452280305</t>
  </si>
  <si>
    <t>-463.290066317429 80.5280279989129 215.307412867698</t>
  </si>
  <si>
    <t>-623.206814816937 3.78135365569324 649.803537271494</t>
  </si>
  <si>
    <t>-469.156418962004 -32.9313434508531 726.381364473261</t>
  </si>
  <si>
    <t>9763-20170724T170045.397842600.bin</t>
  </si>
  <si>
    <t>-570.479400594731 183.737424189725 -238.616437155914</t>
  </si>
  <si>
    <t>-593.838206207558 169.748765401045 -356.627022324754</t>
  </si>
  <si>
    <t>-597.648502550749 157.152406039666 -477.115056088721</t>
  </si>
  <si>
    <t>-592.995386051831 146.175682523427 -585.985256394136</t>
  </si>
  <si>
    <t>-580.360935488277 135.504184803246 -694.250361789717</t>
  </si>
  <si>
    <t>-554.519901216354 120.887781326959 -843.644545058482</t>
  </si>
  <si>
    <t>-502.792958900735 109.721392632582 -930.72272214279</t>
  </si>
  <si>
    <t>-564.099418912063 158.973430032107 -780.314996208574</t>
  </si>
  <si>
    <t>-535.296107938547 302.365680868837 -765.075912742098</t>
  </si>
  <si>
    <t>-507.92508023958 366.792056836468 -456.391130870235</t>
  </si>
  <si>
    <t>-318.545971769638 260.40863346735 -313.35213224479</t>
  </si>
  <si>
    <t>-567.808131201347 95.736630821491 -774.769489577612</t>
  </si>
  <si>
    <t>-574.45740287477 279.301455365429 -248.778653317878</t>
  </si>
  <si>
    <t>-581.057275955316 274.823759035789 206.846269579819</t>
  </si>
  <si>
    <t>-607.796092514455 244.644194806827 675.116204761678</t>
  </si>
  <si>
    <t>-448.326156674475 254.356599504961 748.72678709453</t>
  </si>
  <si>
    <t>-566.333929835951 88.4789509317459 -227.85986410635</t>
  </si>
  <si>
    <t>-462.508451474874 80.9355601612426 215.785268315304</t>
  </si>
  <si>
    <t>-623.148112260002 3.8664015987008 649.986835748619</t>
  </si>
  <si>
    <t>-469.149649914721 -33.0121709000052 726.589465099723</t>
  </si>
  <si>
    <t>9763-20170724T170045.463520000.bin</t>
  </si>
  <si>
    <t>-568.88145357514 184.712448856571 -238.285180649808</t>
  </si>
  <si>
    <t>-592.024160441566 170.446595441786 -356.305102593285</t>
  </si>
  <si>
    <t>-595.760307036173 157.672251155676 -476.77672058957</t>
  </si>
  <si>
    <t>-591.097462924489 146.574777851846 -585.634294178207</t>
  </si>
  <si>
    <t>-578.509302499659 135.82176786235 -693.896769636623</t>
  </si>
  <si>
    <t>-552.789355730145 121.13220840839 -843.304607075806</t>
  </si>
  <si>
    <t>-501.031332896473 108.514367549718 -930.16577620917</t>
  </si>
  <si>
    <t>-562.489827719857 159.255874322182 -780.016355990052</t>
  </si>
  <si>
    <t>-534.349371056657 302.785219189816 -764.805230352159</t>
  </si>
  <si>
    <t>-504.963771865001 366.803940114103 -456.220966261985</t>
  </si>
  <si>
    <t>-316.244900300668 262.035634103999 -311.131753777724</t>
  </si>
  <si>
    <t>-565.84944365193 96.0078256936038 -774.376108876057</t>
  </si>
  <si>
    <t>-573.574561041555 280.334689464343 -248.708023660755</t>
  </si>
  <si>
    <t>-579.714892811028 275.7341954663 206.922105569927</t>
  </si>
  <si>
    <t>-607.76387093872 244.89877751091 675.09866944421</t>
  </si>
  <si>
    <t>-448.351789249563 254.650292918831 748.829359287106</t>
  </si>
  <si>
    <t>-564.143773660729 89.2679640247759 -227.308278269799</t>
  </si>
  <si>
    <t>-460.8083581093 81.5191350541984 216.447757972401</t>
  </si>
  <si>
    <t>-622.932249986511 3.7871000214102 650.081875641934</t>
  </si>
  <si>
    <t>-468.989327583016 -32.9653119464995 726.856553814052</t>
  </si>
  <si>
    <t>9763-20170724T170045.495107100.bin</t>
  </si>
  <si>
    <t>-568.120425036867 185.00049168284 -238.148850641469</t>
  </si>
  <si>
    <t>-591.304409993604 170.584868017521 -356.142658844693</t>
  </si>
  <si>
    <t>-595.105999694729 157.690627673853 -476.599410857896</t>
  </si>
  <si>
    <t>-590.511172553503 146.496388374152 -585.449924051625</t>
  </si>
  <si>
    <t>-577.999109437324 135.657849652991 -693.712661964033</t>
  </si>
  <si>
    <t>-552.392776914997 120.860405978034 -843.129412755271</t>
  </si>
  <si>
    <t>-500.750835033662 107.472941298307 -929.944523097345</t>
  </si>
  <si>
    <t>-562.113090738538 159.032191817112 -779.873165799188</t>
  </si>
  <si>
    <t>-534.177047191984 302.634695589963 -764.792304517094</t>
  </si>
  <si>
    <t>-503.415201618733 366.614145361162 -456.333978038037</t>
  </si>
  <si>
    <t>-315.347388425884 262.165803670091 -310.172837789673</t>
  </si>
  <si>
    <t>-565.332478750342 95.7834000657997 -774.161070687151</t>
  </si>
  <si>
    <t>-573.120090000526 280.587391781094 -248.65810832346</t>
  </si>
  <si>
    <t>-578.703709558467 275.968941890875 206.979030932741</t>
  </si>
  <si>
    <t>-607.680145598322 244.834936765411 675.072797408051</t>
  </si>
  <si>
    <t>-448.317321430621 254.821365810388 748.8784695173</t>
  </si>
  <si>
    <t>-563.101502746835 89.4162295392694 -227.060030842112</t>
  </si>
  <si>
    <t>-459.994256080225 81.8017428146429 216.751403776781</t>
  </si>
  <si>
    <t>-622.835842354946 3.65840908294535 650.089300145106</t>
  </si>
  <si>
    <t>-468.891173259234 -32.9599969667402 726.924451195534</t>
  </si>
  <si>
    <t>9763-20170724T170045.562794400.bin</t>
  </si>
  <si>
    <t>-566.329830225884 185.471157520296 -237.919043910384</t>
  </si>
  <si>
    <t>-589.734714214099 170.730597774723 -355.828901679791</t>
  </si>
  <si>
    <t>-593.683013845548 157.433669773702 -476.237219153032</t>
  </si>
  <si>
    <t>-589.189626834055 145.842343370076 -585.050302135756</t>
  </si>
  <si>
    <t>-576.748262889095 134.570786139658 -693.277150830322</t>
  </si>
  <si>
    <t>-551.20882902559 119.13267725951 -842.640369248676</t>
  </si>
  <si>
    <t>-499.805176118766 104.445991196957 -929.386845932762</t>
  </si>
  <si>
    <t>-560.935022067949 157.576440754244 -779.550125026137</t>
  </si>
  <si>
    <t>-533.098460286893 301.232731078805 -765.033654686971</t>
  </si>
  <si>
    <t>-499.660849137262 366.160618605884 -457.052413964362</t>
  </si>
  <si>
    <t>-313.303715595408 261.049909007769 -309.18469872105</t>
  </si>
  <si>
    <t>-564.083467902133 94.3505395741047 -773.553453170785</t>
  </si>
  <si>
    <t>-571.560372792055 281.051005804111 -248.639377186747</t>
  </si>
  <si>
    <t>-575.710394134805 276.433173131996 207.01308153815</t>
  </si>
  <si>
    <t>-607.463953303594 245.019667470636 674.837706996576</t>
  </si>
  <si>
    <t>-448.280692756389 255.305170239174 748.988944129842</t>
  </si>
  <si>
    <t>-561.004995795801 89.8429508200875 -226.584115490081</t>
  </si>
  <si>
    <t>-458.142342964707 82.5012509016456 217.288708740359</t>
  </si>
  <si>
    <t>-622.640591800787 3.85124656129051 649.985263608762</t>
  </si>
  <si>
    <t>-468.861766633523 -33.1754976111747 726.956725077174</t>
  </si>
  <si>
    <t>9763-20170724T170045.595909400.bin</t>
  </si>
  <si>
    <t>-565.478915062006 185.734592367751 -237.875362633169</t>
  </si>
  <si>
    <t>-589.005776459015 170.830606897523 -355.740375370147</t>
  </si>
  <si>
    <t>-593.03843131234 157.294683387883 -476.119384420698</t>
  </si>
  <si>
    <t>-588.606016550221 145.455938076591 -584.908413290027</t>
  </si>
  <si>
    <t>-576.210683674319 133.905336711262 -693.110957911514</t>
  </si>
  <si>
    <t>-550.720372015112 118.045467651761 -842.438460637273</t>
  </si>
  <si>
    <t>-499.4360092433 102.825795663065 -929.16372568817</t>
  </si>
  <si>
    <t>-560.402299146262 156.666529172505 -779.449637077519</t>
  </si>
  <si>
    <t>-532.400987676133 300.329845498729 -765.30808212094</t>
  </si>
  <si>
    <t>-497.779888492822 366.123679126677 -457.641516969343</t>
  </si>
  <si>
    <t>-312.257610925506 260.727576847131 -308.929556539398</t>
  </si>
  <si>
    <t>-563.595783553914 93.4593091478898 -773.281649156612</t>
  </si>
  <si>
    <t>-570.699729512273 281.365732844704 -248.692406021805</t>
  </si>
  <si>
    <t>-574.131218096997 276.728339807873 206.965846008141</t>
  </si>
  <si>
    <t>-607.32667724131 245.151915921276 674.664141556694</t>
  </si>
  <si>
    <t>-448.263072033605 255.615032875186 749.047028175659</t>
  </si>
  <si>
    <t>-560.22583969383 90.1049662757023 -226.391274732208</t>
  </si>
  <si>
    <t>-457.381066650836 82.6925307383376 217.484450890024</t>
  </si>
  <si>
    <t>-622.562208327425 3.84682533515638 649.923023494925</t>
  </si>
  <si>
    <t>-468.760025407441 -33.0298999708546 726.919807242458</t>
  </si>
  <si>
    <t>9763-20170724T170045.661120600.bin</t>
  </si>
  <si>
    <t>-563.930406293284 186.089504003392 -237.861283593778</t>
  </si>
  <si>
    <t>-587.603207185265 171.031013181285 -355.677471787759</t>
  </si>
  <si>
    <t>-591.719798222683 157.033208667001 -476.000730771946</t>
  </si>
  <si>
    <t>-587.341326152438 144.650113007471 -584.731333827061</t>
  </si>
  <si>
    <t>-574.980413007301 132.42798641696 -692.863988789971</t>
  </si>
  <si>
    <t>-549.519986102676 115.502270767603 -842.079633877953</t>
  </si>
  <si>
    <t>-498.406204527583 99.1433601966169 -928.698062739572</t>
  </si>
  <si>
    <t>-559.088622580915 154.568682358303 -779.348659276954</t>
  </si>
  <si>
    <t>-530.572655902692 298.238397170766 -766.173003099743</t>
  </si>
  <si>
    <t>-494.166903648457 365.402523849708 -459.00899110281</t>
  </si>
  <si>
    <t>-310.366738040376 259.505174237904 -308.525568064333</t>
  </si>
  <si>
    <t>-562.482303162225 91.4139521122074 -772.763939978237</t>
  </si>
  <si>
    <t>-569.04265707224 281.818319574927 -248.80546427796</t>
  </si>
  <si>
    <t>-571.116059346611 277.110544034768 206.86013875651</t>
  </si>
  <si>
    <t>-607.102560663896 245.28050565135 674.389229360573</t>
  </si>
  <si>
    <t>-448.220583754416 255.807906982451 749.150231093633</t>
  </si>
  <si>
    <t>-558.72986577176 90.3828800970743 -226.248183530127</t>
  </si>
  <si>
    <t>-456.333084160813 82.9160522105826 217.730172852538</t>
  </si>
  <si>
    <t>-622.446425364486 3.8753716238632 649.86751460187</t>
  </si>
  <si>
    <t>-468.696692521019 -33.1244269895128 726.910020446246</t>
  </si>
  <si>
    <t>9763-20170724T170045.700732900.bin</t>
  </si>
  <si>
    <t>-563.377328496955 186.144111717742 -237.807167728053</t>
  </si>
  <si>
    <t>-587.118687113906 171.021572529733 -355.601436152989</t>
  </si>
  <si>
    <t>-591.287109371981 156.796025963562 -475.896064818434</t>
  </si>
  <si>
    <t>-586.950293368655 144.139835210573 -584.596797207481</t>
  </si>
  <si>
    <t>-574.627272560183 131.576318829286 -692.694746902901</t>
  </si>
  <si>
    <t>-549.216760157734 114.104621348269 -841.855976900576</t>
  </si>
  <si>
    <t>-498.248212932734 97.1566333373203 -928.446764096867</t>
  </si>
  <si>
    <t>-558.69647879729 153.398043361102 -779.253266488906</t>
  </si>
  <si>
    <t>-529.745430316022 297.003223762044 -766.524736472656</t>
  </si>
  <si>
    <t>-492.914977581023 364.750870697122 -459.539481499139</t>
  </si>
  <si>
    <t>-310.046616911597 258.492715739674 -308.17750553168</t>
  </si>
  <si>
    <t>-562.223722537473 90.2726715267891 -772.46018778712</t>
  </si>
  <si>
    <t>-568.359035375005 281.816369230481 -248.804379145521</t>
  </si>
  <si>
    <t>-569.810177935507 277.159934289439 206.864312932687</t>
  </si>
  <si>
    <t>-607.02337060526 245.258459313637 674.307208530305</t>
  </si>
  <si>
    <t>-448.212538021175 255.915626802742 749.200770716247</t>
  </si>
  <si>
    <t>-558.416020482926 90.5165558876702 -226.069244970871</t>
  </si>
  <si>
    <t>-455.830167002493 82.8859561030577 217.862639769324</t>
  </si>
  <si>
    <t>-622.407170779224 4.03310318032368 649.861498196665</t>
  </si>
  <si>
    <t>-468.764564449341 -33.3937720041597 726.911445587895</t>
  </si>
  <si>
    <t>9763-20170724T170045.779946600.bin</t>
  </si>
  <si>
    <t>-562.47935117458 185.631850659675 -237.645639377547</t>
  </si>
  <si>
    <t>-586.406563028103 170.438271839299 -355.393009058917</t>
  </si>
  <si>
    <t>-590.625432842427 155.737120486589 -475.628813008773</t>
  </si>
  <si>
    <t>-586.284056971606 142.483697410214 -584.258310733714</t>
  </si>
  <si>
    <t>-573.910200287624 129.155045447964 -692.258596367429</t>
  </si>
  <si>
    <t>-548.385502913087 110.443011299132 -841.249729693174</t>
  </si>
  <si>
    <t>-497.667045983171 92.2600791677044 -927.736752209631</t>
  </si>
  <si>
    <t>-557.743638182982 150.249296955053 -778.953723728593</t>
  </si>
  <si>
    <t>-527.85339353204 293.766498165444 -767.335212145892</t>
  </si>
  <si>
    <t>-490.441791724616 362.472551076901 -460.633380198696</t>
  </si>
  <si>
    <t>-309.192041686104 256.386290869788 -307.218081454796</t>
  </si>
  <si>
    <t>-561.615170576478 87.1956761071961 -771.697929496369</t>
  </si>
  <si>
    <t>-567.062505807063 281.125335972223 -248.726393666161</t>
  </si>
  <si>
    <t>-567.461185627102 276.540465418146 206.945134033544</t>
  </si>
  <si>
    <t>-606.814774440846 244.774962634504 674.244607245867</t>
  </si>
  <si>
    <t>-448.123009556392 256.06876527232 749.297114546951</t>
  </si>
  <si>
    <t>-557.808363559319 90.1302490756789 -225.814753572405</t>
  </si>
  <si>
    <t>-455.068738891167 82.5211655209716 218.081970375236</t>
  </si>
  <si>
    <t>-622.345000936842 3.94679348627119 649.904898785596</t>
  </si>
  <si>
    <t>-468.69955594448 -33.5034995131996 726.937766580326</t>
  </si>
  <si>
    <t>9763-20170724T170045.797498400.bin</t>
  </si>
  <si>
    <t>-562.144840631118 185.183762354609 -237.528484362686</t>
  </si>
  <si>
    <t>-586.123075282311 169.918667373085 -355.256319582015</t>
  </si>
  <si>
    <t>-590.365560674039 154.94011375848 -475.457035583263</t>
  </si>
  <si>
    <t>-586.037137236865 141.350781155028 -584.045502418518</t>
  </si>
  <si>
    <t>-573.669733770664 127.600904496023 -691.993737942871</t>
  </si>
  <si>
    <t>-548.149238906901 108.213829972868 -840.899212843269</t>
  </si>
  <si>
    <t>-497.586271783294 89.4315457882797 -927.34918747393</t>
  </si>
  <si>
    <t>-557.41029889124 148.298146929971 -778.767090184957</t>
  </si>
  <si>
    <t>-527.059051483254 291.759731569992 -767.692496057204</t>
  </si>
  <si>
    <t>-489.151542077578 360.924794263303 -461.154696696833</t>
  </si>
  <si>
    <t>-308.402692491267 255.761636430826 -306.517731379095</t>
  </si>
  <si>
    <t>-561.47225795804 85.285913264109 -771.259212927693</t>
  </si>
  <si>
    <t>-566.546975913548 280.608487564964 -248.677419532872</t>
  </si>
  <si>
    <t>-566.535787111253 276.155466291667 206.995505689352</t>
  </si>
  <si>
    <t>-606.738805042314 244.524605125574 674.249408458551</t>
  </si>
  <si>
    <t>-448.081249944198 256.107633213295 749.330175319073</t>
  </si>
  <si>
    <t>-557.670554760253 89.7919763284074 -225.604397176837</t>
  </si>
  <si>
    <t>-454.780113174703 82.2184373315356 218.258087466359</t>
  </si>
  <si>
    <t>-622.332582430898 3.95888303175821 649.97746314247</t>
  </si>
  <si>
    <t>-468.734645523717 -33.7462844814506 726.980714875149</t>
  </si>
  <si>
    <t>9763-20170724T170045.866716400.bin</t>
  </si>
  <si>
    <t>-561.737339161229 184.209694497346 -237.311541811784</t>
  </si>
  <si>
    <t>-585.785456310298 168.816214512152 -355.008448411875</t>
  </si>
  <si>
    <t>-590.076716605868 153.287766653782 -475.137588270346</t>
  </si>
  <si>
    <t>-585.78966117864 139.025028134038 -583.641337187199</t>
  </si>
  <si>
    <t>-573.465228365706 124.422368286012 -691.482459167595</t>
  </si>
  <si>
    <t>-548.010163143953 103.661043024531 -840.21379023067</t>
  </si>
  <si>
    <t>-497.767405028671 83.8653074221695 -926.624292127078</t>
  </si>
  <si>
    <t>-557.026913658695 144.307611235937 -778.411826664391</t>
  </si>
  <si>
    <t>-525.77486744345 287.656979461426 -768.492235152127</t>
  </si>
  <si>
    <t>-486.412229293572 357.614710780315 -462.31786716696</t>
  </si>
  <si>
    <t>-306.060590913686 254.354503844004 -305.944416533639</t>
  </si>
  <si>
    <t>-561.519533029106 81.3870641528129 -770.397649639661</t>
  </si>
  <si>
    <t>-565.901879353693 279.584438272586 -248.596643380546</t>
  </si>
  <si>
    <t>-565.338811004255 275.432728001605 207.078843433528</t>
  </si>
  <si>
    <t>-606.671987862573 244.194870352997 674.282636923501</t>
  </si>
  <si>
    <t>-448.055846605734 256.361235202978 749.35864948773</t>
  </si>
  <si>
    <t>-557.493613948956 88.979539896013 -225.283277675575</t>
  </si>
  <si>
    <t>-454.540563968555 81.5377936306295 218.566898688416</t>
  </si>
  <si>
    <t>-622.359598940124 3.83343218053392 650.245442092105</t>
  </si>
  <si>
    <t>-468.672103461831 -33.8281300398855 727.091193115826</t>
  </si>
  <si>
    <t>9763-20170724T170045.896337000.bin</t>
  </si>
  <si>
    <t>-561.661077921516 183.746416727273 -237.230626780799</t>
  </si>
  <si>
    <t>-585.627889797525 168.290869667546 -354.935884611069</t>
  </si>
  <si>
    <t>-589.954513679316 152.484047189113 -475.02742519928</t>
  </si>
  <si>
    <t>-585.750553904069 137.877614597028 -583.488601841086</t>
  </si>
  <si>
    <t>-573.561949249837 122.8374449274 -691.285095772316</t>
  </si>
  <si>
    <t>-548.351910991526 101.367825647519 -839.957707235127</t>
  </si>
  <si>
    <t>-498.325489524166 81.1665539341654 -926.399744406761</t>
  </si>
  <si>
    <t>-557.165423666698 142.303171818632 -778.317367668369</t>
  </si>
  <si>
    <t>-525.504915981587 285.606178022276 -769.018646097411</t>
  </si>
  <si>
    <t>-485.201981583455 356.251203830339 -463.124590795768</t>
  </si>
  <si>
    <t>-305.598131411008 252.539432914605 -306.190074107152</t>
  </si>
  <si>
    <t>-561.847720152152 79.4316785198307 -770.032016345583</t>
  </si>
  <si>
    <t>-565.813773448318 279.064364128284 -248.557824565291</t>
  </si>
  <si>
    <t>-565.151634011236 275.163980664232 207.119733318465</t>
  </si>
  <si>
    <t>-606.694008981714 244.127664903455 674.333186405847</t>
  </si>
  <si>
    <t>-448.052619896257 256.263214823336 749.360732996863</t>
  </si>
  <si>
    <t>-557.436036085949 88.6118799996568 -225.169894410379</t>
  </si>
  <si>
    <t>-454.668552804534 81.2067475820713 218.723931720158</t>
  </si>
  <si>
    <t>-622.415852464456 3.87860655456939 650.467223731541</t>
  </si>
  <si>
    <t>-468.668629414096 -33.8152496086568 727.177555543194</t>
  </si>
  <si>
    <t>9763-20170724T170045.964920600.bin</t>
  </si>
  <si>
    <t>-561.63745329316 182.56483984052 -237.06075506044</t>
  </si>
  <si>
    <t>-585.37202468318 166.996667398116 -354.798136188617</t>
  </si>
  <si>
    <t>-589.698259615734 150.688538558193 -474.822715214509</t>
  </si>
  <si>
    <t>-585.595920639778 135.460624003761 -583.202245931465</t>
  </si>
  <si>
    <t>-573.61478300821 119.624414273459 -690.908034429885</t>
  </si>
  <si>
    <t>-548.806217157215 96.8613363972581 -839.45562352139</t>
  </si>
  <si>
    <t>-499.253633963883 76.2913754607287 -926.083476497343</t>
  </si>
  <si>
    <t>-557.292486446001 138.323476322074 -778.122061686382</t>
  </si>
  <si>
    <t>-525.083638189519 281.574216058209 -769.905911173051</t>
  </si>
  <si>
    <t>-482.778062678342 353.36857084048 -464.550353847855</t>
  </si>
  <si>
    <t>-304.27705413371 248.309617113305 -307.254233183548</t>
  </si>
  <si>
    <t>-562.273887354282 75.5432737965373 -769.333653829287</t>
  </si>
  <si>
    <t>-565.979854320614 277.793397736983 -248.464546499759</t>
  </si>
  <si>
    <t>-565.46001908846 274.504476049991 207.218084997492</t>
  </si>
  <si>
    <t>-606.767489837466 243.953546094549 674.491486361316</t>
  </si>
  <si>
    <t>-448.055976899217 256.326519902248 749.331783576214</t>
  </si>
  <si>
    <t>-557.19088217167 87.5241404602361 -224.988183821411</t>
  </si>
  <si>
    <t>-455.372481457808 80.6803440071039 219.13329885182</t>
  </si>
  <si>
    <t>-622.64864286466 3.85831766243882 651.109026612504</t>
  </si>
  <si>
    <t>-468.590741326513 -33.5864757500194 727.316389544734</t>
  </si>
  <si>
    <t>9763-20170724T170045.996511200.bin</t>
  </si>
  <si>
    <t>-561.58801631073 181.851048666846 -237.011029841463</t>
  </si>
  <si>
    <t>-585.241166014668 166.203243178942 -354.754382544941</t>
  </si>
  <si>
    <t>-589.541425340878 149.665041722623 -474.748472418339</t>
  </si>
  <si>
    <t>-585.441498251859 134.161343639911 -583.088930547835</t>
  </si>
  <si>
    <t>-573.490914831862 117.976989460725 -690.746176642821</t>
  </si>
  <si>
    <t>-548.75625258126 94.6501813864436 -839.218652324438</t>
  </si>
  <si>
    <t>-499.584801393575 74.2898968186166 -926.112847330376</t>
  </si>
  <si>
    <t>-557.144838933964 136.341006966212 -778.026897414276</t>
  </si>
  <si>
    <t>-524.665553763616 279.542834529817 -770.303328696896</t>
  </si>
  <si>
    <t>-481.803471729065 351.827092279084 -465.141188917417</t>
  </si>
  <si>
    <t>-303.657414941123 245.079396207653 -308.58134062632</t>
  </si>
  <si>
    <t>-562.256354708561 73.6020486747934 -769.021499399375</t>
  </si>
  <si>
    <t>-566.198282299298 277.084403070926 -248.448403004779</t>
  </si>
  <si>
    <t>-565.681187411918 274.11972044053 207.236488802008</t>
  </si>
  <si>
    <t>-606.827384411879 243.962056145501 674.563526371254</t>
  </si>
  <si>
    <t>-448.075855547852 256.421073890166 749.304739051281</t>
  </si>
  <si>
    <t>-556.874378928399 86.7226498029372 -224.897204792066</t>
  </si>
  <si>
    <t>-455.770149909275 80.4056948178056 219.395145863778</t>
  </si>
  <si>
    <t>-622.804944473906 3.85396265328063 651.485887762803</t>
  </si>
  <si>
    <t>-468.513742847703 -33.314204904085 727.355924758777</t>
  </si>
  <si>
    <t>9763-20170724T170046.061177300.bin</t>
  </si>
  <si>
    <t>-561.672815800851 180.434459538532 -236.856923846457</t>
  </si>
  <si>
    <t>-585.156402699812 164.552728599547 -354.602812300349</t>
  </si>
  <si>
    <t>-589.159798202412 147.651040137582 -474.556371493215</t>
  </si>
  <si>
    <t>-584.74499307379 131.758660337774 -582.828333859658</t>
  </si>
  <si>
    <t>-572.437149518686 115.120672755687 -690.376171006041</t>
  </si>
  <si>
    <t>-547.166347017727 91.0915288119506 -838.646070472393</t>
  </si>
  <si>
    <t>-499.360885557242 72.2011494180751 -926.627926288768</t>
  </si>
  <si>
    <t>-555.798117771761 133.072726714938 -777.687250188305</t>
  </si>
  <si>
    <t>-523.239708661095 276.285927904898 -770.79095801096</t>
  </si>
  <si>
    <t>-480.146916681234 349.072326510955 -465.780605101548</t>
  </si>
  <si>
    <t>-301.344786518758 242.144372724363 -310.094182720648</t>
  </si>
  <si>
    <t>-560.897679274048 70.374569745863 -768.395284943961</t>
  </si>
  <si>
    <t>-566.679314508896 275.434705813016 -248.404517363846</t>
  </si>
  <si>
    <t>-566.182703851279 273.333911724144 207.285109016159</t>
  </si>
  <si>
    <t>-606.904129331267 243.892923060741 674.696995387059</t>
  </si>
  <si>
    <t>-448.080191665161 256.56418825915 749.248431296166</t>
  </si>
  <si>
    <t>-556.619643826234 85.6095310820879 -224.601519863362</t>
  </si>
  <si>
    <t>-456.341519519909 79.900648962031 219.886230468964</t>
  </si>
  <si>
    <t>-623.063018069148 4.02245263718328 652.136840432143</t>
  </si>
  <si>
    <t>-468.454696076099 -33.0262051473019 727.417474427808</t>
  </si>
  <si>
    <t>9763-20170724T170046.098281400.bin</t>
  </si>
  <si>
    <t>-561.724282309355 179.801145679337 -236.863978941596</t>
  </si>
  <si>
    <t>-585.121594582461 163.821907281466 -354.613800563871</t>
  </si>
  <si>
    <t>-588.900280514961 146.857964686331 -474.565872311103</t>
  </si>
  <si>
    <t>-584.227039179948 130.922915657571 -582.820776291459</t>
  </si>
  <si>
    <t>-571.606914109698 114.254784395353 -690.327717729698</t>
  </si>
  <si>
    <t>-545.847873031927 90.1957123029274 -838.508748871872</t>
  </si>
  <si>
    <t>-498.792884645675 72.4261841288464 -927.126230508055</t>
  </si>
  <si>
    <t>-554.783098350932 132.194598847089 -777.605734777859</t>
  </si>
  <si>
    <t>-522.345353789377 275.442849201626 -770.920998568127</t>
  </si>
  <si>
    <t>-479.370957911897 348.039560908421 -465.848729125777</t>
  </si>
  <si>
    <t>-299.590687033732 241.895568228929 -310.753342905633</t>
  </si>
  <si>
    <t>-559.707861586648 69.48747737438 -768.280560603954</t>
  </si>
  <si>
    <t>-567.045159799792 274.659606254342 -248.405189940105</t>
  </si>
  <si>
    <t>-566.477012550984 272.958407697942 207.28604932737</t>
  </si>
  <si>
    <t>-606.956483247257 243.909006132212 674.76243215769</t>
  </si>
  <si>
    <t>-448.094891110037 256.647196064837 749.222119570475</t>
  </si>
  <si>
    <t>-556.369683560586 85.1380264434254 -224.589946582848</t>
  </si>
  <si>
    <t>-456.676172272145 79.5618665042357 220.031002546302</t>
  </si>
  <si>
    <t>-623.169866955585 4.13861783221273 652.435661631813</t>
  </si>
  <si>
    <t>-468.482147276576 -33.0751932561627 727.471361814891</t>
  </si>
  <si>
    <t>9763-20170724T170046.164459200.bin</t>
  </si>
  <si>
    <t>-561.441904179925 178.243579782607 -236.868750136626</t>
  </si>
  <si>
    <t>-584.49094645615 162.096583827166 -354.664460912348</t>
  </si>
  <si>
    <t>-588.013993617123 145.422184428545 -474.664911706921</t>
  </si>
  <si>
    <t>-583.142149375356 129.925937526071 -582.974610565041</t>
  </si>
  <si>
    <t>-570.352181312319 113.866172814571 -690.554020937886</t>
  </si>
  <si>
    <t>-544.383256391028 90.8233306821714 -838.859929856025</t>
  </si>
  <si>
    <t>-498.693464125029 75.5278288511236 -928.645693997619</t>
  </si>
  <si>
    <t>-553.636669404907 132.415293544154 -777.725711997485</t>
  </si>
  <si>
    <t>-521.754738264477 275.803144371602 -770.795628209575</t>
  </si>
  <si>
    <t>-478.891198388949 345.677913991145 -465.072920431306</t>
  </si>
  <si>
    <t>-295.313344400047 242.991727360124 -312.112765862208</t>
  </si>
  <si>
    <t>-558.11074014346 69.6229097651906 -768.752768686758</t>
  </si>
  <si>
    <t>-567.626099278571 272.835408114571 -248.380433195165</t>
  </si>
  <si>
    <t>-567.1225345974 272.15482466887 207.313499871822</t>
  </si>
  <si>
    <t>-607.030187582646 243.939481715784 674.872317556038</t>
  </si>
  <si>
    <t>-448.118374351058 257.015489170715 749.166155453058</t>
  </si>
  <si>
    <t>-555.146866747949 83.8337763475947 -224.656549819539</t>
  </si>
  <si>
    <t>-457.145538833673 78.6792782494631 220.345506356293</t>
  </si>
  <si>
    <t>-623.356183774578 4.00333241045792 652.992052033211</t>
  </si>
  <si>
    <t>-468.296339914307 -32.5551560808494 727.580517661896</t>
  </si>
  <si>
    <t>9763-20170724T170046.196044500.bin</t>
  </si>
  <si>
    <t>-560.993811279566 177.400269948995 -236.902979621383</t>
  </si>
  <si>
    <t>-583.91064787602 161.188996253581 -354.715608391313</t>
  </si>
  <si>
    <t>-587.393137295923 144.77696791415 -474.753449270569</t>
  </si>
  <si>
    <t>-582.516749742345 129.6454719387 -583.114485938878</t>
  </si>
  <si>
    <t>-569.750774471595 114.073641826446 -690.768503706508</t>
  </si>
  <si>
    <t>-543.841120378007 91.8340688690332 -839.207412322495</t>
  </si>
  <si>
    <t>-498.654875176646 77.6571579158956 -929.430522608574</t>
  </si>
  <si>
    <t>-553.216458061278 133.100782048965 -777.871613255403</t>
  </si>
  <si>
    <t>-521.809784639783 276.576860736871 -770.541839427597</t>
  </si>
  <si>
    <t>-478.456279562536 344.570466138881 -464.464227366816</t>
  </si>
  <si>
    <t>-292.609113270937 243.48212644882 -313.189470705737</t>
  </si>
  <si>
    <t>-557.39425890017 70.2479903778587 -769.184165803107</t>
  </si>
  <si>
    <t>-567.7324856361 271.826335438425 -248.38397138504</t>
  </si>
  <si>
    <t>-567.433770966773 271.70276961065 207.310608127608</t>
  </si>
  <si>
    <t>-607.048417966086 243.973587909985 674.899566906213</t>
  </si>
  <si>
    <t>-448.131036142738 257.288498413 749.138961879199</t>
  </si>
  <si>
    <t>-554.16539271401 83.1421759895954 -224.762237351685</t>
  </si>
  <si>
    <t>-457.205442728604 78.1764693335656 220.470081626824</t>
  </si>
  <si>
    <t>-623.40555201149 3.93444556101053 653.213720129474</t>
  </si>
  <si>
    <t>-468.192129750575 -32.3561614467758 727.613319452491</t>
  </si>
  <si>
    <t>9763-20170724T170046.265431100.bin</t>
  </si>
  <si>
    <t>-559.763824502014 175.581452431072 -236.972666494737</t>
  </si>
  <si>
    <t>-582.566114579328 159.271407242076 -354.793850899955</t>
  </si>
  <si>
    <t>-586.168716548142 143.444100210838 -474.906769462448</t>
  </si>
  <si>
    <t>-581.483448277093 129.113360250519 -583.384896698462</t>
  </si>
  <si>
    <t>-568.98198346496 114.609083645108 -691.218967179219</t>
  </si>
  <si>
    <t>-543.507163062994 94.1271022389017 -839.985787422272</t>
  </si>
  <si>
    <t>-499.067195642452 81.7841561222324 -930.846806153468</t>
  </si>
  <si>
    <t>-553.041041281418 134.67825884633 -778.198857460922</t>
  </si>
  <si>
    <t>-523.05489967934 278.419626087473 -769.877430672997</t>
  </si>
  <si>
    <t>-476.868442442541 343.194595528768 -463.516248254783</t>
  </si>
  <si>
    <t>-287.173310836624 243.524458587248 -316.126710443585</t>
  </si>
  <si>
    <t>-556.516908000373 71.70124385025 -770.123406302034</t>
  </si>
  <si>
    <t>-567.616697454168 269.735284527836 -248.353464602754</t>
  </si>
  <si>
    <t>-567.343501140554 270.683119943751 207.340287548823</t>
  </si>
  <si>
    <t>-607.119823333442 244.045234230183 674.997928051667</t>
  </si>
  <si>
    <t>-448.173679980803 257.701409073551 749.113648354507</t>
  </si>
  <si>
    <t>-551.844460016633 81.4802602671866 -224.957630082307</t>
  </si>
  <si>
    <t>-456.968643736333 77.1573278117926 220.730132734766</t>
  </si>
  <si>
    <t>-623.436708695271 3.59686254443159 653.50405136013</t>
  </si>
  <si>
    <t>-467.995685704955 -32.179476378129 727.677153533768</t>
  </si>
  <si>
    <t>9763-20170724T170046.301538700.bin</t>
  </si>
  <si>
    <t>-558.994901717977 174.532788263617 -236.995499331577</t>
  </si>
  <si>
    <t>-581.762657159757 158.188027064484 -354.818692413809</t>
  </si>
  <si>
    <t>-585.471312196562 142.61701672913 -474.961774928851</t>
  </si>
  <si>
    <t>-580.933044797532 128.635665693454 -583.491678683314</t>
  </si>
  <si>
    <t>-568.625424385245 114.596434148103 -691.409624108141</t>
  </si>
  <si>
    <t>-543.4643657878 94.8805040531111 -840.33312057106</t>
  </si>
  <si>
    <t>-499.305006391284 83.288832750374 -931.429687031042</t>
  </si>
  <si>
    <t>-553.026268544327 135.118023548334 -778.345852550864</t>
  </si>
  <si>
    <t>-523.908122859144 278.991481280288 -769.529610978426</t>
  </si>
  <si>
    <t>-475.760166853563 342.604548072847 -463.226930755499</t>
  </si>
  <si>
    <t>-284.586472985197 243.284788226055 -317.520787747926</t>
  </si>
  <si>
    <t>-556.168451603104 72.0903072401404 -770.53251658252</t>
  </si>
  <si>
    <t>-567.294123796307 268.500867866627 -248.29220443025</t>
  </si>
  <si>
    <t>-566.944690335523 270.011627025642 207.399803335397</t>
  </si>
  <si>
    <t>-607.124064599139 243.945642954751 675.056894099541</t>
  </si>
  <si>
    <t>-448.178831531002 257.962028748553 749.107395425365</t>
  </si>
  <si>
    <t>-550.638937993358 80.5726411462533 -225.042536310605</t>
  </si>
  <si>
    <t>-456.677763196926 76.5041557233214 220.841356359363</t>
  </si>
  <si>
    <t>-623.420460240824 3.54215123872291 653.59607327559</t>
  </si>
  <si>
    <t>-467.91624045172 -32.0821071682067 727.7099301361</t>
  </si>
  <si>
    <t>9763-20170724T170046.365712900.bin</t>
  </si>
  <si>
    <t>-557.236292563089 172.424111760074 -237.002173157837</t>
  </si>
  <si>
    <t>-580.058872493326 156.116632602932 -354.819839970575</t>
  </si>
  <si>
    <t>-584.009204127151 141.088412475511 -475.024298289157</t>
  </si>
  <si>
    <t>-579.754674014451 127.800500775789 -583.652973993705</t>
  </si>
  <si>
    <t>-567.788504284298 114.65544597905 -691.72169198843</t>
  </si>
  <si>
    <t>-543.154869779251 96.3890363047797 -840.91799228389</t>
  </si>
  <si>
    <t>-499.484865459303 86.1515116115083 -932.411844567303</t>
  </si>
  <si>
    <t>-552.732087582778 136.027932161912 -778.548543193225</t>
  </si>
  <si>
    <t>-524.615880161728 280.055283919725 -768.815112724082</t>
  </si>
  <si>
    <t>-473.137412141339 341.649757613616 -462.641476382166</t>
  </si>
  <si>
    <t>-279.638454059775 244.127290785966 -318.80288526276</t>
  </si>
  <si>
    <t>-555.376898194555 72.9148471253968 -771.258165327153</t>
  </si>
  <si>
    <t>-566.150917889771 265.976865867857 -248.113287270333</t>
  </si>
  <si>
    <t>-565.507471526747 268.533707919919 207.57382159846</t>
  </si>
  <si>
    <t>-607.050460148207 243.525128501462 675.173680365202</t>
  </si>
  <si>
    <t>-448.135661700873 258.482638575549 749.105264119716</t>
  </si>
  <si>
    <t>-548.288485698939 78.8552636116028 -225.246098174483</t>
  </si>
  <si>
    <t>-456.108671013835 75.014514424591 221.011479105231</t>
  </si>
  <si>
    <t>-623.375861590718 3.45836451847094 653.793943969137</t>
  </si>
  <si>
    <t>-467.872457705573 -32.3130021928378 727.838554788865</t>
  </si>
  <si>
    <t>9763-20170724T170046.397801700.bin</t>
  </si>
  <si>
    <t>-556.297589645857 171.253250851724 -236.974989908904</t>
  </si>
  <si>
    <t>-579.223317344991 155.007404685356 -354.781026949831</t>
  </si>
  <si>
    <t>-583.301592699569 140.231002452197 -475.012453527859</t>
  </si>
  <si>
    <t>-579.168330876842 127.247060810077 -583.682555100129</t>
  </si>
  <si>
    <t>-567.326320415109 114.481188790549 -691.810561965979</t>
  </si>
  <si>
    <t>-542.865807569102 96.819487414499 -841.108066362277</t>
  </si>
  <si>
    <t>-499.371985230547 87.1506501298945 -932.747465671884</t>
  </si>
  <si>
    <t>-552.442132744298 136.206824303481 -778.579169998543</t>
  </si>
  <si>
    <t>-524.603383764993 280.246369300119 -768.457580515025</t>
  </si>
  <si>
    <t>-471.782974396961 340.984733201818 -462.341580321178</t>
  </si>
  <si>
    <t>-277.60325279395 244.187707028338 -318.930823197177</t>
  </si>
  <si>
    <t>-554.935514682008 73.061776792244 -771.51774994006</t>
  </si>
  <si>
    <t>-565.332533323432 264.615801118739 -247.973158157378</t>
  </si>
  <si>
    <t>-564.450161088705 267.656403967505 207.710531200116</t>
  </si>
  <si>
    <t>-606.9816676033 243.152040574762 675.263467670458</t>
  </si>
  <si>
    <t>-448.092699945164 258.741305436491 749.120002179223</t>
  </si>
  <si>
    <t>-547.205097740655 77.8169774424553 -225.32275268751</t>
  </si>
  <si>
    <t>-455.83991012788 74.0943415157783 221.103297141029</t>
  </si>
  <si>
    <t>-623.33570874296 3.2343228583311 653.897114472745</t>
  </si>
  <si>
    <t>-467.766602778067 -32.2951559662481 727.920206735842</t>
  </si>
  <si>
    <t>9763-20170724T170046.464983400.bin</t>
  </si>
  <si>
    <t>-554.288759248737 168.970732812746 -236.789940288888</t>
  </si>
  <si>
    <t>-577.442789082587 152.828252384444 -354.565598316697</t>
  </si>
  <si>
    <t>-581.812398297336 138.441681303226 -474.833993402876</t>
  </si>
  <si>
    <t>-577.960939452965 125.926839555072 -583.569600589925</t>
  </si>
  <si>
    <t>-566.414460629198 113.747523913382 -691.797023468006</t>
  </si>
  <si>
    <t>-542.374759206189 97.0233964342037 -841.27071101064</t>
  </si>
  <si>
    <t>-499.182842165655 88.2884784140974 -933.146562456726</t>
  </si>
  <si>
    <t>-551.845819436243 136.018937554632 -778.480936187393</t>
  </si>
  <si>
    <t>-524.18104396189 280.049740339684 -767.72296598519</t>
  </si>
  <si>
    <t>-469.156252738158 339.624109505784 -461.766517169597</t>
  </si>
  <si>
    <t>-274.097977869044 243.741919694934 -318.934537574144</t>
  </si>
  <si>
    <t>-554.177318122867 72.8276456548408 -771.785577852637</t>
  </si>
  <si>
    <t>-563.351249970214 262.006448473317 -247.617888091978</t>
  </si>
  <si>
    <t>-562.006096989896 265.976750590453 208.057602020646</t>
  </si>
  <si>
    <t>-606.885117385381 242.498983866952 675.451259575761</t>
  </si>
  <si>
    <t>-448.017772560746 258.905512340495 749.177155852076</t>
  </si>
  <si>
    <t>-545.18081751011 75.8666866656633 -225.259065442309</t>
  </si>
  <si>
    <t>-454.948452380905 72.3762089719544 221.399261628084</t>
  </si>
  <si>
    <t>-623.217512706834 3.0687610994562 654.074188818493</t>
  </si>
  <si>
    <t>-467.673777080389 -32.4816230217289 728.140559338872</t>
  </si>
  <si>
    <t>9763-20170724T170046.496073600.bin</t>
  </si>
  <si>
    <t>-553.315188567971 167.9266376531 -236.705307461699</t>
  </si>
  <si>
    <t>-576.543730609393 151.875185328538 -354.478690237145</t>
  </si>
  <si>
    <t>-581.071248864157 137.67305903749 -474.763175656541</t>
  </si>
  <si>
    <t>-577.393816006781 125.364026489333 -583.528271490587</t>
  </si>
  <si>
    <t>-566.05071352023 113.430042980861 -691.804549087937</t>
  </si>
  <si>
    <t>-542.322074410318 97.0889361271331 -841.370308488508</t>
  </si>
  <si>
    <t>-499.267083748826 88.7325830529667 -933.345429572219</t>
  </si>
  <si>
    <t>-551.664901038196 135.923534518912 -778.461592324678</t>
  </si>
  <si>
    <t>-523.887320630055 279.902556766047 -767.429559404277</t>
  </si>
  <si>
    <t>-468.065671933172 339.224799571354 -461.568352860621</t>
  </si>
  <si>
    <t>-272.647115036837 243.575364783478 -319.073415119158</t>
  </si>
  <si>
    <t>-553.977609020514 72.7152502505846 -771.92262328362</t>
  </si>
  <si>
    <t>-562.345766171243 260.871598421105 -247.442046256411</t>
  </si>
  <si>
    <t>-560.808105432889 265.225946843497 208.229254403722</t>
  </si>
  <si>
    <t>-606.831152880641 242.15748224668 675.548010242779</t>
  </si>
  <si>
    <t>-447.978142792469 259.017950210769 749.202387893115</t>
  </si>
  <si>
    <t>-544.205684425186 74.9326163106318 -225.287380562904</t>
  </si>
  <si>
    <t>-454.587913504003 71.623811325979 221.495995065125</t>
  </si>
  <si>
    <t>-623.127467135213 3.02463076635581 654.142526614679</t>
  </si>
  <si>
    <t>-467.673110288523 -32.7343943446788 728.296065575494</t>
  </si>
  <si>
    <t>9763-20170724T170046.562919600.bin</t>
  </si>
  <si>
    <t>-551.400294991106 166.204160985405 -236.519467725456</t>
  </si>
  <si>
    <t>-574.757809725458 150.415019966299 -354.302872519993</t>
  </si>
  <si>
    <t>-579.599214294692 136.536488066994 -474.612880017729</t>
  </si>
  <si>
    <t>-576.277730088153 124.54435086679 -583.424712506134</t>
  </si>
  <si>
    <t>-565.360129278579 112.951931968276 -691.781942075732</t>
  </si>
  <si>
    <t>-542.292321686874 97.1116018177229 -841.504834542816</t>
  </si>
  <si>
    <t>-499.414977649905 89.2799127109133 -933.609104120294</t>
  </si>
  <si>
    <t>-551.31590892301 135.734499665528 -778.419444484631</t>
  </si>
  <si>
    <t>-523.207459510028 279.630679098623 -767.087221333481</t>
  </si>
  <si>
    <t>-465.660272065085 338.254219094939 -461.411227019817</t>
  </si>
  <si>
    <t>-269.626147316852 242.649774532088 -319.733929856361</t>
  </si>
  <si>
    <t>-553.682290686138 72.5063961444093 -772.094621130621</t>
  </si>
  <si>
    <t>-560.143151725443 258.98472552494 -247.051789879539</t>
  </si>
  <si>
    <t>-558.223434301569 263.914512078593 208.612211859896</t>
  </si>
  <si>
    <t>-606.721826084005 241.527466305751 675.719864216464</t>
  </si>
  <si>
    <t>-447.914148225776 259.345294034132 749.246349832719</t>
  </si>
  <si>
    <t>-542.546538507899 73.4674952815828 -225.319485070886</t>
  </si>
  <si>
    <t>-454.064417468828 70.1587593767895 221.690203012176</t>
  </si>
  <si>
    <t>-622.941115215137 2.71301334824898 654.365274180224</t>
  </si>
  <si>
    <t>-467.546907654439 -32.9635287621679 728.684441511891</t>
  </si>
  <si>
    <t>9763-20170724T170046.627110000.bin</t>
  </si>
  <si>
    <t>-550.512916048847 165.60223864487 -236.397593802035</t>
  </si>
  <si>
    <t>-573.951307949359 149.948694582321 -354.183193304971</t>
  </si>
  <si>
    <t>-578.944019245917 136.207888820851 -474.502760998432</t>
  </si>
  <si>
    <t>-575.786919853847 124.339053551078 -583.332996886629</t>
  </si>
  <si>
    <t>-565.060433322256 112.86787324803 -691.72218504968</t>
  </si>
  <si>
    <t>-542.285017836832 97.1933880937727 -841.507330703141</t>
  </si>
  <si>
    <t>-499.445782237796 89.5326001692731 -933.643642049146</t>
  </si>
  <si>
    <t>-551.138057109276 135.745289377498 -778.35444649043</t>
  </si>
  <si>
    <t>-522.777671955973 279.582495617241 -766.922800599741</t>
  </si>
  <si>
    <t>-464.411891274176 337.890620848459 -461.341873955718</t>
  </si>
  <si>
    <t>-268.065771029731 242.0407949805 -320.263533183933</t>
  </si>
  <si>
    <t>-553.586788067832 72.5124045043895 -772.109712116189</t>
  </si>
  <si>
    <t>-559.09953324091 258.286302416501 -246.82708849152</t>
  </si>
  <si>
    <t>-556.835421892063 263.406183762386 208.833312021583</t>
  </si>
  <si>
    <t>-606.67755990736 241.273198760915 675.802460984894</t>
  </si>
  <si>
    <t>-447.882383127941 259.40466445036 749.279274599943</t>
  </si>
  <si>
    <t>-541.829163192661 72.9970449195312 -225.289631809172</t>
  </si>
  <si>
    <t>-453.728987059935 69.5530897713261 221.794433972988</t>
  </si>
  <si>
    <t>-622.838744222959 2.5275675138555 654.477424353184</t>
  </si>
  <si>
    <t>-467.48845162861 -33.1416893510193 728.891783463752</t>
  </si>
  <si>
    <t>9763-20170724T170046.666214200.bin</t>
  </si>
  <si>
    <t>-548.959132348369 164.701938249787 -236.091405635802</t>
  </si>
  <si>
    <t>-572.55885524264 149.274084887407 -353.874494909196</t>
  </si>
  <si>
    <t>-577.739899750112 135.691243425017 -474.204167052192</t>
  </si>
  <si>
    <t>-574.76388031866 123.937181382315 -583.051892584782</t>
  </si>
  <si>
    <t>-564.229237268591 112.55310961198 -691.469003960865</t>
  </si>
  <si>
    <t>-541.731629805295 96.9708459564752 -841.305707143548</t>
  </si>
  <si>
    <t>-498.920830486643 89.4435718848226 -933.466276831683</t>
  </si>
  <si>
    <t>-550.366980105596 135.481379351007 -778.097473793985</t>
  </si>
  <si>
    <t>-521.621918917142 279.239601908929 -766.626147365761</t>
  </si>
  <si>
    <t>-461.477026089849 337.055869040641 -461.296612336658</t>
  </si>
  <si>
    <t>-264.57050154616 240.808690738749 -321.273901769848</t>
  </si>
  <si>
    <t>-553.005225608114 72.2496757255367 -771.917744307936</t>
  </si>
  <si>
    <t>-557.16614222603 257.256835271281 -246.395940229098</t>
  </si>
  <si>
    <t>-554.271613314247 262.608849332619 209.258085672767</t>
  </si>
  <si>
    <t>-606.528773546987 240.702168387797 675.939431257929</t>
  </si>
  <si>
    <t>-447.797966393882 259.614144573904 749.358641162837</t>
  </si>
  <si>
    <t>-540.66683001556 72.0824839912138 -225.107115426645</t>
  </si>
  <si>
    <t>-453.173284045463 68.8077024988213 222.097382875087</t>
  </si>
  <si>
    <t>-622.630115587932 2.18948124277426 654.703048389224</t>
  </si>
  <si>
    <t>-467.385452531467 -33.5501355473252 729.303861848982</t>
  </si>
  <si>
    <t>9763-20170724T170046.695303000.bin</t>
  </si>
  <si>
    <t>-548.31684352919 164.371648517615 -235.920009245798</t>
  </si>
  <si>
    <t>-571.995465508024 149.031296336796 -353.698628979984</t>
  </si>
  <si>
    <t>-577.259211770018 135.474149744467 -474.02762694225</t>
  </si>
  <si>
    <t>-574.359962873884 123.718454377001 -582.877272933069</t>
  </si>
  <si>
    <t>-563.904445508786 112.308080972447 -691.299285699543</t>
  </si>
  <si>
    <t>-541.519681420827 96.6636655658072 -841.146534325545</t>
  </si>
  <si>
    <t>-498.735954118409 89.1325655757159 -933.319382397562</t>
  </si>
  <si>
    <t>-550.032307171032 135.198225367085 -777.93621148741</t>
  </si>
  <si>
    <t>-520.964648254368 278.891801097174 -766.482521026922</t>
  </si>
  <si>
    <t>-460.051575090297 336.599366941245 -461.284816085263</t>
  </si>
  <si>
    <t>-263.004126856598 240.056805675038 -321.664360608985</t>
  </si>
  <si>
    <t>-552.816205581543 71.9732916627245 -771.7513134342</t>
  </si>
  <si>
    <t>-556.262712638916 256.90113482957 -246.203419482154</t>
  </si>
  <si>
    <t>-553.138990264289 262.269891623622 209.448970159439</t>
  </si>
  <si>
    <t>-606.452731420262 240.437734557057 676.00402996984</t>
  </si>
  <si>
    <t>-447.779858346237 259.902526634876 749.403932003931</t>
  </si>
  <si>
    <t>-540.314359555952 71.8090010550995 -224.952636887515</t>
  </si>
  <si>
    <t>-452.838120462331 68.5218837570587 222.255088745613</t>
  </si>
  <si>
    <t>-622.523234716132 2.01225157711133 654.806577900141</t>
  </si>
  <si>
    <t>-467.360710605691 -33.8856637327474 729.502233802471</t>
  </si>
  <si>
    <t>9763-20170724T170046.766489600.bin</t>
  </si>
  <si>
    <t>-547.193431957447 164.06710661969 -235.567508655198</t>
  </si>
  <si>
    <t>-570.91142271623 148.852430184807 -353.354479641963</t>
  </si>
  <si>
    <t>-576.277577643796 135.264838581743 -473.675490527045</t>
  </si>
  <si>
    <t>-573.498662536354 123.414812389122 -582.518140208952</t>
  </si>
  <si>
    <t>-563.19212816233 111.843001607605 -690.937237337188</t>
  </si>
  <si>
    <t>-541.045102115556 95.9031865452368 -840.788638616347</t>
  </si>
  <si>
    <t>-498.332693897586 88.2363456731775 -932.983293830417</t>
  </si>
  <si>
    <t>-549.251338416862 134.555662599356 -777.609983192155</t>
  </si>
  <si>
    <t>-519.313851825257 278.083590249976 -766.330604214658</t>
  </si>
  <si>
    <t>-457.215950943759 335.528081847118 -461.322070489555</t>
  </si>
  <si>
    <t>-260.207485963085 238.763183386808 -321.800511802996</t>
  </si>
  <si>
    <t>-552.437639528367 71.3564054102096 -771.358257845287</t>
  </si>
  <si>
    <t>-554.448961423649 256.578301352915 -245.87318944833</t>
  </si>
  <si>
    <t>-551.160906235305 261.858492343404 209.778980065993</t>
  </si>
  <si>
    <t>-606.344465348225 240.143816938859 676.07867658694</t>
  </si>
  <si>
    <t>-447.766604149657 260.322307489887 749.491158837207</t>
  </si>
  <si>
    <t>-539.809945169782 71.5898061810135 -224.622804100812</t>
  </si>
  <si>
    <t>-452.182580584891 68.139306100323 222.554122617344</t>
  </si>
  <si>
    <t>-622.31252378927 1.8294476906392 654.998327643081</t>
  </si>
  <si>
    <t>-467.268090239505 -34.2298075348219 729.861334635074</t>
  </si>
  <si>
    <t>9763-20170724T170046.795572400.bin</t>
  </si>
  <si>
    <t>-546.701780308381 164.148533947797 -235.407375152123</t>
  </si>
  <si>
    <t>-570.427977787863 149.002663315432 -353.201664863336</t>
  </si>
  <si>
    <t>-575.83515772294 135.382637990356 -473.517151563008</t>
  </si>
  <si>
    <t>-573.108138086213 123.460517063581 -582.35317336812</t>
  </si>
  <si>
    <t>-562.869350638121 111.772944797604 -690.766344170766</t>
  </si>
  <si>
    <t>-540.83341697273 95.6268347975399 -840.612004202519</t>
  </si>
  <si>
    <t>-498.144824720533 87.8491774959095 -932.808375744097</t>
  </si>
  <si>
    <t>-548.870151202914 134.361835316159 -777.461934820792</t>
  </si>
  <si>
    <t>-518.416709361754 277.790511560546 -766.296395304359</t>
  </si>
  <si>
    <t>-455.899061913076 335.186577809108 -461.364514054096</t>
  </si>
  <si>
    <t>-259.259220357474 238.283393363516 -321.419469082938</t>
  </si>
  <si>
    <t>-552.297077740626 71.180253367723 -771.157881156151</t>
  </si>
  <si>
    <t>-553.655723665716 256.734727848659 -245.745279444691</t>
  </si>
  <si>
    <t>-550.420282224532 261.912563673726 209.908478163608</t>
  </si>
  <si>
    <t>-606.353595821945 240.233616701724 676.088639717816</t>
  </si>
  <si>
    <t>-447.778016336488 260.279435194739 749.542373946039</t>
  </si>
  <si>
    <t>-539.669016657927 71.64490986191 -224.434866742513</t>
  </si>
  <si>
    <t>-451.837697269495 68.0728365159471 222.701124632093</t>
  </si>
  <si>
    <t>-622.204844023295 1.75582055063364 655.076864557188</t>
  </si>
  <si>
    <t>-467.225869703134 -34.4122627791 730.022793897465</t>
  </si>
  <si>
    <t>9763-20170724T170046.862752700.bin</t>
  </si>
  <si>
    <t>-546.115028616546 164.712915866194 -235.118303080581</t>
  </si>
  <si>
    <t>-569.871653714351 149.666361197588 -352.919024615229</t>
  </si>
  <si>
    <t>-575.364715688534 135.942632776732 -473.21908208846</t>
  </si>
  <si>
    <t>-572.741054003701 123.841747159872 -582.037720320993</t>
  </si>
  <si>
    <t>-562.632899295976 111.890919823872 -690.434523884079</t>
  </si>
  <si>
    <t>-540.808593293203 95.2896279089091 -840.261432764052</t>
  </si>
  <si>
    <t>-498.199559980181 87.2012415026079 -932.467842989892</t>
  </si>
  <si>
    <t>-548.507508073274 134.205565200495 -777.180489138589</t>
  </si>
  <si>
    <t>-516.998848434194 277.428258785 -766.235685127635</t>
  </si>
  <si>
    <t>-454.231153210176 335.095821548168 -461.406528523664</t>
  </si>
  <si>
    <t>-258.6025157166 237.906134794389 -320.248415558527</t>
  </si>
  <si>
    <t>-552.422905901724 71.0646983971208 -770.754796501735</t>
  </si>
  <si>
    <t>-552.404159305505 257.413548913267 -245.561587949958</t>
  </si>
  <si>
    <t>-549.477928328724 262.247291959233 210.098056555572</t>
  </si>
  <si>
    <t>-606.316611192553 240.296789612701 676.111906143199</t>
  </si>
  <si>
    <t>-447.815194027999 260.609773499893 749.65222874721</t>
  </si>
  <si>
    <t>-539.790266281922 72.0931713871159 -224.042529367614</t>
  </si>
  <si>
    <t>-451.174626716407 68.229017367622 222.936282261237</t>
  </si>
  <si>
    <t>-622.012124629485 1.62068176353 655.16391992068</t>
  </si>
  <si>
    <t>-467.16351929498 -34.850060823791 730.232691748949</t>
  </si>
  <si>
    <t>9763-20170724T170046.896850000.bin</t>
  </si>
  <si>
    <t>-545.961102565922 165.117264377193 -234.988768003883</t>
  </si>
  <si>
    <t>-569.738678414656 150.089618795109 -352.787752905976</t>
  </si>
  <si>
    <t>-575.26758284467 136.275099131001 -473.075544497038</t>
  </si>
  <si>
    <t>-572.684095165665 124.046630586764 -581.881111688471</t>
  </si>
  <si>
    <t>-562.625019147838 111.922458835615 -690.263171557564</t>
  </si>
  <si>
    <t>-540.878868399785 95.0330226396138 -840.069318957524</t>
  </si>
  <si>
    <t>-498.28797926184 86.7607258601226 -932.267795356425</t>
  </si>
  <si>
    <t>-548.426582642435 134.064603378077 -777.041566612779</t>
  </si>
  <si>
    <t>-516.410662869095 277.17722604866 -766.223107489973</t>
  </si>
  <si>
    <t>-453.557343153859 334.908791064327 -461.423674572799</t>
  </si>
  <si>
    <t>-258.373586372743 237.611495286078 -319.724698401549</t>
  </si>
  <si>
    <t>-552.575113284322 70.9476536540319 -770.527794222613</t>
  </si>
  <si>
    <t>-551.958814420371 257.9037887034 -245.483797079409</t>
  </si>
  <si>
    <t>-549.104193029832 262.500954764806 210.178810128095</t>
  </si>
  <si>
    <t>-606.354136066747 240.433259121561 676.134047157765</t>
  </si>
  <si>
    <t>-447.853075838906 260.630491152845 749.707148103316</t>
  </si>
  <si>
    <t>-539.917077680105 72.3963416452989 -223.854957800424</t>
  </si>
  <si>
    <t>-450.845959606408 68.4042981193134 223.032192407458</t>
  </si>
  <si>
    <t>-621.922411006349 1.52976081435804 655.176658429783</t>
  </si>
  <si>
    <t>-467.170334312962 -35.2503605348713 730.293407262373</t>
  </si>
  <si>
    <t>9763-20170724T170046.965036600.bin</t>
  </si>
  <si>
    <t>-545.790085352845 165.891530826794 -234.779790582664</t>
  </si>
  <si>
    <t>-569.66730684858 150.919151077515 -352.565646475487</t>
  </si>
  <si>
    <t>-575.30462692368 136.943948048169 -472.829965750392</t>
  </si>
  <si>
    <t>-572.825658537586 124.479738903355 -581.61121972932</t>
  </si>
  <si>
    <t>-562.879716469189 112.028135516426 -689.966549169216</t>
  </si>
  <si>
    <t>-541.301795872933 94.5866603282443 -839.733670534812</t>
  </si>
  <si>
    <t>-498.682890985389 85.9037048381667 -931.881437013358</t>
  </si>
  <si>
    <t>-548.588807062151 133.840252910337 -776.813183099211</t>
  </si>
  <si>
    <t>-515.835184246644 276.813611066566 -766.259386633021</t>
  </si>
  <si>
    <t>-452.293177095965 334.531936393564 -461.600255777111</t>
  </si>
  <si>
    <t>-257.353059716119 237.054932947291 -319.689590435286</t>
  </si>
  <si>
    <t>-553.109950870723 70.7676557345919 -770.119474331616</t>
  </si>
  <si>
    <t>-551.383335598126 258.888745503312 -245.335393196987</t>
  </si>
  <si>
    <t>-548.51528631317 262.967224193491 210.332137330403</t>
  </si>
  <si>
    <t>-606.383683442877 240.582608750887 676.171272356586</t>
  </si>
  <si>
    <t>-447.887062562828 260.62820067962 749.795333039162</t>
  </si>
  <si>
    <t>-540.12655777988 73.0043576990963 -223.592827241768</t>
  </si>
  <si>
    <t>-450.411714331152 68.5594763710644 223.161191941515</t>
  </si>
  <si>
    <t>-621.764645286158 1.22221327800571 655.186335758616</t>
  </si>
  <si>
    <t>-466.99454185534 -35.3713471108233 730.35709709931</t>
  </si>
  <si>
    <t>9763-20170724T170046.997649100.bin</t>
  </si>
  <si>
    <t>-545.846084594998 166.426615654228 -234.701276551114</t>
  </si>
  <si>
    <t>-569.772970842661 151.481003979125 -352.480491259429</t>
  </si>
  <si>
    <t>-575.434288119334 137.42952839485 -472.734656980655</t>
  </si>
  <si>
    <t>-572.968290090123 124.852501295842 -581.503173477681</t>
  </si>
  <si>
    <t>-563.027664109642 112.244180630803 -689.840929237235</t>
  </si>
  <si>
    <t>-541.450532801113 94.5378583239856 -839.576999107902</t>
  </si>
  <si>
    <t>-498.743628256343 85.6561810351586 -931.665197586959</t>
  </si>
  <si>
    <t>-548.666680788717 133.898712725022 -776.71548819684</t>
  </si>
  <si>
    <t>-515.733393093142 276.823208156023 -766.300320826612</t>
  </si>
  <si>
    <t>-451.525868368551 334.724900327727 -461.815538583798</t>
  </si>
  <si>
    <t>-256.494932168382 237.311625835092 -319.985965665268</t>
  </si>
  <si>
    <t>-553.328793272043 70.8460238422881 -769.931446285024</t>
  </si>
  <si>
    <t>-551.288206855795 259.519521624505 -245.275125748092</t>
  </si>
  <si>
    <t>-548.40903238283 263.324439686743 210.394662277709</t>
  </si>
  <si>
    <t>-606.403034765323 240.713460277765 676.172404327493</t>
  </si>
  <si>
    <t>-447.906537616003 260.62486501553 749.833091049808</t>
  </si>
  <si>
    <t>-540.345808097917 73.4715158435074 -223.493755007754</t>
  </si>
  <si>
    <t>-450.317889784872 68.6792172855678 223.193721766919</t>
  </si>
  <si>
    <t>-621.698890431145 1.07618602753791 655.183601535341</t>
  </si>
  <si>
    <t>-466.969565331349 -35.6563445502175 730.370493552484</t>
  </si>
  <si>
    <t>9763-20170724T170047.062323000.bin</t>
  </si>
  <si>
    <t>-546.007455775279 167.432556156053 -234.684212717227</t>
  </si>
  <si>
    <t>-569.940555434905 152.49008958938 -352.462492915031</t>
  </si>
  <si>
    <t>-575.627650308998 138.281297068385 -472.69688916717</t>
  </si>
  <si>
    <t>-573.195713976279 125.496270069474 -581.442032365539</t>
  </si>
  <si>
    <t>-563.30166747932 112.613744852245 -689.751795418016</t>
  </si>
  <si>
    <t>-541.803756649851 94.4575969056707 -839.445403320475</t>
  </si>
  <si>
    <t>-498.951689787044 85.2244461050395 -931.431493691758</t>
  </si>
  <si>
    <t>-548.879323765308 134.000750917675 -776.682447235068</t>
  </si>
  <si>
    <t>-515.795700071528 276.924870660342 -766.470701645579</t>
  </si>
  <si>
    <t>-450.525658427005 335.153065443015 -462.274279713294</t>
  </si>
  <si>
    <t>-255.207234616559 238.072475341027 -320.612179260259</t>
  </si>
  <si>
    <t>-553.752516431863 70.981495785702 -769.73875285802</t>
  </si>
  <si>
    <t>-551.26173274866 260.722814653471 -245.297178627596</t>
  </si>
  <si>
    <t>-548.461568476877 263.986710249884 210.377214914321</t>
  </si>
  <si>
    <t>-606.453852593281 241.101806529254 676.114788636372</t>
  </si>
  <si>
    <t>-447.997662879821 260.882028041096 749.897489002438</t>
  </si>
  <si>
    <t>-540.627337776063 74.2120241105233 -223.398263299266</t>
  </si>
  <si>
    <t>-450.265690322116 69.1880063640124 223.219247091976</t>
  </si>
  <si>
    <t>-621.585683843713 0.869665983267396 655.144642551578</t>
  </si>
  <si>
    <t>-466.865055283246 -35.8869888878578 730.33765061911</t>
  </si>
  <si>
    <t>9763-20170724T170047.094949600.bin</t>
  </si>
  <si>
    <t>-546.138187002755 167.98364567545 -234.694503038153</t>
  </si>
  <si>
    <t>-569.997388208696 153.018544225754 -352.484892809251</t>
  </si>
  <si>
    <t>-575.649634751554 138.717413898785 -472.710188622448</t>
  </si>
  <si>
    <t>-573.203682323158 125.821508083736 -581.441751933696</t>
  </si>
  <si>
    <t>-563.314013842018 112.800842414576 -689.735282853807</t>
  </si>
  <si>
    <t>-541.841891968211 94.424761902801 -839.405881768472</t>
  </si>
  <si>
    <t>-498.909170554337 85.0567355517319 -931.340670437856</t>
  </si>
  <si>
    <t>-548.870344023215 134.057926080899 -776.6944199987</t>
  </si>
  <si>
    <t>-515.755584534349 276.96727684568 -766.570272631728</t>
  </si>
  <si>
    <t>-450.286346238304 335.517475261495 -462.478352913634</t>
  </si>
  <si>
    <t>-254.947889859007 238.569723779075 -320.753117875635</t>
  </si>
  <si>
    <t>-553.814917045566 71.0533737636881 -769.668317321848</t>
  </si>
  <si>
    <t>-551.267019253683 261.324557987593 -245.368375843748</t>
  </si>
  <si>
    <t>-548.609745132104 264.33230611897 210.30871107757</t>
  </si>
  <si>
    <t>-606.443415808928 241.271746026723 676.0508036722</t>
  </si>
  <si>
    <t>-448.030830389411 261.084042418604 749.91863747916</t>
  </si>
  <si>
    <t>-540.89956250513 74.7757546050698 -223.353518352633</t>
  </si>
  <si>
    <t>-450.214376864653 69.4749765518013 223.195236943098</t>
  </si>
  <si>
    <t>-621.524951581229 0.882595252261353 655.091224695287</t>
  </si>
  <si>
    <t>-466.901387467881 -36.247094806319 730.300652298401</t>
  </si>
  <si>
    <t>9763-20170724T170047.161629400.bin</t>
  </si>
  <si>
    <t>-546.533407229875 169.020066551497 -234.781868883233</t>
  </si>
  <si>
    <t>-570.337149165497 154.015831616111 -352.578617174965</t>
  </si>
  <si>
    <t>-576.014160329143 139.609619012478 -472.790096962289</t>
  </si>
  <si>
    <t>-573.624558888484 126.586325270101 -581.507784366665</t>
  </si>
  <si>
    <t>-563.825748057251 113.403377741869 -689.79002467782</t>
  </si>
  <si>
    <t>-542.51641341843 94.762063770002 -839.451026273666</t>
  </si>
  <si>
    <t>-499.502183393329 85.2128539509483 -931.329136265161</t>
  </si>
  <si>
    <t>-549.41558664163 134.502477790101 -776.793128872234</t>
  </si>
  <si>
    <t>-516.143566141363 277.384894156761 -766.717926465022</t>
  </si>
  <si>
    <t>-450.130455077634 335.903590792294 -462.737710567858</t>
  </si>
  <si>
    <t>-254.797791049633 239.025498891651 -320.956548530083</t>
  </si>
  <si>
    <t>-554.474699600378 71.518029012524 -769.668335535094</t>
  </si>
  <si>
    <t>-551.809332944217 262.547014387271 -245.497234825408</t>
  </si>
  <si>
    <t>-549.153916991437 265.128173199075 210.182450326359</t>
  </si>
  <si>
    <t>-606.520568242667 241.676066899289 675.99525310254</t>
  </si>
  <si>
    <t>-448.135216007071 261.432743288054 749.936099111716</t>
  </si>
  <si>
    <t>-541.172997841285 75.6323460799351 -223.415335950226</t>
  </si>
  <si>
    <t>-450.264978155053 69.9977940006213 223.0840534002</t>
  </si>
  <si>
    <t>-621.418537531591 0.606920761749961 654.994505776047</t>
  </si>
  <si>
    <t>-466.724872828685 -36.2599493379594 730.18903518125</t>
  </si>
  <si>
    <t>9763-20170724T170047.198302700.bin</t>
  </si>
  <si>
    <t>-546.866440775035 169.456459323808 -234.810025382357</t>
  </si>
  <si>
    <t>-570.664289438777 154.429866001064 -352.605150879895</t>
  </si>
  <si>
    <t>-576.360145949662 140.012091346044 -472.814345916162</t>
  </si>
  <si>
    <t>-573.997361958522 126.979509170109 -581.53148040704</t>
  </si>
  <si>
    <t>-564.234979702967 113.786296651969 -689.815740476051</t>
  </si>
  <si>
    <t>-542.986169557354 95.1279259084188 -839.483252208463</t>
  </si>
  <si>
    <t>-499.916153282334 85.5550064731976 -931.332676140652</t>
  </si>
  <si>
    <t>-549.846523397203 134.874594862374 -776.824909050672</t>
  </si>
  <si>
    <t>-516.564450442722 277.734677793986 -766.654089207584</t>
  </si>
  <si>
    <t>-449.902577749551 336.029693911027 -462.772454766502</t>
  </si>
  <si>
    <t>-254.477305320251 239.267774231975 -321.039883759232</t>
  </si>
  <si>
    <t>-554.929693081043 71.892670466955 -769.694938215956</t>
  </si>
  <si>
    <t>-552.262979411589 263.071279267651 -245.52521577007</t>
  </si>
  <si>
    <t>-549.465144895203 265.46641678913 210.154706110515</t>
  </si>
  <si>
    <t>-606.575916739962 241.853879871718 675.988860149044</t>
  </si>
  <si>
    <t>-448.179520915523 261.482148047821 749.940251680751</t>
  </si>
  <si>
    <t>-541.410144156471 75.9303597514577 -223.427092572429</t>
  </si>
  <si>
    <t>-450.289367976123 70.2832267264148 223.02869859155</t>
  </si>
  <si>
    <t>-621.358605712553 0.538958482432463 654.914805692049</t>
  </si>
  <si>
    <t>-466.640704917115 -36.2093885241243 730.11748839019</t>
  </si>
  <si>
    <t>9763-20170724T170047.264712100.bin</t>
  </si>
  <si>
    <t>-547.686599753893 170.249800637357 -234.886261017703</t>
  </si>
  <si>
    <t>-571.506921527426 155.149687759743 -352.667321445665</t>
  </si>
  <si>
    <t>-577.235511739328 140.749064170803 -472.877013192241</t>
  </si>
  <si>
    <t>-574.904461393501 127.7662202043 -581.600850832889</t>
  </si>
  <si>
    <t>-565.174848231253 114.655011883496 -689.897941525477</t>
  </si>
  <si>
    <t>-543.971732775418 96.1428991473515 -839.5901527483</t>
  </si>
  <si>
    <t>-500.828475833413 86.6173773433384 -931.41005969638</t>
  </si>
  <si>
    <t>-550.833885104908 135.829757402473 -776.894243193862</t>
  </si>
  <si>
    <t>-517.677400386138 278.70762892544 -766.432832246483</t>
  </si>
  <si>
    <t>-449.537870992727 336.267018553913 -462.738698606323</t>
  </si>
  <si>
    <t>-253.771928480951 239.648800493352 -321.378675056977</t>
  </si>
  <si>
    <t>-555.873001877366 72.8382520710788 -769.817871321283</t>
  </si>
  <si>
    <t>-553.348710074729 264.009323967979 -245.620079342687</t>
  </si>
  <si>
    <t>-550.456066588344 266.040159632965 210.06090238648</t>
  </si>
  <si>
    <t>-606.668824860086 242.182879036302 675.971345244252</t>
  </si>
  <si>
    <t>-448.282188692019 261.859494341746 749.930917948351</t>
  </si>
  <si>
    <t>-541.987295513329 76.5534430857431 -223.465816076557</t>
  </si>
  <si>
    <t>-450.447006497067 70.798030349494 222.902818203162</t>
  </si>
  <si>
    <t>-621.264437940347 0.229727380541817 654.771469409974</t>
  </si>
  <si>
    <t>-466.508885086049 -36.3934967678513 729.957663083231</t>
  </si>
  <si>
    <t>9763-20170724T170047.296297400.bin</t>
  </si>
  <si>
    <t>-548.197741522577 170.633282887468 -234.956874405583</t>
  </si>
  <si>
    <t>-572.048127820807 155.507590415898 -352.728623527808</t>
  </si>
  <si>
    <t>-577.799560084917 141.138039445171 -472.940841471958</t>
  </si>
  <si>
    <t>-575.484842669872 128.205755557122 -581.670963015871</t>
  </si>
  <si>
    <t>-565.766621748439 115.166807116465 -689.977972339509</t>
  </si>
  <si>
    <t>-544.57353305223 96.77755079655 -839.686638869556</t>
  </si>
  <si>
    <t>-501.384586254 87.3266557598688 -931.492980957333</t>
  </si>
  <si>
    <t>-551.443545904145 136.413535807008 -776.959522699255</t>
  </si>
  <si>
    <t>-518.317958016898 279.287013465395 -766.29410415226</t>
  </si>
  <si>
    <t>-449.570818116823 336.443409141138 -462.660725145909</t>
  </si>
  <si>
    <t>-253.588011411086 239.808134573598 -321.613315879297</t>
  </si>
  <si>
    <t>-556.458111054986 73.4148777472255 -769.930873853492</t>
  </si>
  <si>
    <t>-554.011495330411 264.52514457832 -245.690029685929</t>
  </si>
  <si>
    <t>-551.053187208585 266.373080857324 209.991350908763</t>
  </si>
  <si>
    <t>-606.774480310673 242.469058366731 675.973434446184</t>
  </si>
  <si>
    <t>-448.355430553928 261.908620811918 749.926222311328</t>
  </si>
  <si>
    <t>-542.324792640656 76.8081377963194 -223.548027912907</t>
  </si>
  <si>
    <t>-450.748045281854 71.0650713651801 222.813288506967</t>
  </si>
  <si>
    <t>-621.238568289956 0.21038050610764 654.729893254886</t>
  </si>
  <si>
    <t>-466.448093390424 -36.3371478957583 729.881030210541</t>
  </si>
  <si>
    <t>9763-20170724T170047.364988600.bin</t>
  </si>
  <si>
    <t>-549.628904906644 171.197689681722 -235.150833728498</t>
  </si>
  <si>
    <t>-573.505858238127 156.086062191088 -352.918943360978</t>
  </si>
  <si>
    <t>-579.313417730076 141.837073506102 -473.143017395149</t>
  </si>
  <si>
    <t>-577.059042386785 129.057188726851 -581.892344922806</t>
  </si>
  <si>
    <t>-567.409180672055 116.214072386573 -690.228870517141</t>
  </si>
  <si>
    <t>-546.317838477712 98.1422499326627 -839.99060349665</t>
  </si>
  <si>
    <t>-503.083853357219 88.8836156932146 -931.795148888639</t>
  </si>
  <si>
    <t>-553.188275916178 137.648093458642 -777.181244239735</t>
  </si>
  <si>
    <t>-520.096258311709 280.494212750364 -766.140965707567</t>
  </si>
  <si>
    <t>-449.699517558683 336.68960471084 -462.70634564372</t>
  </si>
  <si>
    <t>-253.454039651774 240.158807102816 -321.952781568805</t>
  </si>
  <si>
    <t>-558.111917515317 74.6290191956261 -770.270002191877</t>
  </si>
  <si>
    <t>-555.789232311089 265.418222013481 -245.851189871441</t>
  </si>
  <si>
    <t>-552.632976416883 266.929039579937 209.830159756122</t>
  </si>
  <si>
    <t>-606.929986727032 242.838477171949 676.001548272329</t>
  </si>
  <si>
    <t>-448.447590032565 261.980743772021 749.896094263617</t>
  </si>
  <si>
    <t>-543.413217670131 77.0869067484755 -223.796351501757</t>
  </si>
  <si>
    <t>-451.755846928011 71.3989261403528 222.549073579615</t>
  </si>
  <si>
    <t>-621.257051016732 -0.0617047491900848 654.739563820955</t>
  </si>
  <si>
    <t>-466.343354561407 -36.3980873411983 729.739059887783</t>
  </si>
  <si>
    <t>9763-20170724T170047.396072500.bin</t>
  </si>
  <si>
    <t>-550.471789975089 171.469639682509 -235.271521905944</t>
  </si>
  <si>
    <t>-574.381856026342 156.37934558747 -353.035757492466</t>
  </si>
  <si>
    <t>-580.23336779801 142.195811560023 -473.265269588616</t>
  </si>
  <si>
    <t>-578.022066905049 129.493523321524 -582.024760783656</t>
  </si>
  <si>
    <t>-568.417785808779 116.74677045009 -690.376585680956</t>
  </si>
  <si>
    <t>-547.391797515311 98.8284516297131 -840.16580698233</t>
  </si>
  <si>
    <t>-504.14981859685 89.6710441966095 -931.976890482965</t>
  </si>
  <si>
    <t>-554.275356550992 138.272289623827 -777.319042996407</t>
  </si>
  <si>
    <t>-521.240630899037 281.135252147795 -766.093535440011</t>
  </si>
  <si>
    <t>-449.694142969079 336.642812552251 -462.801181174009</t>
  </si>
  <si>
    <t>-253.358017974703 240.285639312093 -322.05502308673</t>
  </si>
  <si>
    <t>-559.114925272522 75.2412822742201 -770.458342364574</t>
  </si>
  <si>
    <t>-556.879501096828 265.874913584669 -245.921131685826</t>
  </si>
  <si>
    <t>-553.686854372672 267.204969373327 209.760426801828</t>
  </si>
  <si>
    <t>-607.068245145524 243.105403953096 676.058998773553</t>
  </si>
  <si>
    <t>-448.500097371431 261.821823991449 749.878634253008</t>
  </si>
  <si>
    <t>-544.053723572799 77.1829451679375 -223.943947697972</t>
  </si>
  <si>
    <t>-452.431458446441 71.5197617745812 222.409001941385</t>
  </si>
  <si>
    <t>-621.302351152626 -0.129042145787935 654.790593952766</t>
  </si>
  <si>
    <t>-466.283852459271 -36.2493594901105 729.677868261361</t>
  </si>
  <si>
    <t>9763-20170724T170047.464255600.bin</t>
  </si>
  <si>
    <t>-552.155094949911 171.927514950039 -235.402998382873</t>
  </si>
  <si>
    <t>-576.004434095516 156.873576016136 -353.184049898595</t>
  </si>
  <si>
    <t>-581.856374364526 142.84351779861 -473.431588900608</t>
  </si>
  <si>
    <t>-579.668357761946 130.33053512538 -582.21345938738</t>
  </si>
  <si>
    <t>-570.108584614871 117.825265081246 -690.597359318148</t>
  </si>
  <si>
    <t>-549.164668022281 100.298478074152 -840.444587072789</t>
  </si>
  <si>
    <t>-505.942220693257 91.3604822453799 -932.286368999337</t>
  </si>
  <si>
    <t>-556.105069232549 139.583303232285 -777.504473316582</t>
  </si>
  <si>
    <t>-523.221194155899 282.434673861344 -765.94376691673</t>
  </si>
  <si>
    <t>-449.121524372363 336.606687774118 -463.023373087432</t>
  </si>
  <si>
    <t>-252.78015058874 240.669049560004 -321.998193015651</t>
  </si>
  <si>
    <t>-560.758337605927 76.5237557905334 -770.779219963619</t>
  </si>
  <si>
    <t>-558.755033788591 266.545581840276 -246.006367691969</t>
  </si>
  <si>
    <t>-555.919257135815 267.708865593665 209.678047703757</t>
  </si>
  <si>
    <t>-607.322366983377 243.586271588336 676.165659517072</t>
  </si>
  <si>
    <t>-448.61320878323 261.735052576354 749.823986618916</t>
  </si>
  <si>
    <t>-545.44265390461 77.3906769541982 -224.068485314864</t>
  </si>
  <si>
    <t>-453.495334400142 71.6197658173594 222.216294857001</t>
  </si>
  <si>
    <t>-621.430491044846 -0.285999768196916 654.897106266389</t>
  </si>
  <si>
    <t>-466.336631533665 -36.594261397564 729.536994215687</t>
  </si>
  <si>
    <t>9763-20170724T170047.498368500.bin</t>
  </si>
  <si>
    <t>-552.892876561438 172.178847570764 -235.450064961451</t>
  </si>
  <si>
    <t>-576.700616356062 157.084899356125 -353.234403513451</t>
  </si>
  <si>
    <t>-582.538566496872 143.106494752947 -473.488823952542</t>
  </si>
  <si>
    <t>-580.347514150537 130.679023627009 -582.280341091893</t>
  </si>
  <si>
    <t>-570.793237123172 118.298326677717 -690.679063832197</t>
  </si>
  <si>
    <t>-549.864735879811 100.986007932081 -840.553347731714</t>
  </si>
  <si>
    <t>-506.653565875113 92.1473178113929 -932.409988893656</t>
  </si>
  <si>
    <t>-556.83993534467 140.183092579447 -777.562469809202</t>
  </si>
  <si>
    <t>-524.020976134828 283.052329512477 -765.814948969353</t>
  </si>
  <si>
    <t>-448.534744014519 336.687795703925 -463.141402336989</t>
  </si>
  <si>
    <t>-252.270832696794 241.041662207991 -321.810780388743</t>
  </si>
  <si>
    <t>-561.409988626624 77.109153893555 -770.914792107326</t>
  </si>
  <si>
    <t>-559.637444157421 266.902965282037 -246.075527930753</t>
  </si>
  <si>
    <t>-557.060110589151 268.028324505359 209.610474518835</t>
  </si>
  <si>
    <t>-607.475385696167 243.947900384315 676.204781256432</t>
  </si>
  <si>
    <t>-448.688570155924 261.670284597201 749.799299489926</t>
  </si>
  <si>
    <t>-546.005330936575 77.5313010042842 -224.101679207002</t>
  </si>
  <si>
    <t>-453.91956049587 71.7493595292628 222.154340551468</t>
  </si>
  <si>
    <t>-621.486999090125 -0.329688864990203 654.918902152634</t>
  </si>
  <si>
    <t>-466.348010408307 -36.664725098098 729.451920466565</t>
  </si>
  <si>
    <t>9763-20170724T170047.563549400.bin</t>
  </si>
  <si>
    <t>-554.143606096623 172.472729150088 -235.505538082257</t>
  </si>
  <si>
    <t>-577.93842275877 157.278860143144 -353.279702775957</t>
  </si>
  <si>
    <t>-583.782518535271 143.39595373798 -473.544670292918</t>
  </si>
  <si>
    <t>-581.601020728878 131.135086893042 -582.355437758113</t>
  </si>
  <si>
    <t>-572.05798738969 119.001351750517 -690.78301091869</t>
  </si>
  <si>
    <t>-551.144619553682 102.116145716101 -840.708123471017</t>
  </si>
  <si>
    <t>-507.935042550623 93.4823718876296 -932.585106254216</t>
  </si>
  <si>
    <t>-558.178065527029 141.137310966874 -777.614514756278</t>
  </si>
  <si>
    <t>-525.271580919782 283.943889443531 -765.537289517719</t>
  </si>
  <si>
    <t>-447.333921247644 336.479379557445 -463.292513546025</t>
  </si>
  <si>
    <t>-251.281695352802 241.295647074536 -321.357198660466</t>
  </si>
  <si>
    <t>-562.618219161144 78.0372951463012 -771.127253534226</t>
  </si>
  <si>
    <t>-561.142078547396 267.468836164782 -246.228102127739</t>
  </si>
  <si>
    <t>-558.80415892293 268.542889691979 209.459332385894</t>
  </si>
  <si>
    <t>-607.643467632008 244.477514213667 676.205567917243</t>
  </si>
  <si>
    <t>-448.782160332274 261.7375627798 749.749261905284</t>
  </si>
  <si>
    <t>-547.060409141593 77.5124935057529 -224.076265690391</t>
  </si>
  <si>
    <t>-454.109757967721 72.0116618904513 222.003933774326</t>
  </si>
  <si>
    <t>-621.518679558894 -0.448006676121622 654.796837134721</t>
  </si>
  <si>
    <t>-466.295393296434 -36.6754792892443 729.206608288379</t>
  </si>
  <si>
    <t>9763-20170724T170047.594626600.bin</t>
  </si>
  <si>
    <t>-554.676116534172 172.616704856314 -235.541272974607</t>
  </si>
  <si>
    <t>-578.500917219872 157.352570512425 -353.300334323316</t>
  </si>
  <si>
    <t>-584.345550808395 143.513486750204 -473.570384833407</t>
  </si>
  <si>
    <t>-582.150299356147 131.335572781518 -582.390011368006</t>
  </si>
  <si>
    <t>-572.577920827207 119.326893494005 -690.829115862173</t>
  </si>
  <si>
    <t>-551.606705733042 102.657804752424 -840.770200503123</t>
  </si>
  <si>
    <t>-508.331400506744 94.1131918451022 -932.624532390779</t>
  </si>
  <si>
    <t>-558.672662629973 141.588365144926 -777.624371448145</t>
  </si>
  <si>
    <t>-525.616934700918 284.342704779708 -765.373678832969</t>
  </si>
  <si>
    <t>-446.785354936888 336.182991944815 -463.240545590871</t>
  </si>
  <si>
    <t>-250.54232862753 241.19345750367 -321.438941887239</t>
  </si>
  <si>
    <t>-563.099001616685 78.4782816328507 -771.227394683689</t>
  </si>
  <si>
    <t>-561.788237882013 267.706676772434 -246.30272144003</t>
  </si>
  <si>
    <t>-559.355693264761 268.743511099036 209.384392324343</t>
  </si>
  <si>
    <t>-607.690897199133 244.678166135448 676.189933116576</t>
  </si>
  <si>
    <t>-448.809161262861 261.747055269571 749.734200828112</t>
  </si>
  <si>
    <t>-547.449589753472 77.551848879802 -224.106818546544</t>
  </si>
  <si>
    <t>-454.191990212497 72.1831920920704 221.910983872989</t>
  </si>
  <si>
    <t>-621.507644408621 -0.579599885841844 654.698986744753</t>
  </si>
  <si>
    <t>-466.235478662909 -36.660708487083 729.07787990699</t>
  </si>
  <si>
    <t>9763-20170724T170047.661373800.bin</t>
  </si>
  <si>
    <t>-555.725195555246 173.012304940614 -235.704692360669</t>
  </si>
  <si>
    <t>-579.656187141652 157.693376419344 -353.434941254017</t>
  </si>
  <si>
    <t>-585.467694126477 144.04871730534 -473.728978435741</t>
  </si>
  <si>
    <t>-583.180804046771 132.1457025329 -582.577089482932</t>
  </si>
  <si>
    <t>-573.452942576844 120.509256094557 -691.042932077101</t>
  </si>
  <si>
    <t>-552.197498882457 104.457959521308 -841.011351481146</t>
  </si>
  <si>
    <t>-508.742799299431 96.1647537510123 -932.804047472591</t>
  </si>
  <si>
    <t>-559.439475384218 143.131194283342 -777.727609928555</t>
  </si>
  <si>
    <t>-526.286405299984 285.846268014548 -765.046716638404</t>
  </si>
  <si>
    <t>-445.235659381913 335.68796137873 -463.164584006393</t>
  </si>
  <si>
    <t>-248.08167896543 241.438161612569 -322.135082682156</t>
  </si>
  <si>
    <t>-563.765277927982 79.9891478386696 -771.582371072784</t>
  </si>
  <si>
    <t>-563.017693125089 268.226553962833 -246.437030597053</t>
  </si>
  <si>
    <t>-559.988475495904 269.094625885401 209.246793723647</t>
  </si>
  <si>
    <t>-607.784048904763 245.046057628361 676.140328716544</t>
  </si>
  <si>
    <t>-448.862854982967 261.670683966186 749.701141973905</t>
  </si>
  <si>
    <t>-548.36440475661 77.8572043594434 -224.296124072207</t>
  </si>
  <si>
    <t>-454.641511297266 72.5725748274681 221.625111501826</t>
  </si>
  <si>
    <t>-621.479160823189 -0.577936802712884 654.540276072559</t>
  </si>
  <si>
    <t>-466.288123420759 -37.0266162168848 728.90924811893</t>
  </si>
  <si>
    <t>9763-20170724T170047.693975000.bin</t>
  </si>
  <si>
    <t>-556.247103845737 173.116920375485 -235.790419847073</t>
  </si>
  <si>
    <t>-580.224738997707 157.794001503415 -353.510755347739</t>
  </si>
  <si>
    <t>-586.004902385477 144.206425487857 -473.812657247747</t>
  </si>
  <si>
    <t>-583.656818206891 132.380010128113 -582.667953239142</t>
  </si>
  <si>
    <t>-573.834536077975 120.845231121868 -691.135911616608</t>
  </si>
  <si>
    <t>-552.413391404253 104.960795904591 -841.098677470042</t>
  </si>
  <si>
    <t>-508.827667011963 96.7465005337006 -932.836421046966</t>
  </si>
  <si>
    <t>-559.756297903821 143.565161545535 -777.784558607327</t>
  </si>
  <si>
    <t>-526.706411783513 286.278964705079 -764.86690714507</t>
  </si>
  <si>
    <t>-444.116845679777 334.966623463949 -463.213681622128</t>
  </si>
  <si>
    <t>-246.482395268817 241.164185334881 -322.558762504638</t>
  </si>
  <si>
    <t>-564.026929130969 80.4129515109446 -771.705266748032</t>
  </si>
  <si>
    <t>-563.584266404813 268.380702901474 -246.484286078538</t>
  </si>
  <si>
    <t>-560.207508632646 269.165710172646 209.197241713842</t>
  </si>
  <si>
    <t>-607.772873259318 245.042923537546 676.124230443397</t>
  </si>
  <si>
    <t>-448.867380332186 261.863520877152 749.67439755535</t>
  </si>
  <si>
    <t>-548.840566240269 77.9201443892123 -224.381760680476</t>
  </si>
  <si>
    <t>-454.914734195713 72.6103368605941 221.496466200394</t>
  </si>
  <si>
    <t>-621.46624854289 -0.697386593369856 654.497915705652</t>
  </si>
  <si>
    <t>-466.199388208791 -36.8463316986556 728.85492041884</t>
  </si>
  <si>
    <t>9763-20170724T170047.766493900.bin</t>
  </si>
  <si>
    <t>-557.220858239262 173.355376674012 -235.896431702767</t>
  </si>
  <si>
    <t>-581.174544133249 158.044991545338 -353.623469268908</t>
  </si>
  <si>
    <t>-586.945125681351 144.545402068153 -473.935673521775</t>
  </si>
  <si>
    <t>-584.5928865704 132.827439859196 -582.802559320862</t>
  </si>
  <si>
    <t>-574.770057149458 121.429137561946 -691.284864823853</t>
  </si>
  <si>
    <t>-553.351148992188 105.762494431583 -841.270952124586</t>
  </si>
  <si>
    <t>-509.642786847527 97.6452259748007 -932.958779732877</t>
  </si>
  <si>
    <t>-560.714106941123 144.27613355832 -777.903701323899</t>
  </si>
  <si>
    <t>-527.578751140315 286.95514785481 -764.758853075883</t>
  </si>
  <si>
    <t>-442.338305073133 333.699735661439 -463.535936233423</t>
  </si>
  <si>
    <t>-244.156294318885 240.727782131606 -323.100397039142</t>
  </si>
  <si>
    <t>-564.942613167892 81.1129056444447 -771.909795264281</t>
  </si>
  <si>
    <t>-564.667053285488 268.685474206459 -246.567152895751</t>
  </si>
  <si>
    <t>-560.95298083799 269.394546598869 209.111833983958</t>
  </si>
  <si>
    <t>-607.858831121587 245.314756992845 676.095848648911</t>
  </si>
  <si>
    <t>-448.937400392737 262.070836512917 749.62625544351</t>
  </si>
  <si>
    <t>-549.691676887246 78.1148071395007 -224.524161100146</t>
  </si>
  <si>
    <t>-455.443172404769 72.6792534986441 221.284464513705</t>
  </si>
  <si>
    <t>-621.458133331887 -0.819363311095913 654.461450799342</t>
  </si>
  <si>
    <t>-466.166203922615 -36.9020513109176 728.798291604727</t>
  </si>
  <si>
    <t>9763-20170724T170047.828256100.bin</t>
  </si>
  <si>
    <t>-557.644198530827 173.32494935362 -235.913029990693</t>
  </si>
  <si>
    <t>-581.600830849366 158.024486518614 -353.640573370009</t>
  </si>
  <si>
    <t>-587.36178625547 144.557949566281 -473.957097579296</t>
  </si>
  <si>
    <t>-584.995150678691 132.878581952635 -582.827750047791</t>
  </si>
  <si>
    <t>-575.152205532632 121.526689401663 -691.313235401083</t>
  </si>
  <si>
    <t>-553.699214917001 105.932391966705 -841.301913201886</t>
  </si>
  <si>
    <t>-509.94682148315 97.8457611260935 -932.97150086962</t>
  </si>
  <si>
    <t>-561.080207059897 144.415590139825 -777.918260828404</t>
  </si>
  <si>
    <t>-527.802857304673 287.035543489329 -764.691649944114</t>
  </si>
  <si>
    <t>-441.183307662536 332.905478378869 -463.727836574431</t>
  </si>
  <si>
    <t>-243.018196053648 240.014851108946 -323.214763206839</t>
  </si>
  <si>
    <t>-565.302823686177 81.2490578075744 -771.954903006455</t>
  </si>
  <si>
    <t>-565.155356463871 268.797342082259 -246.594851632886</t>
  </si>
  <si>
    <t>-561.351565142103 269.474214952862 209.083435754015</t>
  </si>
  <si>
    <t>-607.902436606285 245.454077731656 676.092787576108</t>
  </si>
  <si>
    <t>-448.959486902037 262.045358799623 749.614088968492</t>
  </si>
  <si>
    <t>-550.025719189749 77.8934224303691 -224.558889156654</t>
  </si>
  <si>
    <t>-455.593333988929 72.6215452490096 221.21286328493</t>
  </si>
  <si>
    <t>-621.461741403028 -1.00789752206765 654.451731488166</t>
  </si>
  <si>
    <t>-466.065973216488 -36.7313723664784 728.745087255318</t>
  </si>
  <si>
    <t>9763-20170724T170047.866356400.bin</t>
  </si>
  <si>
    <t>-558.442685978594 173.374584300494 -235.934663207412</t>
  </si>
  <si>
    <t>-582.48079496214 158.024834013615 -353.63927938568</t>
  </si>
  <si>
    <t>-588.280767182747 144.600559223235 -473.958404311182</t>
  </si>
  <si>
    <t>-585.929745213688 132.992905015908 -582.83722621001</t>
  </si>
  <si>
    <t>-576.08161852187 121.744288138171 -691.332866857015</t>
  </si>
  <si>
    <t>-554.599127521357 106.324221303355 -841.335381508729</t>
  </si>
  <si>
    <t>-510.838295155501 98.25333968719 -933.002349635674</t>
  </si>
  <si>
    <t>-561.974068072761 144.732923364879 -777.905770217764</t>
  </si>
  <si>
    <t>-528.468141827538 287.27475803768 -764.442465350472</t>
  </si>
  <si>
    <t>-438.897394100713 331.468493081637 -464.092502352603</t>
  </si>
  <si>
    <t>-240.811944956874 238.839763248386 -323.294202615417</t>
  </si>
  <si>
    <t>-566.234840331165 81.5614342071378 -772.022086425965</t>
  </si>
  <si>
    <t>-565.994191751127 268.939193844441 -246.651475845885</t>
  </si>
  <si>
    <t>-561.953417881841 269.637737432989 209.024782807834</t>
  </si>
  <si>
    <t>-607.945764707658 245.673627196583 676.066284912004</t>
  </si>
  <si>
    <t>-449.009285823629 262.285390938531 749.596886422884</t>
  </si>
  <si>
    <t>-550.829029089487 77.8953372236215 -224.51021764653</t>
  </si>
  <si>
    <t>-455.622964721413 72.7212566746766 221.098080364834</t>
  </si>
  <si>
    <t>-621.448049164726 -0.958421886988617 654.337623299188</t>
  </si>
  <si>
    <t>-466.151960858272 -37.120929100651 728.626951975183</t>
  </si>
  <si>
    <t>9763-20170724T170047.898448400.bin</t>
  </si>
  <si>
    <t>-558.750960785428 173.365693734611 -235.946827613018</t>
  </si>
  <si>
    <t>-582.830635872762 157.983274422367 -353.638625175401</t>
  </si>
  <si>
    <t>-588.635365672629 144.590238110716 -473.961034444957</t>
  </si>
  <si>
    <t>-586.27198621767 133.034238450542 -582.8450924</t>
  </si>
  <si>
    <t>-576.394357494662 121.858649395805 -691.345623771015</t>
  </si>
  <si>
    <t>-554.85260653969 106.561190530565 -841.352224794081</t>
  </si>
  <si>
    <t>-511.095793470214 98.4988081521128 -933.021825766327</t>
  </si>
  <si>
    <t>-562.230825937353 144.916755021059 -777.890900799377</t>
  </si>
  <si>
    <t>-528.531929688401 287.403851660588 -764.251319122757</t>
  </si>
  <si>
    <t>-437.45222687181 330.814662094956 -464.240911460521</t>
  </si>
  <si>
    <t>-239.279365170613 238.469687816461 -323.379406719449</t>
  </si>
  <si>
    <t>-566.53751015613 81.7428793060631 -772.067011591726</t>
  </si>
  <si>
    <t>-566.322756564591 269.000623812673 -246.687434733856</t>
  </si>
  <si>
    <t>-562.131264992605 269.699869426373 208.987450128939</t>
  </si>
  <si>
    <t>-607.989748297421 245.840910366934 676.051428304715</t>
  </si>
  <si>
    <t>-449.028380651632 262.156018949002 749.59474411312</t>
  </si>
  <si>
    <t>-551.082082147912 77.7903919612199 -224.523860537834</t>
  </si>
  <si>
    <t>-455.613170743864 72.7506854665078 221.029697898698</t>
  </si>
  <si>
    <t>-621.418033346275 -1.08445955556999 654.270573156854</t>
  </si>
  <si>
    <t>-466.122846847943 -37.2373665875796 728.566544945714</t>
  </si>
  <si>
    <t>9763-20170724T170047.965627300.bin</t>
  </si>
  <si>
    <t>-559.327803106186 173.285406114729 -236.036384894232</t>
  </si>
  <si>
    <t>-583.514143714712 157.907376744495 -353.706846199098</t>
  </si>
  <si>
    <t>-589.391538957743 144.600139046884 -474.035286492826</t>
  </si>
  <si>
    <t>-587.077197665025 133.146521738794 -582.931126616291</t>
  </si>
  <si>
    <t>-577.230806408678 122.093478320774 -691.447242371891</t>
  </si>
  <si>
    <t>-555.713367330513 106.982698078645 -841.476122650822</t>
  </si>
  <si>
    <t>-511.96612963235 98.8841412644881 -933.14707174244</t>
  </si>
  <si>
    <t>-563.002466170411 145.254840355679 -777.954174743768</t>
  </si>
  <si>
    <t>-528.805774903011 287.590157033774 -764.012565860371</t>
  </si>
  <si>
    <t>-434.880757534477 329.08715647392 -464.609318291365</t>
  </si>
  <si>
    <t>-236.237096235636 237.941611952695 -323.629700246637</t>
  </si>
  <si>
    <t>-567.465855412776 82.0825961736696 -772.231758217647</t>
  </si>
  <si>
    <t>-566.939162640608 269.009668508635 -246.748955604771</t>
  </si>
  <si>
    <t>-562.399792042222 269.714808946045 208.922609912291</t>
  </si>
  <si>
    <t>-608.02590852892 246.010870476124 676.022464690573</t>
  </si>
  <si>
    <t>-449.074140857644 262.366795019366 749.577381562988</t>
  </si>
  <si>
    <t>-551.625738134663 77.6392290824017 -224.649929192142</t>
  </si>
  <si>
    <t>-455.842527382742 72.7308080979665 220.837637066048</t>
  </si>
  <si>
    <t>-621.376047443744 -1.22673969311177 654.169931991194</t>
  </si>
  <si>
    <t>-466.043071465838 -37.1947088536572 728.476574491589</t>
  </si>
  <si>
    <t>9763-20170724T170047.997715100.bin</t>
  </si>
  <si>
    <t>-559.591624565565 173.205913949032 -236.08594977556</t>
  </si>
  <si>
    <t>-583.815911308687 157.856141733451 -353.752231714308</t>
  </si>
  <si>
    <t>-589.732992475165 144.604727966838 -474.084924409369</t>
  </si>
  <si>
    <t>-587.454205577228 133.209372027689 -582.98778660759</t>
  </si>
  <si>
    <t>-577.642376183489 122.220942050245 -691.513557810738</t>
  </si>
  <si>
    <t>-556.171863918643 107.204333377034 -841.558614293408</t>
  </si>
  <si>
    <t>-512.463497517988 99.0860507764066 -933.246417292926</t>
  </si>
  <si>
    <t>-563.403389350607 145.43438958486 -778.004661817213</t>
  </si>
  <si>
    <t>-528.996524168857 287.707905218813 -763.92459228272</t>
  </si>
  <si>
    <t>-433.75323761825 328.212398644916 -464.802080920664</t>
  </si>
  <si>
    <t>-234.973342718569 237.597950516563 -323.672311537512</t>
  </si>
  <si>
    <t>-567.940387420019 82.262962228152 -772.331620149319</t>
  </si>
  <si>
    <t>-567.216418111193 268.979485483667 -246.773352407644</t>
  </si>
  <si>
    <t>-562.493847667304 269.695330983492 208.89631538384</t>
  </si>
  <si>
    <t>-608.047854134734 246.087272259869 676.014928968559</t>
  </si>
  <si>
    <t>-449.080019957751 262.270956125208 749.5732620317</t>
  </si>
  <si>
    <t>-551.885706910934 77.4859499617662 -224.750976197587</t>
  </si>
  <si>
    <t>-456.028932101365 72.6541139681381 220.721581271339</t>
  </si>
  <si>
    <t>-621.351243464442 -1.29298230428844 654.134364057441</t>
  </si>
  <si>
    <t>-466.020635954706 -37.2425888919238 728.454871333932</t>
  </si>
  <si>
    <t>9763-20170724T170048.065839600.bin</t>
  </si>
  <si>
    <t>-560.188869790863 173.055454130662 -236.146812121422</t>
  </si>
  <si>
    <t>-584.528556336307 157.775370879222 -353.798422669371</t>
  </si>
  <si>
    <t>-590.552708614193 144.604785062051 -474.134723193978</t>
  </si>
  <si>
    <t>-588.365866835325 133.283468275786 -583.046932002898</t>
  </si>
  <si>
    <t>-578.640856206427 122.367711739402 -691.587938118696</t>
  </si>
  <si>
    <t>-557.285193674988 107.449034545892 -841.658985132407</t>
  </si>
  <si>
    <t>-513.669413447251 99.2916185779015 -933.387560276283</t>
  </si>
  <si>
    <t>-564.39899833816 145.633572835817 -778.064660607407</t>
  </si>
  <si>
    <t>-529.531812714781 287.782538946637 -763.805077774823</t>
  </si>
  <si>
    <t>-431.775801885213 326.959059003085 -465.316964979149</t>
  </si>
  <si>
    <t>-232.854387198528 237.573700530732 -323.60403095439</t>
  </si>
  <si>
    <t>-569.069822145733 82.4666500628946 -772.449853819105</t>
  </si>
  <si>
    <t>-567.72970975463 268.859485251019 -246.775946037791</t>
  </si>
  <si>
    <t>-562.710063099408 269.628867341933 208.890464728378</t>
  </si>
  <si>
    <t>-608.068248812408 246.123079647389 676.026183773869</t>
  </si>
  <si>
    <t>-449.097733710473 262.385700471427 749.561278611702</t>
  </si>
  <si>
    <t>-552.598654720195 77.3647403933669 -224.826042667864</t>
  </si>
  <si>
    <t>-456.295075710873 72.56592496387 220.550434134664</t>
  </si>
  <si>
    <t>-621.314062141287 -1.2212354948615 654.076148558748</t>
  </si>
  <si>
    <t>-466.075323951678 -37.4802038070634 728.438341466667</t>
  </si>
  <si>
    <t>9763-20170724T170048.095420300.bin</t>
  </si>
  <si>
    <t>-560.474002189604 172.998358746454 -236.165878173136</t>
  </si>
  <si>
    <t>-584.866864449975 157.743643857121 -353.809774326078</t>
  </si>
  <si>
    <t>-590.956205862907 144.598461094761 -474.145638936947</t>
  </si>
  <si>
    <t>-588.832547870101 133.298307883045 -583.061410387173</t>
  </si>
  <si>
    <t>-579.174659716582 122.400611085026 -691.610042085787</t>
  </si>
  <si>
    <t>-557.916191365157 107.502831668004 -841.697141134441</t>
  </si>
  <si>
    <t>-514.35253816142 99.3136007134824 -933.447554388717</t>
  </si>
  <si>
    <t>-564.939876186671 145.675442191915 -778.085514545736</t>
  </si>
  <si>
    <t>-529.80147620415 287.744147804144 -763.766982728705</t>
  </si>
  <si>
    <t>-430.983724689057 326.435898229707 -465.565358805602</t>
  </si>
  <si>
    <t>-232.084295950433 237.21181421185 -323.719972516058</t>
  </si>
  <si>
    <t>-569.704944690868 82.5138829576647 -772.491004332508</t>
  </si>
  <si>
    <t>-567.925989149069 268.777206684402 -246.786505752332</t>
  </si>
  <si>
    <t>-562.809911489332 269.565239090839 208.87889034689</t>
  </si>
  <si>
    <t>-608.039776366033 246.062597856508 676.025825374481</t>
  </si>
  <si>
    <t>-449.083017368115 262.473883777802 749.557534915762</t>
  </si>
  <si>
    <t>-552.96446679989 77.314519307489 -224.855958406439</t>
  </si>
  <si>
    <t>-456.37680334031 72.4408031239923 220.458232930022</t>
  </si>
  <si>
    <t>-621.294041434503 -1.28882920074466 654.055060670542</t>
  </si>
  <si>
    <t>-466.075691358001 -37.6050206566626 728.431871228952</t>
  </si>
  <si>
    <t>9763-20170724T170048.175136100.bin</t>
  </si>
  <si>
    <t>-560.938350348951 172.794213299622 -236.180101593211</t>
  </si>
  <si>
    <t>-585.449455067205 157.592590453907 -353.806256054151</t>
  </si>
  <si>
    <t>-591.664054178438 144.460192782571 -474.136956332479</t>
  </si>
  <si>
    <t>-589.656359479992 133.153803552548 -583.054266017338</t>
  </si>
  <si>
    <t>-580.11707116062 122.232254797043 -691.611000286642</t>
  </si>
  <si>
    <t>-559.026198747968 107.282766056951 -841.716638822624</t>
  </si>
  <si>
    <t>-515.547475798523 98.9980996857885 -933.498775505492</t>
  </si>
  <si>
    <t>-565.879749286931 145.470961955139 -778.095820613539</t>
  </si>
  <si>
    <t>-530.364996505986 287.445804547097 -763.780695041886</t>
  </si>
  <si>
    <t>-430.592598933987 325.649527742214 -465.834125372528</t>
  </si>
  <si>
    <t>-231.554995965205 236.955875901155 -323.84975782544</t>
  </si>
  <si>
    <t>-570.836777137623 82.323923307918 -772.50338784457</t>
  </si>
  <si>
    <t>-568.112642358795 268.649979079904 -246.818174951918</t>
  </si>
  <si>
    <t>-562.952741100444 269.458301717978 208.846477415032</t>
  </si>
  <si>
    <t>-608.051423095193 246.210815419469 675.989250929727</t>
  </si>
  <si>
    <t>-449.101805371299 262.438691529138 749.577139074326</t>
  </si>
  <si>
    <t>-553.701029139504 76.9765200185554 -224.853920157934</t>
  </si>
  <si>
    <t>-456.445356803548 72.2299944362635 220.316224924402</t>
  </si>
  <si>
    <t>-621.240163912479 -1.32131189216443 653.97815762143</t>
  </si>
  <si>
    <t>-466.034402138709 -37.637949905079 728.380958628153</t>
  </si>
  <si>
    <t>9763-20170724T170048.195691900.bin</t>
  </si>
  <si>
    <t>-561.130907668644 172.719743998623 -236.217617500314</t>
  </si>
  <si>
    <t>-585.672254836948 157.545586327025 -353.841186439722</t>
  </si>
  <si>
    <t>-591.943544056631 144.428541284172 -474.170524979016</t>
  </si>
  <si>
    <t>-589.99786049108 133.132640448043 -583.090200226613</t>
  </si>
  <si>
    <t>-580.531241050601 122.219046564625 -691.653997410417</t>
  </si>
  <si>
    <t>-559.552172648448 107.279145408747 -841.776245363669</t>
  </si>
  <si>
    <t>-516.105124915935 98.9637966008888 -933.570577043288</t>
  </si>
  <si>
    <t>-566.331668559965 145.46143060804 -778.144064042627</t>
  </si>
  <si>
    <t>-530.703400666716 287.407324110842 -763.857123215608</t>
  </si>
  <si>
    <t>-430.839062195814 325.594382170199 -465.93938394323</t>
  </si>
  <si>
    <t>-231.892209967683 236.965639484013 -323.787507902173</t>
  </si>
  <si>
    <t>-571.337902585074 82.3175964436634 -772.559642428036</t>
  </si>
  <si>
    <t>-568.145469088341 268.654502545087 -246.870164955379</t>
  </si>
  <si>
    <t>-562.955109374566 269.445647806363 208.794331179949</t>
  </si>
  <si>
    <t>-608.078124521546 246.38619717143 675.950752496184</t>
  </si>
  <si>
    <t>-449.131185268278 262.412616933397 749.588639711501</t>
  </si>
  <si>
    <t>-554.019020282126 76.87827190033 -224.897102363877</t>
  </si>
  <si>
    <t>-456.520324763727 72.1266817114297 220.219772948535</t>
  </si>
  <si>
    <t>-621.22533065656 -1.45020702615989 653.953127165368</t>
  </si>
  <si>
    <t>-466.009988775569 -37.7318279006504 728.35310440082</t>
  </si>
  <si>
    <t>9763-20170724T170048.265257200.bin</t>
  </si>
  <si>
    <t>-561.460845201453 172.588151195543 -236.287608828452</t>
  </si>
  <si>
    <t>-586.042184589312 157.464663780115 -353.90924568651</t>
  </si>
  <si>
    <t>-592.367382960421 144.38201616627 -474.239617303272</t>
  </si>
  <si>
    <t>-590.476015404449 133.108766832815 -583.162468290914</t>
  </si>
  <si>
    <t>-581.069254270487 122.20884318822 -691.733060278959</t>
  </si>
  <si>
    <t>-560.178978667292 107.278106220282 -841.868557222797</t>
  </si>
  <si>
    <t>-516.75162880478 98.8807048810431 -933.664718229638</t>
  </si>
  <si>
    <t>-566.86984534963 145.453319376251 -778.222561363705</t>
  </si>
  <si>
    <t>-531.046336432023 287.3470908907 -763.924431510436</t>
  </si>
  <si>
    <t>-431.23113383857 325.50737054114 -465.986605320666</t>
  </si>
  <si>
    <t>-232.299207629049 237.053184020921 -323.705169384145</t>
  </si>
  <si>
    <t>-571.974662708358 82.3158233548177 -772.653909991979</t>
  </si>
  <si>
    <t>-568.369728459921 268.557382904213 -246.922392444771</t>
  </si>
  <si>
    <t>-562.958552953669 269.3375256656 208.739604771788</t>
  </si>
  <si>
    <t>-608.043046154048 246.343337437195 675.933589890648</t>
  </si>
  <si>
    <t>-449.139195702895 262.700450484846 749.591698002104</t>
  </si>
  <si>
    <t>-554.460077786543 76.6681046484657 -225.010470625712</t>
  </si>
  <si>
    <t>-456.757295340509 71.9794401592617 220.062426873647</t>
  </si>
  <si>
    <t>-621.204602768049 -1.45371296744293 653.936742372478</t>
  </si>
  <si>
    <t>-466.031845506197 -37.9316237368553 728.32958247081</t>
  </si>
  <si>
    <t>9763-20170724T170048.314394100.bin</t>
  </si>
  <si>
    <t>-561.686329385402 172.56341718696 -236.304417540486</t>
  </si>
  <si>
    <t>-586.327654450171 157.453225699561 -353.91511934635</t>
  </si>
  <si>
    <t>-592.659225842322 144.390147014684 -474.247334349747</t>
  </si>
  <si>
    <t>-590.751324507092 133.135461709449 -583.171704982118</t>
  </si>
  <si>
    <t>-581.305715647887 122.25411306121 -691.740808971292</t>
  </si>
  <si>
    <t>-560.33882157837 107.347443181147 -841.868085655969</t>
  </si>
  <si>
    <t>-516.884318548805 98.9177275257903 -933.648278685048</t>
  </si>
  <si>
    <t>-567.054640574895 145.51182277583 -778.218265444564</t>
  </si>
  <si>
    <t>-531.146826682247 287.393859294021 -763.92951490264</t>
  </si>
  <si>
    <t>-431.165343999775 325.258498574552 -466.009708522017</t>
  </si>
  <si>
    <t>-232.213958647414 236.943254527608 -323.669176769224</t>
  </si>
  <si>
    <t>-572.177376245339 82.3745910032433 -772.664633601864</t>
  </si>
  <si>
    <t>-568.637536465515 268.620239585913 -246.917745749766</t>
  </si>
  <si>
    <t>-563.011420662985 269.405443891789 208.741504603086</t>
  </si>
  <si>
    <t>-608.09915551081 246.482346284731 675.935127507479</t>
  </si>
  <si>
    <t>-449.151042231774 262.394761221839 749.595116795099</t>
  </si>
  <si>
    <t>-554.638343397102 76.6103254331711 -225.040890496441</t>
  </si>
  <si>
    <t>-456.910242813889 72.0073854100654 220.027319064946</t>
  </si>
  <si>
    <t>-621.207963625737 -1.45420109907468 653.958345064227</t>
  </si>
  <si>
    <t>-466.078827235226 -38.1451994829476 728.337300888309</t>
  </si>
  <si>
    <t>9763-20170724T170048.366532700.bin</t>
  </si>
  <si>
    <t>-562.247798371366 172.422838486035 -236.312889325588</t>
  </si>
  <si>
    <t>-586.93839657396 157.282663946912 -353.909408062231</t>
  </si>
  <si>
    <t>-593.296999265496 144.185549314363 -474.236426560038</t>
  </si>
  <si>
    <t>-591.403987120445 132.894542127834 -583.157557512589</t>
  </si>
  <si>
    <t>-581.963691476706 121.969054547367 -691.722588149503</t>
  </si>
  <si>
    <t>-560.994449377627 106.990771823728 -841.842333957062</t>
  </si>
  <si>
    <t>-517.485244878096 98.4682705313644 -933.588084745667</t>
  </si>
  <si>
    <t>-567.685503930662 145.183794353033 -778.207029516737</t>
  </si>
  <si>
    <t>-531.720232496385 287.040558665489 -763.895844407429</t>
  </si>
  <si>
    <t>-430.953064760055 324.48996004395 -466.188478247386</t>
  </si>
  <si>
    <t>-231.785053455397 236.359001249249 -324.036810888636</t>
  </si>
  <si>
    <t>-572.85983218166 82.0527360321098 -772.630852630814</t>
  </si>
  <si>
    <t>-569.30999513683 268.55220032708 -246.907371309217</t>
  </si>
  <si>
    <t>-563.27445180839 269.34698576992 208.746624502666</t>
  </si>
  <si>
    <t>-608.095942818012 246.42696811945 675.961238653353</t>
  </si>
  <si>
    <t>-449.145055523533 262.513150664309 749.577605807754</t>
  </si>
  <si>
    <t>-555.083109760287 76.3457495524469 -225.007160985475</t>
  </si>
  <si>
    <t>-457.167578820102 72.0002352218589 220.022434741298</t>
  </si>
  <si>
    <t>-621.234808528062 -1.54122002203326 654.00933297507</t>
  </si>
  <si>
    <t>-466.050683352336 -38.1695664681458 728.304469407291</t>
  </si>
  <si>
    <t>9763-20170724T170048.400127600.bin</t>
  </si>
  <si>
    <t>-562.534230985067 172.420768299339 -236.311993709349</t>
  </si>
  <si>
    <t>-587.208991990276 157.255548914218 -353.908698799304</t>
  </si>
  <si>
    <t>-593.573607795743 144.137374669162 -474.233160355034</t>
  </si>
  <si>
    <t>-591.694683304569 132.828656178027 -583.152511409926</t>
  </si>
  <si>
    <t>-582.277092079145 121.886124744897 -691.717798794072</t>
  </si>
  <si>
    <t>-561.348158677842 106.88441468439 -841.840817992711</t>
  </si>
  <si>
    <t>-517.840936869735 98.328440508722 -933.584582723824</t>
  </si>
  <si>
    <t>-568.022482124162 145.087358878819 -778.209883642054</t>
  </si>
  <si>
    <t>-531.986336248581 286.942996609579 -763.932670298022</t>
  </si>
  <si>
    <t>-430.923534463156 324.24293515856 -466.306760476213</t>
  </si>
  <si>
    <t>-231.624586965912 236.30626422364 -324.218171057619</t>
  </si>
  <si>
    <t>-573.194620992966 81.9570967022551 -772.62231766527</t>
  </si>
  <si>
    <t>-569.726982296323 268.655335660006 -246.917188932925</t>
  </si>
  <si>
    <t>-563.680674601078 269.432062332488 208.736810509143</t>
  </si>
  <si>
    <t>-608.179109870836 246.627266971488 675.983462121633</t>
  </si>
  <si>
    <t>-449.178911462418 262.354249978253 749.570839270926</t>
  </si>
  <si>
    <t>-555.2553930176 76.3024418961704 -225.010591325786</t>
  </si>
  <si>
    <t>-457.375569415728 71.9942073073903 220.027222707904</t>
  </si>
  <si>
    <t>-621.268506931654 -1.63344355775826 654.071347726425</t>
  </si>
  <si>
    <t>-466.015962021056 -38.1183196676539 728.294078607817</t>
  </si>
  <si>
    <t>9763-20170724T170048.463361400.bin</t>
  </si>
  <si>
    <t>-563.206185592205 172.305886450345 -236.30733549601</t>
  </si>
  <si>
    <t>-587.873749749158 157.119962244198 -353.902809162058</t>
  </si>
  <si>
    <t>-594.272475355631 143.945346356086 -474.219325000825</t>
  </si>
  <si>
    <t>-592.441879905241 132.57289611824 -583.132865682425</t>
  </si>
  <si>
    <t>-583.0902442395 121.554777673259 -691.696202431057</t>
  </si>
  <si>
    <t>-562.27121311873 106.436856860814 -841.822929809404</t>
  </si>
  <si>
    <t>-518.7857783756 97.8305855993181 -933.572158434371</t>
  </si>
  <si>
    <t>-568.923253350823 144.690719681315 -778.220041712295</t>
  </si>
  <si>
    <t>-533.14289383967 286.598262112024 -764.024349913051</t>
  </si>
  <si>
    <t>-431.183655056807 323.82834243589 -466.695512984961</t>
  </si>
  <si>
    <t>-231.47920370429 236.936694165457 -324.533464430924</t>
  </si>
  <si>
    <t>-574.042677613038 81.56146169212 -772.572885105981</t>
  </si>
  <si>
    <t>-570.610473768368 268.66339327934 -246.956279697511</t>
  </si>
  <si>
    <t>-564.580647716361 269.413892224145 208.697897390844</t>
  </si>
  <si>
    <t>-608.182743702126 246.612709623269 676.017643564579</t>
  </si>
  <si>
    <t>-449.186070602966 262.633029120597 749.549392986552</t>
  </si>
  <si>
    <t>-555.75130744282 76.0354677067448 -224.982835620948</t>
  </si>
  <si>
    <t>-457.684065052766 71.9822458362441 220.016118435495</t>
  </si>
  <si>
    <t>-621.307193155705 -1.69068683977616 654.104138246186</t>
  </si>
  <si>
    <t>-465.998344613065 -38.1131371433294 728.239653148367</t>
  </si>
  <si>
    <t>9763-20170724T170048.496979900.bin</t>
  </si>
  <si>
    <t>-563.449782220438 172.354300684337 -236.332811165568</t>
  </si>
  <si>
    <t>-588.10315561071 157.12992504707 -353.926192562282</t>
  </si>
  <si>
    <t>-594.525192402911 143.913550198076 -474.236842443869</t>
  </si>
  <si>
    <t>-592.73102052403 132.502755364371 -583.14707468903</t>
  </si>
  <si>
    <t>-583.430929617014 121.446542545997 -691.710979259674</t>
  </si>
  <si>
    <t>-562.698904813071 106.276686897594 -841.84439488211</t>
  </si>
  <si>
    <t>-519.240948833939 97.6455861970192 -933.604519667807</t>
  </si>
  <si>
    <t>-569.324873764262 144.553240054226 -778.252746194029</t>
  </si>
  <si>
    <t>-533.704546468814 286.52337986265 -764.088545329896</t>
  </si>
  <si>
    <t>-431.560352881218 323.88608923821 -466.839907477406</t>
  </si>
  <si>
    <t>-231.770722287199 237.244581175508 -324.644911452659</t>
  </si>
  <si>
    <t>-574.419480085305 81.4245347052115 -772.57751334458</t>
  </si>
  <si>
    <t>-570.870466134995 268.760648959875 -246.998075065697</t>
  </si>
  <si>
    <t>-564.917070237436 269.514209032782 208.657109597702</t>
  </si>
  <si>
    <t>-608.230764098295 246.820499055304 675.998411185158</t>
  </si>
  <si>
    <t>-449.203414518669 262.427951655564 749.552554159687</t>
  </si>
  <si>
    <t>-555.9391505716 76.0452147082895 -224.987445076062</t>
  </si>
  <si>
    <t>-457.756954659863 72.0176186288984 219.986279112104</t>
  </si>
  <si>
    <t>-621.316921325433 -1.71423095054388 654.09659189096</t>
  </si>
  <si>
    <t>-465.998081470954 -38.1412501155507 728.208914422696</t>
  </si>
  <si>
    <t>9763-20170724T170048.562638600.bin</t>
  </si>
  <si>
    <t>-563.616578473556 172.351551366975 -236.443965324503</t>
  </si>
  <si>
    <t>-588.236150930713 157.069552262701 -354.0369989125</t>
  </si>
  <si>
    <t>-594.664625222215 143.73022602709 -474.333792576552</t>
  </si>
  <si>
    <t>-592.893764311453 132.179876117417 -583.229662395321</t>
  </si>
  <si>
    <t>-583.635204669559 120.954537605483 -691.779678710631</t>
  </si>
  <si>
    <t>-562.98038184266 105.517800232473 -841.896550663605</t>
  </si>
  <si>
    <t>-519.571364018109 96.7665258667485 -933.668403999982</t>
  </si>
  <si>
    <t>-569.494731552889 143.901935855035 -778.358223937558</t>
  </si>
  <si>
    <t>-533.894892771246 285.91853505046 -764.40642564084</t>
  </si>
  <si>
    <t>-434.15554792556 326.582571233379 -466.77473222179</t>
  </si>
  <si>
    <t>-234.613935566373 239.201295177048 -324.684233021638</t>
  </si>
  <si>
    <t>-574.744298485244 80.7941531979302 -772.590971983075</t>
  </si>
  <si>
    <t>-570.931716617201 268.832512815252 -247.205030603989</t>
  </si>
  <si>
    <t>-565.462277605891 269.633382635291 208.456135284326</t>
  </si>
  <si>
    <t>-608.170313172946 247.135459581802 675.81757928535</t>
  </si>
  <si>
    <t>-449.230095232028 262.816996722928 749.544086364867</t>
  </si>
  <si>
    <t>-556.221885822166 75.9305596177642 -225.006411542278</t>
  </si>
  <si>
    <t>-457.78777640876 72.092474699898 219.913380724243</t>
  </si>
  <si>
    <t>-621.31265807269 -1.74955336169842 654.028089593771</t>
  </si>
  <si>
    <t>-465.9411171455 -38.0278154262758 728.102946757672</t>
  </si>
  <si>
    <t>9763-20170724T170048.597432700.bin</t>
  </si>
  <si>
    <t>-563.664471247868 172.43543561861 -236.520702856217</t>
  </si>
  <si>
    <t>-588.23577950006 157.145973390511 -354.123060317998</t>
  </si>
  <si>
    <t>-594.670171584749 143.767512625767 -474.415148585911</t>
  </si>
  <si>
    <t>-592.927564514333 132.168373449322 -583.306152106374</t>
  </si>
  <si>
    <t>-583.720180940558 120.881480012464 -691.854221504308</t>
  </si>
  <si>
    <t>-563.16046272034 105.345504476632 -841.973900325336</t>
  </si>
  <si>
    <t>-519.792810784647 96.5046801752994 -933.75678386268</t>
  </si>
  <si>
    <t>-569.564737928546 143.766728467546 -778.446678704305</t>
  </si>
  <si>
    <t>-534.017688586812 285.805423110807 -764.684177820293</t>
  </si>
  <si>
    <t>-436.616208871635 328.064313392789 -466.500720798137</t>
  </si>
  <si>
    <t>-237.236017443505 241.285403818507 -323.81583350106</t>
  </si>
  <si>
    <t>-574.950180689229 80.6728041429351 -772.654612970585</t>
  </si>
  <si>
    <t>-570.806331365176 268.990198064411 -247.323713087814</t>
  </si>
  <si>
    <t>-565.789055989887 269.826639600196 208.342670732283</t>
  </si>
  <si>
    <t>-608.208542950177 247.448030642497 675.750812542154</t>
  </si>
  <si>
    <t>-449.249274132885 262.519455564627 749.563446006563</t>
  </si>
  <si>
    <t>-556.429507887771 75.9286893903115 -225.021653480241</t>
  </si>
  <si>
    <t>-457.74146855502 72.1438994006803 219.842391226602</t>
  </si>
  <si>
    <t>-621.300996923529 -1.74649279296227 653.959720502655</t>
  </si>
  <si>
    <t>-465.977986516044 -38.2277029745228 728.036649879038</t>
  </si>
  <si>
    <t>9763-20170724T170048.662166100.bin</t>
  </si>
  <si>
    <t>-563.520889917819 172.228050725239 -236.617302517762</t>
  </si>
  <si>
    <t>-588.008006290845 156.979780136403 -354.242423329681</t>
  </si>
  <si>
    <t>-594.39241428688 143.524452618519 -474.528639164065</t>
  </si>
  <si>
    <t>-592.621910465599 131.815738611804 -583.40755710434</t>
  </si>
  <si>
    <t>-583.40552930027 120.384078530377 -691.9396999868</t>
  </si>
  <si>
    <t>-562.853766525567 104.615254108167 -842.036311107708</t>
  </si>
  <si>
    <t>-519.547105569224 95.559771081663 -933.826851458706</t>
  </si>
  <si>
    <t>-569.166652048763 143.12835185072 -778.555456397902</t>
  </si>
  <si>
    <t>-533.94311175301 285.259452477637 -765.076286653336</t>
  </si>
  <si>
    <t>-443.816582907971 330.907519764754 -465.110159162615</t>
  </si>
  <si>
    <t>-244.227077035158 249.766635749454 -319.431755040507</t>
  </si>
  <si>
    <t>-574.727979512748 80.0564217428146 -772.690826469031</t>
  </si>
  <si>
    <t>-570.261094861007 268.957961333888 -247.509121858158</t>
  </si>
  <si>
    <t>-566.26961914015 269.794849998808 208.167314803969</t>
  </si>
  <si>
    <t>-608.233950412552 247.738090682133 675.670516463633</t>
  </si>
  <si>
    <t>-449.283743718209 262.441882199821 749.576830322543</t>
  </si>
  <si>
    <t>-556.724406914295 75.5085689710725 -225.051798092367</t>
  </si>
  <si>
    <t>-457.642606086755 71.8608952980555 219.725863583234</t>
  </si>
  <si>
    <t>-621.318359904336 -1.70943094967788 653.887381381056</t>
  </si>
  <si>
    <t>-465.999850298992 -38.2643187722354 727.937454815799</t>
  </si>
  <si>
    <t>9763-20170724T170048.695264900.bin</t>
  </si>
  <si>
    <t>-563.446961763272 171.935164032579 -236.631307276683</t>
  </si>
  <si>
    <t>-587.933747095875 156.720733398394 -354.261053379832</t>
  </si>
  <si>
    <t>-594.260832506134 143.256322787435 -474.549172650239</t>
  </si>
  <si>
    <t>-592.416911524044 131.526397731901 -583.424640007411</t>
  </si>
  <si>
    <t>-583.10630073946 120.064105419943 -691.94552123501</t>
  </si>
  <si>
    <t>-562.402838091276 104.245201169062 -842.015909638937</t>
  </si>
  <si>
    <t>-519.065804951184 95.1059183610562 -933.783961647832</t>
  </si>
  <si>
    <t>-568.771107491728 142.778962486956 -778.553173108092</t>
  </si>
  <si>
    <t>-533.827331598296 284.985214712375 -765.158919999086</t>
  </si>
  <si>
    <t>-448.260824068878 332.478704357047 -464.14577392605</t>
  </si>
  <si>
    <t>-248.729685101061 255.630232592173 -316.079210282815</t>
  </si>
  <si>
    <t>-574.355806406247 79.710265863924 -772.675587343425</t>
  </si>
  <si>
    <t>-569.933339622061 268.764035368764 -247.552372444411</t>
  </si>
  <si>
    <t>-566.314800146793 269.607786269897 208.127214609859</t>
  </si>
  <si>
    <t>-608.236065872985 247.755665467826 675.670756976931</t>
  </si>
  <si>
    <t>-449.284880173901 262.43381463433 749.580016509729</t>
  </si>
  <si>
    <t>-556.896865756017 75.1451007363621 -225.035860351938</t>
  </si>
  <si>
    <t>-457.527188979554 71.4790670434038 219.677453273997</t>
  </si>
  <si>
    <t>-621.336897386579 -1.76239528112524 653.86722258565</t>
  </si>
  <si>
    <t>-466.006826647278 -38.3081027208109 727.897538944633</t>
  </si>
  <si>
    <t>9763-20170724T170048.764983600.bin</t>
  </si>
  <si>
    <t>-563.407278767502 171.330441657395 -236.59135688987</t>
  </si>
  <si>
    <t>-588.018889312093 156.133244067163 -354.197185367908</t>
  </si>
  <si>
    <t>-594.241043732713 142.594403471031 -474.482389121824</t>
  </si>
  <si>
    <t>-592.211349939509 130.769688640806 -583.344317545868</t>
  </si>
  <si>
    <t>-582.626153458492 119.191086806622 -691.82894633824</t>
  </si>
  <si>
    <t>-561.450966407552 103.193219741933 -841.814559425743</t>
  </si>
  <si>
    <t>-517.890555587066 93.8784831268717 -933.459065184643</t>
  </si>
  <si>
    <t>-568.132871513602 141.810925206385 -778.435159722881</t>
  </si>
  <si>
    <t>-533.88353241561 284.208498136968 -765.310758997257</t>
  </si>
  <si>
    <t>-455.605356716213 335.865975103703 -463.002565370832</t>
  </si>
  <si>
    <t>-258.10536952182 269.017512969656 -307.544914992657</t>
  </si>
  <si>
    <t>-573.507771327501 78.732666704333 -772.46594905572</t>
  </si>
  <si>
    <t>-569.729879807773 268.183501934825 -247.492038747674</t>
  </si>
  <si>
    <t>-565.992318760019 269.163579594692 208.186231509567</t>
  </si>
  <si>
    <t>-608.228070957632 247.532994041242 675.746396771485</t>
  </si>
  <si>
    <t>-449.252967920415 262.364192821419 749.573657712348</t>
  </si>
  <si>
    <t>-557.034664115031 74.6191092245847 -224.963406473081</t>
  </si>
  <si>
    <t>-457.21061630768 70.8633896030408 219.647271850675</t>
  </si>
  <si>
    <t>-621.351209606472 -1.68339036391558 653.804688153685</t>
  </si>
  <si>
    <t>-466.064318503751 -38.430743085562 727.82578909759</t>
  </si>
  <si>
    <t>9763-20170724T170048.796569300.bin</t>
  </si>
  <si>
    <t>-563.417357598836 171.133182392136 -236.556376974006</t>
  </si>
  <si>
    <t>-588.123606449417 155.924630592254 -354.140782924603</t>
  </si>
  <si>
    <t>-594.325360452691 142.341116366687 -474.422187865378</t>
  </si>
  <si>
    <t>-592.230923999647 130.464507788213 -583.277169942215</t>
  </si>
  <si>
    <t>-582.535650175171 118.822685184333 -691.745163671688</t>
  </si>
  <si>
    <t>-561.161148552828 102.727011226101 -841.692101491983</t>
  </si>
  <si>
    <t>-517.491792337993 93.3887955878733 -933.282293572341</t>
  </si>
  <si>
    <t>-568.006941251831 141.391661261755 -778.358826351973</t>
  </si>
  <si>
    <t>-534.247569343616 283.915475127723 -765.381910270327</t>
  </si>
  <si>
    <t>-458.742727968139 337.1690227482 -462.645564163368</t>
  </si>
  <si>
    <t>-262.447724086438 274.617083045971 -303.90806412499</t>
  </si>
  <si>
    <t>-573.230462673832 78.3060628393184 -772.331558378142</t>
  </si>
  <si>
    <t>-569.880822058427 267.971638445586 -247.408039338646</t>
  </si>
  <si>
    <t>-565.727816831603 268.951072623567 208.266665191997</t>
  </si>
  <si>
    <t>-608.242110721006 247.376289351098 675.823655014608</t>
  </si>
  <si>
    <t>-449.231105663282 262.246100330612 749.565702470702</t>
  </si>
  <si>
    <t>-556.868346282719 74.4732911971278 -224.991316334006</t>
  </si>
  <si>
    <t>-457.190621483332 70.7201477207391 219.652208202526</t>
  </si>
  <si>
    <t>-621.347116481747 -1.74458704398421 653.797364213416</t>
  </si>
  <si>
    <t>-466.053311042111 -38.4656408627698 727.817066087266</t>
  </si>
  <si>
    <t>9763-20170724T170048.864264000.bin</t>
  </si>
  <si>
    <t>-563.509967299634 171.008862041807 -236.468000288806</t>
  </si>
  <si>
    <t>-588.223302212533 155.711219928118 -354.039353982939</t>
  </si>
  <si>
    <t>-594.319862973145 142.087168056521 -474.321490124402</t>
  </si>
  <si>
    <t>-592.084057647601 130.194156861994 -583.171847969016</t>
  </si>
  <si>
    <t>-582.201405476893 118.555285833735 -691.623368977683</t>
  </si>
  <si>
    <t>-560.519300056044 102.483001147551 -841.528599597715</t>
  </si>
  <si>
    <t>-516.612818803978 93.2275989442569 -933.013760059062</t>
  </si>
  <si>
    <t>-567.680085425714 141.149811372702 -778.231532495544</t>
  </si>
  <si>
    <t>-534.91068132478 283.898208655053 -765.196550127327</t>
  </si>
  <si>
    <t>-462.226043474393 339.297845676878 -462.15514802034</t>
  </si>
  <si>
    <t>-268.045141537504 284.545591886907 -298.027112180459</t>
  </si>
  <si>
    <t>-572.545835381368 78.0391628207308 -772.168870305925</t>
  </si>
  <si>
    <t>-570.48523617584 267.681177389855 -247.251049875047</t>
  </si>
  <si>
    <t>-565.367667901167 268.799524429161 208.413561299201</t>
  </si>
  <si>
    <t>-608.2125233598 247.093694448345 675.896643197946</t>
  </si>
  <si>
    <t>-449.188594088126 262.397714282849 749.521896988317</t>
  </si>
  <si>
    <t>-556.421849977341 74.4744753618133 -224.990330291841</t>
  </si>
  <si>
    <t>-457.265166941101 70.951912740413 219.771580631494</t>
  </si>
  <si>
    <t>-621.335819821313 -1.63663201508234 653.844015973497</t>
  </si>
  <si>
    <t>-466.111847692267 -38.6351270700295 727.871945863179</t>
  </si>
  <si>
    <t>9763-20170724T170048.895856700.bin</t>
  </si>
  <si>
    <t>-563.571066342526 171.077296184559 -236.424833650152</t>
  </si>
  <si>
    <t>-588.281140184257 155.725365041787 -353.989783279999</t>
  </si>
  <si>
    <t>-594.368412020638 142.085227206659 -474.270629494055</t>
  </si>
  <si>
    <t>-592.121067497038 130.195102244993 -583.121094462678</t>
  </si>
  <si>
    <t>-582.223371905139 118.576757631223 -691.573275677334</t>
  </si>
  <si>
    <t>-560.51632404853 102.552010680651 -841.480049624222</t>
  </si>
  <si>
    <t>-516.523729329486 93.3693659804103 -932.931141666086</t>
  </si>
  <si>
    <t>-567.782583683238 141.204553561969 -778.186279562058</t>
  </si>
  <si>
    <t>-535.473474091657 284.0343951429 -765.070857228682</t>
  </si>
  <si>
    <t>-463.684572572918 340.306160966906 -461.976683056535</t>
  </si>
  <si>
    <t>-270.023275931657 289.171019922632 -296.077522554863</t>
  </si>
  <si>
    <t>-572.459422065803 78.0804262279546 -772.115716349712</t>
  </si>
  <si>
    <t>-570.852442210823 267.734901955885 -247.202142886724</t>
  </si>
  <si>
    <t>-565.518353872475 268.841153859538 208.459962874075</t>
  </si>
  <si>
    <t>-608.215646204642 247.061657845152 675.927797147831</t>
  </si>
  <si>
    <t>-449.184172298699 262.490772675159 749.510685130471</t>
  </si>
  <si>
    <t>-556.219380941249 74.5712698652735 -224.949795935018</t>
  </si>
  <si>
    <t>-457.276446938727 71.0734913282026 219.85990956333</t>
  </si>
  <si>
    <t>-621.330306035638 -1.71451775177479 653.871672894408</t>
  </si>
  <si>
    <t>-466.047570594488 -38.4939128525423 727.885625861599</t>
  </si>
  <si>
    <t>9763-20170724T170048.966576200.bin</t>
  </si>
  <si>
    <t>-563.737716910551 171.347846988303 -236.339110947647</t>
  </si>
  <si>
    <t>-588.330545318763 155.817571142136 -353.905269809828</t>
  </si>
  <si>
    <t>-594.275343890975 142.194225570575 -474.195047582599</t>
  </si>
  <si>
    <t>-591.886478978912 130.401420414596 -583.053077777722</t>
  </si>
  <si>
    <t>-581.8328935784 118.963948460296 -691.510234422797</t>
  </si>
  <si>
    <t>-559.892741270722 103.278890512514 -841.418906616729</t>
  </si>
  <si>
    <t>-515.691083644951 94.3222707020398 -932.79167445615</t>
  </si>
  <si>
    <t>-567.40975731631 141.796691165811 -778.072276642108</t>
  </si>
  <si>
    <t>-535.618026180146 284.748277137463 -764.711436387881</t>
  </si>
  <si>
    <t>-464.741287879092 339.912973967587 -461.199516912776</t>
  </si>
  <si>
    <t>-271.524477477246 291.250720410696 -294.042864625094</t>
  </si>
  <si>
    <t>-571.791385613685 78.6413228352076 -772.105589994769</t>
  </si>
  <si>
    <t>-571.425765399513 268.00475713767 -247.218509516713</t>
  </si>
  <si>
    <t>-566.287400185856 269.15662142 208.445717452132</t>
  </si>
  <si>
    <t>-608.237882037653 247.168863070586 675.951637959278</t>
  </si>
  <si>
    <t>-449.180449008471 262.496970260164 749.499661336181</t>
  </si>
  <si>
    <t>-555.982463132082 74.7507473933354 -224.743140692407</t>
  </si>
  <si>
    <t>-457.059831737066 71.3795457117617 220.07212598447</t>
  </si>
  <si>
    <t>-621.339580285926 -1.79137208208681 653.913643110642</t>
  </si>
  <si>
    <t>-465.94281887985 -38.2070647429873 727.868006292339</t>
  </si>
  <si>
    <t>9763-20170724T170048.995656100.bin</t>
  </si>
  <si>
    <t>-563.799834992212 171.504443397184 -236.316510291619</t>
  </si>
  <si>
    <t>-588.388916335294 155.891480493882 -353.872656465034</t>
  </si>
  <si>
    <t>-594.29743259015 142.28812135589 -474.166389205671</t>
  </si>
  <si>
    <t>-591.860987986849 130.556727769437 -583.030024768154</t>
  </si>
  <si>
    <t>-581.743980068014 119.225083770514 -691.492469771629</t>
  </si>
  <si>
    <t>-559.698516621663 103.73401441759 -841.405892052412</t>
  </si>
  <si>
    <t>-515.431138810947 94.8995432402028 -932.758646735603</t>
  </si>
  <si>
    <t>-567.315626871176 142.172893944812 -778.023292609771</t>
  </si>
  <si>
    <t>-535.647859772893 285.139191777401 -764.482416843812</t>
  </si>
  <si>
    <t>-465.137306460437 340.076240035906 -460.843892047205</t>
  </si>
  <si>
    <t>-272.140755837662 287.647886585367 -294.573973028175</t>
  </si>
  <si>
    <t>-571.590216230652 79.0038454276962 -772.12440167541</t>
  </si>
  <si>
    <t>-571.607121219462 268.180397306072 -247.26313346156</t>
  </si>
  <si>
    <t>-566.610489917799 269.366463830909 208.402645284889</t>
  </si>
  <si>
    <t>-608.264417352945 247.320060916525 675.944842117805</t>
  </si>
  <si>
    <t>-449.192361888585 262.475459865475 749.496866647161</t>
  </si>
  <si>
    <t>-555.909036246613 74.8799450700233 -224.673108091452</t>
  </si>
  <si>
    <t>-456.9615027294 71.6263941772618 220.137561060206</t>
  </si>
  <si>
    <t>-621.350174920179 -1.62717148643219 653.912097167063</t>
  </si>
  <si>
    <t>-466.023964536809 -38.3773660168226 727.849268563953</t>
  </si>
  <si>
    <t>9763-20170724T170049.065952800.bin</t>
  </si>
  <si>
    <t>-563.855326510981 171.597569747486 -236.421737224996</t>
  </si>
  <si>
    <t>-588.402039209163 155.91814471708 -353.977680286166</t>
  </si>
  <si>
    <t>-594.22013094452 142.29059339822 -474.273126830991</t>
  </si>
  <si>
    <t>-591.68195504365 130.553703274948 -583.13395171542</t>
  </si>
  <si>
    <t>-581.443439629262 119.231499621707 -691.585966850169</t>
  </si>
  <si>
    <t>-559.208708025973 103.768370748802 -841.474306711009</t>
  </si>
  <si>
    <t>-514.829854038924 95.0719778940786 -932.786188067833</t>
  </si>
  <si>
    <t>-566.968844399508 142.198763479878 -778.103852124316</t>
  </si>
  <si>
    <t>-535.414878164269 285.19435602193 -764.526970472066</t>
  </si>
  <si>
    <t>-466.785780221212 338.861108878958 -460.230758549203</t>
  </si>
  <si>
    <t>-272.410577981905 283.166059139839 -296.650851087957</t>
  </si>
  <si>
    <t>-571.124870182937 79.0220771110157 -772.202686399203</t>
  </si>
  <si>
    <t>-571.900268267842 268.26893369203 -247.346565233737</t>
  </si>
  <si>
    <t>-566.836952126959 269.455784595751 208.318452585824</t>
  </si>
  <si>
    <t>-608.259833337722 247.382595576216 675.935450282649</t>
  </si>
  <si>
    <t>-449.191488918645 262.657073450052 749.470952125545</t>
  </si>
  <si>
    <t>-555.771868135743 75.0331676073376 -224.786167566717</t>
  </si>
  <si>
    <t>-457.044650610196 71.7542932572444 220.073260136713</t>
  </si>
  <si>
    <t>-621.362627167444 -1.65210281614486 653.927252832045</t>
  </si>
  <si>
    <t>-466.04624903918 -38.4917621691091 727.840472877898</t>
  </si>
  <si>
    <t>9763-20170724T170049.100047400.bin</t>
  </si>
  <si>
    <t>-563.919449982225 171.518740528707 -236.444268780136</t>
  </si>
  <si>
    <t>-588.420798008608 155.853869346644 -354.011743507873</t>
  </si>
  <si>
    <t>-594.189769818022 142.235669985925 -474.310723081626</t>
  </si>
  <si>
    <t>-591.606182801631 130.505369535079 -583.170974169383</t>
  </si>
  <si>
    <t>-581.321574206169 119.187652580751 -691.619089111008</t>
  </si>
  <si>
    <t>-559.02220101035 103.72887145616 -841.498308818466</t>
  </si>
  <si>
    <t>-514.590458314024 95.1084509172294 -932.791655918724</t>
  </si>
  <si>
    <t>-566.866030807209 142.160254018324 -778.138760411081</t>
  </si>
  <si>
    <t>-535.521277875052 285.174847574317 -764.550267119027</t>
  </si>
  <si>
    <t>-467.215863277033 337.829424106637 -460.004584956759</t>
  </si>
  <si>
    <t>-272.637085755468 279.043680340696 -297.753481814746</t>
  </si>
  <si>
    <t>-570.911904540557 78.9776310281873 -772.223949020979</t>
  </si>
  <si>
    <t>-572.055398522133 268.182431863156 -247.336589274612</t>
  </si>
  <si>
    <t>-566.912131909052 269.360056902539 208.327570637247</t>
  </si>
  <si>
    <t>-608.252523690781 247.323717699614 675.955348830584</t>
  </si>
  <si>
    <t>-449.182785253413 262.751223561331 749.455889016908</t>
  </si>
  <si>
    <t>-555.71588389098 74.9268923616207 -224.865680222077</t>
  </si>
  <si>
    <t>-457.192114268215 71.5997648133721 220.03838331702</t>
  </si>
  <si>
    <t>-621.364321537728 -1.81719850192781 653.955213531294</t>
  </si>
  <si>
    <t>-465.943468663714 -38.2467095938684 727.852170179166</t>
  </si>
  <si>
    <t>9763-20170724T170049.162213400.bin</t>
  </si>
  <si>
    <t>-563.987399344671 171.325802852019 -236.495770292504</t>
  </si>
  <si>
    <t>-588.516042399731 155.651736872712 -354.056385375127</t>
  </si>
  <si>
    <t>-594.29160951232 142.102784303782 -474.36268965519</t>
  </si>
  <si>
    <t>-591.703777728673 130.463737470404 -583.232769818402</t>
  </si>
  <si>
    <t>-581.403594563856 119.264263876475 -691.691768605996</t>
  </si>
  <si>
    <t>-559.070548899888 103.994893088686 -841.585219336987</t>
  </si>
  <si>
    <t>-514.500437028498 95.5503108011965 -932.827703049625</t>
  </si>
  <si>
    <t>-567.016631862588 142.350259922006 -778.192629297071</t>
  </si>
  <si>
    <t>-535.77810895232 285.399019445769 -764.527338530276</t>
  </si>
  <si>
    <t>-466.930172391961 336.637501138434 -459.862311627489</t>
  </si>
  <si>
    <t>-271.470638911931 274.032845379626 -300.117981626622</t>
  </si>
  <si>
    <t>-570.887884853229 79.1518341540891 -772.331428822091</t>
  </si>
  <si>
    <t>-572.458071070182 267.973017575211 -247.302133988394</t>
  </si>
  <si>
    <t>-567.09189851314 269.255382448591 208.359133157729</t>
  </si>
  <si>
    <t>-608.276941174502 247.347787970684 675.979981934453</t>
  </si>
  <si>
    <t>-449.164115481855 262.551289095363 749.43383708646</t>
  </si>
  <si>
    <t>-555.459651280526 74.7897001721351 -224.977643159376</t>
  </si>
  <si>
    <t>-457.351023975583 71.3441964815211 220.017247180322</t>
  </si>
  <si>
    <t>-621.363106079068 -1.90991129388271 654.018616599232</t>
  </si>
  <si>
    <t>-465.884915180739 -38.1250406378072 727.90031804458</t>
  </si>
  <si>
    <t>9763-20170724T170049.196307200.bin</t>
  </si>
  <si>
    <t>-564.04222092292 171.315142993642 -236.457917561642</t>
  </si>
  <si>
    <t>-588.552231962132 155.603015587763 -354.017277080429</t>
  </si>
  <si>
    <t>-594.320114977744 142.087405700013 -474.327718359245</t>
  </si>
  <si>
    <t>-591.728181878489 130.504809137409 -583.203718429924</t>
  </si>
  <si>
    <t>-581.426005405492 119.385615173201 -691.67073354826</t>
  </si>
  <si>
    <t>-559.091613102705 104.251131285086 -841.577787438227</t>
  </si>
  <si>
    <t>-514.473700940466 95.8716020921249 -932.802758703982</t>
  </si>
  <si>
    <t>-567.054505411437 142.55040244746 -778.153061872796</t>
  </si>
  <si>
    <t>-535.804396083802 285.566713455466 -764.386462187018</t>
  </si>
  <si>
    <t>-466.10423727135 335.909527300955 -459.765880980507</t>
  </si>
  <si>
    <t>-270.396595265564 270.819529258736 -301.323925966354</t>
  </si>
  <si>
    <t>-570.893248375159 79.344882672993 -772.343895922809</t>
  </si>
  <si>
    <t>-572.620446969847 267.838507190186 -247.279736549417</t>
  </si>
  <si>
    <t>-567.181717897023 269.234580259307 208.380434674372</t>
  </si>
  <si>
    <t>-608.264654347112 247.297737301848 676.001827790423</t>
  </si>
  <si>
    <t>-449.168605496055 262.834105000094 749.422364844163</t>
  </si>
  <si>
    <t>-555.379293961087 74.8779012458649 -224.942467715288</t>
  </si>
  <si>
    <t>-457.286005331507 71.3727466070029 220.055392256223</t>
  </si>
  <si>
    <t>-621.371819557501 -1.75283953898088 654.038835564555</t>
  </si>
  <si>
    <t>-465.976238905848 -38.3176283115017 727.922158354657</t>
  </si>
  <si>
    <t>9763-20170724T170049.263003700.bin</t>
  </si>
  <si>
    <t>-564.045871193761 171.136962663143 -236.387279139707</t>
  </si>
  <si>
    <t>-588.595647742873 155.343733637203 -353.92732464237</t>
  </si>
  <si>
    <t>-594.419220514079 141.91463685272 -474.244896284843</t>
  </si>
  <si>
    <t>-591.880061785152 130.475469698579 -583.137337636683</t>
  </si>
  <si>
    <t>-581.63094442025 119.562570657409 -691.630260547933</t>
  </si>
  <si>
    <t>-559.368588023966 104.778738858546 -841.582944211207</t>
  </si>
  <si>
    <t>-514.68890758547 96.5678974369471 -932.793054513665</t>
  </si>
  <si>
    <t>-567.326025937706 142.93051083314 -778.069037281782</t>
  </si>
  <si>
    <t>-535.950812514236 285.92442188088 -764.100142595576</t>
  </si>
  <si>
    <t>-463.510411974979 334.356220810075 -459.809188077499</t>
  </si>
  <si>
    <t>-266.67772614012 266.312756586133 -304.023895929536</t>
  </si>
  <si>
    <t>-571.111959685888 79.7095973642838 -772.39806153947</t>
  </si>
  <si>
    <t>-572.749701357891 267.627865598653 -247.258959369487</t>
  </si>
  <si>
    <t>-567.307230551157 269.156199933228 208.400662486296</t>
  </si>
  <si>
    <t>-608.250167895205 247.300717568714 676.009816796777</t>
  </si>
  <si>
    <t>-449.16472319361 263.008862134327 749.416775531665</t>
  </si>
  <si>
    <t>-555.261547628773 74.6563101337256 -224.836463282931</t>
  </si>
  <si>
    <t>-457.047724045924 71.3557010407931 220.136369030609</t>
  </si>
  <si>
    <t>-621.351882080663 -1.88724247319647 654.023780066949</t>
  </si>
  <si>
    <t>-465.882438587386 -38.1589439114434 727.896133731988</t>
  </si>
  <si>
    <t>9763-20170724T170049.295088300.bin</t>
  </si>
  <si>
    <t>-564.031369631728 171.037989068998 -236.392272931972</t>
  </si>
  <si>
    <t>-588.610686848798 155.210209019702 -353.921706790941</t>
  </si>
  <si>
    <t>-594.476507657592 141.812525031559 -474.24064611763</t>
  </si>
  <si>
    <t>-591.979027364547 130.427250221514 -583.139544535203</t>
  </si>
  <si>
    <t>-581.774026902091 119.593183565387 -691.644579756205</t>
  </si>
  <si>
    <t>-559.574735663888 104.944013901751 -841.619851050277</t>
  </si>
  <si>
    <t>-514.87680632186 96.8276146567364 -932.829605665188</t>
  </si>
  <si>
    <t>-567.514538005744 143.0392950307 -778.069748749208</t>
  </si>
  <si>
    <t>-536.142101628912 286.01452438435 -764.058026283761</t>
  </si>
  <si>
    <t>-462.140255890561 333.793971544927 -460.039806285398</t>
  </si>
  <si>
    <t>-264.763912755145 264.286387505111 -305.594590246767</t>
  </si>
  <si>
    <t>-571.279857213037 79.8124129972396 -772.451152435601</t>
  </si>
  <si>
    <t>-572.825762148473 267.525973712945 -247.263099979393</t>
  </si>
  <si>
    <t>-567.273107502724 269.104111850293 208.394999212943</t>
  </si>
  <si>
    <t>-608.214779442255 247.219256657174 676.015234670063</t>
  </si>
  <si>
    <t>-449.131994657662 262.990727801679 749.4144079872</t>
  </si>
  <si>
    <t>-555.152189040499 74.5869244978549 -224.850381168437</t>
  </si>
  <si>
    <t>-457.007268261569 71.3602853291745 220.138264565109</t>
  </si>
  <si>
    <t>-621.342607283982 -1.85534091248883 654.020019754903</t>
  </si>
  <si>
    <t>-465.886285990809 -38.1785854584093 727.894670583579</t>
  </si>
  <si>
    <t>9763-20170724T170049.365777800.bin</t>
  </si>
  <si>
    <t>-564.011007527644 171.00835089507 -236.408694267029</t>
  </si>
  <si>
    <t>-588.596625015793 155.181089367505 -353.936882097322</t>
  </si>
  <si>
    <t>-594.50559516941 141.873269793851 -474.263593974755</t>
  </si>
  <si>
    <t>-592.059859679824 130.602352310107 -583.17581631228</t>
  </si>
  <si>
    <t>-581.917957207108 119.913937780965 -691.701018321303</t>
  </si>
  <si>
    <t>-559.816939474606 105.497762728991 -841.713487419373</t>
  </si>
  <si>
    <t>-515.095060958567 97.5663192399893 -932.927738787604</t>
  </si>
  <si>
    <t>-567.711136684073 143.494184312106 -778.098420186644</t>
  </si>
  <si>
    <t>-536.037000549538 286.4149542953 -764.00855085639</t>
  </si>
  <si>
    <t>-458.935608725167 333.118601946782 -460.594087589151</t>
  </si>
  <si>
    <t>-260.438029420321 261.445006398516 -308.595290837711</t>
  </si>
  <si>
    <t>-571.480744333316 80.2588460241434 -772.576845972097</t>
  </si>
  <si>
    <t>-572.878065752162 267.488310554704 -247.257176210971</t>
  </si>
  <si>
    <t>-567.274965143313 269.152702300054 208.400109162565</t>
  </si>
  <si>
    <t>-608.250078674522 247.340458649507 676.023925248556</t>
  </si>
  <si>
    <t>-449.134066079618 262.828610514426 749.411429773451</t>
  </si>
  <si>
    <t>-555.075558239619 74.6322814416867 -224.89411934053</t>
  </si>
  <si>
    <t>-457.050516133747 71.327414663441 220.120357216582</t>
  </si>
  <si>
    <t>-621.34120134385 -1.79480232536662 654.056399451995</t>
  </si>
  <si>
    <t>-465.896018384599 -38.1911753338261 727.918475151943</t>
  </si>
  <si>
    <t>9763-20170724T170049.441840100.bin</t>
  </si>
  <si>
    <t>-563.93504321802 170.975447972628 -236.430155491357</t>
  </si>
  <si>
    <t>-588.52833694734 155.156663437233 -353.95785440278</t>
  </si>
  <si>
    <t>-594.472214673431 141.875187910804 -474.285822356808</t>
  </si>
  <si>
    <t>-592.068313770044 130.633834987021 -583.201947510376</t>
  </si>
  <si>
    <t>-581.978151004823 119.979227436572 -691.735330495637</t>
  </si>
  <si>
    <t>-559.958730293059 105.614199202924 -841.764768534399</t>
  </si>
  <si>
    <t>-515.236626598087 97.725914108212 -932.982524985713</t>
  </si>
  <si>
    <t>-567.798959646528 143.587888713738 -778.129406067142</t>
  </si>
  <si>
    <t>-535.951166316515 286.453942191617 -764.030584709262</t>
  </si>
  <si>
    <t>-457.548007067251 332.546269252998 -460.856225425415</t>
  </si>
  <si>
    <t>-258.639137013508 259.998524053443 -309.812759078728</t>
  </si>
  <si>
    <t>-571.60433543824 80.3525807491624 -772.633340439128</t>
  </si>
  <si>
    <t>-572.794098559101 267.442090782037 -247.277186898865</t>
  </si>
  <si>
    <t>-567.187530733008 269.111221877927 208.379983804667</t>
  </si>
  <si>
    <t>-608.233479887488 247.320606456547 675.970337442974</t>
  </si>
  <si>
    <t>-449.125118601291 262.885526314858 749.358119510077</t>
  </si>
  <si>
    <t>-554.996723985303 74.5618513606005 -224.915070180022</t>
  </si>
  <si>
    <t>-457.037277987645 71.2714483413743 220.113930034777</t>
  </si>
  <si>
    <t>-621.332501209734 -1.90466871740205 654.060243702607</t>
  </si>
  <si>
    <t>-465.885240778749 -38.2926260562094 727.92211391055</t>
  </si>
  <si>
    <t>9763-20170724T170049.462896300.bin</t>
  </si>
  <si>
    <t>-563.758657892629 170.895274831723 -236.391170588846</t>
  </si>
  <si>
    <t>-588.394859494746 155.075875664176 -353.909718865903</t>
  </si>
  <si>
    <t>-594.405150603736 141.832134602049 -474.238608795273</t>
  </si>
  <si>
    <t>-592.069296574078 130.637274356817 -583.161066443127</t>
  </si>
  <si>
    <t>-582.054252655642 120.040154207569 -691.707034454946</t>
  </si>
  <si>
    <t>-560.146012627754 105.764229839652 -841.761153917315</t>
  </si>
  <si>
    <t>-515.444223846505 97.904459216694 -932.991359094559</t>
  </si>
  <si>
    <t>-567.888838417679 143.697741427053 -778.089971437472</t>
  </si>
  <si>
    <t>-535.488273594582 286.439420678707 -763.974317942137</t>
  </si>
  <si>
    <t>-454.879797228925 331.330203423105 -461.198467663759</t>
  </si>
  <si>
    <t>-255.127027808859 258.054087304962 -311.627383866662</t>
  </si>
  <si>
    <t>-571.790652200058 80.4639762304898 -772.643722493585</t>
  </si>
  <si>
    <t>-572.542047795526 267.36666883551 -247.257884011918</t>
  </si>
  <si>
    <t>-567.035763812288 269.091590791774 208.400329249214</t>
  </si>
  <si>
    <t>-608.215775105399 247.339095789813 675.983570260526</t>
  </si>
  <si>
    <t>-449.133368636032 263.14705675065 749.375743578525</t>
  </si>
  <si>
    <t>-554.89867008735 74.4639480450255 -224.864729213004</t>
  </si>
  <si>
    <t>-456.850824556941 71.2060876311523 220.144992840258</t>
  </si>
  <si>
    <t>-621.301806655844 -1.98854549660177 654.034751282454</t>
  </si>
  <si>
    <t>-465.829289493854 -38.250766277707 727.905334291684</t>
  </si>
  <si>
    <t>9763-20170724T170049.530903700.bin</t>
  </si>
  <si>
    <t>-563.581552551841 170.936592017961 -236.440459141239</t>
  </si>
  <si>
    <t>-588.267584335504 155.150447849558 -353.953007538048</t>
  </si>
  <si>
    <t>-594.374239754103 141.94429479544 -474.281158402044</t>
  </si>
  <si>
    <t>-592.143049398366 130.780622925332 -583.208906356437</t>
  </si>
  <si>
    <t>-582.249772304948 120.20849193685 -691.768579298737</t>
  </si>
  <si>
    <t>-560.527776422937 105.958763229455 -841.852262959057</t>
  </si>
  <si>
    <t>-515.859911154046 98.0414495224547 -933.094173206709</t>
  </si>
  <si>
    <t>-568.130866909958 143.87829096577 -778.155931778708</t>
  </si>
  <si>
    <t>-535.245770197313 286.513526414742 -764.107148398665</t>
  </si>
  <si>
    <t>-452.14366529428 330.237762451164 -461.835059664799</t>
  </si>
  <si>
    <t>-252.201119243617 256.331280249736 -312.828736867076</t>
  </si>
  <si>
    <t>-572.147278767931 80.6495580769988 -772.733903010361</t>
  </si>
  <si>
    <t>-572.342735280215 267.456046647191 -247.252368655564</t>
  </si>
  <si>
    <t>-566.718053658446 269.132193758895 208.404486555274</t>
  </si>
  <si>
    <t>-608.188545177262 247.315088352414 675.968741659167</t>
  </si>
  <si>
    <t>-449.10407192597 263.039674683693 749.37429441932</t>
  </si>
  <si>
    <t>-554.739008051291 74.4922497423827 -224.957869911062</t>
  </si>
  <si>
    <t>-456.875684621011 71.1290328195948 220.091722529033</t>
  </si>
  <si>
    <t>-621.272708097731 -2.08103399683682 654.044804671096</t>
  </si>
  <si>
    <t>-465.727780112909 -38.0248252084994 727.918573462193</t>
  </si>
  <si>
    <t>9763-20170724T170049.578028900.bin</t>
  </si>
  <si>
    <t>-563.528524285838 171.029398808325 -236.428816329208</t>
  </si>
  <si>
    <t>-588.208055396321 155.271186397726 -353.946550092025</t>
  </si>
  <si>
    <t>-594.332987687726 142.079828812042 -474.275278774922</t>
  </si>
  <si>
    <t>-592.128584811889 130.921755611533 -583.204182282802</t>
  </si>
  <si>
    <t>-582.272095130108 120.346900740464 -691.766901807516</t>
  </si>
  <si>
    <t>-560.611759309231 106.083558629189 -841.858239615476</t>
  </si>
  <si>
    <t>-515.961384622022 98.1153112651016 -933.10428217274</t>
  </si>
  <si>
    <t>-568.156226908133 144.007043725378 -778.157333508253</t>
  </si>
  <si>
    <t>-535.054410998611 286.591641594371 -764.121117898096</t>
  </si>
  <si>
    <t>-450.687429645806 329.883945039834 -462.137430371056</t>
  </si>
  <si>
    <t>-250.753613863 255.928249706171 -313.143774129473</t>
  </si>
  <si>
    <t>-572.235382335141 80.7821609469331 -772.737604835525</t>
  </si>
  <si>
    <t>-572.236414474424 267.543109568189 -247.225708977645</t>
  </si>
  <si>
    <t>-566.569851966399 269.208159304029 208.430686809617</t>
  </si>
  <si>
    <t>-608.209539321827 247.428846765037 675.968126145141</t>
  </si>
  <si>
    <t>-449.122766620838 263.043681114459 749.3921251229</t>
  </si>
  <si>
    <t>-554.768062940287 74.5915777239049 -224.952803874923</t>
  </si>
  <si>
    <t>-456.850488035018 71.1529813471848 220.084270584711</t>
  </si>
  <si>
    <t>-621.240940016464 -2.0282330171417 654.018855208855</t>
  </si>
  <si>
    <t>-465.727888337219 -38.0425600555561 727.925329247365</t>
  </si>
  <si>
    <t>9763-20170724T170049.596581800.bin</t>
  </si>
  <si>
    <t>-563.44221729548 171.191248509556 -236.437677025476</t>
  </si>
  <si>
    <t>-588.141720316115 155.447889350639 -353.95318171293</t>
  </si>
  <si>
    <t>-594.303137585988 142.258191259378 -474.280309488708</t>
  </si>
  <si>
    <t>-592.138084094133 131.093638747568 -583.209390393545</t>
  </si>
  <si>
    <t>-582.327386122889 120.502348610534 -691.774629324204</t>
  </si>
  <si>
    <t>-560.737111571191 106.204685082234 -841.872700011343</t>
  </si>
  <si>
    <t>-516.115666191821 98.1666126166735 -933.126779064154</t>
  </si>
  <si>
    <t>-568.21035565935 144.140557868152 -778.170797424988</t>
  </si>
  <si>
    <t>-534.864087183434 286.673023790421 -764.151747611353</t>
  </si>
  <si>
    <t>-449.364684701762 329.591992337373 -462.433470125156</t>
  </si>
  <si>
    <t>-249.5145060801 255.524247723497 -313.383328661717</t>
  </si>
  <si>
    <t>-572.36993855494 80.9213346450188 -772.747174767838</t>
  </si>
  <si>
    <t>-572.126930255836 267.702263729425 -247.214726214346</t>
  </si>
  <si>
    <t>-566.489587355634 269.290383374349 208.44218607902</t>
  </si>
  <si>
    <t>-608.216556655601 247.477133580431 675.970773995728</t>
  </si>
  <si>
    <t>-449.138431388794 263.140648047519 749.403162969902</t>
  </si>
  <si>
    <t>-554.68574604068 74.774932008618 -224.984042730454</t>
  </si>
  <si>
    <t>-456.844783004014 71.2288193833376 220.069024297894</t>
  </si>
  <si>
    <t>-621.216972147283 -1.99945544179877 654.012977756882</t>
  </si>
  <si>
    <t>-465.761098479556 -38.2059030259588 727.945914080014</t>
  </si>
  <si>
    <t>9763-20170724T170049.663781800.bin</t>
  </si>
  <si>
    <t>-563.237884969223 171.579501152032 -236.43810600309</t>
  </si>
  <si>
    <t>-587.930904274127 155.87505489675 -353.960224259015</t>
  </si>
  <si>
    <t>-594.153169190594 142.682916560162 -474.284066665032</t>
  </si>
  <si>
    <t>-592.070600933693 131.494081290729 -583.212116158859</t>
  </si>
  <si>
    <t>-582.369694475622 120.8540465673 -691.782469775299</t>
  </si>
  <si>
    <t>-560.960538589923 106.460067872897 -841.897274142836</t>
  </si>
  <si>
    <t>-516.400433879061 98.2722627979797 -933.16803583068</t>
  </si>
  <si>
    <t>-568.268516776348 144.432125335319 -778.197631182676</t>
  </si>
  <si>
    <t>-534.510693217353 286.86530689355 -764.263480525101</t>
  </si>
  <si>
    <t>-447.364766580788 329.013071034223 -462.907567762641</t>
  </si>
  <si>
    <t>-247.59527220644 254.986989423301 -313.728800034475</t>
  </si>
  <si>
    <t>-572.598322352654 81.2258164210027 -772.754569319033</t>
  </si>
  <si>
    <t>-571.816961441331 268.012982667227 -247.208339852193</t>
  </si>
  <si>
    <t>-566.268612015735 269.499181666421 208.450138223225</t>
  </si>
  <si>
    <t>-608.175651613471 247.44367295544 675.945771105993</t>
  </si>
  <si>
    <t>-449.139948436717 263.369530073595 749.413613196171</t>
  </si>
  <si>
    <t>-554.594956914625 75.2404262944358 -225.000839221157</t>
  </si>
  <si>
    <t>-456.752521481632 71.4086826383316 220.04955802049</t>
  </si>
  <si>
    <t>-621.15268050941 -1.86147860656934 653.976405277718</t>
  </si>
  <si>
    <t>-465.772298361957 -38.2689191864338 727.969267497712</t>
  </si>
  <si>
    <t>9763-20170724T170049.698376700.bin</t>
  </si>
  <si>
    <t>-563.240163096915 171.80746645131 -236.449578412207</t>
  </si>
  <si>
    <t>-587.970896728934 156.133614610475 -353.967704640768</t>
  </si>
  <si>
    <t>-594.173624932869 142.957518825913 -474.294331878239</t>
  </si>
  <si>
    <t>-592.050146253229 131.774856043555 -583.222251031415</t>
  </si>
  <si>
    <t>-582.285590439516 121.131228544326 -691.786554868841</t>
  </si>
  <si>
    <t>-560.764932174788 106.720676086128 -841.88395782551</t>
  </si>
  <si>
    <t>-516.176995946539 98.4786603861699 -933.136163621935</t>
  </si>
  <si>
    <t>-568.084305163581 144.697769459093 -778.188560343282</t>
  </si>
  <si>
    <t>-534.147990623546 287.090972561271 -764.253439401511</t>
  </si>
  <si>
    <t>-446.455667485524 328.843742152581 -463.001178072232</t>
  </si>
  <si>
    <t>-246.723649634039 255.095870241407 -313.634479759283</t>
  </si>
  <si>
    <t>-572.489999107125 81.4961308846428 -772.752368714562</t>
  </si>
  <si>
    <t>-571.776075451777 268.29803620451 -247.20964078833</t>
  </si>
  <si>
    <t>-566.198618086666 269.660610803096 208.44894431987</t>
  </si>
  <si>
    <t>-608.172355487237 247.507688865438 675.921046740514</t>
  </si>
  <si>
    <t>-449.128505361002 263.158344890628 749.430382687123</t>
  </si>
  <si>
    <t>-554.670727205808 75.3773684319358 -225.026215273137</t>
  </si>
  <si>
    <t>-456.738716976683 71.4022722794352 220.003292032118</t>
  </si>
  <si>
    <t>-621.10520929927 -2.06527405701831 653.937324750283</t>
  </si>
  <si>
    <t>-465.67662267187 -38.1942723983825 727.965362052469</t>
  </si>
  <si>
    <t>9763-20170724T170049.764100700.bin</t>
  </si>
  <si>
    <t>-563.206316877462 172.338189837234 -236.509535146005</t>
  </si>
  <si>
    <t>-587.945544731497 156.712783955297 -354.032334854036</t>
  </si>
  <si>
    <t>-594.07899196534 143.533376358567 -474.362157359761</t>
  </si>
  <si>
    <t>-591.86252718317 132.325135983676 -583.285614765124</t>
  </si>
  <si>
    <t>-581.975916748945 121.631933330274 -691.833912993805</t>
  </si>
  <si>
    <t>-560.256697244619 107.127172774771 -841.893557482652</t>
  </si>
  <si>
    <t>-515.576026181363 98.7481732176577 -933.087990078917</t>
  </si>
  <si>
    <t>-567.6126520591 145.141360577309 -778.224789333746</t>
  </si>
  <si>
    <t>-533.397039299838 287.476474516973 -764.273084722886</t>
  </si>
  <si>
    <t>-444.846797107038 328.875350711871 -463.222867827113</t>
  </si>
  <si>
    <t>-245.184689507346 255.24989603588 -313.7024003477</t>
  </si>
  <si>
    <t>-572.120916234861 81.9487535956275 -772.768861852734</t>
  </si>
  <si>
    <t>-571.531759791116 268.809012459951 -247.237127441785</t>
  </si>
  <si>
    <t>-565.920030256294 269.970755731114 208.421680684502</t>
  </si>
  <si>
    <t>-608.116218667589 247.512500786116 675.85986257569</t>
  </si>
  <si>
    <t>-449.12675230818 263.335558733537 749.449843485304</t>
  </si>
  <si>
    <t>-554.771133423645 75.9213919096917 -225.083149571408</t>
  </si>
  <si>
    <t>-456.732467836133 71.6602856152404 219.920167410406</t>
  </si>
  <si>
    <t>-621.020969496849 -2.02514669104039 653.850257326667</t>
  </si>
  <si>
    <t>-465.736012039934 -38.5715043082589 727.974889972947</t>
  </si>
  <si>
    <t>9763-20170724T170049.796651400.bin</t>
  </si>
  <si>
    <t>-563.232955854709 172.665838433579 -236.541772257766</t>
  </si>
  <si>
    <t>-587.937448172701 157.064422407126 -354.075168400232</t>
  </si>
  <si>
    <t>-594.022357427889 143.867134968975 -474.405395188737</t>
  </si>
  <si>
    <t>-591.757643187868 132.624285851532 -583.324195521834</t>
  </si>
  <si>
    <t>-581.819088787599 121.877884049117 -691.862746875497</t>
  </si>
  <si>
    <t>-560.024535049015 107.279081082296 -841.902323692953</t>
  </si>
  <si>
    <t>-515.293946633043 98.802129187271 -933.063120379698</t>
  </si>
  <si>
    <t>-567.395104836614 145.332205896344 -778.258309449628</t>
  </si>
  <si>
    <t>-533.132348528741 287.660716657283 -764.333260271767</t>
  </si>
  <si>
    <t>-444.081532396417 328.939415543864 -463.414406064703</t>
  </si>
  <si>
    <t>-244.498657448449 255.24931842363 -313.819948674859</t>
  </si>
  <si>
    <t>-571.940790755742 82.1449602862967 -772.770415591022</t>
  </si>
  <si>
    <t>-571.541119658595 269.188029687037 -247.257904603711</t>
  </si>
  <si>
    <t>-565.873877986924 270.179286572976 208.40049884472</t>
  </si>
  <si>
    <t>-608.114313082219 247.567711249908 675.833202498656</t>
  </si>
  <si>
    <t>-449.130240503749 263.292127986724 749.456048402903</t>
  </si>
  <si>
    <t>-554.800736084369 76.2647679893792 -225.161362820723</t>
  </si>
  <si>
    <t>-456.802356586511 71.7969467056607 219.848774769194</t>
  </si>
  <si>
    <t>-620.984258104409 -1.96025805824115 653.82497022233</t>
  </si>
  <si>
    <t>-465.705118744505 -38.4691129555379 727.980214837851</t>
  </si>
  <si>
    <t>9763-20170724T170049.864834500.bin</t>
  </si>
  <si>
    <t>-563.382852952138 173.225386287976 -236.548728105078</t>
  </si>
  <si>
    <t>-588.022136969742 157.682752570794 -354.10355406102</t>
  </si>
  <si>
    <t>-593.989111251743 144.479643168926 -474.439103655516</t>
  </si>
  <si>
    <t>-591.598239170618 133.202477250254 -583.351700014693</t>
  </si>
  <si>
    <t>-581.515406413018 122.390978659579 -691.870367054164</t>
  </si>
  <si>
    <t>-559.503185873737 107.667673263081 -841.866004390031</t>
  </si>
  <si>
    <t>-514.641140673817 99.0588833849285 -932.949857923743</t>
  </si>
  <si>
    <t>-566.960237497231 145.773342976147 -778.263625305347</t>
  </si>
  <si>
    <t>-532.677093991127 288.079774751703 -764.270572423298</t>
  </si>
  <si>
    <t>-442.240685915226 328.894334370458 -463.701709517196</t>
  </si>
  <si>
    <t>-242.767267055405 254.697957953187 -314.211660869965</t>
  </si>
  <si>
    <t>-571.525584771939 82.5912651048729 -772.731674093576</t>
  </si>
  <si>
    <t>-571.738927739475 269.779434386814 -247.254556069155</t>
  </si>
  <si>
    <t>-566.085345855652 270.532699175831 208.404453174226</t>
  </si>
  <si>
    <t>-608.084118370893 247.576970780759 675.807164417716</t>
  </si>
  <si>
    <t>-449.12922204026 263.415952107346 749.468423003012</t>
  </si>
  <si>
    <t>-554.96682842094 76.7349239607447 -225.204607393498</t>
  </si>
  <si>
    <t>-456.83172022937 72.0046065907773 219.772705578638</t>
  </si>
  <si>
    <t>-620.925808231219 -2.11669093779756 653.777385522324</t>
  </si>
  <si>
    <t>-465.62827344685 -38.4629619881212 727.974000441361</t>
  </si>
  <si>
    <t>9763-20170724T170049.899428400.bin</t>
  </si>
  <si>
    <t>-563.53403385442 173.589751199044 -236.555700402703</t>
  </si>
  <si>
    <t>-588.164347274127 158.037897071861 -354.111164538236</t>
  </si>
  <si>
    <t>-594.086263390615 144.8361798985 -474.449055651017</t>
  </si>
  <si>
    <t>-591.639882935031 133.562567567901 -583.360746013461</t>
  </si>
  <si>
    <t>-581.486916623255 122.755944495101 -691.873430034134</t>
  </si>
  <si>
    <t>-559.362424898471 108.039120869207 -841.853110927693</t>
  </si>
  <si>
    <t>-514.438569867166 99.3851383882388 -932.902221919407</t>
  </si>
  <si>
    <t>-566.869252615306 146.142073735863 -778.254913095533</t>
  </si>
  <si>
    <t>-532.597645325953 288.445162460111 -764.141271418993</t>
  </si>
  <si>
    <t>-441.45677101837 328.772998763254 -463.71954159395</t>
  </si>
  <si>
    <t>-241.932938576229 254.506864363908 -314.331328481407</t>
  </si>
  <si>
    <t>-571.434387544673 82.9596188966339 -772.728580434325</t>
  </si>
  <si>
    <t>-571.950605812922 270.197146763153 -247.26199967716</t>
  </si>
  <si>
    <t>-566.281518942729 270.793161299104 208.396946627213</t>
  </si>
  <si>
    <t>-608.12160565046 247.716924370323 675.797978869463</t>
  </si>
  <si>
    <t>-449.165008632504 263.452027048052 749.477830393958</t>
  </si>
  <si>
    <t>-555.062823946989 77.0661233711332 -225.20493985831</t>
  </si>
  <si>
    <t>-456.805818499153 72.2495492529665 219.744500305133</t>
  </si>
  <si>
    <t>-620.890064897823 -2.07795519490901 653.716818888078</t>
  </si>
  <si>
    <t>-465.580746834486 -38.3131860465435 727.943010066647</t>
  </si>
  <si>
    <t>9763-20170724T170049.963921300.bin</t>
  </si>
  <si>
    <t>-563.817073081762 174.288036978589 -236.566094807428</t>
  </si>
  <si>
    <t>-588.413947178458 158.702889749721 -354.12417498917</t>
  </si>
  <si>
    <t>-594.205894918992 145.550349827632 -474.47379492104</t>
  </si>
  <si>
    <t>-591.601859457665 134.355630624026 -583.389987747494</t>
  </si>
  <si>
    <t>-581.251153206527 123.661954271163 -691.89511102681</t>
  </si>
  <si>
    <t>-558.810210655788 109.138338950839 -841.846580920092</t>
  </si>
  <si>
    <t>-513.707292779087 100.510732456138 -932.809735026571</t>
  </si>
  <si>
    <t>-566.498758542767 147.162178326006 -778.222630094316</t>
  </si>
  <si>
    <t>-532.395956273159 289.468144909206 -763.851955744181</t>
  </si>
  <si>
    <t>-439.989401787991 329.039106332414 -463.716342985549</t>
  </si>
  <si>
    <t>-240.181078904653 254.606080926778 -314.792053661311</t>
  </si>
  <si>
    <t>-570.980488893071 83.9670939182727 -772.77270090016</t>
  </si>
  <si>
    <t>-572.232187954692 270.919832911341 -247.303158318559</t>
  </si>
  <si>
    <t>-566.573362304989 271.267913330184 208.35627337072</t>
  </si>
  <si>
    <t>-608.121384613838 247.849692087073 675.74280300055</t>
  </si>
  <si>
    <t>-449.200310705858 263.674764180917 749.479880579274</t>
  </si>
  <si>
    <t>-555.305282064833 77.682506543322 -225.176998866164</t>
  </si>
  <si>
    <t>-456.655794072684 72.7766430554373 219.68466569184</t>
  </si>
  <si>
    <t>-620.793237536163 -2.12377708028794 653.541453956478</t>
  </si>
  <si>
    <t>-465.562615859896 -38.5041054308128 727.861323387573</t>
  </si>
  <si>
    <t>9763-20170724T170049.997012000.bin</t>
  </si>
  <si>
    <t>-563.93302260964 174.61790154182 -236.600274711384</t>
  </si>
  <si>
    <t>-588.5338292131 159.026927881037 -354.156731252792</t>
  </si>
  <si>
    <t>-594.263483055991 145.901426714426 -474.512364673607</t>
  </si>
  <si>
    <t>-591.576159394709 134.746194183075 -583.430599035543</t>
  </si>
  <si>
    <t>-581.115222122701 124.108615137216 -691.930680301534</t>
  </si>
  <si>
    <t>-558.493338857889 109.681144438035 -841.864428683687</t>
  </si>
  <si>
    <t>-513.294303095668 101.087522891151 -932.782776390077</t>
  </si>
  <si>
    <t>-566.302001842866 147.666649954903 -778.232168214565</t>
  </si>
  <si>
    <t>-532.305816880734 290.006955226418 -763.745589102602</t>
  </si>
  <si>
    <t>-439.412161454359 329.147827495735 -463.703979142892</t>
  </si>
  <si>
    <t>-239.437343667004 254.593262194496 -315.064290258779</t>
  </si>
  <si>
    <t>-570.703605686156 84.4631249979425 -772.814400627167</t>
  </si>
  <si>
    <t>-572.32503897743 271.266221115902 -247.334272379492</t>
  </si>
  <si>
    <t>-566.595579235424 271.448616764883 208.324414468211</t>
  </si>
  <si>
    <t>-608.102509855866 247.859776055157 675.712260730466</t>
  </si>
  <si>
    <t>-449.204097527013 263.755629985184 749.483036760582</t>
  </si>
  <si>
    <t>-555.448556651793 78.0194156167283 -225.222614052765</t>
  </si>
  <si>
    <t>-456.626419552843 73.0000527938018 219.599439591923</t>
  </si>
  <si>
    <t>-620.750097349086 -2.0832864819231 653.469727167441</t>
  </si>
  <si>
    <t>-465.562095870576 -38.5731628770848 727.824878177169</t>
  </si>
  <si>
    <t>9763-20170724T170050.061819400.bin</t>
  </si>
  <si>
    <t>-564.411507022562 175.405034695957 -236.668870943637</t>
  </si>
  <si>
    <t>-589.009593372017 159.856945745306 -354.231478875338</t>
  </si>
  <si>
    <t>-594.635917218747 146.722742903037 -474.590999199824</t>
  </si>
  <si>
    <t>-591.816451640456 135.544822974232 -583.503644766836</t>
  </si>
  <si>
    <t>-581.186250070444 124.872743125933 -691.98387334975</t>
  </si>
  <si>
    <t>-558.291922938772 110.388341453437 -841.870648082452</t>
  </si>
  <si>
    <t>-512.924536103677 101.825026684511 -932.708136538018</t>
  </si>
  <si>
    <t>-566.305039416496 148.40272926325 -778.281187589159</t>
  </si>
  <si>
    <t>-532.571216888483 290.797573719616 -763.777853080775</t>
  </si>
  <si>
    <t>-438.950552985548 329.444972550916 -463.898416475401</t>
  </si>
  <si>
    <t>-238.671541720646 253.944208902689 -316.148565935369</t>
  </si>
  <si>
    <t>-570.538860617349 85.1917858788331 -772.819496092367</t>
  </si>
  <si>
    <t>-572.765702300948 272.081981147483 -247.367623766076</t>
  </si>
  <si>
    <t>-566.864972098242 271.946478268988 208.288868183849</t>
  </si>
  <si>
    <t>-608.123849652417 248.00728183765 675.665343873909</t>
  </si>
  <si>
    <t>-449.225364441979 263.650487401128 749.490015894602</t>
  </si>
  <si>
    <t>-555.987396654322 78.8114301495477 -225.314511976269</t>
  </si>
  <si>
    <t>-456.804111539017 73.4874039737645 219.423675099817</t>
  </si>
  <si>
    <t>-620.703012428818 -1.94486964378825 653.358420507705</t>
  </si>
  <si>
    <t>-465.568142482859 -38.6000004200212 727.743150160962</t>
  </si>
  <si>
    <t>9763-20170724T170050.094407600.bin</t>
  </si>
  <si>
    <t>-564.661008825971 175.720090371797 -236.727101798351</t>
  </si>
  <si>
    <t>-589.278061458723 160.204731793404 -354.290212565167</t>
  </si>
  <si>
    <t>-594.883074322383 147.054650260306 -474.648868102757</t>
  </si>
  <si>
    <t>-592.029283082108 135.844565780804 -583.557285001797</t>
  </si>
  <si>
    <t>-581.350455251749 125.124251518665 -692.028016343289</t>
  </si>
  <si>
    <t>-558.374615063146 110.556782947809 -841.894351976343</t>
  </si>
  <si>
    <t>-512.930814981759 101.995166041134 -932.693743441573</t>
  </si>
  <si>
    <t>-566.450301712822 148.607995783872 -778.334760301826</t>
  </si>
  <si>
    <t>-532.729326554237 291.008142313999 -763.865683577811</t>
  </si>
  <si>
    <t>-438.789493619786 329.495718120985 -464.065340418259</t>
  </si>
  <si>
    <t>-238.407584309727 253.551223656911 -316.682982557464</t>
  </si>
  <si>
    <t>-570.631150801612 85.3968669994351 -772.831418763297</t>
  </si>
  <si>
    <t>-572.983618049196 272.445860701763 -247.391495866709</t>
  </si>
  <si>
    <t>-567.065279535919 272.161389051232 208.26471857021</t>
  </si>
  <si>
    <t>-608.159725995091 248.127555316828 675.645822892121</t>
  </si>
  <si>
    <t>-449.254763019915 263.616136850306 749.489071559821</t>
  </si>
  <si>
    <t>-556.262458597716 79.0187712469224 -225.401720334192</t>
  </si>
  <si>
    <t>-457.01258955443 73.6745394754259 219.321376741861</t>
  </si>
  <si>
    <t>-620.687874690628 -1.96052137809352 653.319542223593</t>
  </si>
  <si>
    <t>-465.567289905696 -38.6794271458848 727.702620489441</t>
  </si>
  <si>
    <t>9763-20170724T170050.162157700.bin</t>
  </si>
  <si>
    <t>-565.217491409377 176.294416423703 -236.857359660519</t>
  </si>
  <si>
    <t>-589.853748678019 160.869767151464 -354.428428294842</t>
  </si>
  <si>
    <t>-595.461619769104 147.663915630446 -474.780857425273</t>
  </si>
  <si>
    <t>-592.60673040388 136.344928216015 -583.677979272398</t>
  </si>
  <si>
    <t>-581.925142358663 125.457153976059 -692.131645611222</t>
  </si>
  <si>
    <t>-558.945077308901 110.59754061287 -841.968637820573</t>
  </si>
  <si>
    <t>-513.384657741357 101.933238320284 -932.69983204114</t>
  </si>
  <si>
    <t>-567.016334957495 148.772249760046 -778.482714252373</t>
  </si>
  <si>
    <t>-533.198313930276 291.151825101016 -764.123068333992</t>
  </si>
  <si>
    <t>-438.31057960105 329.361551046411 -464.585973537408</t>
  </si>
  <si>
    <t>-237.900680920338 252.930166736277 -317.493517652856</t>
  </si>
  <si>
    <t>-571.209735732828 85.5726544988595 -772.858134157048</t>
  </si>
  <si>
    <t>-573.496025803313 273.075332651684 -247.453347339397</t>
  </si>
  <si>
    <t>-567.394132792884 272.457757230053 208.200064343389</t>
  </si>
  <si>
    <t>-608.207841787608 248.237456310367 675.624164999315</t>
  </si>
  <si>
    <t>-449.308849796503 263.775548237856 749.469838540689</t>
  </si>
  <si>
    <t>-556.881796297899 79.5986158425346 -225.594061711083</t>
  </si>
  <si>
    <t>-457.52956079765 73.8631806209457 219.101164385319</t>
  </si>
  <si>
    <t>-620.675140363733 -2.05528849900634 653.28232803088</t>
  </si>
  <si>
    <t>-465.484244540153 -38.5363929966966 727.635766316648</t>
  </si>
  <si>
    <t>9763-20170724T170050.198755800.bin</t>
  </si>
  <si>
    <t>-565.584597986751 176.57949214082 -236.84257214939</t>
  </si>
  <si>
    <t>-590.233815591861 161.182478536462 -354.414473470841</t>
  </si>
  <si>
    <t>-595.868029350487 147.941889217759 -474.761835205637</t>
  </si>
  <si>
    <t>-593.043356360804 136.564274600596 -583.653782012897</t>
  </si>
  <si>
    <t>-582.398877513993 125.589744760505 -692.102323232595</t>
  </si>
  <si>
    <t>-559.478194142322 110.579231732268 -841.933434524152</t>
  </si>
  <si>
    <t>-513.896269280339 101.836480780604 -932.646359725954</t>
  </si>
  <si>
    <t>-567.479361228038 148.815456297912 -778.475531509265</t>
  </si>
  <si>
    <t>-533.454221766135 291.159321482558 -764.181142377183</t>
  </si>
  <si>
    <t>-437.960856504379 329.162470942543 -464.810327482901</t>
  </si>
  <si>
    <t>-237.679020651221 252.829199674784 -317.492566944188</t>
  </si>
  <si>
    <t>-571.760394415314 85.6263891751244 -772.799884777603</t>
  </si>
  <si>
    <t>-573.762378625844 273.424188390983 -247.448646852673</t>
  </si>
  <si>
    <t>-567.628199886155 272.674357410873 208.204238441694</t>
  </si>
  <si>
    <t>-608.266297225645 248.375903910264 675.619933599703</t>
  </si>
  <si>
    <t>-449.340115203402 263.61110469245 749.470201395814</t>
  </si>
  <si>
    <t>-557.368947403168 79.7870176171059 -225.57546859858</t>
  </si>
  <si>
    <t>-457.641046076933 73.9132816746214 219.033949257116</t>
  </si>
  <si>
    <t>-620.66068383979 -2.18044452088975 653.248682050312</t>
  </si>
  <si>
    <t>-465.423708771093 -38.4972970326203 727.586267787754</t>
  </si>
  <si>
    <t>9763-20170724T170050.262952900.bin</t>
  </si>
  <si>
    <t>-566.14895825773 177.078335737708 -236.882985980307</t>
  </si>
  <si>
    <t>-590.85206924132 161.72329839182 -354.449080529674</t>
  </si>
  <si>
    <t>-596.599370923032 148.462805722161 -474.788950278524</t>
  </si>
  <si>
    <t>-593.901229150333 137.038149538662 -583.678992817883</t>
  </si>
  <si>
    <t>-583.407627392876 125.985758100654 -692.134412078129</t>
  </si>
  <si>
    <t>-560.722028994628 110.832874571374 -841.986944434275</t>
  </si>
  <si>
    <t>-515.17345006707 101.899316055063 -932.697956210081</t>
  </si>
  <si>
    <t>-568.505060520246 149.122736227919 -778.534429762505</t>
  </si>
  <si>
    <t>-533.830637069932 291.303880882447 -764.293333122919</t>
  </si>
  <si>
    <t>-436.797198464258 328.531878092912 -465.320531436018</t>
  </si>
  <si>
    <t>-236.951008707956 252.088703006636 -317.469138676619</t>
  </si>
  <si>
    <t>-573.014385302429 85.9522189456538 -772.829388371856</t>
  </si>
  <si>
    <t>-574.243506952818 274.100784193498 -247.476453899034</t>
  </si>
  <si>
    <t>-568.143381075066 273.023911307125 208.176197151734</t>
  </si>
  <si>
    <t>-608.343791958423 248.576752029273 675.600212952146</t>
  </si>
  <si>
    <t>-449.395351996172 263.543079738887 749.457564960218</t>
  </si>
  <si>
    <t>-558.000971127658 80.1157087492061 -225.636060887025</t>
  </si>
  <si>
    <t>-457.998225509302 74.2134816092205 218.911238866263</t>
  </si>
  <si>
    <t>-620.665537859095 -2.10349362050079 653.224980511966</t>
  </si>
  <si>
    <t>-465.440837500067 -38.5589247886214 727.520418962267</t>
  </si>
  <si>
    <t>9763-20170724T170050.302059500.bin</t>
  </si>
  <si>
    <t>-566.524668338359 177.409313190779 -236.88148088228</t>
  </si>
  <si>
    <t>-591.240917428225 162.075144181774 -354.447625795788</t>
  </si>
  <si>
    <t>-597.034958643702 148.81965648874 -474.785862350862</t>
  </si>
  <si>
    <t>-594.392856785364 137.394367470777 -583.677230159145</t>
  </si>
  <si>
    <t>-583.968982443114 126.337106043754 -692.138891126982</t>
  </si>
  <si>
    <t>-561.394235583281 111.17380951257 -842.007089199077</t>
  </si>
  <si>
    <t>-515.907945613911 102.14017371957 -932.739383742964</t>
  </si>
  <si>
    <t>-569.094405311916 149.466007027453 -778.545797556031</t>
  </si>
  <si>
    <t>-534.221716323483 291.613804664265 -764.279536354731</t>
  </si>
  <si>
    <t>-436.241410916941 328.368003393014 -465.556977203873</t>
  </si>
  <si>
    <t>-236.570129165035 251.757180536795 -317.556215733503</t>
  </si>
  <si>
    <t>-573.671339073182 86.3001385579194 -772.844249742352</t>
  </si>
  <si>
    <t>-574.518397508054 274.532006129604 -247.492892627574</t>
  </si>
  <si>
    <t>-568.477134933613 273.266511994635 208.15994431216</t>
  </si>
  <si>
    <t>-608.369100296132 248.612962513984 675.605711462537</t>
  </si>
  <si>
    <t>-449.404574793701 263.442929749623 749.455973678719</t>
  </si>
  <si>
    <t>-558.515968459472 80.400648856873 -225.591482892395</t>
  </si>
  <si>
    <t>-458.135458330871 74.3097970283254 218.86804818645</t>
  </si>
  <si>
    <t>-620.669782994795 -2.11923219243613 653.204665900538</t>
  </si>
  <si>
    <t>-465.414312699332 -38.495595703228 727.47449926086</t>
  </si>
  <si>
    <t>9763-20170724T170050.362271300.bin</t>
  </si>
  <si>
    <t>-566.962817380689 178.163196988058 -236.85451827012</t>
  </si>
  <si>
    <t>-591.754230572052 162.85204133091 -354.407724447188</t>
  </si>
  <si>
    <t>-597.638968729688 149.605039694257 -474.742510265062</t>
  </si>
  <si>
    <t>-595.085000957337 138.183522642735 -583.636388684148</t>
  </si>
  <si>
    <t>-584.755051525445 127.127989346456 -692.107150167396</t>
  </si>
  <si>
    <t>-562.316568559203 111.966466737874 -841.995921646635</t>
  </si>
  <si>
    <t>-516.964891662793 102.829239730303 -932.785373056896</t>
  </si>
  <si>
    <t>-569.921161977912 150.255732705681 -778.52140365472</t>
  </si>
  <si>
    <t>-534.862428511283 292.328795262766 -764.219865621424</t>
  </si>
  <si>
    <t>-435.206053943306 328.344850465 -465.962310115163</t>
  </si>
  <si>
    <t>-235.598766368223 251.626307357932 -317.930902616223</t>
  </si>
  <si>
    <t>-574.568667642557 87.0941522005387 -772.828246504506</t>
  </si>
  <si>
    <t>-574.796499167056 275.404494134939 -247.497998821589</t>
  </si>
  <si>
    <t>-568.720363956615 273.822117081948 208.153352526861</t>
  </si>
  <si>
    <t>-608.43389744335 248.74652953496 675.603859701745</t>
  </si>
  <si>
    <t>-449.426869302519 263.107428809112 749.455454891421</t>
  </si>
  <si>
    <t>-559.02479918592 81.0551486903973 -225.548078185758</t>
  </si>
  <si>
    <t>-458.171227639086 74.6566235165365 218.80010721919</t>
  </si>
  <si>
    <t>-620.655831245164 -2.05727257732906 653.109441596701</t>
  </si>
  <si>
    <t>-465.483933292553 -38.8117351022609 727.36781008553</t>
  </si>
  <si>
    <t>9763-20170724T170050.395864800.bin</t>
  </si>
  <si>
    <t>-567.059104527483 178.467750786071 -236.873067055868</t>
  </si>
  <si>
    <t>-591.910525853736 163.154885649286 -354.413321635262</t>
  </si>
  <si>
    <t>-597.85366222249 149.965493249031 -474.751505221692</t>
  </si>
  <si>
    <t>-595.34990245628 138.617255742449 -583.654215207382</t>
  </si>
  <si>
    <t>-585.066617237541 127.654503168106 -692.138928855767</t>
  </si>
  <si>
    <t>-562.688535209471 112.64067542103 -842.051554485956</t>
  </si>
  <si>
    <t>-517.361284865902 103.524419471479 -932.855326060782</t>
  </si>
  <si>
    <t>-570.232794419249 150.865269563542 -778.530892736208</t>
  </si>
  <si>
    <t>-534.9381569284 292.890687520656 -764.098736498224</t>
  </si>
  <si>
    <t>-434.78248642565 328.315932001257 -465.937551041854</t>
  </si>
  <si>
    <t>-234.992317571757 251.629668036585 -318.136546850433</t>
  </si>
  <si>
    <t>-574.94748157926 87.7023646810317 -772.908908824769</t>
  </si>
  <si>
    <t>-574.86416152127 275.735003991223 -247.504191730459</t>
  </si>
  <si>
    <t>-568.634658526204 273.986292600168 208.144639344004</t>
  </si>
  <si>
    <t>-608.437288581464 248.757698681712 675.584271092414</t>
  </si>
  <si>
    <t>-449.435127607075 263.094228192931 749.450997104189</t>
  </si>
  <si>
    <t>-559.15053228911 81.2945550406084 -225.564313116827</t>
  </si>
  <si>
    <t>-458.141076271108 74.7706460621332 218.746542382162</t>
  </si>
  <si>
    <t>-620.619577331865 -2.1381473900442 653.031250644302</t>
  </si>
  <si>
    <t>-465.399753702502 -38.6559088426045 727.306235784285</t>
  </si>
  <si>
    <t>9763-20170724T170050.463697000.bin</t>
  </si>
  <si>
    <t>-567.142178536997 179.085458673449 -236.839670283775</t>
  </si>
  <si>
    <t>-592.079939534898 163.772902570742 -354.361642840419</t>
  </si>
  <si>
    <t>-598.089275608952 150.615504034667 -474.700127003269</t>
  </si>
  <si>
    <t>-595.635719530448 139.306828796487 -583.608157607878</t>
  </si>
  <si>
    <t>-585.392470706314 128.393259270988 -692.101469995564</t>
  </si>
  <si>
    <t>-563.0590904153 113.456570401125 -842.028589780852</t>
  </si>
  <si>
    <t>-517.781446032365 104.349112749419 -932.857967003623</t>
  </si>
  <si>
    <t>-570.527779321564 151.644958242726 -778.477062399682</t>
  </si>
  <si>
    <t>-535.053959101608 293.609758517554 -763.918831417746</t>
  </si>
  <si>
    <t>-434.122036135522 328.548131181448 -465.962143146386</t>
  </si>
  <si>
    <t>-234.102347061477 251.859069188476 -318.473199558782</t>
  </si>
  <si>
    <t>-575.354094601281 88.4860620016543 -772.903813683235</t>
  </si>
  <si>
    <t>-574.805281229396 276.295681202655 -247.478517108252</t>
  </si>
  <si>
    <t>-568.349390117169 274.298783371712 208.166079650181</t>
  </si>
  <si>
    <t>-608.470016420703 248.80512977791 675.565013254016</t>
  </si>
  <si>
    <t>-449.466947145202 263.011539315344 749.454786208394</t>
  </si>
  <si>
    <t>-559.374162070098 81.9560381398294 -225.517787859158</t>
  </si>
  <si>
    <t>-457.987036026161 75.1709728584326 218.70322421708</t>
  </si>
  <si>
    <t>-620.549099761944 -1.96540122043621 652.890095230295</t>
  </si>
  <si>
    <t>-465.417888978446 -38.7391114130185 727.223854911082</t>
  </si>
  <si>
    <t>9763-20170724T170050.496279600.bin</t>
  </si>
  <si>
    <t>-567.142574698079 179.313427454701 -236.839479147214</t>
  </si>
  <si>
    <t>-592.124924724249 164.00565130525 -354.352679472379</t>
  </si>
  <si>
    <t>-598.158987338144 150.840341317143 -474.689006862228</t>
  </si>
  <si>
    <t>-595.719623432168 139.518901182783 -583.595985575571</t>
  </si>
  <si>
    <t>-585.482641467273 128.586453439361 -692.088007218933</t>
  </si>
  <si>
    <t>-563.14980714644 113.617457969841 -842.011875628138</t>
  </si>
  <si>
    <t>-517.885018054678 104.513577537447 -932.84809967137</t>
  </si>
  <si>
    <t>-570.583018001752 151.817347886875 -778.463212721766</t>
  </si>
  <si>
    <t>-535.023498941105 293.764271089418 -763.901064249507</t>
  </si>
  <si>
    <t>-433.833369856507 328.534351914 -466.012091080502</t>
  </si>
  <si>
    <t>-233.797713822149 251.973560194534 -318.478330858251</t>
  </si>
  <si>
    <t>-575.479811319179 88.6641092831828 -772.8871507188</t>
  </si>
  <si>
    <t>-574.726448034821 276.554805132488 -247.4714696091</t>
  </si>
  <si>
    <t>-568.188087862003 274.414129657208 208.171311782224</t>
  </si>
  <si>
    <t>-608.458117317514 248.771793069771 675.54612194197</t>
  </si>
  <si>
    <t>-449.464630236195 262.979903087308 749.456330918987</t>
  </si>
  <si>
    <t>-559.464596347023 82.1281367322483 -225.508199406811</t>
  </si>
  <si>
    <t>-457.931311646534 75.2900587029537 218.678637663875</t>
  </si>
  <si>
    <t>-620.527102946491 -1.91050183731954 652.846383707407</t>
  </si>
  <si>
    <t>-465.416590618351 -38.736440439 727.197498298592</t>
  </si>
  <si>
    <t>9763-20170724T170050.564676000.bin</t>
  </si>
  <si>
    <t>-567.096109387148 179.571622738268 -236.862189796904</t>
  </si>
  <si>
    <t>-592.04688302535 164.322543842413 -354.389777981154</t>
  </si>
  <si>
    <t>-598.092035012413 151.174706079795 -474.727366227974</t>
  </si>
  <si>
    <t>-595.681201866465 139.853912311259 -583.6350743213</t>
  </si>
  <si>
    <t>-585.491392659214 128.90880655273 -692.130392411377</t>
  </si>
  <si>
    <t>-563.243740341335 113.908820254944 -842.063723361002</t>
  </si>
  <si>
    <t>-518.032788142233 104.816986391842 -932.92780595242</t>
  </si>
  <si>
    <t>-570.606352952642 152.119519595105 -778.513392692363</t>
  </si>
  <si>
    <t>-534.915396327744 294.026460179692 -763.953150374201</t>
  </si>
  <si>
    <t>-433.422131816602 328.599293717264 -466.14448477383</t>
  </si>
  <si>
    <t>-233.55850944361 251.610479998353 -318.600251184867</t>
  </si>
  <si>
    <t>-575.569057563459 88.9718934017526 -772.932232248971</t>
  </si>
  <si>
    <t>-574.518012844966 276.869943881862 -247.475571959958</t>
  </si>
  <si>
    <t>-568.044435412174 274.529732483991 208.167196615011</t>
  </si>
  <si>
    <t>-608.464519234258 248.741543698929 675.528726375536</t>
  </si>
  <si>
    <t>-449.475534911437 262.910299307556 749.456114513173</t>
  </si>
  <si>
    <t>-559.590246389036 82.3964725103476 -225.552450960406</t>
  </si>
  <si>
    <t>-457.93733097582 75.1932799510716 218.601181917844</t>
  </si>
  <si>
    <t>-620.487512699077 -2.03009005816352 652.800895264743</t>
  </si>
  <si>
    <t>-465.353394752819 -38.7352230608328 727.162523445286</t>
  </si>
  <si>
    <t>9763-20170724T170050.594251700.bin</t>
  </si>
  <si>
    <t>-567.123135991787 179.687288775963 -236.878119916734</t>
  </si>
  <si>
    <t>-592.0699742701 164.475325009331 -354.411394558415</t>
  </si>
  <si>
    <t>-598.113104441889 151.327428181572 -474.74917419172</t>
  </si>
  <si>
    <t>-595.702077771223 139.992567434773 -583.655323829724</t>
  </si>
  <si>
    <t>-585.514242809377 129.019835943431 -692.148065812322</t>
  </si>
  <si>
    <t>-563.271882222575 113.968111692744 -842.077016470391</t>
  </si>
  <si>
    <t>-518.090467825135 104.892511274385 -932.957446413103</t>
  </si>
  <si>
    <t>-570.636878564043 152.20117795144 -778.540466280451</t>
  </si>
  <si>
    <t>-534.925581002256 294.110793266128 -764.022908158607</t>
  </si>
  <si>
    <t>-433.204045331241 328.572123945013 -466.279121293093</t>
  </si>
  <si>
    <t>-233.453630656421 251.435892758053 -318.658545168594</t>
  </si>
  <si>
    <t>-575.589987603999 89.0548642331821 -772.935847844504</t>
  </si>
  <si>
    <t>-574.520617479266 276.946847282922 -247.471249271272</t>
  </si>
  <si>
    <t>-568.015880419995 274.534493134341 208.170603317728</t>
  </si>
  <si>
    <t>-608.441339053375 248.608383410824 675.535558024303</t>
  </si>
  <si>
    <t>-449.470556691708 263.028212240405 749.453617589536</t>
  </si>
  <si>
    <t>-559.657676232631 82.537148700517 -225.590183358331</t>
  </si>
  <si>
    <t>-458.047208691573 75.2181052846945 218.571365272881</t>
  </si>
  <si>
    <t>-620.490177677161 -1.95627216665707 652.81830767951</t>
  </si>
  <si>
    <t>-465.395808135377 -38.8687943913651 727.160183555704</t>
  </si>
  <si>
    <t>9763-20170724T170050.663694400.bin</t>
  </si>
  <si>
    <t>-567.227423399166 179.96410349585 -236.912878434304</t>
  </si>
  <si>
    <t>-592.147552432284 164.80982423471 -354.459124330037</t>
  </si>
  <si>
    <t>-598.17274140939 151.687378052267 -474.800595802709</t>
  </si>
  <si>
    <t>-595.74989377162 140.362019532789 -583.707512646083</t>
  </si>
  <si>
    <t>-585.555061101798 129.384985010299 -692.199050106709</t>
  </si>
  <si>
    <t>-563.308398350354 114.312894813251 -842.125454654541</t>
  </si>
  <si>
    <t>-518.123472555613 105.404235765 -933.020712462055</t>
  </si>
  <si>
    <t>-570.674222871856 152.554630621701 -778.594096596287</t>
  </si>
  <si>
    <t>-534.770122285495 294.409425136083 -764.101119635214</t>
  </si>
  <si>
    <t>-432.46058919829 328.504928094064 -466.516787397319</t>
  </si>
  <si>
    <t>-233.328650883001 249.917729800652 -318.825983303673</t>
  </si>
  <si>
    <t>-575.629456717047 89.4091856450036 -772.981238984627</t>
  </si>
  <si>
    <t>-574.598733093442 277.240018662304 -247.456860779648</t>
  </si>
  <si>
    <t>-568.062693895266 274.660678702343 208.183698186446</t>
  </si>
  <si>
    <t>-608.482994359613 248.633639683983 675.540558798323</t>
  </si>
  <si>
    <t>-449.499583072562 262.981218806917 749.44541083979</t>
  </si>
  <si>
    <t>-559.792126361318 82.7886307662752 -225.67611284095</t>
  </si>
  <si>
    <t>-458.277709645664 75.2692008771851 218.504069318421</t>
  </si>
  <si>
    <t>-620.484513199969 -1.8641526491374 652.837975697805</t>
  </si>
  <si>
    <t>-465.389451342199 -38.8305448764518 727.15166626375</t>
  </si>
  <si>
    <t>9763-20170724T170050.698815000.bin</t>
  </si>
  <si>
    <t>-567.320935634525 180.086393226549 -236.913573696387</t>
  </si>
  <si>
    <t>-592.237048783569 164.952930970168 -354.463400453876</t>
  </si>
  <si>
    <t>-598.248006609433 151.847244942892 -474.807366705659</t>
  </si>
  <si>
    <t>-595.80833904341 140.534056627486 -583.715168380532</t>
  </si>
  <si>
    <t>-585.592871405274 129.565793793621 -692.20568611581</t>
  </si>
  <si>
    <t>-563.313710434619 114.501703567235 -842.128045557891</t>
  </si>
  <si>
    <t>-518.109204965799 105.681697480492 -933.022119763817</t>
  </si>
  <si>
    <t>-570.692838609278 152.739915968129 -778.596136622877</t>
  </si>
  <si>
    <t>-534.703921743311 294.577018833407 -764.063783323108</t>
  </si>
  <si>
    <t>-431.960561917962 328.147947525436 -466.569407942638</t>
  </si>
  <si>
    <t>-233.171337556284 248.865607613831 -318.788323692277</t>
  </si>
  <si>
    <t>-575.650205943977 89.5943946410209 -772.987967663124</t>
  </si>
  <si>
    <t>-574.724377833346 277.387131613525 -247.443721495633</t>
  </si>
  <si>
    <t>-568.117211957143 274.698459390217 208.195188452378</t>
  </si>
  <si>
    <t>-608.486143733365 248.58869039374 675.549578114411</t>
  </si>
  <si>
    <t>-449.501089379322 262.970318183827 749.444271044548</t>
  </si>
  <si>
    <t>-559.825846344526 82.8787420965361 -225.704197524201</t>
  </si>
  <si>
    <t>-458.38410754399 75.2228947521783 218.490223841982</t>
  </si>
  <si>
    <t>-620.483142895894 -2.03213720621898 652.858110784576</t>
  </si>
  <si>
    <t>-465.324299441964 -38.7794024129093 727.14730501726</t>
  </si>
  <si>
    <t>9763-20170724T170050.765788600.bin</t>
  </si>
  <si>
    <t>-567.529646295929 180.463694868474 -236.896492423711</t>
  </si>
  <si>
    <t>-592.457304493855 165.317096200676 -354.442112916776</t>
  </si>
  <si>
    <t>-598.41112933847 152.335707951042 -474.802472767191</t>
  </si>
  <si>
    <t>-595.888946770804 141.186347548307 -583.725343259039</t>
  </si>
  <si>
    <t>-585.558977573863 130.430627239961 -692.226272405951</t>
  </si>
  <si>
    <t>-563.086738612931 115.709837851748 -842.153862528253</t>
  </si>
  <si>
    <t>-517.81858909551 107.131660213008 -933.039569724291</t>
  </si>
  <si>
    <t>-570.54866438796 153.802528443905 -778.544276315927</t>
  </si>
  <si>
    <t>-534.463547439967 295.567152830361 -763.639640779549</t>
  </si>
  <si>
    <t>-430.78954851454 327.081531362695 -466.243162686487</t>
  </si>
  <si>
    <t>-232.461049730141 247.087016289141 -318.227117045163</t>
  </si>
  <si>
    <t>-575.511375263978 90.6440967406006 -773.086865743602</t>
  </si>
  <si>
    <t>-575.081422688803 277.809051849019 -247.418453228084</t>
  </si>
  <si>
    <t>-568.330908258858 274.997866796274 208.217644397074</t>
  </si>
  <si>
    <t>-608.549066850441 248.718836516934 675.551806905556</t>
  </si>
  <si>
    <t>-449.534865119377 262.752161117291 749.4508132203</t>
  </si>
  <si>
    <t>-559.88728664222 83.2538090831151 -225.657630422141</t>
  </si>
  <si>
    <t>-458.378398024433 75.5074594333887 218.519915105133</t>
  </si>
  <si>
    <t>-620.470581668539 -1.85192615564256 652.830165003262</t>
  </si>
  <si>
    <t>-465.375000412537 -38.8788343616941 727.112616015999</t>
  </si>
  <si>
    <t>9763-20170724T170050.796379900.bin</t>
  </si>
  <si>
    <t>-567.626733565529 180.649540013168 -236.872223162742</t>
  </si>
  <si>
    <t>-592.567244310762 165.475658656409 -354.411719097825</t>
  </si>
  <si>
    <t>-598.488828075572 152.585457645808 -474.783373388424</t>
  </si>
  <si>
    <t>-595.916560806476 141.564274540125 -583.718087380444</t>
  </si>
  <si>
    <t>-585.514521932523 130.980007189545 -692.229019256615</t>
  </si>
  <si>
    <t>-562.918450955524 116.541210560164 -842.165498999616</t>
  </si>
  <si>
    <t>-517.609391592727 108.097588947548 -933.043335837035</t>
  </si>
  <si>
    <t>-570.438826940122 154.51464727938 -778.491456917654</t>
  </si>
  <si>
    <t>-534.338027617846 296.252212563438 -763.282966428812</t>
  </si>
  <si>
    <t>-430.350436853227 326.532832297296 -465.867693781752</t>
  </si>
  <si>
    <t>-232.119631871759 246.567558815686 -317.705018923386</t>
  </si>
  <si>
    <t>-575.394225609059 91.3452505265616 -773.155115699427</t>
  </si>
  <si>
    <t>-575.274209278682 278.003118338619 -247.409367870713</t>
  </si>
  <si>
    <t>-568.527785464157 275.128293338136 208.226288111892</t>
  </si>
  <si>
    <t>-608.571168990677 248.7477485467 675.562541345132</t>
  </si>
  <si>
    <t>-449.549418167505 262.739916524794 749.453046740589</t>
  </si>
  <si>
    <t>-559.906451831205 83.4291373455039 -225.614201146344</t>
  </si>
  <si>
    <t>-458.271537744525 75.6069651055157 218.533056612327</t>
  </si>
  <si>
    <t>-620.455168168802 -1.94435853245523 652.790249665664</t>
  </si>
  <si>
    <t>-465.301255155417 -38.7520091217157 727.059846071524</t>
  </si>
  <si>
    <t>9763-20170724T170050.861686000.bin</t>
  </si>
  <si>
    <t>-567.631870924045 181.047739603832 -236.809005700837</t>
  </si>
  <si>
    <t>-592.518373701933 165.810522076818 -354.351713889761</t>
  </si>
  <si>
    <t>-598.325318286512 153.071108470568 -474.744983662642</t>
  </si>
  <si>
    <t>-595.620665331836 142.26763117545 -583.698313079876</t>
  </si>
  <si>
    <t>-585.055494651637 131.979191282777 -692.221922624024</t>
  </si>
  <si>
    <t>-562.199489193933 118.029373162941 -842.16537133256</t>
  </si>
  <si>
    <t>-516.787010523694 109.814169161246 -933.012444835575</t>
  </si>
  <si>
    <t>-569.831381584272 155.794998551952 -778.381071277355</t>
  </si>
  <si>
    <t>-533.693540934809 297.468320424302 -762.663422253936</t>
  </si>
  <si>
    <t>-429.323448533576 325.548080085319 -465.166123538144</t>
  </si>
  <si>
    <t>-231.463010476707 244.808237495951 -316.928590433364</t>
  </si>
  <si>
    <t>-574.793730849647 92.6084375733915 -773.258984830023</t>
  </si>
  <si>
    <t>-575.349543335574 278.311530335993 -247.386285043773</t>
  </si>
  <si>
    <t>-568.836905023705 275.42065655362 208.252677979971</t>
  </si>
  <si>
    <t>-608.580276842006 248.72916862202 675.579265450533</t>
  </si>
  <si>
    <t>-449.566265697572 262.896146796217 749.453183400484</t>
  </si>
  <si>
    <t>-559.775607954384 83.895652657209 -225.524963845509</t>
  </si>
  <si>
    <t>-457.778304688036 75.8753399402826 218.53578351689</t>
  </si>
  <si>
    <t>-620.388538124638 -1.88654582046115 652.61061506006</t>
  </si>
  <si>
    <t>-465.279610017717 -38.7893959158712 726.926878421897</t>
  </si>
  <si>
    <t>9763-20170724T170050.898296500.bin</t>
  </si>
  <si>
    <t>-567.526832636195 181.14978902852 -236.802949134555</t>
  </si>
  <si>
    <t>-592.382059839166 165.891239653815 -354.349528303411</t>
  </si>
  <si>
    <t>-598.132111650465 153.222665793482 -474.753113187801</t>
  </si>
  <si>
    <t>-595.363872494703 142.518413517374 -583.714507838491</t>
  </si>
  <si>
    <t>-584.722164198138 132.363101098376 -692.243186463769</t>
  </si>
  <si>
    <t>-561.745756297004 118.6322187595 -842.188367443177</t>
  </si>
  <si>
    <t>-516.270365689652 110.529842643645 -933.014246854712</t>
  </si>
  <si>
    <t>-569.430348983406 156.304844917594 -778.355481650831</t>
  </si>
  <si>
    <t>-533.244497955621 297.943583533577 -762.429858374821</t>
  </si>
  <si>
    <t>-428.853660529574 325.166196440236 -464.860066162781</t>
  </si>
  <si>
    <t>-230.997172174015 244.213426645128 -316.733513486231</t>
  </si>
  <si>
    <t>-574.393819858376 93.1107709794701 -773.329084813531</t>
  </si>
  <si>
    <t>-575.293296571001 278.424280609999 -247.391736014937</t>
  </si>
  <si>
    <t>-568.891223365879 275.510315786933 208.248599601888</t>
  </si>
  <si>
    <t>-608.592183406963 248.747091868785 675.577166869731</t>
  </si>
  <si>
    <t>-449.573595411124 262.855567571413 749.452374067403</t>
  </si>
  <si>
    <t>-559.645246639315 83.9107894859555 -225.524634726449</t>
  </si>
  <si>
    <t>-457.566744350349 75.9388743942293 218.518287377142</t>
  </si>
  <si>
    <t>-620.350462893415 -1.95782484594474 652.523863711096</t>
  </si>
  <si>
    <t>-465.175063825591 -38.5580821281592 726.850978253019</t>
  </si>
  <si>
    <t>9763-20170724T170050.964904100.bin</t>
  </si>
  <si>
    <t>-567.144230768893 181.302225814645 -236.83531215496</t>
  </si>
  <si>
    <t>-591.91786924981 166.063384767357 -354.401717816148</t>
  </si>
  <si>
    <t>-597.590011324237 153.548224508541 -474.824965789362</t>
  </si>
  <si>
    <t>-594.750422656363 143.033646282187 -583.803014061114</t>
  </si>
  <si>
    <t>-584.035198222855 133.116765616127 -692.346557768797</t>
  </si>
  <si>
    <t>-560.953122515031 119.766111544451 -842.309844862537</t>
  </si>
  <si>
    <t>-515.383560845553 111.854532395036 -933.105185554058</t>
  </si>
  <si>
    <t>-568.68415355021 157.276719600736 -778.387320542645</t>
  </si>
  <si>
    <t>-532.468795991545 298.864145800042 -762.073061744423</t>
  </si>
  <si>
    <t>-427.939322767314 324.575340643562 -464.417701414604</t>
  </si>
  <si>
    <t>-229.706783961303 243.248112880697 -317.000499358324</t>
  </si>
  <si>
    <t>-573.648299697347 94.0699139995318 -773.524312054659</t>
  </si>
  <si>
    <t>-574.954756272049 278.515904721945 -247.387230662425</t>
  </si>
  <si>
    <t>-568.757787374221 275.613680058214 208.2560754069</t>
  </si>
  <si>
    <t>-608.625269809651 248.732984861374 675.589946222032</t>
  </si>
  <si>
    <t>-449.60961525289 262.968758116271 749.446963480158</t>
  </si>
  <si>
    <t>-559.25523419752 84.1670897269694 -225.613613027218</t>
  </si>
  <si>
    <t>-457.287776861084 76.070569190882 218.452603431221</t>
  </si>
  <si>
    <t>-620.293732723056 -1.82071371351458 652.389342930276</t>
  </si>
  <si>
    <t>-465.237717398959 -38.8315608945029 726.762324088371</t>
  </si>
  <si>
    <t>9763-20170724T170050.996990400.bin</t>
  </si>
  <si>
    <t>-566.893917000929 181.304647263586 -236.870020256923</t>
  </si>
  <si>
    <t>-591.610830353906 166.102512806036 -354.453110594428</t>
  </si>
  <si>
    <t>-597.251816240164 153.65309369973 -474.884550280748</t>
  </si>
  <si>
    <t>-594.394212094317 143.208964058505 -583.869102022693</t>
  </si>
  <si>
    <t>-583.670789253437 133.372981662159 -692.419061267643</t>
  </si>
  <si>
    <t>-560.587121328377 120.145588770501 -842.392988306523</t>
  </si>
  <si>
    <t>-514.999759530287 112.300537437839 -933.185199098396</t>
  </si>
  <si>
    <t>-568.315679563569 157.603610613718 -778.439087900688</t>
  </si>
  <si>
    <t>-532.099735414531 299.172494733883 -761.965072715087</t>
  </si>
  <si>
    <t>-427.457333143233 324.300391340624 -464.299540990699</t>
  </si>
  <si>
    <t>-229.015344900807 242.871871050993 -317.220617225511</t>
  </si>
  <si>
    <t>-573.286141050097 94.3931950118954 -773.629163777471</t>
  </si>
  <si>
    <t>-574.663076842118 278.495810580894 -247.386057999073</t>
  </si>
  <si>
    <t>-568.597930550412 275.55103582384 208.258738861004</t>
  </si>
  <si>
    <t>-608.602547113508 248.608026900433 675.584604593333</t>
  </si>
  <si>
    <t>-449.599072429015 262.994203277294 749.438818681142</t>
  </si>
  <si>
    <t>-559.051470213155 84.1882011365933 -225.697245102712</t>
  </si>
  <si>
    <t>-457.254635566814 76.0049552839664 218.406496150903</t>
  </si>
  <si>
    <t>-620.257017308532 -1.85306858527701 652.344177370253</t>
  </si>
  <si>
    <t>-465.182323523462 -38.7417431897318 726.738933217474</t>
  </si>
  <si>
    <t>9763-20170724T170051.064691900.bin</t>
  </si>
  <si>
    <t>-566.145748826295 181.205318167756 -236.941388916665</t>
  </si>
  <si>
    <t>-590.775741663638 166.096210325522 -354.554712413668</t>
  </si>
  <si>
    <t>-596.36463297886 153.748774906078 -474.999136922413</t>
  </si>
  <si>
    <t>-593.474413506502 143.399010592023 -583.99165269334</t>
  </si>
  <si>
    <t>-582.732805373622 133.658888623694 -692.548497339022</t>
  </si>
  <si>
    <t>-559.638858468586 120.565415920773 -842.532772801857</t>
  </si>
  <si>
    <t>-514.017559254147 112.777793833598 -933.312787505475</t>
  </si>
  <si>
    <t>-567.34856936714 157.964597012266 -778.542295456573</t>
  </si>
  <si>
    <t>-531.04146291858 299.494176479858 -761.897619854475</t>
  </si>
  <si>
    <t>-426.088227434987 324.257112504245 -464.31101405016</t>
  </si>
  <si>
    <t>-227.428013417646 242.889589402615 -317.493020078797</t>
  </si>
  <si>
    <t>-572.365886728055 94.7530509060909 -773.796439938393</t>
  </si>
  <si>
    <t>-573.775629667431 278.347878377396 -247.377168446981</t>
  </si>
  <si>
    <t>-567.997380071194 275.465269868814 208.271798248217</t>
  </si>
  <si>
    <t>-608.601652002805 248.574917486646 675.546253073614</t>
  </si>
  <si>
    <t>-449.616849358235 262.948453304955 749.443162603864</t>
  </si>
  <si>
    <t>-558.407623640161 84.1427906404253 -225.825542641197</t>
  </si>
  <si>
    <t>-456.97326903963 75.8354961785969 218.358709968453</t>
  </si>
  <si>
    <t>-620.186891974657 -1.76252198841416 652.275860191364</t>
  </si>
  <si>
    <t>-465.183530404876 -38.81262548819 726.739037245694</t>
  </si>
  <si>
    <t>9763-20170724T170051.098296600.bin</t>
  </si>
  <si>
    <t>-565.635637278657 181.100472556353 -236.935883168613</t>
  </si>
  <si>
    <t>-590.258990074154 166.022672360771 -354.554601495561</t>
  </si>
  <si>
    <t>-595.844324825242 153.697485130686 -475.001526124227</t>
  </si>
  <si>
    <t>-592.952366248283 143.363154637568 -583.995579067819</t>
  </si>
  <si>
    <t>-582.210611057997 133.633476355026 -692.553416892409</t>
  </si>
  <si>
    <t>-559.118161956139 120.549008913331 -842.538470762373</t>
  </si>
  <si>
    <t>-513.507364811077 112.752221664241 -933.323148545679</t>
  </si>
  <si>
    <t>-566.805851243033 157.943051464978 -778.542284043417</t>
  </si>
  <si>
    <t>-530.45453168873 299.44760320026 -761.871418157368</t>
  </si>
  <si>
    <t>-425.391457767547 324.428236019391 -464.341737672311</t>
  </si>
  <si>
    <t>-226.726790472731 243.004217263895 -317.561251553363</t>
  </si>
  <si>
    <t>-571.865844269742 94.7340795444529 -773.807096108003</t>
  </si>
  <si>
    <t>-573.114830062988 278.159896000011 -247.364268800404</t>
  </si>
  <si>
    <t>-567.43548516527 275.29646745543 208.286158380346</t>
  </si>
  <si>
    <t>-608.557910549742 248.451777428772 675.5194916389</t>
  </si>
  <si>
    <t>-449.610539851338 263.054847750821 749.451871839683</t>
  </si>
  <si>
    <t>-558.049384137313 84.0890524817444 -225.817505017674</t>
  </si>
  <si>
    <t>-456.64028364301 75.6905503004484 218.370956245061</t>
  </si>
  <si>
    <t>-620.128014638296 -1.8040480649745 652.21589475055</t>
  </si>
  <si>
    <t>-465.147468187727 -38.8405431148155 726.733243065079</t>
  </si>
  <si>
    <t>9763-20170724T170051.160189700.bin</t>
  </si>
  <si>
    <t>-564.592671687141 180.990263678817 -236.974401594388</t>
  </si>
  <si>
    <t>-589.224438333224 166.004931977314 -354.603147236925</t>
  </si>
  <si>
    <t>-594.754573112413 153.759407300201 -475.060665391765</t>
  </si>
  <si>
    <t>-591.787306918544 143.4892595598 -584.058794431509</t>
  </si>
  <si>
    <t>-580.945542532858 133.814579108752 -692.611572769717</t>
  </si>
  <si>
    <t>-557.689227460714 120.795944322242 -842.57695760695</t>
  </si>
  <si>
    <t>-512.018863408873 112.954549804794 -933.327928394649</t>
  </si>
  <si>
    <t>-565.399616666283 158.158524814702 -778.565280986207</t>
  </si>
  <si>
    <t>-528.849371752883 299.60360845157 -761.804857356067</t>
  </si>
  <si>
    <t>-423.709323645542 324.703605402346 -464.312425401713</t>
  </si>
  <si>
    <t>-224.950715613607 243.636551720293 -317.4614638274</t>
  </si>
  <si>
    <t>-570.559257385556 94.954058571996 -773.878525918398</t>
  </si>
  <si>
    <t>-571.914871753698 278.012595258041 -247.320618823719</t>
  </si>
  <si>
    <t>-566.309404847573 275.121348209723 208.330442053251</t>
  </si>
  <si>
    <t>-608.52646542845 248.301324745587 675.4913371888</t>
  </si>
  <si>
    <t>-449.62544984349 263.135496582722 749.477340143389</t>
  </si>
  <si>
    <t>-557.197081300786 84.0818447182423 -225.932331991838</t>
  </si>
  <si>
    <t>-456.14026399451 75.5454755094904 218.333750404284</t>
  </si>
  <si>
    <t>-619.983286083158 -1.68197523279287 652.090578869168</t>
  </si>
  <si>
    <t>-465.157020474353 -39.0335350583973 726.771284753887</t>
  </si>
  <si>
    <t>9763-20170724T170051.198296700.bin</t>
  </si>
  <si>
    <t>-564.228018813054 180.991961306619 -236.95725052836</t>
  </si>
  <si>
    <t>-588.839049978415 166.055154198118 -354.596457993445</t>
  </si>
  <si>
    <t>-594.328439571031 153.827245514614 -475.057784829875</t>
  </si>
  <si>
    <t>-591.317014246118 143.559869090901 -584.054836567545</t>
  </si>
  <si>
    <t>-580.42453787112 133.874024720672 -692.601539140586</t>
  </si>
  <si>
    <t>-557.091621850581 120.824675115224 -842.55247851301</t>
  </si>
  <si>
    <t>-511.411923446382 112.933235863364 -933.294245444958</t>
  </si>
  <si>
    <t>-564.81091252156 158.198708387716 -778.54846785364</t>
  </si>
  <si>
    <t>-528.156139177902 299.616530650514 -761.761585536314</t>
  </si>
  <si>
    <t>-422.956221815045 324.733029329793 -464.291686115765</t>
  </si>
  <si>
    <t>-224.091007794102 243.944997804359 -317.431223455079</t>
  </si>
  <si>
    <t>-570.020559264342 94.9984063885458 -773.859211841706</t>
  </si>
  <si>
    <t>-571.436812037915 277.940032852476 -247.282525383533</t>
  </si>
  <si>
    <t>-565.817647252439 275.017482913782 208.368149031809</t>
  </si>
  <si>
    <t>-608.46341231689 248.058147845494 675.490412284628</t>
  </si>
  <si>
    <t>-449.599143813096 263.238228913673 749.485172780141</t>
  </si>
  <si>
    <t>-556.97027139229 84.1487554436626 -225.938897292094</t>
  </si>
  <si>
    <t>-455.939742183125 75.3632063752161 218.328322009625</t>
  </si>
  <si>
    <t>-619.918596244282 -1.81652996405796 652.066296451109</t>
  </si>
  <si>
    <t>-465.098831227672 -39.0773566658684 726.805704159495</t>
  </si>
  <si>
    <t>9763-20170724T170051.263471900.bin</t>
  </si>
  <si>
    <t>-563.622074897402 181.178316274603 -236.917789397872</t>
  </si>
  <si>
    <t>-588.16152352969 166.316420525491 -354.581425686205</t>
  </si>
  <si>
    <t>-593.582571934553 154.078399363025 -475.044893665177</t>
  </si>
  <si>
    <t>-590.512794493043 143.762018234635 -584.035579369101</t>
  </si>
  <si>
    <t>-579.566535524369 133.985337691019 -692.568748162738</t>
  </si>
  <si>
    <t>-556.165054323693 120.763415367254 -842.493922984635</t>
  </si>
  <si>
    <t>-510.492899039225 112.699314357876 -933.224369142063</t>
  </si>
  <si>
    <t>-563.829576948612 158.204934809858 -778.522919202079</t>
  </si>
  <si>
    <t>-526.880301156303 299.544853084888 -761.749801692947</t>
  </si>
  <si>
    <t>-421.653286283838 324.434185563832 -464.270294071029</t>
  </si>
  <si>
    <t>-222.451024962683 244.905683697181 -317.179403866186</t>
  </si>
  <si>
    <t>-569.209473269104 95.0222911304838 -773.790513529584</t>
  </si>
  <si>
    <t>-570.647164386102 278.025347682061 -247.19918278047</t>
  </si>
  <si>
    <t>-565.181577248807 275.0116421013 208.452790999073</t>
  </si>
  <si>
    <t>-608.455769467572 247.975309458413 675.468120712927</t>
  </si>
  <si>
    <t>-449.620366365661 263.229849491469 749.509484146463</t>
  </si>
  <si>
    <t>-556.519633572916 84.4215302614614 -225.937233040859</t>
  </si>
  <si>
    <t>-455.567677168474 75.2988295963244 218.340962403466</t>
  </si>
  <si>
    <t>-619.792209146913 -1.74071057858828 651.996617232811</t>
  </si>
  <si>
    <t>-465.06540673397 -39.1561481222432 726.851193274904</t>
  </si>
  <si>
    <t>9763-20170724T170051.297063600.bin</t>
  </si>
  <si>
    <t>-563.34955164668 181.282538924266 -236.923441829504</t>
  </si>
  <si>
    <t>-587.807294985745 166.441211717663 -354.606746411463</t>
  </si>
  <si>
    <t>-593.161372339771 154.174397102548 -475.070141077002</t>
  </si>
  <si>
    <t>-590.038526678675 143.809824513969 -584.05490687361</t>
  </si>
  <si>
    <t>-579.047536490218 133.961709103118 -692.577020681105</t>
  </si>
  <si>
    <t>-555.593324362982 120.614968328002 -842.48290814703</t>
  </si>
  <si>
    <t>-509.93727528776 112.436274781787 -933.211215868613</t>
  </si>
  <si>
    <t>-563.246121715282 158.1074048895 -778.540192566379</t>
  </si>
  <si>
    <t>-526.14194657507 299.407643989161 -761.781537823165</t>
  </si>
  <si>
    <t>-420.874937234455 324.232252263332 -464.311011233401</t>
  </si>
  <si>
    <t>-221.549382436701 245.370246502999 -317.028348993917</t>
  </si>
  <si>
    <t>-568.696088984112 94.9335840743056 -773.768288573404</t>
  </si>
  <si>
    <t>-570.345689809442 278.135090911539 -247.198223109111</t>
  </si>
  <si>
    <t>-565.06290652361 275.054676691143 208.455413374772</t>
  </si>
  <si>
    <t>-608.450065292679 247.942122466989 675.45166438194</t>
  </si>
  <si>
    <t>-449.645583027993 263.407110315392 749.515865898427</t>
  </si>
  <si>
    <t>-556.257591760018 84.5236286506818 -225.982481696748</t>
  </si>
  <si>
    <t>-455.475740632398 75.2759917913677 218.331770742253</t>
  </si>
  <si>
    <t>-619.730574940381 -1.72887290895846 651.985423371765</t>
  </si>
  <si>
    <t>-465.003497021463 -39.0661514264473 726.878519898226</t>
  </si>
  <si>
    <t>9763-20170724T170051.363780200.bin</t>
  </si>
  <si>
    <t>-563.025750166245 181.658531028546 -236.889992070532</t>
  </si>
  <si>
    <t>-587.429511168522 166.825672063131 -354.585591784329</t>
  </si>
  <si>
    <t>-592.70028549575 154.523389128519 -475.048954324449</t>
  </si>
  <si>
    <t>-589.491211320775 144.102277230684 -584.025822779377</t>
  </si>
  <si>
    <t>-578.404135195793 134.169113727486 -692.530524138772</t>
  </si>
  <si>
    <t>-554.807276692878 120.671088872475 -842.400437591018</t>
  </si>
  <si>
    <t>-509.141491026454 112.267910678324 -933.103323295463</t>
  </si>
  <si>
    <t>-562.451919148701 158.222848068287 -778.491466622646</t>
  </si>
  <si>
    <t>-525.022942807715 299.441938573039 -761.751954714813</t>
  </si>
  <si>
    <t>-419.831471728698 323.976428581862 -464.230408972534</t>
  </si>
  <si>
    <t>-220.217973863501 245.752985598507 -316.997344410335</t>
  </si>
  <si>
    <t>-568.044357827031 95.0643233520693 -773.683801541548</t>
  </si>
  <si>
    <t>-570.046351819929 278.592711690334 -247.202993252865</t>
  </si>
  <si>
    <t>-564.974787074139 275.391478049854 208.452176155311</t>
  </si>
  <si>
    <t>-608.496064547923 248.120253867652 675.396660138798</t>
  </si>
  <si>
    <t>-449.705638177458 263.315283020964 749.546560938763</t>
  </si>
  <si>
    <t>-555.951161176401 84.8524877017755 -225.926198083892</t>
  </si>
  <si>
    <t>-455.138068704902 75.3851883264608 218.376319419817</t>
  </si>
  <si>
    <t>-619.620115476483 -1.87507503589359 651.931495231975</t>
  </si>
  <si>
    <t>-464.881735010051 -39.0286542220576 726.892497920846</t>
  </si>
  <si>
    <t>9763-20170724T170051.395358500.bin</t>
  </si>
  <si>
    <t>-562.938708384444 181.962320363778 -236.888964664859</t>
  </si>
  <si>
    <t>-587.316538301449 167.123525110463 -354.589113173082</t>
  </si>
  <si>
    <t>-592.549451785114 154.812379801138 -475.053460133627</t>
  </si>
  <si>
    <t>-589.30148095546 144.380837433934 -584.028012030847</t>
  </si>
  <si>
    <t>-578.171182124101 134.433757143941 -692.526919633193</t>
  </si>
  <si>
    <t>-554.509969024501 120.912382318864 -842.384705299296</t>
  </si>
  <si>
    <t>-508.815022091305 112.408435201196 -933.063424283426</t>
  </si>
  <si>
    <t>-562.16680446876 158.472991989363 -778.4823664822</t>
  </si>
  <si>
    <t>-524.638096439092 299.650022857951 -761.70988014214</t>
  </si>
  <si>
    <t>-419.241103458843 323.897984393759 -464.237637878294</t>
  </si>
  <si>
    <t>-219.457972042857 246.094200547848 -317.012192856751</t>
  </si>
  <si>
    <t>-567.79184134908 95.317364159132 -773.672166884612</t>
  </si>
  <si>
    <t>-569.963614110762 278.842320340584 -247.216620695187</t>
  </si>
  <si>
    <t>-564.970435427376 275.568126982474 208.438975755063</t>
  </si>
  <si>
    <t>-608.466526542824 248.076706583363 675.37011669089</t>
  </si>
  <si>
    <t>-449.714440532056 263.476203314856 749.55999391262</t>
  </si>
  <si>
    <t>-555.845344178889 85.1928784768238 -225.914685408502</t>
  </si>
  <si>
    <t>-454.975235538187 75.5689633570041 218.371580333196</t>
  </si>
  <si>
    <t>-619.561632771526 -1.79545168436152 651.864599895502</t>
  </si>
  <si>
    <t>-464.921151096685 -39.2444854680227 726.880587869829</t>
  </si>
  <si>
    <t>9763-20170724T170051.463026000.bin</t>
  </si>
  <si>
    <t>-562.870267832676 182.494538570106 -236.903065865451</t>
  </si>
  <si>
    <t>-587.223661824267 167.613882443165 -354.603107399788</t>
  </si>
  <si>
    <t>-592.409003858482 155.27276264355 -475.066185620384</t>
  </si>
  <si>
    <t>-589.108448832796 144.817293594856 -584.036981409139</t>
  </si>
  <si>
    <t>-577.916235068838 134.848167324833 -692.527617607791</t>
  </si>
  <si>
    <t>-554.159445237279 121.297028018726 -842.367489910427</t>
  </si>
  <si>
    <t>-508.40439532024 112.643639504727 -933.001653079716</t>
  </si>
  <si>
    <t>-561.843088748255 158.869146905692 -778.475247260392</t>
  </si>
  <si>
    <t>-524.21683878706 300.024466853005 -761.637095635503</t>
  </si>
  <si>
    <t>-418.186553047964 323.889714107322 -464.359078311314</t>
  </si>
  <si>
    <t>-217.80006357476 247.259092979765 -317.338403495655</t>
  </si>
  <si>
    <t>-567.499108289546 95.7167936746082 -773.660623919588</t>
  </si>
  <si>
    <t>-569.973119286367 279.426712018263 -247.247415850517</t>
  </si>
  <si>
    <t>-565.01119739075 275.974720710819 208.407198718606</t>
  </si>
  <si>
    <t>-608.519521276229 248.234276661075 675.339187799368</t>
  </si>
  <si>
    <t>-449.769604987865 263.386867915094 749.584525713905</t>
  </si>
  <si>
    <t>-555.688700061653 85.6237253061686 -225.889135269484</t>
  </si>
  <si>
    <t>-454.781458701251 75.88879837375 218.386263799689</t>
  </si>
  <si>
    <t>-619.477006551872 -1.77839065324883 651.788039834072</t>
  </si>
  <si>
    <t>-464.864360088385 -39.2841219144175 726.833100224174</t>
  </si>
  <si>
    <t>9763-20170724T170051.500139000.bin</t>
  </si>
  <si>
    <t>-562.888244072681 182.63612170977 -236.910536971833</t>
  </si>
  <si>
    <t>-587.245527983218 167.744583318197 -354.608222024138</t>
  </si>
  <si>
    <t>-592.430992313063 155.37558512742 -475.068538318703</t>
  </si>
  <si>
    <t>-589.12935288969 144.886723683052 -584.036113193792</t>
  </si>
  <si>
    <t>-577.934895967721 134.87567791755 -692.52262771647</t>
  </si>
  <si>
    <t>-554.174223844816 121.25653080388 -842.355721665571</t>
  </si>
  <si>
    <t>-508.408671352558 112.536758977785 -932.978368040451</t>
  </si>
  <si>
    <t>-561.855993871467 158.857466836726 -778.480253701631</t>
  </si>
  <si>
    <t>-524.186119480978 300.01008853641 -761.683147247727</t>
  </si>
  <si>
    <t>-417.76165679137 323.756217515243 -464.536343944724</t>
  </si>
  <si>
    <t>-217.159601634325 247.628891458151 -317.548317092682</t>
  </si>
  <si>
    <t>-567.519200026117 95.7076570206139 -773.638194934674</t>
  </si>
  <si>
    <t>-570.047307744757 279.615151159087 -247.258587323903</t>
  </si>
  <si>
    <t>-565.070242726339 276.112948307564 208.395440979352</t>
  </si>
  <si>
    <t>-608.537824087027 248.277832964908 675.319635051794</t>
  </si>
  <si>
    <t>-449.799756660082 263.474303572651 749.581270347989</t>
  </si>
  <si>
    <t>-555.646784133035 85.7432897570363 -225.900238711601</t>
  </si>
  <si>
    <t>-454.737717129107 76.0329537648768 218.375290423507</t>
  </si>
  <si>
    <t>-619.441116224232 -1.79196638532039 651.751745705135</t>
  </si>
  <si>
    <t>-464.797867834531 -39.1655280072785 726.799699833264</t>
  </si>
  <si>
    <t>9763-20170724T170051.565892200.bin</t>
  </si>
  <si>
    <t>-563.096357064278 183.05237085351 -236.946843094826</t>
  </si>
  <si>
    <t>-587.399148550179 168.150481679814 -354.654548971453</t>
  </si>
  <si>
    <t>-592.550047664771 155.73452286654 -475.111505575473</t>
  </si>
  <si>
    <t>-589.225981675846 145.184554262559 -584.072507634165</t>
  </si>
  <si>
    <t>-578.018580951338 135.09141045906 -692.550017200502</t>
  </si>
  <si>
    <t>-554.250200696296 121.334245801518 -842.369259236198</t>
  </si>
  <si>
    <t>-508.470452321495 112.490555636749 -932.972759892815</t>
  </si>
  <si>
    <t>-561.906711656259 158.991791857221 -778.524035347556</t>
  </si>
  <si>
    <t>-524.103901615397 300.098770421397 -761.800958273803</t>
  </si>
  <si>
    <t>-417.011153809083 323.896486038342 -464.898569757404</t>
  </si>
  <si>
    <t>-215.736279135654 249.035200211913 -318.180120741885</t>
  </si>
  <si>
    <t>-567.627209310887 95.8509873018443 -773.633765671495</t>
  </si>
  <si>
    <t>-570.329422206398 280.024906041826 -247.279381181806</t>
  </si>
  <si>
    <t>-565.409806082704 276.365726218137 208.374072171471</t>
  </si>
  <si>
    <t>-608.570521175438 248.293742974518 675.30904923185</t>
  </si>
  <si>
    <t>-449.828375151139 263.393659580554 749.581808787088</t>
  </si>
  <si>
    <t>-555.801319951713 86.1979722074568 -225.931841054297</t>
  </si>
  <si>
    <t>-454.773078986168 76.3560622171358 218.313778924093</t>
  </si>
  <si>
    <t>-619.381456986058 -1.72767303714545 651.687077304833</t>
  </si>
  <si>
    <t>-464.772147671587 -39.2455057968934 726.732954452552</t>
  </si>
  <si>
    <t>9763-20170724T170051.595973900.bin</t>
  </si>
  <si>
    <t>-563.187775450435 183.250606375405 -236.966631978289</t>
  </si>
  <si>
    <t>-587.473219937889 168.339902523786 -354.676866986581</t>
  </si>
  <si>
    <t>-592.605356964176 155.907502393143 -475.13297818521</t>
  </si>
  <si>
    <t>-589.264099609566 145.339168586595 -584.091688994542</t>
  </si>
  <si>
    <t>-578.039415232571 135.224011895194 -692.565355314296</t>
  </si>
  <si>
    <t>-554.247124945226 121.432209113677 -842.377622906709</t>
  </si>
  <si>
    <t>-508.476771895451 112.53638613405 -932.980744401982</t>
  </si>
  <si>
    <t>-561.904880681876 159.103876889159 -778.540886402461</t>
  </si>
  <si>
    <t>-524.023184165958 300.218890609124 -761.867435176224</t>
  </si>
  <si>
    <t>-416.82237860595 324.140530123252 -465.014000221008</t>
  </si>
  <si>
    <t>-215.127590722311 249.947501191016 -318.533023796944</t>
  </si>
  <si>
    <t>-567.644025691354 95.9655606385943 -773.639762669269</t>
  </si>
  <si>
    <t>-570.412909010155 280.221128135911 -247.327316457016</t>
  </si>
  <si>
    <t>-565.552958164439 276.517004538641 208.326386577757</t>
  </si>
  <si>
    <t>-608.581679877249 248.38917381294 675.259542814858</t>
  </si>
  <si>
    <t>-449.865278139893 263.539679267407 749.576876166141</t>
  </si>
  <si>
    <t>-555.853354877504 86.3409680216803 -225.947564501536</t>
  </si>
  <si>
    <t>-454.772776777886 76.4540966640529 218.284983996782</t>
  </si>
  <si>
    <t>-619.357341289133 -1.74272517479471 651.649443753539</t>
  </si>
  <si>
    <t>-464.749869034482 -39.2797635900013 726.689504342987</t>
  </si>
  <si>
    <t>9763-20170724T170051.662956700.bin</t>
  </si>
  <si>
    <t>-563.280851872753 183.503674370869 -237.041949942045</t>
  </si>
  <si>
    <t>-587.611535828986 168.525625220409 -354.734359475415</t>
  </si>
  <si>
    <t>-592.78011552765 156.015187640921 -475.180694427934</t>
  </si>
  <si>
    <t>-589.467877373737 145.370833768225 -584.132869982228</t>
  </si>
  <si>
    <t>-578.26835786126 135.173214661018 -692.601566810103</t>
  </si>
  <si>
    <t>-554.507168698612 121.259454485805 -842.407448961157</t>
  </si>
  <si>
    <t>-508.765788409372 112.222600188889 -933.011124618381</t>
  </si>
  <si>
    <t>-562.119697683184 158.980529983965 -778.594391921366</t>
  </si>
  <si>
    <t>-524.256216747106 300.091332437589 -761.98788975338</t>
  </si>
  <si>
    <t>-416.748227054855 324.101106634973 -465.252660293993</t>
  </si>
  <si>
    <t>-214.326457710337 251.829269358851 -318.814052545486</t>
  </si>
  <si>
    <t>-567.921792731632 95.8511726729209 -773.651456207476</t>
  </si>
  <si>
    <t>-570.521383810574 280.546534047838 -247.476254628041</t>
  </si>
  <si>
    <t>-565.684680226119 276.834534408458 208.177780998835</t>
  </si>
  <si>
    <t>-608.5733655532 248.712973480907 675.082096177288</t>
  </si>
  <si>
    <t>-449.927399222459 263.692211458824 749.584314953156</t>
  </si>
  <si>
    <t>-555.935378781372 86.5556004171879 -225.94169080501</t>
  </si>
  <si>
    <t>-454.63911148794 76.6434725540901 218.24123523033</t>
  </si>
  <si>
    <t>-619.305783250653 -1.65875500250445 651.549756444257</t>
  </si>
  <si>
    <t>-464.689419473859 -39.1887458024235 726.575046734781</t>
  </si>
  <si>
    <t>9763-20170724T170051.699557600.bin</t>
  </si>
  <si>
    <t>-563.354442257601 183.629371788661 -237.16762166017</t>
  </si>
  <si>
    <t>-587.665094266324 168.625351738971 -354.860769148869</t>
  </si>
  <si>
    <t>-592.854581778361 156.098231029717 -475.304500084676</t>
  </si>
  <si>
    <t>-589.577438842567 145.441413367553 -584.256611230395</t>
  </si>
  <si>
    <t>-578.428765899288 135.233515869183 -692.729511674046</t>
  </si>
  <si>
    <t>-554.754202482614 121.306927665625 -842.547937297064</t>
  </si>
  <si>
    <t>-509.043230400322 112.228681230678 -933.162857689122</t>
  </si>
  <si>
    <t>-562.297842703627 159.030700231284 -778.728556199308</t>
  </si>
  <si>
    <t>-524.366574825063 300.139634896611 -762.158221259269</t>
  </si>
  <si>
    <t>-417.080643759522 324.399436440575 -465.363055827358</t>
  </si>
  <si>
    <t>-214.428495315476 253.135981227444 -318.748796049757</t>
  </si>
  <si>
    <t>-568.161139912479 95.9070733255119 -773.787165075709</t>
  </si>
  <si>
    <t>-570.606270125217 280.733610207501 -247.644021807675</t>
  </si>
  <si>
    <t>-565.818437121968 277.063418575301 208.010761943328</t>
  </si>
  <si>
    <t>-608.54461020847 249.029146636747 674.906328356966</t>
  </si>
  <si>
    <t>-449.960906247781 263.738211099206 749.594815035307</t>
  </si>
  <si>
    <t>-556.028879237699 86.6424441521392 -226.045314058262</t>
  </si>
  <si>
    <t>-454.673021836407 76.6964845748666 218.123282273795</t>
  </si>
  <si>
    <t>-619.263598928679 -1.71048469777702 651.452731959655</t>
  </si>
  <si>
    <t>-464.635125650752 -39.1601768946609 726.49320238979</t>
  </si>
  <si>
    <t>9763-20170724T170051.764231500.bin</t>
  </si>
  <si>
    <t>-563.468410618207 183.711084262518 -237.435532285024</t>
  </si>
  <si>
    <t>-587.749273949276 168.710381423237 -355.135299796515</t>
  </si>
  <si>
    <t>-593.038735168891 156.091262577392 -475.565105388158</t>
  </si>
  <si>
    <t>-589.906178791345 145.310867256782 -584.509269699183</t>
  </si>
  <si>
    <t>-578.956568929636 134.938281127245 -692.986710979924</t>
  </si>
  <si>
    <t>-555.615232081737 120.739539981723 -842.831811653769</t>
  </si>
  <si>
    <t>-510.019735973977 111.471786736442 -933.485965764201</t>
  </si>
  <si>
    <t>-562.916444450843 158.571164913738 -779.048092913011</t>
  </si>
  <si>
    <t>-524.961340024311 299.666248821574 -762.593958311</t>
  </si>
  <si>
    <t>-419.904182091263 325.623680754331 -465.145830796787</t>
  </si>
  <si>
    <t>-217.1706646548 257.888987970396 -316.979666162865</t>
  </si>
  <si>
    <t>-568.969644715985 95.4728948399315 -774.012103781991</t>
  </si>
  <si>
    <t>-570.571098760967 280.856302052466 -247.949055974145</t>
  </si>
  <si>
    <t>-565.950482202702 277.218759347923 207.70765808194</t>
  </si>
  <si>
    <t>-608.469835302545 249.305727972378 674.678732753517</t>
  </si>
  <si>
    <t>-450.006016479701 263.993021124276 749.625397179263</t>
  </si>
  <si>
    <t>-556.286111688873 86.6396647293502 -226.259482844501</t>
  </si>
  <si>
    <t>-454.84822619869 76.7201913861177 217.890938896392</t>
  </si>
  <si>
    <t>-619.232316533868 -1.8049041709337 651.319743132405</t>
  </si>
  <si>
    <t>-464.559605925603 -39.1391040509482 726.326559263715</t>
  </si>
  <si>
    <t>9763-20170724T170051.798327800.bin</t>
  </si>
  <si>
    <t>-563.45661668335 183.647686512267 -237.534157631691</t>
  </si>
  <si>
    <t>-587.752243804217 168.666426983168 -355.233211917492</t>
  </si>
  <si>
    <t>-593.062723554383 156.04580441492 -475.662124179252</t>
  </si>
  <si>
    <t>-589.951944412242 145.254349634396 -584.605624097373</t>
  </si>
  <si>
    <t>-579.027162677666 134.860354497359 -693.083630079275</t>
  </si>
  <si>
    <t>-555.723482441178 120.621144735785 -842.930825531346</t>
  </si>
  <si>
    <t>-510.171724438457 111.284773760859 -933.599736844239</t>
  </si>
  <si>
    <t>-562.934070540025 158.463816347437 -779.143212231447</t>
  </si>
  <si>
    <t>-524.758445265087 299.538861185107 -762.743455903803</t>
  </si>
  <si>
    <t>-423.231794170472 326.79103098407 -464.187146077466</t>
  </si>
  <si>
    <t>-220.700000003809 261.076472457747 -314.840215264504</t>
  </si>
  <si>
    <t>-569.135175092155 95.3792860642704 -774.112897956378</t>
  </si>
  <si>
    <t>-570.370627912519 280.789156947614 -248.046179812634</t>
  </si>
  <si>
    <t>-566.024790786664 277.189353312145 207.613594090529</t>
  </si>
  <si>
    <t>-608.468778492688 249.379174052506 674.61877515879</t>
  </si>
  <si>
    <t>-450.021870439517 263.874556286202 749.638669181781</t>
  </si>
  <si>
    <t>-556.465057333876 86.5255621680603 -226.345440396103</t>
  </si>
  <si>
    <t>-454.924381302154 76.7032679064937 217.783744587953</t>
  </si>
  <si>
    <t>-619.223153636698 -1.7008775295551 651.263551362438</t>
  </si>
  <si>
    <t>-464.560524798881 -39.1052597724779 726.256137169991</t>
  </si>
  <si>
    <t>9763-20170724T170051.865282300.bin</t>
  </si>
  <si>
    <t>-563.350229245992 183.206488510654 -237.735789875527</t>
  </si>
  <si>
    <t>-587.64524257618 168.352744756654 -355.451296296339</t>
  </si>
  <si>
    <t>-592.989575954481 155.706793087518 -475.875719303724</t>
  </si>
  <si>
    <t>-589.927461978181 144.836378838266 -584.81302536123</t>
  </si>
  <si>
    <t>-579.070999888631 134.312832208396 -693.285359266592</t>
  </si>
  <si>
    <t>-555.884085151461 119.844753347566 -843.128752138881</t>
  </si>
  <si>
    <t>-510.472498338031 110.22516872723 -933.838267370502</t>
  </si>
  <si>
    <t>-562.912795222772 157.773300631559 -779.371705312315</t>
  </si>
  <si>
    <t>-524.873028227485 298.899632881294 -763.198520920831</t>
  </si>
  <si>
    <t>-433.835243834027 330.223326877404 -461.673795742269</t>
  </si>
  <si>
    <t>-231.852083856267 270.301282228249 -309.180511967055</t>
  </si>
  <si>
    <t>-569.374322149418 94.7197144522852 -774.283563278583</t>
  </si>
  <si>
    <t>-569.641372201464 280.411076424014 -248.217724287887</t>
  </si>
  <si>
    <t>-566.161920701706 276.907069136903 207.450191328154</t>
  </si>
  <si>
    <t>-608.495021815821 249.423146341897 674.543240566224</t>
  </si>
  <si>
    <t>-450.064269056139 263.753778568395 749.628845949172</t>
  </si>
  <si>
    <t>-556.988273796797 86.0806779799855 -226.512947887337</t>
  </si>
  <si>
    <t>-455.197819774624 76.3397061887197 217.560866760299</t>
  </si>
  <si>
    <t>-619.205812757559 -1.60388530859655 651.216088420611</t>
  </si>
  <si>
    <t>-464.636125723435 -39.4347054066145 726.186414691135</t>
  </si>
  <si>
    <t>9763-20170724T170051.901412200.bin</t>
  </si>
  <si>
    <t>-563.317427258491 182.906403322156 -237.781781671803</t>
  </si>
  <si>
    <t>-587.654114142294 168.140148890277 -355.499556077765</t>
  </si>
  <si>
    <t>-593.030012006764 155.491574044633 -475.922567743941</t>
  </si>
  <si>
    <t>-589.994368796523 144.585496333648 -584.856978593093</t>
  </si>
  <si>
    <t>-579.163373019728 133.995504339615 -693.325334390581</t>
  </si>
  <si>
    <t>-556.011765831164 119.404736754231 -843.162176985236</t>
  </si>
  <si>
    <t>-510.658815941818 109.604099775783 -933.881840047645</t>
  </si>
  <si>
    <t>-562.974012478672 157.380701881792 -779.426326397594</t>
  </si>
  <si>
    <t>-525.170790408934 298.564516306445 -763.312257632724</t>
  </si>
  <si>
    <t>-439.914423685772 332.313472728968 -460.362552316878</t>
  </si>
  <si>
    <t>-238.363698542392 279.18661126467 -304.809000567965</t>
  </si>
  <si>
    <t>-569.537303410738 94.3405494444628 -774.301723149369</t>
  </si>
  <si>
    <t>-569.312755029254 280.129507369619 -248.237605909455</t>
  </si>
  <si>
    <t>-566.100075804073 276.696359546845 207.432769946464</t>
  </si>
  <si>
    <t>-608.558923310757 249.430814032767 674.561750168732</t>
  </si>
  <si>
    <t>-450.093025760348 263.486491093249 749.625228734806</t>
  </si>
  <si>
    <t>-557.252688631818 85.8013899925666 -226.588159867704</t>
  </si>
  <si>
    <t>-455.313181441938 75.9808167064841 217.449645190344</t>
  </si>
  <si>
    <t>-619.196527012764 -1.55718802637057 651.222657381222</t>
  </si>
  <si>
    <t>-464.644369420435 -39.4698905647933 726.187722056424</t>
  </si>
  <si>
    <t>9763-20170724T170051.966406200.bin</t>
  </si>
  <si>
    <t>-563.329449699134 181.991659319799 -237.761535373033</t>
  </si>
  <si>
    <t>-587.798204708902 167.398119999461 -355.473596467794</t>
  </si>
  <si>
    <t>-593.135015967214 154.735429202024 -475.89677404722</t>
  </si>
  <si>
    <t>-589.9989553303 143.745053535489 -584.819806809395</t>
  </si>
  <si>
    <t>-579.005863734181 133.002169137821 -693.256738739319</t>
  </si>
  <si>
    <t>-555.568026277434 118.130874886579 -843.021715422626</t>
  </si>
  <si>
    <t>-510.190600675931 107.966110346556 -933.688992809479</t>
  </si>
  <si>
    <t>-562.638413749809 156.224946833201 -779.368174743762</t>
  </si>
  <si>
    <t>-525.062257556765 297.533471543586 -763.691756345266</t>
  </si>
  <si>
    <t>-450.309746953829 336.475960115836 -458.598712109898</t>
  </si>
  <si>
    <t>-255.189051638811 296.126694813139 -291.440404665882</t>
  </si>
  <si>
    <t>-569.238669289338 93.1969462196078 -774.142510144202</t>
  </si>
  <si>
    <t>-568.97399533141 279.184928769123 -248.122529780684</t>
  </si>
  <si>
    <t>-565.691878973165 275.869446176487 207.548289816412</t>
  </si>
  <si>
    <t>-608.603914895884 248.979366392551 674.704382053542</t>
  </si>
  <si>
    <t>-450.10171990378 263.491093209023 749.604153023949</t>
  </si>
  <si>
    <t>-557.611024890849 84.9135232394665 -226.690929004258</t>
  </si>
  <si>
    <t>-455.48971116087 75.0005960405797 217.303007878216</t>
  </si>
  <si>
    <t>-619.154379243076 -1.76301225736393 651.289056190775</t>
  </si>
  <si>
    <t>-464.614082179817 -39.6617257607481 726.285693629093</t>
  </si>
  <si>
    <t>9763-20170724T170052.000039900.bin</t>
  </si>
  <si>
    <t>-563.401451935625 181.541613769462 -237.674357593117</t>
  </si>
  <si>
    <t>-587.935650926623 167.009475691029 -355.380377062903</t>
  </si>
  <si>
    <t>-593.2450793609 154.331242033868 -475.803032400141</t>
  </si>
  <si>
    <t>-590.048245020411 143.296380705586 -584.719894064625</t>
  </si>
  <si>
    <t>-578.959890115229 132.478928710484 -693.139762834963</t>
  </si>
  <si>
    <t>-555.355519076431 117.472802449826 -842.865114567748</t>
  </si>
  <si>
    <t>-509.983206926081 107.149416792471 -933.516978138835</t>
  </si>
  <si>
    <t>-562.516456481925 155.625864553334 -779.257011857016</t>
  </si>
  <si>
    <t>-524.987345252315 296.962702405789 -763.830845239931</t>
  </si>
  <si>
    <t>-454.829690433747 338.657702069061 -458.011175276798</t>
  </si>
  <si>
    <t>-264.387929551313 302.888929574084 -284.533300747576</t>
  </si>
  <si>
    <t>-569.083041623824 92.5990680496789 -773.975494578344</t>
  </si>
  <si>
    <t>-569.027826887495 278.730130642504 -247.978934488437</t>
  </si>
  <si>
    <t>-565.555807813295 275.437086100158 207.690810732813</t>
  </si>
  <si>
    <t>-608.656521451661 248.724925612866 674.832016526902</t>
  </si>
  <si>
    <t>-450.094946669513 263.246537937189 749.604107696934</t>
  </si>
  <si>
    <t>-557.6867833765 84.4711402794946 -226.658544191622</t>
  </si>
  <si>
    <t>-455.576153386735 74.6279628163759 217.339378142734</t>
  </si>
  <si>
    <t>-619.136491082596 -1.95548396647109 651.356923630663</t>
  </si>
  <si>
    <t>-464.532177621069 -39.5910675098066 726.354136726684</t>
  </si>
  <si>
    <t>9763-20170724T170052.077315900.bin</t>
  </si>
  <si>
    <t>-563.735084973723 181.073804771334 -237.466113832173</t>
  </si>
  <si>
    <t>-588.315901246704 166.489726008294 -355.155979736188</t>
  </si>
  <si>
    <t>-593.580336401264 153.714540009507 -475.570509560084</t>
  </si>
  <si>
    <t>-590.306602502228 142.574066818174 -584.47428450203</t>
  </si>
  <si>
    <t>-579.106351917471 131.632564388816 -692.870232064733</t>
  </si>
  <si>
    <t>-555.311369955908 116.434846204831 -842.546006585019</t>
  </si>
  <si>
    <t>-510.004341622488 105.826787990067 -933.197558717364</t>
  </si>
  <si>
    <t>-562.659355939492 154.678773713309 -779.013736998651</t>
  </si>
  <si>
    <t>-525.608969580469 296.154456780341 -763.846573869445</t>
  </si>
  <si>
    <t>-461.750496200322 342.628521793778 -457.336381954</t>
  </si>
  <si>
    <t>-278.949659332969 307.691828672053 -275.662843478176</t>
  </si>
  <si>
    <t>-569.020427181813 91.6401025263715 -773.624260708308</t>
  </si>
  <si>
    <t>-569.704890767249 278.17621202002 -247.734901121261</t>
  </si>
  <si>
    <t>-565.854902120003 275.017127464072 207.932539662162</t>
  </si>
  <si>
    <t>-608.791278462774 248.457649910697 675.046452600161</t>
  </si>
  <si>
    <t>-450.146717795067 263.323720983002 749.574415023414</t>
  </si>
  <si>
    <t>-557.679151351099 84.1387471023381 -226.492227459782</t>
  </si>
  <si>
    <t>-455.558043705286 74.3994969455268 217.505601831193</t>
  </si>
  <si>
    <t>-619.105066795602 -1.95574354736368 651.507764196281</t>
  </si>
  <si>
    <t>-464.51861060435 -39.6836559583171 726.495442378761</t>
  </si>
  <si>
    <t>9763-20170724T170052.095899500.bin</t>
  </si>
  <si>
    <t>-564.045811300568 181.048237675998 -237.336788407317</t>
  </si>
  <si>
    <t>-588.64908126265 166.404763427841 -355.014461984544</t>
  </si>
  <si>
    <t>-593.916323323312 153.659776115911 -475.432074567917</t>
  </si>
  <si>
    <t>-590.635002142712 142.582002622621 -584.342043787923</t>
  </si>
  <si>
    <t>-579.415867624107 131.737656952544 -692.745788078053</t>
  </si>
  <si>
    <t>-555.582125465231 116.709802961529 -842.432561887442</t>
  </si>
  <si>
    <t>-510.305929874468 106.087500654094 -933.097961562499</t>
  </si>
  <si>
    <t>-563.015345302496 154.887593827252 -778.870530158945</t>
  </si>
  <si>
    <t>-526.177097848496 296.404512099677 -763.550221441124</t>
  </si>
  <si>
    <t>-464.729791745161 343.148650089415 -456.588618277723</t>
  </si>
  <si>
    <t>-282.661091733353 307.371657172894 -274.344215476862</t>
  </si>
  <si>
    <t>-569.240208070481 91.8309451958396 -773.531070214607</t>
  </si>
  <si>
    <t>-570.277152428509 278.153075784124 -247.638587755599</t>
  </si>
  <si>
    <t>-566.316533795963 275.056252324676 208.028354657652</t>
  </si>
  <si>
    <t>-608.855402526412 248.386759768511 675.145312781136</t>
  </si>
  <si>
    <t>-450.15701856767 263.224210478749 749.564243480575</t>
  </si>
  <si>
    <t>-557.74188037356 84.105968306658 -226.360700770388</t>
  </si>
  <si>
    <t>-455.59160267952 74.5411596046474 217.634233278755</t>
  </si>
  <si>
    <t>-619.09957670523 -1.97859388842198 651.580919611578</t>
  </si>
  <si>
    <t>-464.457820134332 -39.556743235938 726.529695958441</t>
  </si>
  <si>
    <t>9763-20170724T170052.169602500.bin</t>
  </si>
  <si>
    <t>-564.754230836781 181.4704986469 -237.213112838729</t>
  </si>
  <si>
    <t>-589.351117178718 166.65663226107 -354.870844095745</t>
  </si>
  <si>
    <t>-594.687264294529 153.976460006007 -475.292151947111</t>
  </si>
  <si>
    <t>-591.493073400745 143.052454296848 -584.220180154308</t>
  </si>
  <si>
    <t>-580.382103493823 132.45605511626 -692.65967546309</t>
  </si>
  <si>
    <t>-556.717119162387 117.869656954401 -842.416818467441</t>
  </si>
  <si>
    <t>-511.451203261303 107.293560092177 -933.09276141421</t>
  </si>
  <si>
    <t>-564.216591689411 155.871040142486 -778.757018060721</t>
  </si>
  <si>
    <t>-528.00807853726 297.509276291083 -762.933584751074</t>
  </si>
  <si>
    <t>-468.510729267564 342.270577323821 -455.293039965641</t>
  </si>
  <si>
    <t>-285.292121282143 302.252713645912 -275.094379955561</t>
  </si>
  <si>
    <t>-570.159696499425 92.7762432040149 -773.550730391984</t>
  </si>
  <si>
    <t>-571.651366225871 278.646194947529 -247.561798939381</t>
  </si>
  <si>
    <t>-567.566489701524 275.519127046746 208.103861370745</t>
  </si>
  <si>
    <t>-609.072555322826 248.622224370047 675.297450525842</t>
  </si>
  <si>
    <t>-450.25092155983 263.02904687935 749.537898879659</t>
  </si>
  <si>
    <t>-557.784794228359 84.4521962631229 -226.206740855697</t>
  </si>
  <si>
    <t>-455.69520223565 75.1387714028572 217.807452378984</t>
  </si>
  <si>
    <t>-619.082937665356 -1.90461015329993 651.670687235266</t>
  </si>
  <si>
    <t>-464.365298252187 -39.3133274865022 726.547656371044</t>
  </si>
  <si>
    <t>9763-20170724T170052.196173900.bin</t>
  </si>
  <si>
    <t>-565.132086541519 181.893413338134 -237.178894437164</t>
  </si>
  <si>
    <t>-589.715537722084 166.990198863588 -354.82813291378</t>
  </si>
  <si>
    <t>-595.089799262488 154.35531369366 -475.252635582782</t>
  </si>
  <si>
    <t>-591.947939294979 143.528915028404 -584.191969962943</t>
  </si>
  <si>
    <t>-580.905078238893 133.087102439442 -692.653263432896</t>
  </si>
  <si>
    <t>-557.348797183221 118.776402996953 -842.454269177478</t>
  </si>
  <si>
    <t>-512.075983968383 108.308215977713 -933.139196508702</t>
  </si>
  <si>
    <t>-564.883529501595 156.667233508469 -778.732624002264</t>
  </si>
  <si>
    <t>-529.002206997728 298.372135006311 -762.694854028706</t>
  </si>
  <si>
    <t>-470.601082037647 340.852620100364 -454.521327797634</t>
  </si>
  <si>
    <t>-285.303236867703 300.633470393369 -276.50670750536</t>
  </si>
  <si>
    <t>-570.659878725376 93.5497546743295 -773.611393768634</t>
  </si>
  <si>
    <t>-572.258767288141 279.012649543053 -247.556362950887</t>
  </si>
  <si>
    <t>-568.030108864445 275.856519060435 208.107854002326</t>
  </si>
  <si>
    <t>-609.130964852798 248.728922368701 675.317619381491</t>
  </si>
  <si>
    <t>-450.278340902721 262.987879048662 749.520318718806</t>
  </si>
  <si>
    <t>-557.915383793165 84.8415134050197 -226.151018877388</t>
  </si>
  <si>
    <t>-455.871360617247 75.6029501989015 217.875218313056</t>
  </si>
  <si>
    <t>-619.073279018334 -1.83267633924993 651.710562903239</t>
  </si>
  <si>
    <t>-464.385584562121 -39.4184075697806 726.56071259062</t>
  </si>
  <si>
    <t>9763-20170724T170052.265779800.bin</t>
  </si>
  <si>
    <t>-565.660837472604 182.263277386231 -237.197121799014</t>
  </si>
  <si>
    <t>-590.282636326757 167.258978913748 -354.825508357871</t>
  </si>
  <si>
    <t>-595.728473110868 154.619947217812 -475.246309154211</t>
  </si>
  <si>
    <t>-592.663240544246 143.843276792986 -584.192732640249</t>
  </si>
  <si>
    <t>-581.70716640329 133.512509025842 -692.673497757088</t>
  </si>
  <si>
    <t>-558.279879943294 119.427188799955 -842.516062259375</t>
  </si>
  <si>
    <t>-512.966653131238 109.178295822953 -933.205800294538</t>
  </si>
  <si>
    <t>-566.000518957436 157.239875078379 -778.770496363243</t>
  </si>
  <si>
    <t>-531.061746340279 299.163293765971 -762.634993862232</t>
  </si>
  <si>
    <t>-472.291939963207 340.260260159827 -454.344052414982</t>
  </si>
  <si>
    <t>-283.895959181234 297.024456698806 -280.3335891595</t>
  </si>
  <si>
    <t>-571.290966682639 94.0790650742604 -773.660299676304</t>
  </si>
  <si>
    <t>-573.132201548472 279.46494421664 -247.608604844221</t>
  </si>
  <si>
    <t>-568.547943697617 276.150826838855 208.051014280024</t>
  </si>
  <si>
    <t>-609.165745008401 248.790182112526 675.311902139283</t>
  </si>
  <si>
    <t>-450.317658696036 263.232761254871 749.488828882965</t>
  </si>
  <si>
    <t>-558.087814926472 85.0717603070846 -226.171874062653</t>
  </si>
  <si>
    <t>-456.21796104305 76.023680665658 217.898317953846</t>
  </si>
  <si>
    <t>-619.039541393116 -2.03933240627612 651.784667851149</t>
  </si>
  <si>
    <t>-464.170658391118 -38.9679183459914 726.587221222786</t>
  </si>
  <si>
    <t>9763-20170724T170052.299875100.bin</t>
  </si>
  <si>
    <t>-565.914639528572 182.464884160615 -237.220482481277</t>
  </si>
  <si>
    <t>-590.52416725066 167.419265165945 -354.846150928534</t>
  </si>
  <si>
    <t>-595.98724063921 154.784128954598 -475.26656671373</t>
  </si>
  <si>
    <t>-592.948860564093 144.033529485245 -584.216353791464</t>
  </si>
  <si>
    <t>-582.030041001786 133.75370476167 -692.705857816501</t>
  </si>
  <si>
    <t>-558.664552231987 119.766834439854 -842.567237869809</t>
  </si>
  <si>
    <t>-513.310495058811 109.615314004345 -933.24758413231</t>
  </si>
  <si>
    <t>-566.453834693655 157.544331734575 -778.808884230412</t>
  </si>
  <si>
    <t>-531.730453987159 299.547840538243 -762.760057353654</t>
  </si>
  <si>
    <t>-472.438751889126 340.86034619573 -454.597812002874</t>
  </si>
  <si>
    <t>-283.252434165312 296.175577815828 -281.815088528327</t>
  </si>
  <si>
    <t>-571.552224540402 94.366961589546 -773.707315694143</t>
  </si>
  <si>
    <t>-573.541223591227 279.678995152628 -247.63093861375</t>
  </si>
  <si>
    <t>-568.688429245038 276.242417271692 208.024974696363</t>
  </si>
  <si>
    <t>-609.150618646858 248.706385227569 675.311090175168</t>
  </si>
  <si>
    <t>-450.301509452035 263.194683955713 749.476897751017</t>
  </si>
  <si>
    <t>-558.221895515378 85.328991208075 -226.175362336216</t>
  </si>
  <si>
    <t>-456.375715966144 76.1534833962312 217.897668092453</t>
  </si>
  <si>
    <t>-619.037906235647 -1.95361703805656 651.840279356389</t>
  </si>
  <si>
    <t>-464.181968373855 -38.9630893262506 726.62965103442</t>
  </si>
  <si>
    <t>9763-20170724T170052.363044300.bin</t>
  </si>
  <si>
    <t>-566.408612729546 182.923101035216 -237.227053668016</t>
  </si>
  <si>
    <t>-591.007240538786 167.848533736527 -354.851357753439</t>
  </si>
  <si>
    <t>-596.529752020658 155.180251924756 -475.265588575856</t>
  </si>
  <si>
    <t>-593.573622048613 144.401235919305 -584.214740268657</t>
  </si>
  <si>
    <t>-582.765151052861 134.095259835915 -692.712823412955</t>
  </si>
  <si>
    <t>-559.581432672951 120.076088008265 -842.599441414509</t>
  </si>
  <si>
    <t>-514.196328925462 109.911869548226 -933.262724085264</t>
  </si>
  <si>
    <t>-567.410980685224 157.875022536071 -778.858775663292</t>
  </si>
  <si>
    <t>-532.926275185886 299.945826511939 -763.022322524882</t>
  </si>
  <si>
    <t>-471.878971315056 341.482296036565 -455.233197868046</t>
  </si>
  <si>
    <t>-281.085956988608 292.722131784257 -285.343384563958</t>
  </si>
  <si>
    <t>-572.267969839908 94.6833797948916 -773.699682557521</t>
  </si>
  <si>
    <t>-574.320570942386 280.118587157919 -247.600631225444</t>
  </si>
  <si>
    <t>-569.130932893424 276.52058255077 208.050323970622</t>
  </si>
  <si>
    <t>-609.219122698503 248.781214039014 675.340468984705</t>
  </si>
  <si>
    <t>-450.342402078195 263.222026549158 749.456348080868</t>
  </si>
  <si>
    <t>-558.424956356652 85.7844549195304 -226.195024949326</t>
  </si>
  <si>
    <t>-456.682367526986 76.5262091215739 217.900017287819</t>
  </si>
  <si>
    <t>-619.028354791339 -1.90519397152434 651.921953587989</t>
  </si>
  <si>
    <t>-464.203321344846 -39.0967217895247 726.684956419257</t>
  </si>
  <si>
    <t>9763-20170724T170052.432825100.bin</t>
  </si>
  <si>
    <t>-566.805800291699 183.56639593206 -237.186054701397</t>
  </si>
  <si>
    <t>-591.354983213059 168.429657809928 -354.812706957089</t>
  </si>
  <si>
    <t>-596.87186618559 155.700974543578 -475.220772674485</t>
  </si>
  <si>
    <t>-593.928831010409 144.871247634438 -584.165296489812</t>
  </si>
  <si>
    <t>-583.151315922825 134.520404021454 -692.662057910722</t>
  </si>
  <si>
    <t>-560.028874015235 120.446317286875 -842.552891579497</t>
  </si>
  <si>
    <t>-514.628933482116 110.142418116108 -933.193245060015</t>
  </si>
  <si>
    <t>-567.90903010364 158.273294637432 -778.835333913311</t>
  </si>
  <si>
    <t>-533.554470798465 300.383243914894 -763.070552361415</t>
  </si>
  <si>
    <t>-470.449596582627 341.996235633346 -455.70707412459</t>
  </si>
  <si>
    <t>-277.419503148735 290.220424188793 -289.271718512668</t>
  </si>
  <si>
    <t>-572.610653780847 95.073939107938 -773.626499854642</t>
  </si>
  <si>
    <t>-574.924677706682 280.807601878463 -247.58204741148</t>
  </si>
  <si>
    <t>-569.577106101819 276.97567917121 208.065128763854</t>
  </si>
  <si>
    <t>-609.265992168352 248.876950585554 675.344649189907</t>
  </si>
  <si>
    <t>-450.375371894084 263.273534833727 749.439488605686</t>
  </si>
  <si>
    <t>-558.603708474798 86.4089084723798 -226.123261449816</t>
  </si>
  <si>
    <t>-456.758378935864 76.9703715140577 217.944429320086</t>
  </si>
  <si>
    <t>-619.007260027222 -1.83191346077729 651.941740879912</t>
  </si>
  <si>
    <t>-464.159322301298 -38.9690111157033 726.684379080593</t>
  </si>
  <si>
    <t>9763-20170724T170052.484936900.bin</t>
  </si>
  <si>
    <t>-567.014694593402 184.106560728266 -237.154982230318</t>
  </si>
  <si>
    <t>-591.591421895607 168.928023053802 -354.77042692032</t>
  </si>
  <si>
    <t>-597.124526483538 156.107743884218 -475.168114524399</t>
  </si>
  <si>
    <t>-594.192292651697 145.176158455516 -584.102809996841</t>
  </si>
  <si>
    <t>-583.422453381585 134.704375961484 -692.588775588984</t>
  </si>
  <si>
    <t>-560.307901891926 120.442949134023 -842.46303077088</t>
  </si>
  <si>
    <t>-514.901507044776 109.94853705656 -933.078310325016</t>
  </si>
  <si>
    <t>-568.201288086712 158.35059608372 -778.794997330293</t>
  </si>
  <si>
    <t>-533.831390878568 300.475270030319 -763.243339857457</t>
  </si>
  <si>
    <t>-469.326382187968 342.291933189116 -456.198280067044</t>
  </si>
  <si>
    <t>-275.036307627641 287.995080023042 -292.048033250514</t>
  </si>
  <si>
    <t>-572.869476684346 95.1557669062549 -773.501670900824</t>
  </si>
  <si>
    <t>-575.179986636929 281.379517717998 -247.59111999008</t>
  </si>
  <si>
    <t>-569.769153058724 277.348791868056 208.053689450813</t>
  </si>
  <si>
    <t>-609.287503292353 249.003571100741 675.311932465196</t>
  </si>
  <si>
    <t>-450.397111475476 263.18204821466 749.4491748673</t>
  </si>
  <si>
    <t>-558.766326995546 86.8800598078342 -226.049602155097</t>
  </si>
  <si>
    <t>-456.659169973097 77.2521989600452 217.953876031267</t>
  </si>
  <si>
    <t>-618.960736896312 -1.89833030819545 651.880325323153</t>
  </si>
  <si>
    <t>-464.046984319721 -38.7214770685364 726.641975581541</t>
  </si>
  <si>
    <t>9763-20170724T170052.495465700.bin</t>
  </si>
  <si>
    <t>-567.088339868758 184.274384965972 -237.156811294589</t>
  </si>
  <si>
    <t>-591.663435377183 169.090846272863 -354.771885464717</t>
  </si>
  <si>
    <t>-597.187101217693 156.246609885813 -475.167485316119</t>
  </si>
  <si>
    <t>-594.243616797805 145.284907850478 -584.098784170221</t>
  </si>
  <si>
    <t>-583.460005059907 134.774389685846 -692.579520318164</t>
  </si>
  <si>
    <t>-560.324049234982 120.449812801616 -842.444795650759</t>
  </si>
  <si>
    <t>-514.898114855799 109.886103904147 -933.042083095256</t>
  </si>
  <si>
    <t>-568.219320634554 158.38393092738 -778.792493019945</t>
  </si>
  <si>
    <t>-533.755220353024 300.491409246433 -763.296611894563</t>
  </si>
  <si>
    <t>-468.854455321689 342.427708204635 -456.351262392074</t>
  </si>
  <si>
    <t>-274.252369865668 287.342794281717 -292.834497336102</t>
  </si>
  <si>
    <t>-572.902634272846 95.192192638973 -773.475499119296</t>
  </si>
  <si>
    <t>-575.246063899039 281.544073408311 -247.601380935265</t>
  </si>
  <si>
    <t>-569.799373227161 277.422152849614 208.042202573035</t>
  </si>
  <si>
    <t>-609.263454069159 248.965023082276 675.298272514868</t>
  </si>
  <si>
    <t>-450.393946184258 263.305863910298 749.44898545226</t>
  </si>
  <si>
    <t>-558.844114091111 87.051817923651 -226.047717093779</t>
  </si>
  <si>
    <t>-456.628905082924 77.308094030039 217.928422830605</t>
  </si>
  <si>
    <t>-618.940009507061 -1.91184358511441 651.852898364288</t>
  </si>
  <si>
    <t>-464.03096254531 -38.7280466312416 726.627632193792</t>
  </si>
  <si>
    <t>9763-20170724T170052.567158800.bin</t>
  </si>
  <si>
    <t>-567.432186467059 185.198101533087 -237.211392708905</t>
  </si>
  <si>
    <t>-591.987644442053 170.033236145549 -354.833045981262</t>
  </si>
  <si>
    <t>-597.512921404982 157.090202341579 -475.217991535551</t>
  </si>
  <si>
    <t>-594.581799805204 145.987800465495 -584.135404753608</t>
  </si>
  <si>
    <t>-583.822783699373 135.283535559926 -692.599677560797</t>
  </si>
  <si>
    <t>-560.735101317301 120.632126621024 -842.440625669282</t>
  </si>
  <si>
    <t>-515.246361547859 109.707986264457 -932.963742581977</t>
  </si>
  <si>
    <t>-568.5350983362 158.700261468222 -778.856869652768</t>
  </si>
  <si>
    <t>-533.564943691795 300.718429604011 -763.646511423576</t>
  </si>
  <si>
    <t>-466.838187574161 342.80087061908 -457.112962911634</t>
  </si>
  <si>
    <t>-271.538912700281 284.227403650231 -295.652795591773</t>
  </si>
  <si>
    <t>-573.366253438315 95.5295424962549 -773.424404621725</t>
  </si>
  <si>
    <t>-575.511067283681 282.548039821749 -247.650718638143</t>
  </si>
  <si>
    <t>-570.04057444528 278.067363906835 207.989183962893</t>
  </si>
  <si>
    <t>-609.332385274781 249.304112132902 675.224882867433</t>
  </si>
  <si>
    <t>-450.459654174403 263.126841041239 749.467005097733</t>
  </si>
  <si>
    <t>-559.274710236262 87.9313612032595 -226.094828914705</t>
  </si>
  <si>
    <t>-456.708786369746 77.8617607356232 217.793073073155</t>
  </si>
  <si>
    <t>-618.860489243676 -1.72368763019563 651.727896516603</t>
  </si>
  <si>
    <t>-464.063815195881 -38.8502823377175 726.581883731878</t>
  </si>
  <si>
    <t>9763-20170724T170052.595234500.bin</t>
  </si>
  <si>
    <t>-567.602322640064 185.594750933736 -237.228143109551</t>
  </si>
  <si>
    <t>-592.155645491323 170.467384317656 -354.855123847283</t>
  </si>
  <si>
    <t>-597.701883836251 157.488629167597 -475.235043849645</t>
  </si>
  <si>
    <t>-594.800605603905 146.323832851335 -584.146958732772</t>
  </si>
  <si>
    <t>-584.083070967765 135.527298852277 -692.606307770944</t>
  </si>
  <si>
    <t>-561.065571816746 120.71717264225 -842.442395038666</t>
  </si>
  <si>
    <t>-515.564617613316 109.604484367871 -932.936410926995</t>
  </si>
  <si>
    <t>-568.784237389583 158.849526249832 -778.887118354318</t>
  </si>
  <si>
    <t>-533.551650637149 300.809489933191 -763.789340688624</t>
  </si>
  <si>
    <t>-466.034794983692 342.678031992713 -457.39974872028</t>
  </si>
  <si>
    <t>-270.506647082075 282.500793202523 -296.808657962775</t>
  </si>
  <si>
    <t>-573.715933508092 95.6910619747878 -773.401955965822</t>
  </si>
  <si>
    <t>-575.548113726492 282.941884724604 -247.676877215574</t>
  </si>
  <si>
    <t>-570.095392008608 278.275853204138 207.961329146703</t>
  </si>
  <si>
    <t>-609.307983830771 249.290641816693 675.191362511404</t>
  </si>
  <si>
    <t>-450.455073814871 263.119501383582 749.474752184155</t>
  </si>
  <si>
    <t>-559.560048309199 88.292960723227 -226.123192687047</t>
  </si>
  <si>
    <t>-456.80772562938 78.0292441156489 217.717178023457</t>
  </si>
  <si>
    <t>-618.835057081054 -1.72935637579531 651.678808319396</t>
  </si>
  <si>
    <t>-464.020655430387 -38.7607650709035 726.543307587919</t>
  </si>
  <si>
    <t>9763-20170724T170052.662417900.bin</t>
  </si>
  <si>
    <t>-567.941064125803 186.39020963792 -237.252769815706</t>
  </si>
  <si>
    <t>-592.5998814035 171.348672723419 -354.868812750414</t>
  </si>
  <si>
    <t>-598.165727427834 158.306161244854 -475.240993027116</t>
  </si>
  <si>
    <t>-595.250076361562 147.023765360044 -584.140276050481</t>
  </si>
  <si>
    <t>-584.488325113553 136.050629323178 -692.577432077117</t>
  </si>
  <si>
    <t>-561.380634256797 120.934081734326 -842.369115024712</t>
  </si>
  <si>
    <t>-515.826186639996 109.45310649311 -932.790153763645</t>
  </si>
  <si>
    <t>-569.016829750517 159.188207147284 -778.877117912348</t>
  </si>
  <si>
    <t>-533.259453645421 301.045852128016 -763.948639397541</t>
  </si>
  <si>
    <t>-465.106121587769 342.381366129213 -457.627532963551</t>
  </si>
  <si>
    <t>-269.310640622781 279.199651032336 -298.523038680484</t>
  </si>
  <si>
    <t>-574.193323590867 96.0569838927706 -773.304771126059</t>
  </si>
  <si>
    <t>-575.487476426341 283.856109461103 -247.730393391169</t>
  </si>
  <si>
    <t>-570.097851280331 278.775152920559 207.904202315349</t>
  </si>
  <si>
    <t>-609.298559564395 249.424975506351 675.10440336317</t>
  </si>
  <si>
    <t>-450.491834921249 263.194190884098 749.497479338241</t>
  </si>
  <si>
    <t>-560.314928173083 88.946328292913 -226.11392617838</t>
  </si>
  <si>
    <t>-456.952449224731 78.375262500645 217.57755596035</t>
  </si>
  <si>
    <t>-618.790332113998 -1.72446662011635 651.575593605417</t>
  </si>
  <si>
    <t>-464.036849120705 -38.9279789298728 726.480637494281</t>
  </si>
  <si>
    <t>9763-20170724T170052.699031500.bin</t>
  </si>
  <si>
    <t>-568.149075434365 186.728807336875 -237.242709906868</t>
  </si>
  <si>
    <t>-592.885742509494 171.706375750344 -354.844708498092</t>
  </si>
  <si>
    <t>-598.44850705161 158.585231083399 -475.208601238432</t>
  </si>
  <si>
    <t>-595.499175844812 147.19381955462 -584.09564787507</t>
  </si>
  <si>
    <t>-584.674316743496 136.075437636911 -692.511792107595</t>
  </si>
  <si>
    <t>-561.450046229356 120.720374920729 -842.261039631063</t>
  </si>
  <si>
    <t>-515.860089586777 109.038564427836 -932.638463072924</t>
  </si>
  <si>
    <t>-569.077882371086 159.071729808327 -778.826689722619</t>
  </si>
  <si>
    <t>-533.037087762609 300.881350434202 -764.051115939782</t>
  </si>
  <si>
    <t>-464.885992664076 342.515578364852 -457.769845976196</t>
  </si>
  <si>
    <t>-269.253997070535 276.914574524469 -299.445217286616</t>
  </si>
  <si>
    <t>-574.374207184839 95.9573075947144 -773.176524113315</t>
  </si>
  <si>
    <t>-575.429594042002 284.301156005767 -247.762829498298</t>
  </si>
  <si>
    <t>-570.143074438941 279.032504044151 207.870848534267</t>
  </si>
  <si>
    <t>-609.310986579865 249.57558690439 675.05364763929</t>
  </si>
  <si>
    <t>-450.507952696251 262.94898962074 749.526883949939</t>
  </si>
  <si>
    <t>-560.809962880306 89.2128408817791 -226.020356863894</t>
  </si>
  <si>
    <t>-456.848748459249 78.4957983221643 217.527676632522</t>
  </si>
  <si>
    <t>-618.765765008911 -1.70380605842161 651.500021018597</t>
  </si>
  <si>
    <t>-464.027513864281 -38.9293968326458 726.425585843251</t>
  </si>
  <si>
    <t>9763-20170724T170052.761442300.bin</t>
  </si>
  <si>
    <t>-568.590207392636 187.286797811042 -237.257839531764</t>
  </si>
  <si>
    <t>-593.3521478408 172.275296758057 -354.855861865264</t>
  </si>
  <si>
    <t>-598.894470917396 159.015038026828 -475.205343408669</t>
  </si>
  <si>
    <t>-595.911190306795 147.434610134172 -584.0716122907</t>
  </si>
  <si>
    <t>-585.03913272734 136.06344307741 -692.456843581896</t>
  </si>
  <si>
    <t>-561.737543113811 120.290068600281 -842.150685899285</t>
  </si>
  <si>
    <t>-516.061286084662 108.245459903924 -932.436741374926</t>
  </si>
  <si>
    <t>-569.248604243244 158.807772675326 -778.803162016073</t>
  </si>
  <si>
    <t>-532.446222735732 300.436740735141 -764.293907794755</t>
  </si>
  <si>
    <t>-464.287747093247 342.842975645981 -458.120201277861</t>
  </si>
  <si>
    <t>-268.851888447943 271.945578775521 -301.849764077891</t>
  </si>
  <si>
    <t>-574.846969202394 95.7307405883048 -773.02826049934</t>
  </si>
  <si>
    <t>-575.505405707486 285.001234736296 -247.841538206343</t>
  </si>
  <si>
    <t>-570.380588756284 279.396691954078 207.789862040388</t>
  </si>
  <si>
    <t>-609.288233229911 249.63593292783 674.982537954588</t>
  </si>
  <si>
    <t>-450.522990242284 262.901159047908 749.555632539223</t>
  </si>
  <si>
    <t>-561.578527467338 89.6679972991278 -225.973823032623</t>
  </si>
  <si>
    <t>-456.751210362649 78.7816410262772 217.36621335583</t>
  </si>
  <si>
    <t>-618.708151010757 -1.66809380565132 651.312642477878</t>
  </si>
  <si>
    <t>-464.080917590275 -39.2271904367647 726.300963876724</t>
  </si>
  <si>
    <t>9763-20170724T170052.798543600.bin</t>
  </si>
  <si>
    <t>-568.883020527288 187.615215039052 -237.275663014174</t>
  </si>
  <si>
    <t>-593.633501718249 172.634038406681 -354.879957657185</t>
  </si>
  <si>
    <t>-599.174849197633 159.317451652949 -475.223333133909</t>
  </si>
  <si>
    <t>-596.196738574594 147.64892682763 -584.080184216111</t>
  </si>
  <si>
    <t>-585.336994997497 136.151684398712 -692.453354766518</t>
  </si>
  <si>
    <t>-562.060964593994 120.162865375223 -842.12821548352</t>
  </si>
  <si>
    <t>-516.359598677918 107.943610906648 -932.378262467957</t>
  </si>
  <si>
    <t>-569.50364567184 158.767322189855 -778.825762939246</t>
  </si>
  <si>
    <t>-532.455427607868 300.343119414112 -764.42728828067</t>
  </si>
  <si>
    <t>-463.806767700285 342.524490249326 -458.332053682621</t>
  </si>
  <si>
    <t>-268.212366729687 269.647574258967 -303.174665680162</t>
  </si>
  <si>
    <t>-575.21617303125 95.7073891667196 -772.977768651768</t>
  </si>
  <si>
    <t>-575.746460469373 285.36510885301 -247.860080936875</t>
  </si>
  <si>
    <t>-570.619706833212 279.596357693762 207.769273449159</t>
  </si>
  <si>
    <t>-609.284285384894 249.623146289923 674.970341314791</t>
  </si>
  <si>
    <t>-450.511398183087 262.694371174971 749.561338989917</t>
  </si>
  <si>
    <t>-561.932286901765 90.0175707921662 -226.029314613976</t>
  </si>
  <si>
    <t>-456.893007008754 79.0082782691995 217.257627222563</t>
  </si>
  <si>
    <t>-618.697867178961 -1.46102718363954 651.247313596548</t>
  </si>
  <si>
    <t>-464.146588418996 -39.3063657345142 726.24827791077</t>
  </si>
  <si>
    <t>9763-20170724T170052.863718500.bin</t>
  </si>
  <si>
    <t>-569.634683770738 188.218064581839 -237.350497004094</t>
  </si>
  <si>
    <t>-594.409081039951 173.285410770007 -354.955995777248</t>
  </si>
  <si>
    <t>-599.985365200641 159.856174973301 -475.28525943196</t>
  </si>
  <si>
    <t>-597.046287401242 148.015169898619 -584.124562233692</t>
  </si>
  <si>
    <t>-586.235090982134 136.271926019968 -692.476224517163</t>
  </si>
  <si>
    <t>-563.038392023521 119.861890346959 -842.117870478213</t>
  </si>
  <si>
    <t>-517.320536407316 107.343851009314 -932.318558431513</t>
  </si>
  <si>
    <t>-570.367608767051 158.638387372404 -778.907154452668</t>
  </si>
  <si>
    <t>-533.025188252056 300.152136507751 -764.702916225358</t>
  </si>
  <si>
    <t>-462.27970208759 341.44525073401 -458.964229802635</t>
  </si>
  <si>
    <t>-266.18018910246 266.182286902163 -305.5937065694</t>
  </si>
  <si>
    <t>-576.236850913338 95.6071774430436 -772.904957798873</t>
  </si>
  <si>
    <t>-576.439700197582 286.031160752084 -247.878019624442</t>
  </si>
  <si>
    <t>-571.086273656144 279.983788221292 207.745084402093</t>
  </si>
  <si>
    <t>-609.346559992953 249.720497814548 674.960045560229</t>
  </si>
  <si>
    <t>-450.55715532605 262.591352842637 749.550798659843</t>
  </si>
  <si>
    <t>-562.755621361426 90.5439029272068 -226.123845963613</t>
  </si>
  <si>
    <t>-457.252380334766 79.1351163903048 217.042702520466</t>
  </si>
  <si>
    <t>-618.679357784534 -1.63751670494048 651.164486343038</t>
  </si>
  <si>
    <t>-464.047685308654 -39.1622120057355 726.16082367841</t>
  </si>
  <si>
    <t>9763-20170724T170052.896834500.bin</t>
  </si>
  <si>
    <t>-570.021651776588 188.563254231512 -237.380346035174</t>
  </si>
  <si>
    <t>-594.793125780012 173.641383710205 -354.987798553451</t>
  </si>
  <si>
    <t>-600.365507937645 160.18102037734 -475.31375067651</t>
  </si>
  <si>
    <t>-597.42320984468 148.292033244243 -584.147840496</t>
  </si>
  <si>
    <t>-586.609792278234 136.479127698962 -692.491526376671</t>
  </si>
  <si>
    <t>-563.411871786633 119.94780844801 -842.119746641801</t>
  </si>
  <si>
    <t>-517.676640863154 107.331446434232 -932.297870660991</t>
  </si>
  <si>
    <t>-570.710030141428 158.773107358126 -778.935376923277</t>
  </si>
  <si>
    <t>-533.172654838869 300.236568631909 -764.794881493402</t>
  </si>
  <si>
    <t>-461.273403181974 340.994857657926 -459.253652587793</t>
  </si>
  <si>
    <t>-265.029538618267 265.008023856843 -306.425693280118</t>
  </si>
  <si>
    <t>-576.642425486022 95.7517658354982 -772.892360841265</t>
  </si>
  <si>
    <t>-576.848777274244 286.410647676176 -247.895348722543</t>
  </si>
  <si>
    <t>-571.358594762917 280.229638047637 207.72428418927</t>
  </si>
  <si>
    <t>-609.388254916496 249.829846575817 674.944568389434</t>
  </si>
  <si>
    <t>-450.590089000556 262.55491373544 749.541674699623</t>
  </si>
  <si>
    <t>-563.091365313441 90.8021165113946 -226.185250894962</t>
  </si>
  <si>
    <t>-457.469285823944 79.3546308587624 216.951943041488</t>
  </si>
  <si>
    <t>-618.663819761283 -1.62887339043687 651.112920314157</t>
  </si>
  <si>
    <t>-464.018208495224 -39.0714668845217 726.121550227704</t>
  </si>
  <si>
    <t>9763-20170724T170052.967023600.bin</t>
  </si>
  <si>
    <t>-570.7510029732 189.254766933584 -237.386892510918</t>
  </si>
  <si>
    <t>-595.558943038192 174.313169027241 -354.984280906848</t>
  </si>
  <si>
    <t>-601.168045229428 160.760228038202 -475.298015053876</t>
  </si>
  <si>
    <t>-598.260076656198 148.751388430655 -584.119915495136</t>
  </si>
  <si>
    <t>-587.483204144982 136.778118963547 -692.44961252054</t>
  </si>
  <si>
    <t>-564.33943787219 119.978778810058 -842.05632413768</t>
  </si>
  <si>
    <t>-518.629717635536 107.201261672215 -932.224735351874</t>
  </si>
  <si>
    <t>-571.528994964875 158.910349786725 -778.925016754632</t>
  </si>
  <si>
    <t>-533.572517110666 300.285373341731 -764.924930520127</t>
  </si>
  <si>
    <t>-459.504824389879 340.369842435932 -459.812743075158</t>
  </si>
  <si>
    <t>-262.863359806257 263.760819353668 -307.808699432269</t>
  </si>
  <si>
    <t>-577.630665520329 95.913595920945 -772.794946820876</t>
  </si>
  <si>
    <t>-577.574924726109 287.091855839326 -247.921671117451</t>
  </si>
  <si>
    <t>-571.840162014852 280.628769988469 207.691108959559</t>
  </si>
  <si>
    <t>-609.417520503922 249.865015885755 674.917134771882</t>
  </si>
  <si>
    <t>-450.626976296969 262.623718392801 749.524566140841</t>
  </si>
  <si>
    <t>-563.838632486152 91.5151095462772 -226.171780195497</t>
  </si>
  <si>
    <t>-457.697240868705 79.8676913708387 216.836137471732</t>
  </si>
  <si>
    <t>-618.623151345128 -1.45186298974909 651.003598967133</t>
  </si>
  <si>
    <t>-464.05701187519 -39.1608728663246 726.04258970176</t>
  </si>
  <si>
    <t>9763-20170724T170052.999111100.bin</t>
  </si>
  <si>
    <t>-571.127774153775 189.586358962785 -237.409435026899</t>
  </si>
  <si>
    <t>-595.961338422544 174.629423141812 -354.999322378219</t>
  </si>
  <si>
    <t>-601.612734041021 161.046924709537 -475.307802596737</t>
  </si>
  <si>
    <t>-598.749629783379 149.002312475117 -584.126895535432</t>
  </si>
  <si>
    <t>-588.024309835774 136.982602185531 -692.456711992577</t>
  </si>
  <si>
    <t>-564.959235775627 120.105697933373 -842.066722173405</t>
  </si>
  <si>
    <t>-519.286407091099 107.260018436878 -932.244154065409</t>
  </si>
  <si>
    <t>-572.057703515747 159.065179779207 -778.942333572916</t>
  </si>
  <si>
    <t>-533.76104374645 300.355311760819 -765.039299094469</t>
  </si>
  <si>
    <t>-458.877950338577 340.109742183876 -460.083045703525</t>
  </si>
  <si>
    <t>-262.057187273749 263.158878225907 -308.484274088042</t>
  </si>
  <si>
    <t>-578.271950533102 96.0811406642442 -772.79544476855</t>
  </si>
  <si>
    <t>-577.945542944088 287.444444933918 -247.958625507671</t>
  </si>
  <si>
    <t>-572.070056996843 280.870449990846 207.650723074718</t>
  </si>
  <si>
    <t>-609.44060399366 249.969886342834 674.880460344569</t>
  </si>
  <si>
    <t>-450.642187143303 262.446142451955 749.519077812665</t>
  </si>
  <si>
    <t>-564.212714192765 91.7694892028292 -226.184712169875</t>
  </si>
  <si>
    <t>-457.830346641362 80.076952091614 216.764204023562</t>
  </si>
  <si>
    <t>-618.610551007061 -1.44979549459003 650.962055338577</t>
  </si>
  <si>
    <t>-464.060729874308 -39.2227994499581 726.002487425772</t>
  </si>
  <si>
    <t>9763-20170724T170053.078332500.bin</t>
  </si>
  <si>
    <t>-571.858527621759 189.883456685534 -237.410091580164</t>
  </si>
  <si>
    <t>-596.797697153633 174.92369390229 -354.97728172987</t>
  </si>
  <si>
    <t>-602.565763147267 161.276465141825 -475.2728962979</t>
  </si>
  <si>
    <t>-599.812926739461 149.146764378167 -584.085325919042</t>
  </si>
  <si>
    <t>-589.203050729856 137.014696863597 -692.413985924544</t>
  </si>
  <si>
    <t>-566.304108830216 119.952838463997 -842.028581998705</t>
  </si>
  <si>
    <t>-520.72726787029 106.926008600877 -932.228538489164</t>
  </si>
  <si>
    <t>-573.266809914334 158.985004857369 -778.933926231938</t>
  </si>
  <si>
    <t>-534.591927510046 300.194246265017 -765.211109615122</t>
  </si>
  <si>
    <t>-457.262087682133 339.100834298196 -460.756573729021</t>
  </si>
  <si>
    <t>-260.039385928743 261.630677641764 -309.946627336582</t>
  </si>
  <si>
    <t>-579.605513366799 96.0194465007444 -772.723515361824</t>
  </si>
  <si>
    <t>-578.62169259977 287.854485892058 -247.987283848293</t>
  </si>
  <si>
    <t>-572.398502489881 281.054118594178 207.614219525882</t>
  </si>
  <si>
    <t>-609.476298512625 249.979848362876 674.875523345782</t>
  </si>
  <si>
    <t>-450.673427957653 262.383862214044 749.516581142401</t>
  </si>
  <si>
    <t>-565.037357786671 91.9887874579542 -226.170230948418</t>
  </si>
  <si>
    <t>-458.130479460617 80.299644831174 216.652449799144</t>
  </si>
  <si>
    <t>-618.616986972963 -1.41098759953729 650.940424590038</t>
  </si>
  <si>
    <t>-464.072003997082 -39.2635165531522 725.95073419804</t>
  </si>
  <si>
    <t>9763-20170724T170053.100394700.bin</t>
  </si>
  <si>
    <t>-572.274693346078 189.893182241314 -237.383874477722</t>
  </si>
  <si>
    <t>-597.277755636974 174.910223426176 -354.934520409414</t>
  </si>
  <si>
    <t>-603.113883875678 161.223920030302 -475.222526475339</t>
  </si>
  <si>
    <t>-600.424096931247 149.05196107752 -584.031721376386</t>
  </si>
  <si>
    <t>-589.878558115058 136.870887355831 -692.361091090714</t>
  </si>
  <si>
    <t>-567.070553362222 119.733388802085 -841.981048451129</t>
  </si>
  <si>
    <t>-521.549778362953 106.623182624541 -932.197170349478</t>
  </si>
  <si>
    <t>-573.975868613284 158.795762157592 -778.898787617703</t>
  </si>
  <si>
    <t>-535.196611093703 299.979676291223 -765.253896881875</t>
  </si>
  <si>
    <t>-456.362145757226 338.491183031619 -461.135037590737</t>
  </si>
  <si>
    <t>-258.952935925624 260.831547072939 -310.667012810371</t>
  </si>
  <si>
    <t>-580.348876172877 95.8367730101293 -772.65887023593</t>
  </si>
  <si>
    <t>-579.010152535096 287.888804075286 -247.970149356328</t>
  </si>
  <si>
    <t>-572.571224350042 281.005914788667 207.627174131381</t>
  </si>
  <si>
    <t>-609.494831967587 249.865596074083 674.905122141648</t>
  </si>
  <si>
    <t>-450.681603282684 262.37992860806 749.505830987488</t>
  </si>
  <si>
    <t>-565.481066016548 91.9622276499319 -226.112292343457</t>
  </si>
  <si>
    <t>-458.282968049823 80.2452045693369 216.639252696873</t>
  </si>
  <si>
    <t>-618.66005219588 -1.4097599554334 650.983761745728</t>
  </si>
  <si>
    <t>-464.030968636863 -39.0580836381932 725.923533544094</t>
  </si>
  <si>
    <t>9763-20170724T170053.163332600.bin</t>
  </si>
  <si>
    <t>-573.062117163862 189.736031945483 -237.232969288852</t>
  </si>
  <si>
    <t>-598.177114789078 174.678608290448 -354.750212039095</t>
  </si>
  <si>
    <t>-604.158747737154 160.920934482411 -475.022961000754</t>
  </si>
  <si>
    <t>-601.612681674258 148.682678190817 -583.828325640433</t>
  </si>
  <si>
    <t>-591.222439023494 136.431419202455 -692.164850740335</t>
  </si>
  <si>
    <t>-568.641783433108 119.190304696059 -841.80732337659</t>
  </si>
  <si>
    <t>-523.233825066997 105.950351024254 -932.061298426186</t>
  </si>
  <si>
    <t>-575.420477726525 158.293786400989 -778.736721777789</t>
  </si>
  <si>
    <t>-536.457588063372 299.446819012368 -765.2246843045</t>
  </si>
  <si>
    <t>-454.262622160504 336.423811270351 -461.806102091723</t>
  </si>
  <si>
    <t>-256.459393536502 258.289706809969 -312.103039457005</t>
  </si>
  <si>
    <t>-581.845510416493 95.3443305138376 -772.45355546175</t>
  </si>
  <si>
    <t>-579.919781149117 287.672145045406 -247.828244119242</t>
  </si>
  <si>
    <t>-572.922609376045 280.730655872992 207.759800550015</t>
  </si>
  <si>
    <t>-609.531303239515 249.435292032318 675.075454171694</t>
  </si>
  <si>
    <t>-450.652606519566 262.211890254066 749.492120046221</t>
  </si>
  <si>
    <t>-566.132171580062 91.9123196188309 -225.93199194358</t>
  </si>
  <si>
    <t>-458.514736287279 80.2844659954737 216.720129124848</t>
  </si>
  <si>
    <t>-618.737985814074 -1.25719882870749 651.101642853527</t>
  </si>
  <si>
    <t>-464.081414844689 -39.053971058599 725.909789581958</t>
  </si>
  <si>
    <t>9763-20170724T170053.200433500.bin</t>
  </si>
  <si>
    <t>-573.433637920343 189.652998659365 -237.152776759006</t>
  </si>
  <si>
    <t>-598.603275891363 174.548820069391 -354.652368200583</t>
  </si>
  <si>
    <t>-604.66397954361 160.759429208695 -474.917425793278</t>
  </si>
  <si>
    <t>-602.198375781109 148.496708323876 -583.721825269285</t>
  </si>
  <si>
    <t>-591.89692937914 136.224441968616 -692.064509264763</t>
  </si>
  <si>
    <t>-569.447864911325 118.956570443357 -841.7236010107</t>
  </si>
  <si>
    <t>-524.118749188946 105.701036296137 -932.0151270751</t>
  </si>
  <si>
    <t>-576.164605895166 158.070658824483 -778.653101704404</t>
  </si>
  <si>
    <t>-537.176799618626 299.203274681371 -765.16599487427</t>
  </si>
  <si>
    <t>-453.276459367698 335.516515648557 -462.134250272113</t>
  </si>
  <si>
    <t>-255.180366166873 257.278186130451 -312.873597251415</t>
  </si>
  <si>
    <t>-582.597158117911 95.1235368718849 -772.355067874673</t>
  </si>
  <si>
    <t>-580.383529362949 287.611480034592 -247.769872314787</t>
  </si>
  <si>
    <t>-573.182827929856 280.652844671163 207.81483908199</t>
  </si>
  <si>
    <t>-609.569249460718 249.36307064353 675.124689486556</t>
  </si>
  <si>
    <t>-450.654808301903 262.031867991072 749.48328924877</t>
  </si>
  <si>
    <t>-566.393431424306 91.8167778062111 -225.851620317178</t>
  </si>
  <si>
    <t>-458.673718123035 80.3817216935454 216.780796353346</t>
  </si>
  <si>
    <t>-618.760724260965 -1.22375966081609 651.139649953087</t>
  </si>
  <si>
    <t>-464.087618504165 -39.0582227608559 725.894558775988</t>
  </si>
  <si>
    <t>9763-20170724T170053.260595600.bin</t>
  </si>
  <si>
    <t>-574.03331891171 189.499976579469 -237.10780474023</t>
  </si>
  <si>
    <t>-599.245128074358 174.321043530213 -354.588702868612</t>
  </si>
  <si>
    <t>-605.429196840067 160.492903291649 -474.843127849757</t>
  </si>
  <si>
    <t>-603.106265057953 148.206663160397 -583.647954733321</t>
  </si>
  <si>
    <t>-592.977497259719 135.919714692584 -692.005139465894</t>
  </si>
  <si>
    <t>-570.798484311073 118.638689237607 -841.703101927353</t>
  </si>
  <si>
    <t>-525.620821022314 105.410933050788 -932.074563351669</t>
  </si>
  <si>
    <t>-577.383107738082 157.756785292017 -778.6210668779</t>
  </si>
  <si>
    <t>-538.313570833074 298.881025834309 -765.166057117865</t>
  </si>
  <si>
    <t>-451.185202871198 333.532105622563 -462.851402939763</t>
  </si>
  <si>
    <t>-252.845196258746 255.142828794617 -313.994387204114</t>
  </si>
  <si>
    <t>-583.840887266275 94.8132272601763 -772.311730967099</t>
  </si>
  <si>
    <t>-581.223486049084 287.497717687113 -247.75032961622</t>
  </si>
  <si>
    <t>-573.755165170526 280.513784640209 207.829618953857</t>
  </si>
  <si>
    <t>-609.598505705542 249.255389511238 675.174517347946</t>
  </si>
  <si>
    <t>-450.644748699896 261.81615317389 749.467469291328</t>
  </si>
  <si>
    <t>-566.754752081716 91.6210447589724 -225.805076396215</t>
  </si>
  <si>
    <t>-458.989993235127 80.5573196950729 216.825681576599</t>
  </si>
  <si>
    <t>-618.803418518857 -1.19093102835427 651.246851802235</t>
  </si>
  <si>
    <t>-464.107770503091 -39.1232393492664 725.905521179216</t>
  </si>
  <si>
    <t>9763-20170724T170053.300211800.bin</t>
  </si>
  <si>
    <t>-574.385126503331 189.371082361206 -237.105133050111</t>
  </si>
  <si>
    <t>-599.594125849328 174.174319077194 -354.584411182924</t>
  </si>
  <si>
    <t>-605.839848860449 160.338289608535 -474.834656501057</t>
  </si>
  <si>
    <t>-603.598343049235 148.047796053645 -583.640810664525</t>
  </si>
  <si>
    <t>-593.576056935836 135.759060722834 -692.007670969373</t>
  </si>
  <si>
    <t>-571.570393355856 118.477738761913 -841.731091674952</t>
  </si>
  <si>
    <t>-526.481868902847 105.265577600327 -932.149302445782</t>
  </si>
  <si>
    <t>-578.066820292903 157.594574322502 -778.639278636297</t>
  </si>
  <si>
    <t>-538.900491845778 298.702398460437 -765.222194063421</t>
  </si>
  <si>
    <t>-450.436688921722 332.58856962847 -463.208849438291</t>
  </si>
  <si>
    <t>-252.006941432695 254.367807467872 -314.382664249639</t>
  </si>
  <si>
    <t>-584.547652055902 94.6536891917838 -772.327125394995</t>
  </si>
  <si>
    <t>-581.661584928182 287.357298031849 -247.752730742726</t>
  </si>
  <si>
    <t>-574.136905694827 280.392221491387 207.826682005823</t>
  </si>
  <si>
    <t>-609.609420719593 249.154628184318 675.215616527207</t>
  </si>
  <si>
    <t>-450.634956439686 261.742211182187 749.45966171716</t>
  </si>
  <si>
    <t>-567.050632578861 91.4950512903579 -225.787507660556</t>
  </si>
  <si>
    <t>-459.232262104433 80.5036768454361 216.832035519087</t>
  </si>
  <si>
    <t>-618.837975622805 -1.19831739778647 651.311025473701</t>
  </si>
  <si>
    <t>-464.073904855804 -38.9852370056517 725.901545430335</t>
  </si>
  <si>
    <t>9763-20170724T170053.362880300.bin</t>
  </si>
  <si>
    <t>-574.997264726364 189.013922992153 -237.127317911725</t>
  </si>
  <si>
    <t>-600.181033728874 173.825038891946 -354.61304597451</t>
  </si>
  <si>
    <t>-606.523103142167 159.995033086647 -474.858972131073</t>
  </si>
  <si>
    <t>-604.417836557708 147.708045312172 -583.668148755187</t>
  </si>
  <si>
    <t>-594.580119014587 135.420499779637 -692.052169786081</t>
  </si>
  <si>
    <t>-572.880268569509 118.137754859942 -841.820095769164</t>
  </si>
  <si>
    <t>-527.968596572548 104.93763393417 -932.328088653078</t>
  </si>
  <si>
    <t>-579.213142213971 157.252284178615 -778.709993880253</t>
  </si>
  <si>
    <t>-539.914112341989 298.314664329619 -765.322094879434</t>
  </si>
  <si>
    <t>-449.330675857035 331.257339479881 -463.832990313401</t>
  </si>
  <si>
    <t>-250.851852471682 253.517363736863 -314.820613001358</t>
  </si>
  <si>
    <t>-585.750386722149 94.3174813103469 -772.394796107689</t>
  </si>
  <si>
    <t>-582.375685009482 286.988492454535 -247.762027088947</t>
  </si>
  <si>
    <t>-574.906575234373 280.049606202253 207.818626940902</t>
  </si>
  <si>
    <t>-609.659759489272 249.051413709564 675.299702387296</t>
  </si>
  <si>
    <t>-450.635394734789 261.604510462819 749.442697356668</t>
  </si>
  <si>
    <t>-567.562078758444 91.1254661745834 -225.840154010252</t>
  </si>
  <si>
    <t>-459.887218992361 80.276490135549 216.817765149433</t>
  </si>
  <si>
    <t>-618.942201850733 -1.26403262761141 651.515014577744</t>
  </si>
  <si>
    <t>-464.021336424108 -38.7377454696557 725.937816142948</t>
  </si>
  <si>
    <t>9763-20170724T170053.395969500.bin</t>
  </si>
  <si>
    <t>-575.331404482427 188.894156399649 -237.16330147373</t>
  </si>
  <si>
    <t>-600.495688245001 173.744305104206 -354.658116326636</t>
  </si>
  <si>
    <t>-606.840206568413 159.943001599629 -474.907223403015</t>
  </si>
  <si>
    <t>-604.746373518244 147.676954592506 -583.719077525762</t>
  </si>
  <si>
    <t>-594.929402483864 135.404912863339 -692.106661901351</t>
  </si>
  <si>
    <t>-573.268054678751 118.13789387737 -841.881934730315</t>
  </si>
  <si>
    <t>-528.398954374558 104.919776105573 -932.408404964623</t>
  </si>
  <si>
    <t>-579.559671240977 157.243486259754 -778.762304353784</t>
  </si>
  <si>
    <t>-540.120504464879 298.273290590971 -765.378384654901</t>
  </si>
  <si>
    <t>-448.940401600813 331.01582081668 -464.047461980713</t>
  </si>
  <si>
    <t>-250.406797450822 253.387673236561 -315.049747671477</t>
  </si>
  <si>
    <t>-586.145387332309 94.3125429250636 -772.45968009815</t>
  </si>
  <si>
    <t>-582.693630217542 286.901247963343 -247.772001885214</t>
  </si>
  <si>
    <t>-575.327794984484 280.005083876482 207.810973508456</t>
  </si>
  <si>
    <t>-609.698511345105 249.092800057631 675.321893659614</t>
  </si>
  <si>
    <t>-450.636746815791 261.299091609567 749.4425775907</t>
  </si>
  <si>
    <t>-567.940330351631 91.0443642012065 -225.869492116619</t>
  </si>
  <si>
    <t>-460.245752718609 80.133581206997 216.782221479391</t>
  </si>
  <si>
    <t>-618.991859672505 -1.27150036815397 651.602932312358</t>
  </si>
  <si>
    <t>-464.01550939911 -38.6489256373843 725.958662482607</t>
  </si>
  <si>
    <t>9763-20170724T170053.462158200.bin</t>
  </si>
  <si>
    <t>-575.763282702804 188.623963948207 -237.208325497569</t>
  </si>
  <si>
    <t>-600.914858557021 173.498400777036 -354.709064569325</t>
  </si>
  <si>
    <t>-607.253219065113 159.688448316962 -474.957442587997</t>
  </si>
  <si>
    <t>-605.15719466384 147.397940671546 -583.766454701832</t>
  </si>
  <si>
    <t>-595.342101639255 135.082603823922 -692.149373272162</t>
  </si>
  <si>
    <t>-573.688192282274 117.734158102822 -841.916411500327</t>
  </si>
  <si>
    <t>-528.879090175114 104.41643384506 -932.457780439205</t>
  </si>
  <si>
    <t>-579.913277481809 156.868358491158 -778.807868235494</t>
  </si>
  <si>
    <t>-540.199349013139 297.822071752408 -765.444398680725</t>
  </si>
  <si>
    <t>-448.158014430881 330.770277595575 -464.397962317848</t>
  </si>
  <si>
    <t>-249.424078379036 253.200921607103 -315.636917739023</t>
  </si>
  <si>
    <t>-586.625477768631 93.9522664716469 -772.490312738842</t>
  </si>
  <si>
    <t>-582.988317836064 286.611740400421 -247.812795483057</t>
  </si>
  <si>
    <t>-575.79490497213 279.854186822422 207.775020248092</t>
  </si>
  <si>
    <t>-609.742865665879 249.161325750679 675.332652405657</t>
  </si>
  <si>
    <t>-450.660327883872 261.225041921778 749.432091994998</t>
  </si>
  <si>
    <t>-568.417261993707 90.7275378799704 -225.90471691942</t>
  </si>
  <si>
    <t>-460.607312394394 79.9531633154156 216.722163357824</t>
  </si>
  <si>
    <t>-619.042932639769 -1.17909709996025 651.698281734712</t>
  </si>
  <si>
    <t>-464.080590993138 -38.7447186805737 725.98835661528</t>
  </si>
  <si>
    <t>9763-20170724T170053.495245000.bin</t>
  </si>
  <si>
    <t>-575.880179002708 188.460172236357 -237.237079953641</t>
  </si>
  <si>
    <t>-601.008837540783 173.347302721565 -354.744488936096</t>
  </si>
  <si>
    <t>-607.349105614805 159.528539148757 -474.991729932879</t>
  </si>
  <si>
    <t>-605.265527743411 147.217977695251 -583.798595764841</t>
  </si>
  <si>
    <t>-595.473805135205 134.869371211524 -692.179885529711</t>
  </si>
  <si>
    <t>-573.864084958057 117.45942735725 -841.946077634217</t>
  </si>
  <si>
    <t>-529.074237028936 104.063328336602 -932.485593570527</t>
  </si>
  <si>
    <t>-580.033451158999 156.6160654081 -778.84601595889</t>
  </si>
  <si>
    <t>-540.139628480016 297.527714733171 -765.509065001824</t>
  </si>
  <si>
    <t>-447.718266407784 330.281475553356 -464.557787351004</t>
  </si>
  <si>
    <t>-248.82283455741 252.911751321624 -315.908547467832</t>
  </si>
  <si>
    <t>-586.818016608148 93.7093983231862 -772.512233275461</t>
  </si>
  <si>
    <t>-583.088144077626 286.423656725414 -247.824509117199</t>
  </si>
  <si>
    <t>-575.843311515263 279.724234086628 207.763267487956</t>
  </si>
  <si>
    <t>-609.744726598631 249.092826690642 675.349036110823</t>
  </si>
  <si>
    <t>-450.658985027789 261.232805697708 749.429104556228</t>
  </si>
  <si>
    <t>-568.539726371088 90.6276644206412 -225.958662524582</t>
  </si>
  <si>
    <t>-460.747162427074 79.8224872857154 216.671837560663</t>
  </si>
  <si>
    <t>-619.047335331767 -1.23156983755939 651.721785522772</t>
  </si>
  <si>
    <t>-464.042764202708 -38.6516029694085 725.997193626519</t>
  </si>
  <si>
    <t>9763-20170724T170053.564185800.bin</t>
  </si>
  <si>
    <t>-576.015835474381 188.237672947806 -237.240653462351</t>
  </si>
  <si>
    <t>-601.175047531422 173.157670950594 -354.745659027453</t>
  </si>
  <si>
    <t>-607.535547778329 159.3383332156 -474.991812501936</t>
  </si>
  <si>
    <t>-605.466356569406 147.00799509756 -583.796715386987</t>
  </si>
  <si>
    <t>-595.685873375545 134.61650699258 -692.173999779575</t>
  </si>
  <si>
    <t>-574.089514416007 117.119167085731 -841.93209332747</t>
  </si>
  <si>
    <t>-529.277342236333 103.584406043642 -932.439802985655</t>
  </si>
  <si>
    <t>-580.204308511818 156.308102981228 -778.846822933092</t>
  </si>
  <si>
    <t>-539.968782513931 297.105509941293 -765.477847978103</t>
  </si>
  <si>
    <t>-446.380054573225 329.198037700338 -464.816229759884</t>
  </si>
  <si>
    <t>-247.069915622607 252.487533060363 -316.380967694259</t>
  </si>
  <si>
    <t>-587.08616152844 93.4142878068083 -772.490772082493</t>
  </si>
  <si>
    <t>-583.235301914118 286.067205953878 -247.806266786474</t>
  </si>
  <si>
    <t>-575.709966662164 279.512108850187 207.779120268677</t>
  </si>
  <si>
    <t>-609.736270833792 249.008484544982 675.352433796247</t>
  </si>
  <si>
    <t>-450.657693538472 261.31326940584 749.420791347635</t>
  </si>
  <si>
    <t>-568.719818278582 90.5299166714124 -225.997939533777</t>
  </si>
  <si>
    <t>-460.793160653962 79.7307525481467 216.599993072013</t>
  </si>
  <si>
    <t>-619.024733459343 -1.08196426817995 651.728843857006</t>
  </si>
  <si>
    <t>-464.096536253368 -38.7522045110268 726.03711372328</t>
  </si>
  <si>
    <t>9763-20170724T170053.599815000.bin</t>
  </si>
  <si>
    <t>-576.147396577326 188.124431779977 -237.232681018924</t>
  </si>
  <si>
    <t>-601.373742976591 173.033641704228 -354.721759636627</t>
  </si>
  <si>
    <t>-607.764824679424 159.199686243593 -474.964654950948</t>
  </si>
  <si>
    <t>-605.708091870221 146.851690916538 -583.767836189109</t>
  </si>
  <si>
    <t>-595.924989079722 134.436889467472 -692.142321544727</t>
  </si>
  <si>
    <t>-574.3096809272 116.899712951319 -841.89289603651</t>
  </si>
  <si>
    <t>-529.456486768168 103.293828157268 -932.369635345761</t>
  </si>
  <si>
    <t>-580.416016635575 156.104009895178 -778.816237971551</t>
  </si>
  <si>
    <t>-540.060388164932 296.882523525828 -765.431816024793</t>
  </si>
  <si>
    <t>-445.600305906091 328.502564510284 -464.992664452265</t>
  </si>
  <si>
    <t>-246.126805012362 252.229631467356 -316.551433593469</t>
  </si>
  <si>
    <t>-587.331510446599 93.2147952783935 -772.449593807592</t>
  </si>
  <si>
    <t>-583.41565118636 285.966408126867 -247.784675217011</t>
  </si>
  <si>
    <t>-575.737101077683 279.491412334466 207.799328467891</t>
  </si>
  <si>
    <t>-609.770787141836 249.031130744153 675.372277116191</t>
  </si>
  <si>
    <t>-450.676310016034 261.207642830694 749.427651502482</t>
  </si>
  <si>
    <t>-568.805671056293 90.3483839157295 -225.979145162234</t>
  </si>
  <si>
    <t>-460.738892013201 79.6719722247733 216.587557994985</t>
  </si>
  <si>
    <t>-619.001760294496 -1.15478423386617 651.712239999428</t>
  </si>
  <si>
    <t>-464.009356793202 -38.5342797449259 726.033447589163</t>
  </si>
  <si>
    <t>9763-20170724T170053.663486700.bin</t>
  </si>
  <si>
    <t>-576.383715141377 187.729996507661 -237.152787489547</t>
  </si>
  <si>
    <t>-601.68529940137 172.579605633974 -354.618049865848</t>
  </si>
  <si>
    <t>-608.094738545052 158.705677081126 -474.855418097262</t>
  </si>
  <si>
    <t>-606.030381993821 146.326170568114 -583.654919760179</t>
  </si>
  <si>
    <t>-596.215544518074 133.881640783095 -692.023068306351</t>
  </si>
  <si>
    <t>-574.531284636056 116.30333379514 -841.758797962759</t>
  </si>
  <si>
    <t>-529.607060320548 102.631685795691 -932.190351519889</t>
  </si>
  <si>
    <t>-580.640693383616 155.5223492767 -778.691677598244</t>
  </si>
  <si>
    <t>-540.135993267979 296.240499238496 -765.276902430541</t>
  </si>
  <si>
    <t>-443.539103781551 326.990152837381 -465.427421228552</t>
  </si>
  <si>
    <t>-243.831341442199 251.325956966384 -316.989565495604</t>
  </si>
  <si>
    <t>-587.61109828632 92.6400435640815 -772.319007025692</t>
  </si>
  <si>
    <t>-583.720003766255 285.564062677856 -247.741859091739</t>
  </si>
  <si>
    <t>-575.804838608146 279.231351208616 207.839994423802</t>
  </si>
  <si>
    <t>-609.778849678428 248.885474304462 675.420657304906</t>
  </si>
  <si>
    <t>-450.676269569877 261.23621652801 749.429753163472</t>
  </si>
  <si>
    <t>-568.942277142385 89.937525859058 -225.891338613244</t>
  </si>
  <si>
    <t>-460.631147474567 79.5665654851634 216.622837420744</t>
  </si>
  <si>
    <t>-618.983223281224 -1.11151395506727 651.719394081328</t>
  </si>
  <si>
    <t>-463.987175766737 -38.4647066307762 726.046231468187</t>
  </si>
  <si>
    <t>9763-20170724T170053.697579100.bin</t>
  </si>
  <si>
    <t>-576.551166368477 187.607721878505 -237.110046063718</t>
  </si>
  <si>
    <t>-601.890591198537 172.433458146421 -354.5641787301</t>
  </si>
  <si>
    <t>-608.305941993743 158.543882319342 -474.799247873059</t>
  </si>
  <si>
    <t>-606.233507951319 146.151424341877 -583.597127254656</t>
  </si>
  <si>
    <t>-596.39718191057 133.693843736608 -691.961798268147</t>
  </si>
  <si>
    <t>-574.669475128727 116.09582055158 -841.689034620649</t>
  </si>
  <si>
    <t>-529.711608706976 102.422786927077 -932.103769259812</t>
  </si>
  <si>
    <t>-580.780664706063 155.321520058934 -778.626169360743</t>
  </si>
  <si>
    <t>-540.179674111412 296.023094155128 -765.217164334212</t>
  </si>
  <si>
    <t>-442.56230780782 326.233103799334 -465.643448764371</t>
  </si>
  <si>
    <t>-242.680075733656 250.845521171352 -317.299570465207</t>
  </si>
  <si>
    <t>-587.785988698184 92.4432080529466 -772.25249830502</t>
  </si>
  <si>
    <t>-583.94689197504 285.472585231885 -247.724244838555</t>
  </si>
  <si>
    <t>-575.896262283904 279.174180706372 207.855764227689</t>
  </si>
  <si>
    <t>-609.77938724816 248.840499480601 675.431540879964</t>
  </si>
  <si>
    <t>-450.676334406549 261.227617414529 749.433479969752</t>
  </si>
  <si>
    <t>-569.074890052686 89.8689663693453 -225.830232851387</t>
  </si>
  <si>
    <t>-460.548577400325 79.5852583878723 216.633241263128</t>
  </si>
  <si>
    <t>-618.97843084329 -0.963587956510537 651.714775426312</t>
  </si>
  <si>
    <t>-464.036813315751 -38.5249723439404 726.050158778607</t>
  </si>
  <si>
    <t>9763-20170724T170053.768806300.bin</t>
  </si>
  <si>
    <t>-576.893574186472 187.537988680445 -237.039076181322</t>
  </si>
  <si>
    <t>-602.240052077518 172.289385954475 -354.482106211711</t>
  </si>
  <si>
    <t>-608.654754102126 158.369210197041 -474.713640845876</t>
  </si>
  <si>
    <t>-606.577383610305 145.963398385996 -583.510022729969</t>
  </si>
  <si>
    <t>-596.731302269037 133.504674293177 -691.873662710033</t>
  </si>
  <si>
    <t>-574.984695463562 115.916056112489 -841.5991010876</t>
  </si>
  <si>
    <t>-529.999946888601 102.256246060563 -932.002513213016</t>
  </si>
  <si>
    <t>-581.081465333977 155.135782305611 -778.53121789522</t>
  </si>
  <si>
    <t>-540.270295547993 295.768976978058 -765.13582953326</t>
  </si>
  <si>
    <t>-440.872497776132 325.107770668223 -466.061359875205</t>
  </si>
  <si>
    <t>-240.433977009185 250.000937201134 -318.327066240509</t>
  </si>
  <si>
    <t>-588.132258100113 92.2612849064628 -772.169368917146</t>
  </si>
  <si>
    <t>-584.30916550373 285.296577449935 -247.697881416309</t>
  </si>
  <si>
    <t>-576.184815622076 279.11769194999 207.882498656394</t>
  </si>
  <si>
    <t>-609.756703167701 248.670345396102 675.475542586465</t>
  </si>
  <si>
    <t>-450.642788103545 261.096774972673 749.447468048639</t>
  </si>
  <si>
    <t>-569.400155119339 89.8905074388679 -225.678640453839</t>
  </si>
  <si>
    <t>-460.305189795817 79.6909818554293 216.6470196199</t>
  </si>
  <si>
    <t>-618.948085781305 -0.873039018466216 651.65820306477</t>
  </si>
  <si>
    <t>-464.062923042483 -38.6268334547988 726.013707622924</t>
  </si>
  <si>
    <t>9763-20170724T170053.795887300.bin</t>
  </si>
  <si>
    <t>-577.082640592291 187.481156742097 -237.025278734562</t>
  </si>
  <si>
    <t>-602.432756785528 172.205197420203 -354.463909454623</t>
  </si>
  <si>
    <t>-608.863597936144 158.264506997756 -474.692180078649</t>
  </si>
  <si>
    <t>-606.805581954511 145.840791914654 -583.486837704041</t>
  </si>
  <si>
    <t>-596.983479321444 133.363609270679 -691.850533187421</t>
  </si>
  <si>
    <t>-575.274990704846 115.747439284074 -841.578365542378</t>
  </si>
  <si>
    <t>-530.299607006023 102.08236006584 -931.985598144406</t>
  </si>
  <si>
    <t>-581.345307130148 154.977831308188 -778.514477242039</t>
  </si>
  <si>
    <t>-540.466608483392 295.593833636312 -765.105023070955</t>
  </si>
  <si>
    <t>-440.130415785106 324.398312207763 -466.292095960076</t>
  </si>
  <si>
    <t>-239.42670941153 249.423666245453 -318.851067859414</t>
  </si>
  <si>
    <t>-588.415317623315 92.1063396436118 -772.142377814014</t>
  </si>
  <si>
    <t>-584.564734616299 285.21486727302 -247.682313588509</t>
  </si>
  <si>
    <t>-576.353190963602 279.051980542795 207.896706232205</t>
  </si>
  <si>
    <t>-609.794175865497 248.64743264265 675.517830380876</t>
  </si>
  <si>
    <t>-450.658174876121 261.036567514299 749.448591593134</t>
  </si>
  <si>
    <t>-569.514284960842 89.8288917985021 -225.683900242655</t>
  </si>
  <si>
    <t>-460.358455364622 79.7125704547489 216.628621568379</t>
  </si>
  <si>
    <t>-618.948212158807 -0.932611907858927 651.660547599739</t>
  </si>
  <si>
    <t>-464.004319602147 -38.480486157772 725.998075994478</t>
  </si>
  <si>
    <t>9763-20170724T170053.867587800.bin</t>
  </si>
  <si>
    <t>-577.363948130655 187.208766725812 -236.975749507486</t>
  </si>
  <si>
    <t>-602.708385144024 171.920229098422 -354.413843973929</t>
  </si>
  <si>
    <t>-609.178209761788 157.971668954466 -474.639216309</t>
  </si>
  <si>
    <t>-607.173097997893 145.539654478018 -583.433899803126</t>
  </si>
  <si>
    <t>-597.421395775346 133.050482181691 -691.802540040857</t>
  </si>
  <si>
    <t>-575.828660018532 115.412378132196 -841.544608143667</t>
  </si>
  <si>
    <t>-530.881936743743 101.729745051655 -931.963361953807</t>
  </si>
  <si>
    <t>-581.832703226271 154.65021383354 -778.479063150958</t>
  </si>
  <si>
    <t>-540.805268059496 295.229520485301 -765.113497075568</t>
  </si>
  <si>
    <t>-438.617648248553 322.871177340811 -466.818636682925</t>
  </si>
  <si>
    <t>-237.529010743534 248.220646158044 -319.737901921423</t>
  </si>
  <si>
    <t>-588.932815284215 91.7833113656718 -772.097715613271</t>
  </si>
  <si>
    <t>-585.001358488937 284.857718647842 -247.625226988655</t>
  </si>
  <si>
    <t>-576.610253236809 278.707389846195 207.950694101095</t>
  </si>
  <si>
    <t>-609.764792618254 248.274520901941 675.60888353505</t>
  </si>
  <si>
    <t>-450.612768729062 261.066677312907 749.436478268799</t>
  </si>
  <si>
    <t>-569.636127919524 89.6239290510612 -225.685452187573</t>
  </si>
  <si>
    <t>-460.534195600946 79.6754279783684 216.644160688057</t>
  </si>
  <si>
    <t>-618.960920356934 -0.94864685290122 651.700404711684</t>
  </si>
  <si>
    <t>-463.9896715366 -38.4441812462449 726.007254178374</t>
  </si>
  <si>
    <t>9763-20170724T170053.896663500.bin</t>
  </si>
  <si>
    <t>-577.451129714428 186.981319829523 -236.931718150416</t>
  </si>
  <si>
    <t>-602.80295476408 171.686416606638 -354.367444163794</t>
  </si>
  <si>
    <t>-609.28732189525 157.718033897383 -474.589747355167</t>
  </si>
  <si>
    <t>-607.298525965869 145.262734891043 -583.382070495283</t>
  </si>
  <si>
    <t>-597.566373196894 132.745567188012 -691.749222015876</t>
  </si>
  <si>
    <t>-576.004330134643 115.063138982912 -841.490479582227</t>
  </si>
  <si>
    <t>-531.088231172891 101.364971018329 -931.922079257791</t>
  </si>
  <si>
    <t>-581.996396112729 154.319732137312 -778.435463325959</t>
  </si>
  <si>
    <t>-540.95066636406 294.893834495639 -765.12612406879</t>
  </si>
  <si>
    <t>-437.702569741459 322.261509841167 -467.171360108877</t>
  </si>
  <si>
    <t>-236.552478599712 247.832416452334 -320.062501576275</t>
  </si>
  <si>
    <t>-589.093323207483 91.4544169816818 -772.03373939387</t>
  </si>
  <si>
    <t>-585.114515924365 284.56760185515 -247.585844567779</t>
  </si>
  <si>
    <t>-576.662968752055 278.43524061961 207.989175349226</t>
  </si>
  <si>
    <t>-609.694863728953 247.946782188299 675.655295196247</t>
  </si>
  <si>
    <t>-450.558310255068 261.222998424009 749.430713393725</t>
  </si>
  <si>
    <t>-569.723808766233 89.4526543410125 -225.629640197392</t>
  </si>
  <si>
    <t>-460.550931508677 79.5969090060412 216.684538462712</t>
  </si>
  <si>
    <t>-618.972913074431 -0.96992998245446 651.729658818671</t>
  </si>
  <si>
    <t>-463.954300624732 -38.3179576742093 726.011978241029</t>
  </si>
  <si>
    <t>9763-20170724T170053.964855400.bin</t>
  </si>
  <si>
    <t>-577.496141060759 186.924236639617 -236.848906428499</t>
  </si>
  <si>
    <t>-602.888706881348 171.57676151606 -354.269035350064</t>
  </si>
  <si>
    <t>-609.48043445386 157.532895535483 -474.476702982665</t>
  </si>
  <si>
    <t>-607.615664212234 144.999995885253 -583.262187049233</t>
  </si>
  <si>
    <t>-598.034135428618 132.395765363011 -691.632701941058</t>
  </si>
  <si>
    <t>-576.708841227464 114.582177096806 -841.392297211914</t>
  </si>
  <si>
    <t>-531.909724567485 100.830403701708 -931.873848674165</t>
  </si>
  <si>
    <t>-582.563324345134 153.89027686887 -778.356419215881</t>
  </si>
  <si>
    <t>-541.37447381679 294.431741816266 -765.177375158258</t>
  </si>
  <si>
    <t>-436.585607609847 321.545232822231 -467.737709419552</t>
  </si>
  <si>
    <t>-235.517382286739 247.502036713164 -320.322504948076</t>
  </si>
  <si>
    <t>-589.72590893755 91.0380132234905 -771.900303947085</t>
  </si>
  <si>
    <t>-585.105720067133 284.505459426505 -247.552989962919</t>
  </si>
  <si>
    <t>-576.6211892529 278.450924054398 208.022581867109</t>
  </si>
  <si>
    <t>-609.722146994584 248.035417400001 675.662186898249</t>
  </si>
  <si>
    <t>-450.562452179505 261.008072724746 749.441732902822</t>
  </si>
  <si>
    <t>-569.786372401244 89.4464560764359 -225.486550060542</t>
  </si>
  <si>
    <t>-460.376689749625 79.6266287564035 216.7699712742</t>
  </si>
  <si>
    <t>-618.975504416669 -0.844084049978392 651.749738883561</t>
  </si>
  <si>
    <t>-464.048390121082 -38.5955710213775 726.019011495299</t>
  </si>
  <si>
    <t>9763-20170724T170053.995936100.bin</t>
  </si>
  <si>
    <t>-577.418340194583 186.898679639609 -236.825831762083</t>
  </si>
  <si>
    <t>-602.83675550176 171.523063814541 -354.236673048925</t>
  </si>
  <si>
    <t>-609.459608974486 157.441385583369 -474.4381758256</t>
  </si>
  <si>
    <t>-607.625072344602 144.869717934144 -583.219702143945</t>
  </si>
  <si>
    <t>-598.075957296237 132.221682733458 -691.588137231878</t>
  </si>
  <si>
    <t>-576.797842788649 114.342239422296 -841.346553340128</t>
  </si>
  <si>
    <t>-532.039340985616 100.559865986227 -931.843532691025</t>
  </si>
  <si>
    <t>-582.609549649152 153.675861753105 -778.322567607192</t>
  </si>
  <si>
    <t>-541.260827932402 294.179899481322 -765.215151439198</t>
  </si>
  <si>
    <t>-436.017062657904 321.164721437165 -467.92447189811</t>
  </si>
  <si>
    <t>-235.077644504412 247.443373784691 -320.172837812625</t>
  </si>
  <si>
    <t>-589.815936093178 90.8307988234162 -771.843471513375</t>
  </si>
  <si>
    <t>-585.004644275026 284.560535136691 -247.570450980504</t>
  </si>
  <si>
    <t>-576.497983635906 278.496305577727 208.004462053927</t>
  </si>
  <si>
    <t>-609.724227635598 248.123564193632 675.628829366666</t>
  </si>
  <si>
    <t>-450.576687213937 261.036580335829 749.444980267036</t>
  </si>
  <si>
    <t>-569.747096410364 89.3560173479248 -225.445272688552</t>
  </si>
  <si>
    <t>-460.237823962053 79.5761243009529 216.787367043944</t>
  </si>
  <si>
    <t>-618.961380825658 -0.918382400747305 651.740612667817</t>
  </si>
  <si>
    <t>-463.988760569247 -38.4893199112948 726.006499200228</t>
  </si>
  <si>
    <t>9763-20170724T170054.065929200.bin</t>
  </si>
  <si>
    <t>-577.220912382348 186.968139286637 -236.869736397208</t>
  </si>
  <si>
    <t>-602.67156365886 171.585111651578 -354.272672558185</t>
  </si>
  <si>
    <t>-609.406688037195 157.4764015073 -474.464705156219</t>
  </si>
  <si>
    <t>-607.705997229531 144.870735097686 -583.24451220105</t>
  </si>
  <si>
    <t>-598.322651263273 132.178911543998 -691.622213849162</t>
  </si>
  <si>
    <t>-577.307779782449 114.226997032734 -841.40912692621</t>
  </si>
  <si>
    <t>-532.664775476426 100.3491683335 -931.948612698409</t>
  </si>
  <si>
    <t>-582.960057840182 153.586150948742 -778.386692428993</t>
  </si>
  <si>
    <t>-541.373554557201 294.019658935672 -765.340111586195</t>
  </si>
  <si>
    <t>-435.081122185489 320.241370618891 -468.354327228507</t>
  </si>
  <si>
    <t>-234.411591653307 247.02285288043 -319.987056761435</t>
  </si>
  <si>
    <t>-590.252367891425 90.7540398020997 -771.879374270785</t>
  </si>
  <si>
    <t>-584.783879910764 284.713419052423 -247.624538492523</t>
  </si>
  <si>
    <t>-576.207515318298 278.703385213343 207.949853676698</t>
  </si>
  <si>
    <t>-609.741354794265 248.36042868456 675.549687664612</t>
  </si>
  <si>
    <t>-450.613559458098 260.961707066045 749.462307692326</t>
  </si>
  <si>
    <t>-569.585879900458 89.3714054171226 -225.462216863354</t>
  </si>
  <si>
    <t>-460.060535716436 79.5829976993316 216.766342619415</t>
  </si>
  <si>
    <t>-618.934101477954 -0.78522034959542 651.697310709577</t>
  </si>
  <si>
    <t>-463.969748235638 -38.3558095994472 725.980663153771</t>
  </si>
  <si>
    <t>9763-20170724T170054.098518800.bin</t>
  </si>
  <si>
    <t>-577.168844087861 187.048260465745 -236.907172636433</t>
  </si>
  <si>
    <t>-602.596444939602 171.670827916922 -354.315754799387</t>
  </si>
  <si>
    <t>-609.360311108342 157.553683469471 -474.505233195348</t>
  </si>
  <si>
    <t>-607.706937962267 144.93426621553 -583.284395148133</t>
  </si>
  <si>
    <t>-598.392252727883 132.221662952755 -691.6654215807</t>
  </si>
  <si>
    <t>-577.4947658432 114.233895152036 -841.464340872285</t>
  </si>
  <si>
    <t>-532.915044534287 100.312295553043 -932.028281958616</t>
  </si>
  <si>
    <t>-583.071136229342 153.605462387766 -778.44302909635</t>
  </si>
  <si>
    <t>-541.370230087176 294.011040855897 -765.398664321369</t>
  </si>
  <si>
    <t>-434.656461434344 319.749894758087 -468.521745938833</t>
  </si>
  <si>
    <t>-234.052458863926 246.668112494485 -319.998643168843</t>
  </si>
  <si>
    <t>-590.411383273696 90.7803335253323 -771.922965687145</t>
  </si>
  <si>
    <t>-584.697868381828 284.746210464757 -247.659622835878</t>
  </si>
  <si>
    <t>-576.117026239735 278.730750741407 207.914623153307</t>
  </si>
  <si>
    <t>-609.724432238732 248.370591654337 675.52048694656</t>
  </si>
  <si>
    <t>-450.620045008168 261.087233438363 749.463704278697</t>
  </si>
  <si>
    <t>-569.569269741362 89.4733338494138 -225.508354419846</t>
  </si>
  <si>
    <t>-460.088521688232 79.6207954292283 216.729743444988</t>
  </si>
  <si>
    <t>-618.921682271968 -0.742506964503036 651.686792618043</t>
  </si>
  <si>
    <t>-463.95889064812 -38.3161544087211 725.971847368747</t>
  </si>
  <si>
    <t>9763-20170724T170054.161187300.bin</t>
  </si>
  <si>
    <t>-577.141619479432 187.073071569296 -237.002992389596</t>
  </si>
  <si>
    <t>-602.572492722668 171.738323734424 -354.416473122762</t>
  </si>
  <si>
    <t>-609.348588003755 157.61447437601 -474.604505253454</t>
  </si>
  <si>
    <t>-607.711086915123 144.965853963181 -583.380322603999</t>
  </si>
  <si>
    <t>-598.417938946417 132.199545113589 -691.756963957284</t>
  </si>
  <si>
    <t>-577.557123953102 114.110139805043 -841.548821755078</t>
  </si>
  <si>
    <t>-533.032218433558 100.097703423538 -932.125735277929</t>
  </si>
  <si>
    <t>-583.059450575742 153.518572180778 -778.543948413953</t>
  </si>
  <si>
    <t>-541.013024755152 293.851123272115 -765.606763852472</t>
  </si>
  <si>
    <t>-434.051441687798 319.37819624007 -468.800778679715</t>
  </si>
  <si>
    <t>-233.506818598556 246.372228748058 -320.160157936717</t>
  </si>
  <si>
    <t>-590.515283188702 90.7097322221705 -771.997273748736</t>
  </si>
  <si>
    <t>-584.562811482128 284.732636101748 -247.705063547901</t>
  </si>
  <si>
    <t>-575.977026057106 278.748764600083 207.869399293576</t>
  </si>
  <si>
    <t>-609.743245574792 248.428783415899 675.494890421342</t>
  </si>
  <si>
    <t>-450.637552392337 260.969465217448 749.465400294497</t>
  </si>
  <si>
    <t>-569.625364119631 89.4824417592451 -225.611020487738</t>
  </si>
  <si>
    <t>-460.265089396467 79.602138490792 216.656278865604</t>
  </si>
  <si>
    <t>-618.913484349515 -0.74868887101934 651.705824245598</t>
  </si>
  <si>
    <t>-463.953454201555 -38.3297424014227 725.99284391527</t>
  </si>
  <si>
    <t>9763-20170724T170054.198791000.bin</t>
  </si>
  <si>
    <t>-577.129497073412 186.998973423292 -237.018773530159</t>
  </si>
  <si>
    <t>-602.568151800295 171.68497236235 -354.433283011046</t>
  </si>
  <si>
    <t>-609.349002471505 157.520032135485 -474.616236060808</t>
  </si>
  <si>
    <t>-607.716120304285 144.808562524619 -583.384737393937</t>
  </si>
  <si>
    <t>-598.428853854695 131.953607069345 -691.75155612251</t>
  </si>
  <si>
    <t>-577.578475453073 113.713819489744 -841.526549055319</t>
  </si>
  <si>
    <t>-533.072398256613 99.6217921241989 -932.1003729538</t>
  </si>
  <si>
    <t>-583.035664540264 153.181248696946 -778.554749739417</t>
  </si>
  <si>
    <t>-541.005639922256 293.515861067229 -765.697681964536</t>
  </si>
  <si>
    <t>-433.920262106997 319.65872701227 -468.989984380486</t>
  </si>
  <si>
    <t>-233.373142464394 246.611213875025 -320.373117246521</t>
  </si>
  <si>
    <t>-590.572591544529 90.3874691583596 -771.956858810861</t>
  </si>
  <si>
    <t>-584.475603169534 284.629240543799 -247.729167672511</t>
  </si>
  <si>
    <t>-575.947122468006 278.673442295329 207.846795479722</t>
  </si>
  <si>
    <t>-609.687689090679 248.372816555949 675.445320769871</t>
  </si>
  <si>
    <t>-450.614059652399 260.998481629436 749.470109920758</t>
  </si>
  <si>
    <t>-569.697518258113 89.433872601732 -225.614033526816</t>
  </si>
  <si>
    <t>-460.316474718022 79.5499278005234 216.648108307561</t>
  </si>
  <si>
    <t>-618.897384907463 -0.667875577020823 651.697851798876</t>
  </si>
  <si>
    <t>-463.95861299095 -38.3200639412273 725.993249901102</t>
  </si>
  <si>
    <t>9763-20170724T170054.265484000.bin</t>
  </si>
  <si>
    <t>-576.964653543083 187.072978101708 -237.286830419885</t>
  </si>
  <si>
    <t>-602.311289075585 171.836157386349 -354.731242197186</t>
  </si>
  <si>
    <t>-609.09694907647 157.593664508373 -474.904803096252</t>
  </si>
  <si>
    <t>-607.51211326872 144.749246391108 -583.65848333037</t>
  </si>
  <si>
    <t>-598.318774668281 131.69878642569 -692.009794240137</t>
  </si>
  <si>
    <t>-577.648288660868 113.122692498376 -841.768458589808</t>
  </si>
  <si>
    <t>-533.17144289078 98.8341454161427 -932.325833829257</t>
  </si>
  <si>
    <t>-582.938531401179 152.721798660554 -778.865087361118</t>
  </si>
  <si>
    <t>-541.012713543279 293.156056297561 -766.611241097796</t>
  </si>
  <si>
    <t>-434.949725380555 321.659523226328 -469.753781633944</t>
  </si>
  <si>
    <t>-234.401857116524 248.32897553686 -321.277503819821</t>
  </si>
  <si>
    <t>-590.65019164053 89.9621663409225 -772.144752697831</t>
  </si>
  <si>
    <t>-584.020536331484 284.800408007666 -247.988233757737</t>
  </si>
  <si>
    <t>-575.749803164885 278.940716375517 207.593656470662</t>
  </si>
  <si>
    <t>-609.631618814902 248.917415616691 675.151180539653</t>
  </si>
  <si>
    <t>-450.662875694718 261.039108977502 749.484996885511</t>
  </si>
  <si>
    <t>-569.810286860249 89.4680120450537 -225.9108812767</t>
  </si>
  <si>
    <t>-460.531943978657 79.5623874078419 216.376088132242</t>
  </si>
  <si>
    <t>-618.811184574558 -0.643255927099517 651.599288692536</t>
  </si>
  <si>
    <t>-463.94760866065 -38.4094003760977 725.993503744816</t>
  </si>
  <si>
    <t>9763-20170724T170054.304106800.bin</t>
  </si>
  <si>
    <t>-576.759241639539 187.015958105002 -237.418584811808</t>
  </si>
  <si>
    <t>-602.05218640227 171.8409185513 -354.882508805057</t>
  </si>
  <si>
    <t>-608.828109167848 157.542209745111 -475.049905983781</t>
  </si>
  <si>
    <t>-607.255682301305 144.599729855643 -583.792083852313</t>
  </si>
  <si>
    <t>-598.097751250095 131.404826641617 -692.128979044728</t>
  </si>
  <si>
    <t>-577.501724842978 112.5803714527 -841.866882610529</t>
  </si>
  <si>
    <t>-533.026674341854 98.1459491354947 -932.402062446445</t>
  </si>
  <si>
    <t>-582.717978683907 152.279108935959 -779.020211587861</t>
  </si>
  <si>
    <t>-540.844684472787 292.744146915114 -767.163469831171</t>
  </si>
  <si>
    <t>-436.274810552856 323.429966954175 -469.994085179204</t>
  </si>
  <si>
    <t>-235.771729892123 249.666836944956 -321.671481919378</t>
  </si>
  <si>
    <t>-590.511681141464 89.5400924725564 -772.204900126207</t>
  </si>
  <si>
    <t>-583.577716628333 284.776657255018 -248.135205000075</t>
  </si>
  <si>
    <t>-575.409991984254 278.978636087852 207.449389995092</t>
  </si>
  <si>
    <t>-609.567159764864 249.078402289074 675.002825089896</t>
  </si>
  <si>
    <t>-450.677539445511 261.279009772712 749.492636422983</t>
  </si>
  <si>
    <t>-569.795181933993 89.3248515735415 -226.069682071821</t>
  </si>
  <si>
    <t>-460.650420374054 79.5133967932331 216.252339565637</t>
  </si>
  <si>
    <t>-618.790808175484 -0.593600015667789 651.574486058328</t>
  </si>
  <si>
    <t>-463.919481062827 -38.2862743874214 725.989828209114</t>
  </si>
  <si>
    <t>9763-20170724T170054.362779800.bin</t>
  </si>
  <si>
    <t>-576.460368382399 186.792599201116 -237.652665173573</t>
  </si>
  <si>
    <t>-601.927251550991 171.769457555727 -355.098580302507</t>
  </si>
  <si>
    <t>-608.806460708951 157.358687105614 -475.246681523987</t>
  </si>
  <si>
    <t>-607.304412312863 144.210909761634 -583.965382698866</t>
  </si>
  <si>
    <t>-598.197475129839 130.709374043101 -692.268818593944</t>
  </si>
  <si>
    <t>-577.655752369812 111.355423250238 -841.946691471389</t>
  </si>
  <si>
    <t>-533.2553572964 96.6155211821274 -932.469117241674</t>
  </si>
  <si>
    <t>-582.804599190997 151.271407383445 -779.232059706715</t>
  </si>
  <si>
    <t>-540.798821860573 291.742412221784 -767.983790009015</t>
  </si>
  <si>
    <t>-440.078008658674 326.0235443757 -469.879422110243</t>
  </si>
  <si>
    <t>-239.713982108683 251.96921858691 -321.513939390744</t>
  </si>
  <si>
    <t>-590.685076132364 88.5663894930883 -772.205494146777</t>
  </si>
  <si>
    <t>-583.030787062381 284.596724066485 -248.264040710915</t>
  </si>
  <si>
    <t>-574.654554105926 278.816672155376 207.317106158499</t>
  </si>
  <si>
    <t>-609.590540143687 249.207632326604 674.93482253142</t>
  </si>
  <si>
    <t>-450.732894729875 261.225521988509 749.522594011694</t>
  </si>
  <si>
    <t>-569.887381893276 89.0323204981214 -226.328850684615</t>
  </si>
  <si>
    <t>-460.795615202901 79.1034578650599 216.003631424024</t>
  </si>
  <si>
    <t>-618.783179098882 -0.634143564926489 651.573468155431</t>
  </si>
  <si>
    <t>-463.87624475778 -38.1839019354638 725.986979009136</t>
  </si>
  <si>
    <t>9763-20170724T170054.397857500.bin</t>
  </si>
  <si>
    <t>-576.497274284874 186.569113269449 -237.627103906894</t>
  </si>
  <si>
    <t>-602.071513735429 171.604981078627 -355.05726836475</t>
  </si>
  <si>
    <t>-609.045175637153 157.184331548657 -475.198651293037</t>
  </si>
  <si>
    <t>-607.624183349669 144.003580101319 -583.914326101819</t>
  </si>
  <si>
    <t>-598.594411114001 130.447753206883 -692.217405729833</t>
  </si>
  <si>
    <t>-578.156190972891 110.99844464535 -841.89703148884</t>
  </si>
  <si>
    <t>-533.815632145355 96.1801217216569 -932.436100622223</t>
  </si>
  <si>
    <t>-583.264922589268 150.954897896541 -779.204949280485</t>
  </si>
  <si>
    <t>-541.244336216834 291.422539137213 -768.054126774768</t>
  </si>
  <si>
    <t>-441.848314846987 326.904580814874 -469.645658493106</t>
  </si>
  <si>
    <t>-241.618539850924 252.688954550488 -321.179666759729</t>
  </si>
  <si>
    <t>-591.134011891415 88.2535030027373 -772.132074694345</t>
  </si>
  <si>
    <t>-582.870549495417 284.300656102515 -248.206086622314</t>
  </si>
  <si>
    <t>-574.259580039753 278.526213528107 207.37063083292</t>
  </si>
  <si>
    <t>-609.572348542207 248.963564137846 674.974844563726</t>
  </si>
  <si>
    <t>-450.7133740194 261.166504330615 749.529700353917</t>
  </si>
  <si>
    <t>-570.083173427043 88.8838939042362 -226.335369003796</t>
  </si>
  <si>
    <t>-460.899059483232 78.8643861225505 215.972395966132</t>
  </si>
  <si>
    <t>-618.79113359527 -0.491870058117911 651.611845034475</t>
  </si>
  <si>
    <t>-463.947744238811 -38.3332750460395 726.009916178305</t>
  </si>
  <si>
    <t>9763-20170724T170054.463646300.bin</t>
  </si>
  <si>
    <t>-576.448432889902 186.237541444486 -237.514846172489</t>
  </si>
  <si>
    <t>-602.188430213121 171.300121562906 -354.912074532234</t>
  </si>
  <si>
    <t>-609.367321067644 156.825241309812 -475.035065686893</t>
  </si>
  <si>
    <t>-608.14834489028 143.56629844401 -583.743727625728</t>
  </si>
  <si>
    <t>-599.337035570043 129.906016933743 -692.051529751932</t>
  </si>
  <si>
    <t>-579.219562595819 110.285834985182 -841.752430761506</t>
  </si>
  <si>
    <t>-535.04960653438 95.3559974730083 -932.356491533244</t>
  </si>
  <si>
    <t>-584.167956386904 150.310923415256 -779.091207653874</t>
  </si>
  <si>
    <t>-542.143197336528 290.779623629624 -768.098537042252</t>
  </si>
  <si>
    <t>-445.049396216153 327.980987003562 -469.141978300737</t>
  </si>
  <si>
    <t>-244.65112005721 253.687989162494 -320.942308552953</t>
  </si>
  <si>
    <t>-592.073893762538 87.6233631154382 -771.937598940902</t>
  </si>
  <si>
    <t>-582.588603536426 283.950562442994 -248.087043512867</t>
  </si>
  <si>
    <t>-573.619957513726 278.196298549523 207.483036650908</t>
  </si>
  <si>
    <t>-609.543263509668 248.777161376808 674.965885739639</t>
  </si>
  <si>
    <t>-450.704017961395 261.182783439537 749.52928529217</t>
  </si>
  <si>
    <t>-570.213883030899 88.6580536575887 -226.222045348489</t>
  </si>
  <si>
    <t>-460.876093716879 78.4993217490833 216.044528439169</t>
  </si>
  <si>
    <t>-618.80413172706 -0.533552124600874 651.69626250686</t>
  </si>
  <si>
    <t>-463.930848267051 -38.3496847695749 726.044876380887</t>
  </si>
  <si>
    <t>9763-20170724T170054.497738000.bin</t>
  </si>
  <si>
    <t>-576.330555429793 186.223524970205 -237.448735307096</t>
  </si>
  <si>
    <t>-602.090697909561 171.272745439958 -354.840046360302</t>
  </si>
  <si>
    <t>-609.365588072843 156.802057236424 -474.957586137531</t>
  </si>
  <si>
    <t>-608.263393270846 143.554300896403 -583.668916134903</t>
  </si>
  <si>
    <t>-599.59799083957 129.912619562904 -691.990889882649</t>
  </si>
  <si>
    <t>-579.712540717953 110.326540576167 -841.727157191758</t>
  </si>
  <si>
    <t>-535.631554371031 95.3824168725096 -932.372112144443</t>
  </si>
  <si>
    <t>-584.532229114693 150.333851270758 -779.044583694759</t>
  </si>
  <si>
    <t>-542.335437010886 290.770245475857 -768.067887625387</t>
  </si>
  <si>
    <t>-446.492306492272 328.411414558189 -468.762892228751</t>
  </si>
  <si>
    <t>-245.864968960218 254.045494035003 -320.910087320585</t>
  </si>
  <si>
    <t>-592.490232040075 87.651692346514 -771.902360925951</t>
  </si>
  <si>
    <t>-582.41295537948 283.943822520002 -248.070901768594</t>
  </si>
  <si>
    <t>-573.508099011557 278.200161269031 207.500598714693</t>
  </si>
  <si>
    <t>-609.509311668348 248.715986922525 674.941351824646</t>
  </si>
  <si>
    <t>-450.694587339547 261.251976041115 749.53521603051</t>
  </si>
  <si>
    <t>-570.106145036394 88.6377486497718 -226.151333599243</t>
  </si>
  <si>
    <t>-460.737339881479 78.5325604640725 216.108695138299</t>
  </si>
  <si>
    <t>-618.783615424468 -0.505273484973713 651.688624033335</t>
  </si>
  <si>
    <t>-463.946283457722 -38.4646032815185 726.039179733279</t>
  </si>
  <si>
    <t>9763-20170724T170054.562962300.bin</t>
  </si>
  <si>
    <t>-575.978895587059 186.385535700931 -237.443963053385</t>
  </si>
  <si>
    <t>-601.7374271728 171.400364528706 -354.831069746936</t>
  </si>
  <si>
    <t>-609.204897307886 156.875364662443 -474.930291217887</t>
  </si>
  <si>
    <t>-608.355639045339 143.570399138865 -583.636884535566</t>
  </si>
  <si>
    <t>-600.021066813638 129.863651156018 -691.976743850252</t>
  </si>
  <si>
    <t>-580.675087973504 110.179159570641 -841.770687255995</t>
  </si>
  <si>
    <t>-536.786084391553 95.1072695120724 -932.487798354238</t>
  </si>
  <si>
    <t>-585.200592770463 150.22014832228 -779.087730389706</t>
  </si>
  <si>
    <t>-542.79192248661 290.612803065204 -768.328621316059</t>
  </si>
  <si>
    <t>-449.441399421342 329.180528072895 -468.354594937378</t>
  </si>
  <si>
    <t>-248.825979529778 254.598295807778 -320.594570964704</t>
  </si>
  <si>
    <t>-593.269531329743 87.5578503446341 -771.895320720578</t>
  </si>
  <si>
    <t>-582.008847139178 284.080931587097 -248.114394033526</t>
  </si>
  <si>
    <t>-573.308226383133 278.350201638368 207.461178190475</t>
  </si>
  <si>
    <t>-609.526956146152 248.83610829206 674.89062929095</t>
  </si>
  <si>
    <t>-450.734028961714 261.242822577779 749.552502681036</t>
  </si>
  <si>
    <t>-569.858820487149 88.8241219900663 -226.107772367869</t>
  </si>
  <si>
    <t>-460.41361383172 78.6698703220866 216.132396195312</t>
  </si>
  <si>
    <t>-618.728114480661 -0.335055891438742 651.637994273498</t>
  </si>
  <si>
    <t>-463.950623231901 -38.487955845234 726.014071602699</t>
  </si>
  <si>
    <t>9763-20170724T170054.596049400.bin</t>
  </si>
  <si>
    <t>-575.855565161748 186.454978420114 -237.454121933415</t>
  </si>
  <si>
    <t>-601.618943568642 171.482781297651 -354.841986897988</t>
  </si>
  <si>
    <t>-609.199838157545 156.933496405203 -474.93115403424</t>
  </si>
  <si>
    <t>-608.497748784933 143.592701773702 -583.634296042992</t>
  </si>
  <si>
    <t>-600.354747945849 129.837296728692 -691.982523646417</t>
  </si>
  <si>
    <t>-581.320951696778 110.071795086086 -841.805855665623</t>
  </si>
  <si>
    <t>-537.562872594715 94.9197486919991 -932.572760659419</t>
  </si>
  <si>
    <t>-585.693684347221 150.144084249986 -779.131933496634</t>
  </si>
  <si>
    <t>-543.343433961442 290.561846393475 -768.538051114789</t>
  </si>
  <si>
    <t>-451.146539851584 329.52887446073 -468.259165248161</t>
  </si>
  <si>
    <t>-250.688609707769 254.979046374058 -320.269249374972</t>
  </si>
  <si>
    <t>-593.791916261786 87.4907638938544 -771.8953450972</t>
  </si>
  <si>
    <t>-581.87097383641 284.147484174203 -248.124746160916</t>
  </si>
  <si>
    <t>-573.16909544112 278.36138526036 207.45017889807</t>
  </si>
  <si>
    <t>-609.544175675835 248.836441446496 674.890741762641</t>
  </si>
  <si>
    <t>-450.753835366738 261.223890216434 749.561264632832</t>
  </si>
  <si>
    <t>-569.75987274906 88.8595727508975 -226.127123560853</t>
  </si>
  <si>
    <t>-460.384858637414 78.6172925420142 216.128276435419</t>
  </si>
  <si>
    <t>-618.714752473908 -0.377721916703194 651.639836573175</t>
  </si>
  <si>
    <t>-463.906508954515 -38.420137123165 726.008438549084</t>
  </si>
  <si>
    <t>9763-20170724T170054.630648500.bin</t>
  </si>
  <si>
    <t>-575.673864120322 186.448041351022 -237.446678469699</t>
  </si>
  <si>
    <t>-601.435498430901 171.509293908548 -354.839147483133</t>
  </si>
  <si>
    <t>-609.135280026132 156.971569120726 -474.922243359558</t>
  </si>
  <si>
    <t>-608.589901242195 143.635308607186 -583.626862344716</t>
  </si>
  <si>
    <t>-600.652271769888 129.880200283039 -691.990280159348</t>
  </si>
  <si>
    <t>-581.953481179185 110.112694527561 -841.855617035784</t>
  </si>
  <si>
    <t>-538.333711894977 94.9160546501989 -932.681600893068</t>
  </si>
  <si>
    <t>-586.179093171683 150.185041336757 -779.171686570706</t>
  </si>
  <si>
    <t>-543.935360044659 290.636585149018 -768.655913005297</t>
  </si>
  <si>
    <t>-452.857766338511 329.967955845229 -468.083021293836</t>
  </si>
  <si>
    <t>-252.550518074654 255.699564314077 -319.747960580353</t>
  </si>
  <si>
    <t>-594.275107619354 87.5334645960438 -771.917990677149</t>
  </si>
  <si>
    <t>-581.650874669763 284.159876157644 -248.112213052176</t>
  </si>
  <si>
    <t>-573.000645142076 278.3556535679 207.463493011232</t>
  </si>
  <si>
    <t>-609.554305381623 248.834159630254 674.886561994048</t>
  </si>
  <si>
    <t>-450.757378142944 261.036213921408 749.573529977723</t>
  </si>
  <si>
    <t>-569.581181425596 88.8352795196408 -226.147680528546</t>
  </si>
  <si>
    <t>-460.313230999557 78.5579800020967 216.133330596117</t>
  </si>
  <si>
    <t>-618.699235678822 -0.405812378299288 651.636925599052</t>
  </si>
  <si>
    <t>-463.871241982283 -38.3761542578209 726.001287268343</t>
  </si>
  <si>
    <t>9763-20170724T170054.711373500.bin</t>
  </si>
  <si>
    <t>-575.458069557047 186.472985836347 -237.450307113528</t>
  </si>
  <si>
    <t>-601.206881469825 171.538939317656 -354.846149099889</t>
  </si>
  <si>
    <t>-609.016226756332 156.991394355458 -474.920778295592</t>
  </si>
  <si>
    <t>-608.619656106236 143.64513151508 -583.624840623288</t>
  </si>
  <si>
    <t>-600.879858107267 129.881577888572 -692.001665982237</t>
  </si>
  <si>
    <t>-582.505741485821 110.106770890012 -841.906184887119</t>
  </si>
  <si>
    <t>-539.048008593561 94.8633775156854 -932.801850840837</t>
  </si>
  <si>
    <t>-586.610154017932 150.183771399041 -779.217195089372</t>
  </si>
  <si>
    <t>-544.538451565791 290.703008903836 -768.810935738339</t>
  </si>
  <si>
    <t>-454.88272858709 330.496446071788 -467.871583990073</t>
  </si>
  <si>
    <t>-254.820389794942 256.355753262508 -319.142669035933</t>
  </si>
  <si>
    <t>-594.661289438915 87.5292339053451 -771.9388483337</t>
  </si>
  <si>
    <t>-581.421411345431 284.20387341114 -248.111408465488</t>
  </si>
  <si>
    <t>-572.892457494841 278.371305485214 207.466233804392</t>
  </si>
  <si>
    <t>-609.564221001311 248.87958872381 674.867350091001</t>
  </si>
  <si>
    <t>-450.761288372249 260.809348302707 749.585617502716</t>
  </si>
  <si>
    <t>-569.396677630736 88.8274937740766 -226.138664836271</t>
  </si>
  <si>
    <t>-460.213144673857 78.5586837565008 216.163415970382</t>
  </si>
  <si>
    <t>-618.682117023147 -0.364169066355544 651.629446130079</t>
  </si>
  <si>
    <t>-463.869592522285 -38.3879781908281 725.998677568462</t>
  </si>
  <si>
    <t>9763-20170724T170054.766020700.bin</t>
  </si>
  <si>
    <t>-574.546645148561 186.529656307347 -237.452992702429</t>
  </si>
  <si>
    <t>-600.132531076211 171.577397227654 -354.882184784231</t>
  </si>
  <si>
    <t>-608.132228679798 157.038302369376 -474.945481637578</t>
  </si>
  <si>
    <t>-608.050584725727 143.727559640726 -583.654557234069</t>
  </si>
  <si>
    <t>-600.765623095652 130.03727923585 -692.072015403307</t>
  </si>
  <si>
    <t>-583.165010349862 110.412728571478 -842.089039703203</t>
  </si>
  <si>
    <t>-540.276421395884 95.2048836104764 -933.260631490159</t>
  </si>
  <si>
    <t>-587.053109206838 150.438799556744 -779.353827240968</t>
  </si>
  <si>
    <t>-545.85069697119 291.222541550686 -769.20735452459</t>
  </si>
  <si>
    <t>-460.593531320556 332.726186411588 -467.222592170714</t>
  </si>
  <si>
    <t>-261.450116207973 258.583141419503 -317.266700770814</t>
  </si>
  <si>
    <t>-594.852395328403 87.7530794540805 -772.068613386277</t>
  </si>
  <si>
    <t>-580.437485807879 284.229306806506 -248.155695915406</t>
  </si>
  <si>
    <t>-572.399723121222 278.296821685865 207.429514145916</t>
  </si>
  <si>
    <t>-609.522133357093 248.786509861587 674.816805072693</t>
  </si>
  <si>
    <t>-450.759000301843 260.781888775052 749.609084412431</t>
  </si>
  <si>
    <t>-568.559810602176 88.9490753548409 -226.084004314645</t>
  </si>
  <si>
    <t>-459.638401407341 78.5909464525189 216.280671212979</t>
  </si>
  <si>
    <t>-618.613311213796 -0.174035377174732 651.575879825615</t>
  </si>
  <si>
    <t>-463.892528757707 -38.5004797600634 725.980687181381</t>
  </si>
  <si>
    <t>9763-20170724T170054.794096400.bin</t>
  </si>
  <si>
    <t>-574.286248614531 186.549217706771 -237.460675331561</t>
  </si>
  <si>
    <t>-599.796351330474 171.602904074673 -354.907016894244</t>
  </si>
  <si>
    <t>-607.813975747527 157.094031851278 -474.9727465835</t>
  </si>
  <si>
    <t>-607.786502483744 143.823074864736 -583.686765275177</t>
  </si>
  <si>
    <t>-600.592696449007 130.187104190611 -692.117147982564</t>
  </si>
  <si>
    <t>-583.156267950025 110.654442596743 -842.165377942029</t>
  </si>
  <si>
    <t>-540.439950818089 95.5241466023406 -933.430710374237</t>
  </si>
  <si>
    <t>-587.014965099215 150.646321761162 -779.406410643412</t>
  </si>
  <si>
    <t>-545.975336191891 291.479841981079 -769.25485416464</t>
  </si>
  <si>
    <t>-462.16743395299 333.356530265926 -466.915896182767</t>
  </si>
  <si>
    <t>-263.129026815605 259.460278482919 -316.699059913048</t>
  </si>
  <si>
    <t>-594.727763635957 87.9476620605085 -772.140763995068</t>
  </si>
  <si>
    <t>-580.206326635778 284.217715923938 -248.154693187266</t>
  </si>
  <si>
    <t>-572.258899900021 278.216220162253 207.431203978597</t>
  </si>
  <si>
    <t>-609.509811826344 248.715208416152 674.810333740861</t>
  </si>
  <si>
    <t>-450.765613566666 260.91339116507 749.61002839356</t>
  </si>
  <si>
    <t>-568.279584616381 88.9959357354073 -226.122491921605</t>
  </si>
  <si>
    <t>-459.509585309605 78.5327462513901 216.276979948785</t>
  </si>
  <si>
    <t>-618.594615566086 -0.175173912466789 651.564120589404</t>
  </si>
  <si>
    <t>-463.872431054636 -38.4987608454073 725.967476658961</t>
  </si>
  <si>
    <t>9763-20170724T170054.865292200.bin</t>
  </si>
  <si>
    <t>-574.115438692433 186.57458852396 -237.463781048102</t>
  </si>
  <si>
    <t>-599.441450137276 171.60673842041 -354.947246749334</t>
  </si>
  <si>
    <t>-607.380862212216 157.129649199319 -475.021983416982</t>
  </si>
  <si>
    <t>-607.325349023557 143.909647654228 -583.742257806078</t>
  </si>
  <si>
    <t>-600.145681576741 130.345931379615 -692.182707408866</t>
  </si>
  <si>
    <t>-582.771685994155 110.936335582881 -842.253997085985</t>
  </si>
  <si>
    <t>-540.4675272857 95.9515091160745 -933.735124963344</t>
  </si>
  <si>
    <t>-586.677974876671 150.88468841062 -779.470433812939</t>
  </si>
  <si>
    <t>-546.174925229878 291.88165809905 -769.262454311933</t>
  </si>
  <si>
    <t>-463.412733729193 333.355690663968 -466.580226675043</t>
  </si>
  <si>
    <t>-264.230994137495 260.03629377121 -316.27056315507</t>
  </si>
  <si>
    <t>-594.240295670812 88.1643108230123 -772.233829098929</t>
  </si>
  <si>
    <t>-580.284710709864 284.150464249232 -248.094597883288</t>
  </si>
  <si>
    <t>-572.464014659562 278.068880330024 207.492428905511</t>
  </si>
  <si>
    <t>-609.521221918363 248.46673412872 674.893474556697</t>
  </si>
  <si>
    <t>-450.764020629918 261.047266421971 749.602206748192</t>
  </si>
  <si>
    <t>-567.871936775864 89.163638138021 -226.139425049555</t>
  </si>
  <si>
    <t>-459.385601403849 78.4366578269844 216.323377113182</t>
  </si>
  <si>
    <t>-618.58474092952 -0.181633635881326 651.588613835333</t>
  </si>
  <si>
    <t>-463.759091338778 -38.1640456959603 725.951618628026</t>
  </si>
  <si>
    <t>9763-20170724T170054.899393500.bin</t>
  </si>
  <si>
    <t>-574.18155743768 186.593399034152 -237.389171021189</t>
  </si>
  <si>
    <t>-599.466522501757 171.561830609737 -354.873309657467</t>
  </si>
  <si>
    <t>-607.388043645192 157.095922863981 -474.950654979297</t>
  </si>
  <si>
    <t>-607.324139277264 143.915390360676 -583.675484994646</t>
  </si>
  <si>
    <t>-600.142823590453 130.419742399756 -692.124373852434</t>
  </si>
  <si>
    <t>-582.772570771474 111.133794744732 -842.212235561776</t>
  </si>
  <si>
    <t>-540.657103560862 96.2260484792114 -933.792872316894</t>
  </si>
  <si>
    <t>-586.705512530191 151.033374353156 -779.399181729727</t>
  </si>
  <si>
    <t>-546.514972214652 292.087375763437 -769.065969090861</t>
  </si>
  <si>
    <t>-463.35850971918 333.95419035792 -466.546026912949</t>
  </si>
  <si>
    <t>-263.832945950268 261.178012978714 -316.428538111322</t>
  </si>
  <si>
    <t>-594.211208432512 88.3011400696062 -772.206907406129</t>
  </si>
  <si>
    <t>-580.555089232092 284.180061611138 -248.053005992823</t>
  </si>
  <si>
    <t>-572.761361743258 278.140695211683 207.534971061423</t>
  </si>
  <si>
    <t>-609.567690455056 248.488531574097 674.932671407749</t>
  </si>
  <si>
    <t>-450.779591617204 260.952871184782 749.59522346788</t>
  </si>
  <si>
    <t>-567.724631250408 89.1018256173031 -226.032061706797</t>
  </si>
  <si>
    <t>-459.252172985411 78.4918083772618 216.436922711037</t>
  </si>
  <si>
    <t>-618.594027292836 -0.240701703642117 651.609486384423</t>
  </si>
  <si>
    <t>-463.732689074348 -38.1504902358724 725.935317775445</t>
  </si>
  <si>
    <t>9763-20170724T170054.963605400.bin</t>
  </si>
  <si>
    <t>-574.295465374366 186.498969991824 -237.291982792161</t>
  </si>
  <si>
    <t>-599.503362517077 171.331043851399 -354.775119036519</t>
  </si>
  <si>
    <t>-607.373285162017 156.849665309757 -474.854011842662</t>
  </si>
  <si>
    <t>-607.270609165887 143.7038798804 -583.583121967195</t>
  </si>
  <si>
    <t>-600.056656795474 130.291685331534 -692.040197940956</t>
  </si>
  <si>
    <t>-582.645896337657 111.171768095205 -842.144402379444</t>
  </si>
  <si>
    <t>-540.880570143807 96.4347204806618 -933.912950049244</t>
  </si>
  <si>
    <t>-586.622562155752 151.004699994925 -779.291905898636</t>
  </si>
  <si>
    <t>-546.677190128576 292.14871306239 -768.802651935606</t>
  </si>
  <si>
    <t>-463.449594036281 334.809791307942 -466.41320411969</t>
  </si>
  <si>
    <t>-263.149011444099 263.440738807919 -316.652825822815</t>
  </si>
  <si>
    <t>-594.076680299213 88.2587873605653 -772.164023207887</t>
  </si>
  <si>
    <t>-580.925391390549 284.093177322036 -248.035013332812</t>
  </si>
  <si>
    <t>-573.519614756976 278.177024125776 207.561129247055</t>
  </si>
  <si>
    <t>-609.64034071849 248.528604933394 674.994360111743</t>
  </si>
  <si>
    <t>-450.815125858942 260.982575669724 749.579648329903</t>
  </si>
  <si>
    <t>-567.577307763173 88.9334142398329 -225.843412012106</t>
  </si>
  <si>
    <t>-458.980459504217 78.5798701393069 216.601219455693</t>
  </si>
  <si>
    <t>-618.630768891625 -0.044110342406384 651.624695260811</t>
  </si>
  <si>
    <t>-463.767031744223 -38.1193173569143 725.860951380147</t>
  </si>
  <si>
    <t>9763-20170724T170054.996723500.bin</t>
  </si>
  <si>
    <t>-574.223196906481 186.349895748297 -237.297772035915</t>
  </si>
  <si>
    <t>-599.359378601131 171.161815207669 -354.793735214951</t>
  </si>
  <si>
    <t>-607.213811707406 156.68825387655 -474.874459729741</t>
  </si>
  <si>
    <t>-607.119701065374 143.562367904392 -583.606077791237</t>
  </si>
  <si>
    <t>-599.936300293703 130.183510900709 -692.069253479699</t>
  </si>
  <si>
    <t>-582.590095061761 111.125163771014 -842.188710992543</t>
  </si>
  <si>
    <t>-540.957004038318 96.4643122883656 -934.029639566178</t>
  </si>
  <si>
    <t>-586.545279439198 150.932842466877 -779.318998915531</t>
  </si>
  <si>
    <t>-546.494973590241 292.041250169881 -768.818002836881</t>
  </si>
  <si>
    <t>-463.558903232543 334.911316040756 -466.378018847118</t>
  </si>
  <si>
    <t>-263.08917866023 264.03623298858 -316.609218543574</t>
  </si>
  <si>
    <t>-593.985185602186 88.1830360969029 -772.212288568943</t>
  </si>
  <si>
    <t>-580.830122278657 284.000709718626 -248.063453513125</t>
  </si>
  <si>
    <t>-573.671331987648 278.12200355367 207.537167416272</t>
  </si>
  <si>
    <t>-609.686954330313 248.603450921721 675.00489842054</t>
  </si>
  <si>
    <t>-450.83897024422 260.873848538071 749.572074567861</t>
  </si>
  <si>
    <t>-567.500770776656 88.7544090686799 -225.859860395142</t>
  </si>
  <si>
    <t>-458.908316795198 78.4125178901138 216.586106319983</t>
  </si>
  <si>
    <t>-618.635161623999 -0.0421189548617349 651.625151410436</t>
  </si>
  <si>
    <t>-463.77428357804 -38.1765489274069 725.836959155326</t>
  </si>
  <si>
    <t>9763-20170724T170055.077754900.bin</t>
  </si>
  <si>
    <t>-574.01365427922 185.883287200459 -237.307081867679</t>
  </si>
  <si>
    <t>-599.127486494003 170.756264661779 -354.815640861354</t>
  </si>
  <si>
    <t>-607.072308147128 156.330403607544 -474.896204162674</t>
  </si>
  <si>
    <t>-607.105881565227 143.24715027513 -583.632954064586</t>
  </si>
  <si>
    <t>-600.095594707155 129.913336888288 -692.113050765396</t>
  </si>
  <si>
    <t>-583.036308813248 110.922572429324 -842.274104541607</t>
  </si>
  <si>
    <t>-541.604454409714 96.3667133129586 -934.222482445873</t>
  </si>
  <si>
    <t>-586.904617644116 150.705298312534 -779.382871451136</t>
  </si>
  <si>
    <t>-546.940912392887 291.820185109331 -768.792503241439</t>
  </si>
  <si>
    <t>-463.581560532702 334.802306019452 -466.484651194051</t>
  </si>
  <si>
    <t>-263.030358486565 264.175250616895 -316.708013998556</t>
  </si>
  <si>
    <t>-594.264388938412 87.9455419733904 -772.281895024884</t>
  </si>
  <si>
    <t>-580.566998320402 283.594416578217 -248.058086320559</t>
  </si>
  <si>
    <t>-573.455484588156 277.808564776029 207.544363412341</t>
  </si>
  <si>
    <t>-609.714483693496 248.540233068022 675.023615564479</t>
  </si>
  <si>
    <t>-450.850469253856 260.774059743079 749.56260077549</t>
  </si>
  <si>
    <t>-567.369799431241 88.2665093317066 -225.930783182118</t>
  </si>
  <si>
    <t>-458.852480131924 77.8787089058496 216.532552870198</t>
  </si>
  <si>
    <t>-618.660141464663 0.0203970748823394 651.672652763065</t>
  </si>
  <si>
    <t>-463.837189980017 -38.3263414096778 725.854146328266</t>
  </si>
  <si>
    <t>9763-20170724T170055.095802900.bin</t>
  </si>
  <si>
    <t>-573.906672357147 185.595616876472 -237.308684660412</t>
  </si>
  <si>
    <t>-599.068950932224 170.481282828079 -354.8085297027</t>
  </si>
  <si>
    <t>-607.12325670949 156.087480134666 -474.885683429228</t>
  </si>
  <si>
    <t>-607.279678299243 143.042756006882 -583.626900888627</t>
  </si>
  <si>
    <t>-600.415100865523 129.758619910461 -692.122423496405</t>
  </si>
  <si>
    <t>-583.581298721277 110.848928985662 -842.319119089452</t>
  </si>
  <si>
    <t>-542.241875597889 96.3560505276744 -934.318953516653</t>
  </si>
  <si>
    <t>-587.363598583955 150.598731357113 -779.401863782217</t>
  </si>
  <si>
    <t>-547.404487717517 291.717356362087 -768.746548095842</t>
  </si>
  <si>
    <t>-463.561703117489 334.571900865109 -466.554495232616</t>
  </si>
  <si>
    <t>-262.853384066955 264.097637540926 -316.916345752394</t>
  </si>
  <si>
    <t>-594.695859794211 87.8330640633444 -772.321619855941</t>
  </si>
  <si>
    <t>-580.445308859278 283.334055865381 -248.035089494461</t>
  </si>
  <si>
    <t>-573.23527365457 277.581985244875 207.566208600445</t>
  </si>
  <si>
    <t>-609.728100871684 248.458305796844 675.052520719761</t>
  </si>
  <si>
    <t>-450.846205396769 260.61169232288 749.566535804681</t>
  </si>
  <si>
    <t>-567.302045082548 87.9577252957338 -225.929644565836</t>
  </si>
  <si>
    <t>-458.716160409671 77.5308296848464 216.515877766813</t>
  </si>
  <si>
    <t>-618.633425076172 -0.0380720281393678 651.657599033535</t>
  </si>
  <si>
    <t>-463.808273524993 -38.2531135614538 725.90242762314</t>
  </si>
  <si>
    <t>9763-20170724T170055.162707700.bin</t>
  </si>
  <si>
    <t>-573.572976922349 184.858660584393 -237.233382813098</t>
  </si>
  <si>
    <t>-598.767604056969 169.691016394928 -354.719494341226</t>
  </si>
  <si>
    <t>-606.928943923397 155.301464112302 -474.789835083206</t>
  </si>
  <si>
    <t>-607.210624095662 142.286471078158 -583.534365824957</t>
  </si>
  <si>
    <t>-600.49834651929 129.059249425146 -692.046360358939</t>
  </si>
  <si>
    <t>-583.902659682737 110.258684696116 -842.283217558787</t>
  </si>
  <si>
    <t>-542.652046968814 95.8171269634051 -934.3311736763</t>
  </si>
  <si>
    <t>-587.568316567878 149.960991051559 -779.32916968708</t>
  </si>
  <si>
    <t>-547.643091327448 291.075524644148 -768.555887065776</t>
  </si>
  <si>
    <t>-462.956784242328 333.365924328559 -466.519556557362</t>
  </si>
  <si>
    <t>-261.845758112748 263.60939695637 -317.085886517958</t>
  </si>
  <si>
    <t>-594.923139513269 87.1938076425408 -772.286953994692</t>
  </si>
  <si>
    <t>-579.998254524924 282.562768465416 -247.979832680461</t>
  </si>
  <si>
    <t>-572.848275052644 277.047823763237 207.625350375743</t>
  </si>
  <si>
    <t>-609.732352639238 248.238552621332 675.092046126876</t>
  </si>
  <si>
    <t>-450.844208799263 260.598206579981 749.558885934384</t>
  </si>
  <si>
    <t>-567.03549246958 87.1932165685826 -225.794937361381</t>
  </si>
  <si>
    <t>-458.260851112147 76.9156447799371 216.607721651664</t>
  </si>
  <si>
    <t>-618.54809434743 -0.151620003020525 651.64385775957</t>
  </si>
  <si>
    <t>-463.81858792413 -38.3916336077816 726.074989611855</t>
  </si>
  <si>
    <t>9763-20170724T170055.196798100.bin</t>
  </si>
  <si>
    <t>-573.393334797615 184.475790891029 -237.188771666398</t>
  </si>
  <si>
    <t>-598.597006633159 169.285344717097 -354.669978525284</t>
  </si>
  <si>
    <t>-606.774834738664 154.89216943424 -474.738799413792</t>
  </si>
  <si>
    <t>-607.073819363188 141.882825961999 -583.484085224955</t>
  </si>
  <si>
    <t>-600.380892750157 128.670872203222 -691.99895302143</t>
  </si>
  <si>
    <t>-583.81374242393 109.902288334709 -842.243046858928</t>
  </si>
  <si>
    <t>-542.583232946646 95.4968435653011 -934.305599493374</t>
  </si>
  <si>
    <t>-587.454358635322 149.589794249781 -779.278271992399</t>
  </si>
  <si>
    <t>-547.488341460366 290.687444796076 -768.47582384372</t>
  </si>
  <si>
    <t>-462.482394262081 332.607147384452 -466.477656261126</t>
  </si>
  <si>
    <t>-261.182946118282 263.525002578722 -316.984438856257</t>
  </si>
  <si>
    <t>-594.833987800325 86.8238846304669 -772.251348518221</t>
  </si>
  <si>
    <t>-579.790025302058 282.241837237215 -247.960580369079</t>
  </si>
  <si>
    <t>-572.70775408137 276.811344394115 207.64673964246</t>
  </si>
  <si>
    <t>-609.739964158411 248.154728459227 675.117771389479</t>
  </si>
  <si>
    <t>-450.835494382929 260.440783998615 749.56184601208</t>
  </si>
  <si>
    <t>-566.894867358717 86.78632498199 -225.715937338434</t>
  </si>
  <si>
    <t>-457.919207594425 76.6384688641629 216.640304234078</t>
  </si>
  <si>
    <t>-618.480102916519 -0.195417392238369 651.609837156049</t>
  </si>
  <si>
    <t>-463.863968076949 -38.5827539457323 726.200558513859</t>
  </si>
  <si>
    <t>9763-20170724T170055.264558700.bin</t>
  </si>
  <si>
    <t>-573.016976575198 183.817813679737 -237.104609409692</t>
  </si>
  <si>
    <t>-598.160356487892 168.596313794989 -354.594740160054</t>
  </si>
  <si>
    <t>-606.348495312692 154.34307001321 -474.679568005899</t>
  </si>
  <si>
    <t>-606.681782859681 141.533267334438 -583.448319766569</t>
  </si>
  <si>
    <t>-600.045181425063 128.59619424625 -691.999941328817</t>
  </si>
  <si>
    <t>-583.576210593936 110.290432246524 -842.311771801953</t>
  </si>
  <si>
    <t>-542.357391474253 96.1174549768032 -934.415634432619</t>
  </si>
  <si>
    <t>-587.194642994871 149.785867244569 -779.225056218488</t>
  </si>
  <si>
    <t>-546.944103104623 290.787995647315 -768.145658173192</t>
  </si>
  <si>
    <t>-461.392623903021 332.363790984796 -466.253947324772</t>
  </si>
  <si>
    <t>-259.911512063625 263.930330639644 -316.706916837176</t>
  </si>
  <si>
    <t>-594.531774940184 86.9945852970002 -772.381903502911</t>
  </si>
  <si>
    <t>-579.350869194448 281.607507484182 -247.948099886355</t>
  </si>
  <si>
    <t>-572.489797381961 276.437273643393 207.665666402486</t>
  </si>
  <si>
    <t>-609.735867332998 248.062060364579 675.127794062545</t>
  </si>
  <si>
    <t>-450.829963832616 260.402940964446 749.559816062318</t>
  </si>
  <si>
    <t>-566.57598949079 86.1643619933755 -225.599489566779</t>
  </si>
  <si>
    <t>-457.468498681629 76.1342495567581 216.726911967294</t>
  </si>
  <si>
    <t>-618.432060045288 -0.151394793437021 651.66667759061</t>
  </si>
  <si>
    <t>-463.928688237551 -38.7479587455721 726.382916060221</t>
  </si>
  <si>
    <t>9763-20170724T170055.297646900.bin</t>
  </si>
  <si>
    <t>-572.850829254654 183.495014698981 -237.054212125358</t>
  </si>
  <si>
    <t>-597.938029155676 168.274412885995 -354.556407814073</t>
  </si>
  <si>
    <t>-606.093393550179 154.042476128337 -474.646077741318</t>
  </si>
  <si>
    <t>-606.406483015721 141.262823810594 -583.41847057068</t>
  </si>
  <si>
    <t>-599.758793510266 128.368408644035 -691.974453299368</t>
  </si>
  <si>
    <t>-583.283443152011 110.136382006055 -842.294537970908</t>
  </si>
  <si>
    <t>-542.039425797219 96.0198846452231 -934.395772643143</t>
  </si>
  <si>
    <t>-586.924182241496 149.602828091323 -779.190940427141</t>
  </si>
  <si>
    <t>-546.672462052712 290.604706716153 -768.012610788034</t>
  </si>
  <si>
    <t>-460.953642837011 331.984724009031 -466.141394644788</t>
  </si>
  <si>
    <t>-259.331538700971 263.761092057697 -316.688718150987</t>
  </si>
  <si>
    <t>-594.222363133969 86.8041746804424 -772.374260304097</t>
  </si>
  <si>
    <t>-579.16143356227 281.312373614351 -247.926865752215</t>
  </si>
  <si>
    <t>-572.398777464797 276.253102232209 207.689585485782</t>
  </si>
  <si>
    <t>-609.769256279587 248.079766071857 675.153125114272</t>
  </si>
  <si>
    <t>-450.841056980419 260.202194334156 749.573475670873</t>
  </si>
  <si>
    <t>-566.452768944692 85.8029909882143 -225.530889316876</t>
  </si>
  <si>
    <t>-457.372145824224 75.9172576891194 216.805327815263</t>
  </si>
  <si>
    <t>-618.477928883759 -0.143580549572107 651.761527639862</t>
  </si>
  <si>
    <t>-463.89015758049 -38.5755837462605 726.38794941071</t>
  </si>
  <si>
    <t>9763-20170724T170055.364536200.bin</t>
  </si>
  <si>
    <t>-572.610707113392 182.823758204353 -236.997037819993</t>
  </si>
  <si>
    <t>-597.612430499924 167.595643473348 -354.516515330379</t>
  </si>
  <si>
    <t>-605.724240386269 153.435794307523 -474.617530933675</t>
  </si>
  <si>
    <t>-606.01359670047 140.75322446111 -583.401431374216</t>
  </si>
  <si>
    <t>-599.356656876899 127.987800514124 -691.97200477758</t>
  </si>
  <si>
    <t>-582.882544641687 109.967883321607 -842.317872861285</t>
  </si>
  <si>
    <t>-541.483747007502 96.0127179685019 -934.37432815678</t>
  </si>
  <si>
    <t>-586.520348518552 149.344811573416 -779.158432843434</t>
  </si>
  <si>
    <t>-545.91812442422 290.227435920532 -767.677877464143</t>
  </si>
  <si>
    <t>-460.424525186766 330.992251624457 -465.659270548105</t>
  </si>
  <si>
    <t>-258.301681735881 263.084310459692 -316.740193637572</t>
  </si>
  <si>
    <t>-593.823414161587 86.5371291181905 -772.430676043395</t>
  </si>
  <si>
    <t>-578.882905966851 280.532656414572 -247.873456181654</t>
  </si>
  <si>
    <t>-572.2007996211 275.758770777174 207.747151087611</t>
  </si>
  <si>
    <t>-609.755413097295 247.861759625659 675.216052922116</t>
  </si>
  <si>
    <t>-450.823181884347 260.187191565545 749.59445584316</t>
  </si>
  <si>
    <t>-566.279004083028 85.2479163416065 -225.422000133437</t>
  </si>
  <si>
    <t>-457.196935068105 75.510407270385 216.917206868402</t>
  </si>
  <si>
    <t>-618.557741097687 0.00718038506897756 651.878265980232</t>
  </si>
  <si>
    <t>-463.954391220985 -38.742000368577 726.30816077281</t>
  </si>
  <si>
    <t>9763-20170724T170055.396620500.bin</t>
  </si>
  <si>
    <t>-572.569532388311 182.448356827636 -237.013442970221</t>
  </si>
  <si>
    <t>-597.49821223802 167.246908488897 -354.551824067168</t>
  </si>
  <si>
    <t>-605.568269618167 153.083405780492 -474.655309045896</t>
  </si>
  <si>
    <t>-605.833785690236 140.386689867813 -583.437620107195</t>
  </si>
  <si>
    <t>-599.167363384263 127.597215705921 -692.004761023069</t>
  </si>
  <si>
    <t>-582.695293859062 109.534184067727 -842.345717594785</t>
  </si>
  <si>
    <t>-541.213257897431 95.5659519961271 -934.362609956464</t>
  </si>
  <si>
    <t>-586.351615597594 148.931488992683 -779.199812246293</t>
  </si>
  <si>
    <t>-545.909542083697 289.850026160332 -767.645993889847</t>
  </si>
  <si>
    <t>-460.473366315524 330.208233961865 -465.55656294117</t>
  </si>
  <si>
    <t>-258.061224356844 262.489982734819 -316.944116375872</t>
  </si>
  <si>
    <t>-593.615713580397 86.1216567074212 -772.449294902466</t>
  </si>
  <si>
    <t>-578.849396436863 280.088844670517 -247.843632772903</t>
  </si>
  <si>
    <t>-572.15716278096 275.425611557791 207.77801241969</t>
  </si>
  <si>
    <t>-609.743406509132 247.642301180606 675.280958886924</t>
  </si>
  <si>
    <t>-450.804286491762 260.23751078056 749.599401696873</t>
  </si>
  <si>
    <t>-566.246341021907 84.945501388258 -225.466830570152</t>
  </si>
  <si>
    <t>-457.265531554256 75.220394653684 216.897543440838</t>
  </si>
  <si>
    <t>-618.579568978938 0.0727097740928002 651.920788022354</t>
  </si>
  <si>
    <t>-463.949951525324 -38.6631866307166 726.303023274534</t>
  </si>
  <si>
    <t>9763-20170724T170055.466713000.bin</t>
  </si>
  <si>
    <t>-572.613620161846 181.853325838762 -236.937935281497</t>
  </si>
  <si>
    <t>-597.431849334254 166.634405550547 -354.49752662862</t>
  </si>
  <si>
    <t>-605.344363746024 152.371979695185 -474.599580913989</t>
  </si>
  <si>
    <t>-605.451076030071 139.554113122282 -583.367988961894</t>
  </si>
  <si>
    <t>-598.611353695584 126.611852785885 -691.906299367187</t>
  </si>
  <si>
    <t>-581.884833759681 108.304235037541 -842.189452144411</t>
  </si>
  <si>
    <t>-540.212287060382 94.3729620885088 -934.125933242637</t>
  </si>
  <si>
    <t>-585.710439316574 147.810471852175 -779.121785700498</t>
  </si>
  <si>
    <t>-545.728357487777 288.850730027411 -767.571237848224</t>
  </si>
  <si>
    <t>-460.695339541946 329.362075439733 -465.388374804927</t>
  </si>
  <si>
    <t>-258.009716180944 259.559384256429 -318.119399836139</t>
  </si>
  <si>
    <t>-592.861152262902 84.9990907277759 -772.265840363</t>
  </si>
  <si>
    <t>-579.005578646314 279.459653683307 -247.769300092111</t>
  </si>
  <si>
    <t>-572.42563333958 275.061957039794 207.856750728844</t>
  </si>
  <si>
    <t>-609.794396449096 247.541478305191 675.366719652527</t>
  </si>
  <si>
    <t>-450.817064794044 260.158938651206 749.59970260526</t>
  </si>
  <si>
    <t>-566.142101859351 84.3522491225456 -225.395388493692</t>
  </si>
  <si>
    <t>-457.135259689221 74.6297360552026 216.962697672611</t>
  </si>
  <si>
    <t>-618.620301103793 0.0913159685194387 652.020754369519</t>
  </si>
  <si>
    <t>-463.955583970877 -38.6483556656115 726.328061711762</t>
  </si>
  <si>
    <t>9763-20170724T170055.498797600.bin</t>
  </si>
  <si>
    <t>-572.668287607264 181.555334423705 -236.918731582757</t>
  </si>
  <si>
    <t>-597.435265320706 166.292784380973 -354.483447206047</t>
  </si>
  <si>
    <t>-605.286133026393 151.95555072992 -474.58069774813</t>
  </si>
  <si>
    <t>-605.333940720366 139.053041449698 -583.339078898178</t>
  </si>
  <si>
    <t>-598.432982332316 126.006571090545 -691.861101495769</t>
  </si>
  <si>
    <t>-581.620053778069 107.530848325372 -842.113968493029</t>
  </si>
  <si>
    <t>-539.846832720038 93.6037931138533 -934.005442265851</t>
  </si>
  <si>
    <t>-585.472587667652 147.106611091089 -779.091532330106</t>
  </si>
  <si>
    <t>-545.511941827882 288.171942034163 -767.637492829535</t>
  </si>
  <si>
    <t>-460.992210159325 329.069098042329 -465.362785228925</t>
  </si>
  <si>
    <t>-258.758203849329 256.238180397395 -318.941722167893</t>
  </si>
  <si>
    <t>-592.645918817576 84.3049274569805 -772.171865734481</t>
  </si>
  <si>
    <t>-579.210959610916 279.146723524333 -247.749963553989</t>
  </si>
  <si>
    <t>-572.668857990317 274.906188302237 207.878093665087</t>
  </si>
  <si>
    <t>-609.796413712119 247.416737346954 675.412293295345</t>
  </si>
  <si>
    <t>-450.807549896809 260.176334673963 749.596165834521</t>
  </si>
  <si>
    <t>-566.031705068635 84.0599888590125 -225.381237190347</t>
  </si>
  <si>
    <t>-457.08123173604 74.4252108022424 216.992621478952</t>
  </si>
  <si>
    <t>-618.633396243038 -0.045124696453513 652.053270608696</t>
  </si>
  <si>
    <t>-463.904207054109 -38.6115160489296 726.316478459363</t>
  </si>
  <si>
    <t>9763-20170724T170055.565692900.bin</t>
  </si>
  <si>
    <t>-572.769850596285 181.247071499084 -236.908634791612</t>
  </si>
  <si>
    <t>-597.440903012209 165.909593637954 -354.483792353805</t>
  </si>
  <si>
    <t>-605.27649316127 151.299290519054 -474.549252460207</t>
  </si>
  <si>
    <t>-605.348373079539 138.061393588941 -583.267204356972</t>
  </si>
  <si>
    <t>-598.512715894739 124.585650169446 -691.740910949239</t>
  </si>
  <si>
    <t>-581.836712230197 105.411211321217 -841.921597613379</t>
  </si>
  <si>
    <t>-539.986929242034 91.2852478561033 -933.747723201416</t>
  </si>
  <si>
    <t>-585.568532560049 145.273345077481 -779.07262700794</t>
  </si>
  <si>
    <t>-545.697529545546 286.399661119538 -768.181909624602</t>
  </si>
  <si>
    <t>-461.99618532408 326.996355378269 -465.639126402553</t>
  </si>
  <si>
    <t>-262.856906089477 240.88319787924 -322.216279718827</t>
  </si>
  <si>
    <t>-592.862086285158 82.5173604925806 -771.869958117077</t>
  </si>
  <si>
    <t>-579.642382663232 278.77273334632 -247.743230544035</t>
  </si>
  <si>
    <t>-573.233330130681 274.740093280936 207.888554719983</t>
  </si>
  <si>
    <t>-609.839596313978 247.396540285389 675.461877182368</t>
  </si>
  <si>
    <t>-450.818720668468 260.109975759199 749.584885117241</t>
  </si>
  <si>
    <t>-565.782831216596 83.8045090846836 -225.379725747031</t>
  </si>
  <si>
    <t>-457.083552976081 74.5434744627323 217.063857294351</t>
  </si>
  <si>
    <t>-618.653702473715 0.156637451296092 652.097071895145</t>
  </si>
  <si>
    <t>-463.926980899003 -38.5874391593561 726.272846336871</t>
  </si>
  <si>
    <t>9763-20170724T170055.597778300.bin</t>
  </si>
  <si>
    <t>-572.850580670092 181.186106586599 -236.880194815907</t>
  </si>
  <si>
    <t>-597.500265054192 165.795024238925 -354.452896618375</t>
  </si>
  <si>
    <t>-605.366370181519 151.021695418736 -474.496327457786</t>
  </si>
  <si>
    <t>-605.48952354398 137.589069552749 -583.190384245961</t>
  </si>
  <si>
    <t>-598.730672951886 123.868830178272 -691.638210796612</t>
  </si>
  <si>
    <t>-582.189444653887 104.301277262396 -841.783087410038</t>
  </si>
  <si>
    <t>-540.339398895331 90.0537239381724 -933.590248171463</t>
  </si>
  <si>
    <t>-585.819336263654 144.323175101725 -779.029793437066</t>
  </si>
  <si>
    <t>-545.949748694748 285.453594689609 -768.34622383555</t>
  </si>
  <si>
    <t>-462.040057431417 326.263800920232 -465.889852674764</t>
  </si>
  <si>
    <t>-264.703839732487 231.581923179806 -325.405619868168</t>
  </si>
  <si>
    <t>-593.197539639884 81.595420424577 -771.667486499224</t>
  </si>
  <si>
    <t>-579.833487418278 278.702770204855 -247.748284843203</t>
  </si>
  <si>
    <t>-573.483365915098 274.752009937215 207.885149105628</t>
  </si>
  <si>
    <t>-609.861162869938 247.428660200954 675.470689514673</t>
  </si>
  <si>
    <t>-450.839131292635 260.202673937207 749.580872634064</t>
  </si>
  <si>
    <t>-565.786700801611 83.7704610410444 -225.335568306616</t>
  </si>
  <si>
    <t>-457.057990741365 74.566849517832 217.102041235947</t>
  </si>
  <si>
    <t>-618.660452560099 0.0934887716300636 652.115481268703</t>
  </si>
  <si>
    <t>-463.856330538396 -38.4433143981926 726.237753391934</t>
  </si>
  <si>
    <t>9763-20170724T170055.666969100.bin</t>
  </si>
  <si>
    <t>-572.608057897438 181.122658796833 -236.80257090011</t>
  </si>
  <si>
    <t>-597.286554495428 165.631852958234 -354.356070092558</t>
  </si>
  <si>
    <t>-605.180297310266 150.657981997775 -474.372868729699</t>
  </si>
  <si>
    <t>-605.330285067983 136.995893912686 -583.038271388967</t>
  </si>
  <si>
    <t>-598.602119735557 122.994344975007 -691.452011565697</t>
  </si>
  <si>
    <t>-582.109677735697 102.977930357168 -841.543050710251</t>
  </si>
  <si>
    <t>-540.234264738421 88.5325611053756 -933.3077816777</t>
  </si>
  <si>
    <t>-585.555291100561 143.170040380312 -778.88819938392</t>
  </si>
  <si>
    <t>-544.776992822855 284.119006946471 -768.571616339825</t>
  </si>
  <si>
    <t>-461.000882349798 328.415893506408 -466.569080713975</t>
  </si>
  <si>
    <t>-265.353008031945 228.977360966301 -327.012784073655</t>
  </si>
  <si>
    <t>-593.258849468838 80.4991247076532 -771.376746961826</t>
  </si>
  <si>
    <t>-579.393885824313 278.554157870657 -247.814632635465</t>
  </si>
  <si>
    <t>-573.532460169298 274.773740905894 207.826709674095</t>
  </si>
  <si>
    <t>-609.863195616505 247.562365148414 675.40612338781</t>
  </si>
  <si>
    <t>-450.876961372433 260.386246866503 749.584532326639</t>
  </si>
  <si>
    <t>-565.678971885378 83.6942372022415 -225.135750736487</t>
  </si>
  <si>
    <t>-456.686914585498 74.7195974876852 217.241798974664</t>
  </si>
  <si>
    <t>-618.670086700422 0.311232088787165 652.105034707951</t>
  </si>
  <si>
    <t>-463.882762744825 -38.4379204675247 726.15167069882</t>
  </si>
  <si>
    <t>9763-20170724T170055.696049400.bin</t>
  </si>
  <si>
    <t>-572.374566503315 181.037445598937 -236.827098780931</t>
  </si>
  <si>
    <t>-597.142627924992 165.513034410119 -354.357343352657</t>
  </si>
  <si>
    <t>-605.087498699333 150.425412086318 -474.356505146516</t>
  </si>
  <si>
    <t>-605.269574351537 136.625795175457 -583.004477990416</t>
  </si>
  <si>
    <t>-598.560579759432 122.450963271259 -691.396823618109</t>
  </si>
  <si>
    <t>-582.082986003036 102.15487192221 -841.452048192344</t>
  </si>
  <si>
    <t>-540.190554309995 87.5191647826448 -933.178883086523</t>
  </si>
  <si>
    <t>-585.44429760005 142.455140860489 -778.862040838449</t>
  </si>
  <si>
    <t>-544.306077267404 283.291903327337 -768.79281538631</t>
  </si>
  <si>
    <t>-460.710822205016 327.339796338318 -466.703717779046</t>
  </si>
  <si>
    <t>-266.335238737863 229.876851750535 -324.011136818161</t>
  </si>
  <si>
    <t>-593.303291615829 79.8154949710206 -771.252574068594</t>
  </si>
  <si>
    <t>-579.052523881702 278.487430338767 -247.871116179524</t>
  </si>
  <si>
    <t>-573.326400788844 274.766705225273 207.772458187257</t>
  </si>
  <si>
    <t>-609.855190831641 247.611549637568 675.367438816033</t>
  </si>
  <si>
    <t>-450.873253178271 260.192755378629 749.596590812309</t>
  </si>
  <si>
    <t>-565.612624453436 83.6160056198673 -225.092846053859</t>
  </si>
  <si>
    <t>-456.471841205475 74.7684792901759 217.250501280325</t>
  </si>
  <si>
    <t>-618.640425120703 0.372966963887393 652.048960554128</t>
  </si>
  <si>
    <t>-463.832108010274 -38.2940827077562 726.094546306901</t>
  </si>
  <si>
    <t>9763-20170724T170055.767868700.bin</t>
  </si>
  <si>
    <t>-571.823735869583 180.658060208287 -236.905261620821</t>
  </si>
  <si>
    <t>-596.677363688962 165.203126531673 -354.426514976868</t>
  </si>
  <si>
    <t>-604.715581136736 149.986605205547 -474.403262565867</t>
  </si>
  <si>
    <t>-604.98968581606 135.991289396713 -583.026014702357</t>
  </si>
  <si>
    <t>-598.383109609637 121.54293866988 -691.388555394685</t>
  </si>
  <si>
    <t>-582.061058574565 100.786579368194 -841.397785286749</t>
  </si>
  <si>
    <t>-540.199521981855 85.8239008916742 -933.085990697594</t>
  </si>
  <si>
    <t>-585.344569603988 141.277208191623 -778.926694980247</t>
  </si>
  <si>
    <t>-544.116989418456 282.076005647682 -768.985633948025</t>
  </si>
  <si>
    <t>-459.800671605542 326.198879746612 -467.108056063867</t>
  </si>
  <si>
    <t>-269.532990856172 230.070043224638 -318.112973093523</t>
  </si>
  <si>
    <t>-593.221560186561 78.6639582809767 -771.12016554045</t>
  </si>
  <si>
    <t>-578.388183035841 278.058714415224 -247.880198558951</t>
  </si>
  <si>
    <t>-572.419063695222 274.388130014064 207.760564106861</t>
  </si>
  <si>
    <t>-609.81149338798 247.378436967678 675.359651868882</t>
  </si>
  <si>
    <t>-450.858662383083 260.264703062516 749.598831911432</t>
  </si>
  <si>
    <t>-565.185583735289 83.4538961141895 -225.285371666402</t>
  </si>
  <si>
    <t>-456.309148518932 74.4579637861129 217.120135658467</t>
  </si>
  <si>
    <t>-618.564560693275 0.357030908099887 651.992801533568</t>
  </si>
  <si>
    <t>-463.77058052518 -38.2724274021145 726.08795793324</t>
  </si>
  <si>
    <t>9763-20170724T170055.795949700.bin</t>
  </si>
  <si>
    <t>-571.653255390663 180.656083070477 -236.910315096818</t>
  </si>
  <si>
    <t>-596.536864333085 165.258067133844 -354.432765593812</t>
  </si>
  <si>
    <t>-604.590332288077 150.028499920035 -474.40670691486</t>
  </si>
  <si>
    <t>-604.873916632914 135.994662886095 -583.02452198551</t>
  </si>
  <si>
    <t>-598.273333049319 121.481970048422 -691.378929127644</t>
  </si>
  <si>
    <t>-581.95695579542 100.609980307336 -841.372675491461</t>
  </si>
  <si>
    <t>-540.073108920636 85.5652673539853 -933.03717650309</t>
  </si>
  <si>
    <t>-585.309268206749 141.156562491117 -778.941355546198</t>
  </si>
  <si>
    <t>-544.279070227513 282.01196771637 -768.99392414294</t>
  </si>
  <si>
    <t>-459.571396961389 326.9562021214 -467.347150614171</t>
  </si>
  <si>
    <t>-270.511559662693 228.309085791721 -318.460736690286</t>
  </si>
  <si>
    <t>-593.04358943713 78.533845555698 -771.068592962821</t>
  </si>
  <si>
    <t>-578.328787839868 277.980621676367 -247.811579565809</t>
  </si>
  <si>
    <t>-572.094338450523 274.319380235742 207.825731695677</t>
  </si>
  <si>
    <t>-609.832711816631 247.352240938399 675.378077067884</t>
  </si>
  <si>
    <t>-450.86587551791 260.135623641942 749.605064327054</t>
  </si>
  <si>
    <t>-564.958218825855 83.5818148940537 -225.371397280335</t>
  </si>
  <si>
    <t>-456.336731837283 74.400292728626 217.092939525215</t>
  </si>
  <si>
    <t>-618.544511400919 0.437688490264236 652.001174054368</t>
  </si>
  <si>
    <t>-463.785614886832 -38.2901702854374 726.118308619055</t>
  </si>
  <si>
    <t>9763-20170724T170055.861121100.bin</t>
  </si>
  <si>
    <t>-571.27686017346 180.918384973466 -236.892849755285</t>
  </si>
  <si>
    <t>-596.077564921591 165.490500786047 -354.428953009334</t>
  </si>
  <si>
    <t>-603.892082788791 150.077726431704 -474.395286319274</t>
  </si>
  <si>
    <t>-603.900936673387 135.819191426841 -582.98422686704</t>
  </si>
  <si>
    <t>-596.970326468844 121.023427312728 -691.279599179147</t>
  </si>
  <si>
    <t>-580.140834727071 99.6986438925992 -841.153030755886</t>
  </si>
  <si>
    <t>-537.977698234104 84.5084612146418 -932.665392820079</t>
  </si>
  <si>
    <t>-583.903384644373 140.454047500634 -778.881328248742</t>
  </si>
  <si>
    <t>-544.088171190383 281.644292356023 -769.263594121666</t>
  </si>
  <si>
    <t>-459.610083722784 327.980981221599 -467.76313962229</t>
  </si>
  <si>
    <t>-270.237565686448 228.17397986407 -320.051702116511</t>
  </si>
  <si>
    <t>-591.271372151229 77.81425342583 -770.796136050403</t>
  </si>
  <si>
    <t>-578.314351342441 278.057792862767 -247.709380859625</t>
  </si>
  <si>
    <t>-571.800121296812 274.345730942106 207.923732243552</t>
  </si>
  <si>
    <t>-609.784370045636 247.103284312026 675.407902056985</t>
  </si>
  <si>
    <t>-450.851332569941 260.455956785639 749.607012702762</t>
  </si>
  <si>
    <t>-564.085299941846 83.8869752315281 -225.389799880805</t>
  </si>
  <si>
    <t>-456.167787977284 74.4352639601836 217.24110819272</t>
  </si>
  <si>
    <t>-618.508166091895 0.225564398429924 652.021531114668</t>
  </si>
  <si>
    <t>-463.67736294055 -38.1840687364854 726.154084536635</t>
  </si>
  <si>
    <t>9763-20170724T170055.896242500.bin</t>
  </si>
  <si>
    <t>-571.039409076244 181.285617775039 -236.873029865972</t>
  </si>
  <si>
    <t>-595.815428656622 165.785286222157 -354.404622736785</t>
  </si>
  <si>
    <t>-603.495061015841 150.349055599713 -474.376807197621</t>
  </si>
  <si>
    <t>-603.336442166241 136.08602461953 -582.965014299639</t>
  </si>
  <si>
    <t>-596.193061313201 121.29948344301 -691.247886606499</t>
  </si>
  <si>
    <t>-579.021214517834 99.999914437019 -841.086001442364</t>
  </si>
  <si>
    <t>-536.599955553076 84.8591931509241 -932.487142335065</t>
  </si>
  <si>
    <t>-582.979561346767 140.750264528074 -778.823217489087</t>
  </si>
  <si>
    <t>-543.543612140762 282.060812044881 -769.286559289515</t>
  </si>
  <si>
    <t>-460.024604070147 328.381484217894 -467.516635902082</t>
  </si>
  <si>
    <t>-270.193319194525 228.75759757607 -320.271171586111</t>
  </si>
  <si>
    <t>-590.258868222316 78.0984044780694 -770.751337034367</t>
  </si>
  <si>
    <t>-578.305164770157 278.374170511472 -247.703374504156</t>
  </si>
  <si>
    <t>-571.824276158016 274.583250812069 207.929468741768</t>
  </si>
  <si>
    <t>-609.779226970781 247.138070576845 675.380871457869</t>
  </si>
  <si>
    <t>-450.858732721517 260.490945747752 749.606797031701</t>
  </si>
  <si>
    <t>-563.664662067931 84.2869888718185 -225.334051294897</t>
  </si>
  <si>
    <t>-455.952595632206 74.7552620577651 217.34520906242</t>
  </si>
  <si>
    <t>-618.441986503051 0.161155259480438 651.948077942765</t>
  </si>
  <si>
    <t>-463.572643383992 -37.9987164756869 726.129100608969</t>
  </si>
  <si>
    <t>9763-20170724T170055.977440300.bin</t>
  </si>
  <si>
    <t>-570.896596018148 182.322717745154 -236.900344567436</t>
  </si>
  <si>
    <t>-595.551767620824 166.700806520258 -354.441317185184</t>
  </si>
  <si>
    <t>-602.986001481649 151.385959636335 -474.444466526731</t>
  </si>
  <si>
    <t>-602.550083538766 137.32412692837 -583.058148962981</t>
  </si>
  <si>
    <t>-595.071759303871 122.825414328721 -691.357307928848</t>
  </si>
  <si>
    <t>-577.372861005966 102.011878565229 -841.202367792395</t>
  </si>
  <si>
    <t>-534.439298259103 86.9990368033166 -932.385178779671</t>
  </si>
  <si>
    <t>-581.587339317494 142.563597352163 -778.82681820342</t>
  </si>
  <si>
    <t>-542.399048779469 283.968548443025 -769.003160673647</t>
  </si>
  <si>
    <t>-461.322717041479 330.023790513242 -466.527077520554</t>
  </si>
  <si>
    <t>-270.611427392529 227.27914682386 -322.600680763037</t>
  </si>
  <si>
    <t>-588.820853661192 79.8786679614409 -770.974190469874</t>
  </si>
  <si>
    <t>-578.492237649611 279.352555573594 -247.796230207678</t>
  </si>
  <si>
    <t>-572.09185267914 275.278966041932 207.835330324742</t>
  </si>
  <si>
    <t>-609.774323069488 247.27737459875 675.302654333194</t>
  </si>
  <si>
    <t>-450.881403542827 260.58466276866 749.595736873347</t>
  </si>
  <si>
    <t>-563.147650777194 85.3415983529683 -225.364239094871</t>
  </si>
  <si>
    <t>-455.851495798391 75.7670426077782 217.415026968924</t>
  </si>
  <si>
    <t>-618.328909335255 0.266478400140841 651.855173496772</t>
  </si>
  <si>
    <t>-463.505453513433 -37.9593147043929 726.097979457943</t>
  </si>
  <si>
    <t>9763-20170724T170055.997493600.bin</t>
  </si>
  <si>
    <t>-570.96098484185 182.729210029642 -236.885231249456</t>
  </si>
  <si>
    <t>-595.651332657353 167.072205792108 -354.414038079706</t>
  </si>
  <si>
    <t>-603.029095758642 151.739910479962 -474.418612513755</t>
  </si>
  <si>
    <t>-602.504559877003 137.668191180492 -583.030507242847</t>
  </si>
  <si>
    <t>-594.900109051018 123.165435057554 -691.320412564399</t>
  </si>
  <si>
    <t>-576.987251006891 102.351601622876 -841.140074713132</t>
  </si>
  <si>
    <t>-533.88481883541 87.2892000695599 -932.234963234292</t>
  </si>
  <si>
    <t>-581.308903443229 142.905312785816 -778.773046948832</t>
  </si>
  <si>
    <t>-542.349457681457 284.391779424539 -768.947292786874</t>
  </si>
  <si>
    <t>-462.099173368787 331.004099854648 -466.336329646561</t>
  </si>
  <si>
    <t>-271.365833047292 224.694168735246 -325.052827411552</t>
  </si>
  <si>
    <t>-588.51734494199 80.2168088301326 -770.925850943647</t>
  </si>
  <si>
    <t>-578.641051960765 279.768203608482 -247.818649057881</t>
  </si>
  <si>
    <t>-572.269767675954 275.598987859692 207.812414064978</t>
  </si>
  <si>
    <t>-609.789414116322 247.389125355171 675.268747558582</t>
  </si>
  <si>
    <t>-450.906423371708 260.61496970024 749.597682986623</t>
  </si>
  <si>
    <t>-563.178215062999 85.6776397954952 -225.334536996351</t>
  </si>
  <si>
    <t>-455.84205323886 76.1422786381836 217.435959791945</t>
  </si>
  <si>
    <t>-618.296459156569 0.305450882435707 651.830591596974</t>
  </si>
  <si>
    <t>-463.483358139996 -37.9271239207378 726.091526660131</t>
  </si>
  <si>
    <t>9763-20170724T170056.063696100.bin</t>
  </si>
  <si>
    <t>-571.53585631104 183.299975533132 -236.990384496338</t>
  </si>
  <si>
    <t>-596.34541422734 167.685108581956 -354.49980440021</t>
  </si>
  <si>
    <t>-603.599806411167 152.320718455248 -474.507661852313</t>
  </si>
  <si>
    <t>-602.866866616861 138.186453183119 -583.110283562868</t>
  </si>
  <si>
    <t>-594.959671662183 123.584648084326 -691.365097380285</t>
  </si>
  <si>
    <t>-576.530760254622 102.5934863416 -841.09741891882</t>
  </si>
  <si>
    <t>-533.098915566777 87.3911911526009 -932.012488194983</t>
  </si>
  <si>
    <t>-581.062340452018 143.220634744868 -778.793147791179</t>
  </si>
  <si>
    <t>-542.45475978358 284.751468908953 -769.049894648953</t>
  </si>
  <si>
    <t>-464.793668420448 331.562461885007 -465.794696467055</t>
  </si>
  <si>
    <t>-272.248599866938 220.501476394317 -330.761720598317</t>
  </si>
  <si>
    <t>-588.307600411118 80.5423097180574 -770.897874001663</t>
  </si>
  <si>
    <t>-579.206349988846 280.480435423761 -247.878351322158</t>
  </si>
  <si>
    <t>-572.651558482011 276.049146356004 207.747687963841</t>
  </si>
  <si>
    <t>-609.82147408935 247.574379207054 675.227278291037</t>
  </si>
  <si>
    <t>-450.943978976297 260.586977942815 749.605539490519</t>
  </si>
  <si>
    <t>-563.824624749553 86.1935515701764 -225.421311862219</t>
  </si>
  <si>
    <t>-456.10832792932 76.396072997074 217.251153786976</t>
  </si>
  <si>
    <t>-618.267261042396 0.316749066742204 651.785631037236</t>
  </si>
  <si>
    <t>-463.474815604963 -37.9583041811097 726.067755472472</t>
  </si>
  <si>
    <t>9763-20170724T170056.097781400.bin</t>
  </si>
  <si>
    <t>-571.904144274986 183.564545871712 -237.047691822105</t>
  </si>
  <si>
    <t>-596.76587237878 167.994697114515 -354.552172513766</t>
  </si>
  <si>
    <t>-603.977263126873 152.679949690232 -474.568853488401</t>
  </si>
  <si>
    <t>-603.166713309718 138.59106708992 -583.176761150503</t>
  </si>
  <si>
    <t>-595.143297201349 124.035619122333 -691.429436833321</t>
  </si>
  <si>
    <t>-576.513395544592 103.108635540105 -841.145789786744</t>
  </si>
  <si>
    <t>-532.901954291978 87.9040702621587 -931.97446587559</t>
  </si>
  <si>
    <t>-581.138750101966 143.710111281481 -778.831628347493</t>
  </si>
  <si>
    <t>-542.590361602156 285.27874029142 -769.032614561713</t>
  </si>
  <si>
    <t>-465.763133234213 332.095886256212 -465.566135059252</t>
  </si>
  <si>
    <t>-272.342743432543 219.959858079753 -332.689722035639</t>
  </si>
  <si>
    <t>-588.374351222915 81.0263099561857 -770.970280373059</t>
  </si>
  <si>
    <t>-579.513958114653 280.71337419906 -247.902612759374</t>
  </si>
  <si>
    <t>-572.844915807425 276.198808610664 207.720917468861</t>
  </si>
  <si>
    <t>-609.826313606503 247.591323973223 675.212944721754</t>
  </si>
  <si>
    <t>-450.950448560072 260.552336264774 749.603732340018</t>
  </si>
  <si>
    <t>-564.197904571314 86.5164643408723 -225.506565610779</t>
  </si>
  <si>
    <t>-456.390776731216 76.515652004533 217.139160702515</t>
  </si>
  <si>
    <t>-618.256569095616 0.392184137689583 651.76186619575</t>
  </si>
  <si>
    <t>-463.486401547468 -37.9495429853323 726.055995589294</t>
  </si>
  <si>
    <t>9763-20170724T170056.162623500.bin</t>
  </si>
  <si>
    <t>-572.674105135064 183.836522494266 -237.070068255301</t>
  </si>
  <si>
    <t>-597.658562292446 168.305153087735 -354.553483587467</t>
  </si>
  <si>
    <t>-604.800761878581 152.979778973081 -474.573055938768</t>
  </si>
  <si>
    <t>-603.850593276379 138.8587764601 -583.17577234122</t>
  </si>
  <si>
    <t>-595.612267745415 124.246578659976 -691.404515538155</t>
  </si>
  <si>
    <t>-576.60736712005 103.213886689743 -841.05893788268</t>
  </si>
  <si>
    <t>-532.7031130474 87.9594978464238 -931.738160310821</t>
  </si>
  <si>
    <t>-581.384314819534 143.858868865911 -778.784526708627</t>
  </si>
  <si>
    <t>-543.105113064482 285.492266677366 -768.932236629086</t>
  </si>
  <si>
    <t>-467.372595600471 332.879488531123 -465.279043264409</t>
  </si>
  <si>
    <t>-272.355849434941 220.409395297182 -335.044528170908</t>
  </si>
  <si>
    <t>-588.648608135018 81.1814440243124 -770.898384314693</t>
  </si>
  <si>
    <t>-580.275400779025 281.084779858043 -247.901933896982</t>
  </si>
  <si>
    <t>-573.310488547211 276.372048514683 207.71524029793</t>
  </si>
  <si>
    <t>-609.86788546095 247.644442674516 675.221836553574</t>
  </si>
  <si>
    <t>-450.982951002663 260.587811105653 749.596167169981</t>
  </si>
  <si>
    <t>-564.996357148273 86.6583727534601 -225.560875753363</t>
  </si>
  <si>
    <t>-456.843302212191 76.7243954980552 217.002037972836</t>
  </si>
  <si>
    <t>-618.25033688869 0.323617870480803 651.749027085213</t>
  </si>
  <si>
    <t>-463.395995800978 -37.74387991399 726.008775200852</t>
  </si>
  <si>
    <t>9763-20170724T170056.194707400.bin</t>
  </si>
  <si>
    <t>-573.080673205524 183.948399185146 -237.05486639083</t>
  </si>
  <si>
    <t>-598.102487570435 168.436042115349 -354.532858709202</t>
  </si>
  <si>
    <t>-605.168947350713 153.09898686889 -474.555403340615</t>
  </si>
  <si>
    <t>-604.105320410635 138.951436431531 -583.153494389836</t>
  </si>
  <si>
    <t>-595.709804843804 124.294707918625 -691.364283951159</t>
  </si>
  <si>
    <t>-576.442537141348 103.179808327115 -840.973451464996</t>
  </si>
  <si>
    <t>-532.433041482283 87.9139473929395 -931.599623540498</t>
  </si>
  <si>
    <t>-581.297215275157 143.855913522902 -778.725552188529</t>
  </si>
  <si>
    <t>-542.961426189025 285.478004004551 -768.872031025891</t>
  </si>
  <si>
    <t>-467.750618267306 333.264812859219 -465.151837861843</t>
  </si>
  <si>
    <t>-272.292322380223 222.049489309323 -334.502393792671</t>
  </si>
  <si>
    <t>-588.638150343551 81.1892336552676 -770.826608651825</t>
  </si>
  <si>
    <t>-580.608118700624 281.252972342896 -247.888060437544</t>
  </si>
  <si>
    <t>-573.642113262179 276.474140407003 207.728306686675</t>
  </si>
  <si>
    <t>-609.883877170877 247.636270692431 675.235210044315</t>
  </si>
  <si>
    <t>-450.985674008551 260.502846420864 749.594651968334</t>
  </si>
  <si>
    <t>-565.456650400541 86.7070747501066 -225.552456491048</t>
  </si>
  <si>
    <t>-456.980754489011 76.7617895515707 216.931214245999</t>
  </si>
  <si>
    <t>-618.256310818936 0.288958166500834 651.746996874697</t>
  </si>
  <si>
    <t>-463.392953067884 -37.7832791963463 725.98550374287</t>
  </si>
  <si>
    <t>9763-20170724T170056.262919000.bin</t>
  </si>
  <si>
    <t>-573.75349830594 184.294605489171 -237.025757040681</t>
  </si>
  <si>
    <t>-598.839658025561 168.770791756335 -354.488514449963</t>
  </si>
  <si>
    <t>-605.776571177699 153.412804743495 -474.515930039122</t>
  </si>
  <si>
    <t>-604.517607277779 139.236110764693 -583.108283615244</t>
  </si>
  <si>
    <t>-595.850122486523 124.536871048593 -691.291617402279</t>
  </si>
  <si>
    <t>-576.127354455499 103.345713810644 -840.830778971687</t>
  </si>
  <si>
    <t>-531.886618131443 88.0427310084092 -931.338033986367</t>
  </si>
  <si>
    <t>-581.085624852273 144.044876767239 -778.606091764807</t>
  </si>
  <si>
    <t>-542.445933812846 285.583093412093 -768.757354528245</t>
  </si>
  <si>
    <t>-468.099700107946 334.580785359148 -465.017206702449</t>
  </si>
  <si>
    <t>-271.78544255976 226.679713186144 -332.880572863202</t>
  </si>
  <si>
    <t>-588.622521929832 81.3994531512017 -770.722567988162</t>
  </si>
  <si>
    <t>-581.164100074333 281.742157512474 -247.905866659399</t>
  </si>
  <si>
    <t>-574.367388254577 276.806425317923 207.711388150736</t>
  </si>
  <si>
    <t>-609.957961360933 247.848527097103 675.224675307183</t>
  </si>
  <si>
    <t>-451.032963920612 260.314578151851 749.595045288517</t>
  </si>
  <si>
    <t>-566.244850588877 86.9086347161326 -225.47253238301</t>
  </si>
  <si>
    <t>-457.144291429841 76.8342076707763 216.854521181062</t>
  </si>
  <si>
    <t>-618.274424952474 0.322722220127616 651.731685653974</t>
  </si>
  <si>
    <t>-463.455753875567 -37.9640639210506 725.953120450243</t>
  </si>
  <si>
    <t>9763-20170724T170056.299016400.bin</t>
  </si>
  <si>
    <t>-574.046788201176 184.440124326517 -237.040992718741</t>
  </si>
  <si>
    <t>-599.187570066102 168.924185792245 -354.49305343069</t>
  </si>
  <si>
    <t>-606.084372029309 153.569450284049 -474.523293973339</t>
  </si>
  <si>
    <t>-604.750755338888 139.391525620001 -583.114560624451</t>
  </si>
  <si>
    <t>-595.9707983124 124.686082553257 -691.28811092399</t>
  </si>
  <si>
    <t>-576.053185391718 103.480236480922 -840.799267183026</t>
  </si>
  <si>
    <t>-531.725427667311 88.1555107518502 -931.260281865868</t>
  </si>
  <si>
    <t>-581.052869608835 144.181451422494 -778.579169844902</t>
  </si>
  <si>
    <t>-542.270172430833 285.686369762512 -768.713723733965</t>
  </si>
  <si>
    <t>-468.355051799122 335.29109501723 -464.966855169535</t>
  </si>
  <si>
    <t>-271.693376230706 229.028840106471 -332.021113131472</t>
  </si>
  <si>
    <t>-588.679358486865 81.5448283162586 -770.711179703584</t>
  </si>
  <si>
    <t>-581.373539480904 281.964211061013 -247.943311477578</t>
  </si>
  <si>
    <t>-574.625673729057 276.928817911293 207.673623466643</t>
  </si>
  <si>
    <t>-609.962575830449 247.892261435099 675.206212991257</t>
  </si>
  <si>
    <t>-451.040030107147 260.284314337465 749.594142924323</t>
  </si>
  <si>
    <t>-566.646131582329 87.0153393503278 -225.469484935534</t>
  </si>
  <si>
    <t>-457.217683545926 76.914820240469 216.775944361856</t>
  </si>
  <si>
    <t>-618.264866822518 0.404886750716514 651.687941711579</t>
  </si>
  <si>
    <t>-463.478187480649 -38.0051206331934 725.912349395974</t>
  </si>
  <si>
    <t>9763-20170724T170056.361196600.bin</t>
  </si>
  <si>
    <t>-574.557204281175 184.74075783025 -237.075092765953</t>
  </si>
  <si>
    <t>-599.873842885732 169.265079698237 -354.494745054401</t>
  </si>
  <si>
    <t>-606.703264800433 153.913862084708 -474.529136438713</t>
  </si>
  <si>
    <t>-605.210349728507 139.716974689603 -583.115976317548</t>
  </si>
  <si>
    <t>-596.174863222831 124.965962968119 -691.262154845179</t>
  </si>
  <si>
    <t>-575.804864838462 103.665353593243 -840.698956938879</t>
  </si>
  <si>
    <t>-531.321343846585 88.2750435965361 -931.072299631617</t>
  </si>
  <si>
    <t>-580.910296618584 144.397381494034 -778.507683832468</t>
  </si>
  <si>
    <t>-541.859356990925 285.830357447622 -768.645944708043</t>
  </si>
  <si>
    <t>-468.326077172115 336.395166119622 -464.964763860459</t>
  </si>
  <si>
    <t>-270.583870955194 233.290598981848 -331.13833228107</t>
  </si>
  <si>
    <t>-588.725598948424 81.7830691829452 -770.647935932556</t>
  </si>
  <si>
    <t>-581.706127955593 282.331986734143 -247.973290596864</t>
  </si>
  <si>
    <t>-574.779329049597 277.167610613309 207.639502198494</t>
  </si>
  <si>
    <t>-609.984662709336 247.951842654724 675.187371077809</t>
  </si>
  <si>
    <t>-451.05840076887 260.112120353974 749.605647348859</t>
  </si>
  <si>
    <t>-567.294261859286 87.2673149749774 -225.517195137293</t>
  </si>
  <si>
    <t>-457.411231173066 77.226292504509 216.61694016039</t>
  </si>
  <si>
    <t>-618.248462444007 0.54249921030987 651.597688089497</t>
  </si>
  <si>
    <t>-463.538043817638 -38.1657412697771 725.82621834408</t>
  </si>
  <si>
    <t>9763-20170724T170056.398296500.bin</t>
  </si>
  <si>
    <t>-574.788452486687 184.812455787403 -237.105417033545</t>
  </si>
  <si>
    <t>-600.203089723087 169.358941304005 -354.506791244466</t>
  </si>
  <si>
    <t>-607.013586527171 153.979380569338 -474.538708377762</t>
  </si>
  <si>
    <t>-605.457042408777 139.73257550285 -583.118000331578</t>
  </si>
  <si>
    <t>-596.313024923747 124.905058145132 -691.244599645286</t>
  </si>
  <si>
    <t>-575.747388085552 103.468504211892 -840.63519139318</t>
  </si>
  <si>
    <t>-531.19579212276 88.0187729234101 -930.964866066296</t>
  </si>
  <si>
    <t>-580.898957372899 144.253302143974 -778.482325788169</t>
  </si>
  <si>
    <t>-541.688545614871 285.645943325498 -768.639469550016</t>
  </si>
  <si>
    <t>-468.058338576144 336.479656722687 -465.026764912262</t>
  </si>
  <si>
    <t>-270.011995905211 234.345952790602 -330.905749846596</t>
  </si>
  <si>
    <t>-588.795135213268 81.6537184841204 -770.586755999974</t>
  </si>
  <si>
    <t>-581.923666084054 282.432614713017 -247.973033072839</t>
  </si>
  <si>
    <t>-574.743879530457 277.186663739187 207.634866027806</t>
  </si>
  <si>
    <t>-609.997416164938 247.950206963307 675.188284280044</t>
  </si>
  <si>
    <t>-451.069945066182 260.094059893015 749.60667681172</t>
  </si>
  <si>
    <t>-567.552897633792 87.2507291853024 -225.564078380965</t>
  </si>
  <si>
    <t>-457.537072658334 77.2347103419816 216.537559963044</t>
  </si>
  <si>
    <t>-618.242835662245 0.441450839251502 651.560157776885</t>
  </si>
  <si>
    <t>-463.44495515976 -37.9308533921944 725.780756570425</t>
  </si>
  <si>
    <t>9763-20170724T170056.467550800.bin</t>
  </si>
  <si>
    <t>-575.30003549443 184.881602255658 -237.084586189254</t>
  </si>
  <si>
    <t>-600.8316561189 169.462565972619 -354.464998131568</t>
  </si>
  <si>
    <t>-607.57802631823 154.049442776153 -474.496259593928</t>
  </si>
  <si>
    <t>-605.891719802696 139.736051365884 -583.06477595815</t>
  </si>
  <si>
    <t>-596.548738425001 124.800825090015 -691.15977689034</t>
  </si>
  <si>
    <t>-575.63776691497 103.167658727175 -840.473941650521</t>
  </si>
  <si>
    <t>-530.950471419131 87.640035174735 -930.723128929244</t>
  </si>
  <si>
    <t>-580.873055164438 144.027809629275 -778.377537555564</t>
  </si>
  <si>
    <t>-541.205624907707 285.285082494973 -768.625053254224</t>
  </si>
  <si>
    <t>-466.288248526852 336.592912167727 -465.407219356126</t>
  </si>
  <si>
    <t>-268.397540811764 235.357165635082 -330.378875397369</t>
  </si>
  <si>
    <t>-588.907382974283 81.4515309066289 -770.436412158282</t>
  </si>
  <si>
    <t>-582.471510755559 282.469497808164 -247.88441407255</t>
  </si>
  <si>
    <t>-574.875274405912 277.071148292851 207.715036157338</t>
  </si>
  <si>
    <t>-610.001589954782 247.518983946723 675.311279894219</t>
  </si>
  <si>
    <t>-451.042469906328 260.12235897857 749.585488387507</t>
  </si>
  <si>
    <t>-568.028156197647 87.4137870514519 -225.593910223883</t>
  </si>
  <si>
    <t>-457.775138913071 77.3066072350787 216.446561770793</t>
  </si>
  <si>
    <t>-618.216654468026 0.490075470692773 651.518759391337</t>
  </si>
  <si>
    <t>-463.453809852432 -37.9731571842256 725.765302613006</t>
  </si>
  <si>
    <t>9763-20170724T170056.494621900.bin</t>
  </si>
  <si>
    <t>-575.65533038644 184.844309819069 -237.05134538573</t>
  </si>
  <si>
    <t>-601.203943047874 169.43221905048 -354.42913387863</t>
  </si>
  <si>
    <t>-607.933677306058 154.055490935946 -474.465897104467</t>
  </si>
  <si>
    <t>-606.218011130542 139.782600508793 -583.039238252948</t>
  </si>
  <si>
    <t>-596.831317360154 124.893233110126 -691.136763939644</t>
  </si>
  <si>
    <t>-575.845244614551 103.326127612783 -840.449911824702</t>
  </si>
  <si>
    <t>-531.124277933186 87.7993770439991 -930.682702882658</t>
  </si>
  <si>
    <t>-581.093874644564 144.156753760185 -778.335337589395</t>
  </si>
  <si>
    <t>-541.144491565949 285.323339227676 -768.48981426399</t>
  </si>
  <si>
    <t>-465.220326708597 335.845699901241 -465.390495011841</t>
  </si>
  <si>
    <t>-267.442657468169 234.187969091822 -330.513577293248</t>
  </si>
  <si>
    <t>-589.168010010845 81.5809659832883 -770.431564629895</t>
  </si>
  <si>
    <t>-582.897121268369 282.337727578894 -247.791917058801</t>
  </si>
  <si>
    <t>-575.139335915341 276.878208486742 207.803992438654</t>
  </si>
  <si>
    <t>-610.013511888335 247.18028957106 675.438854656823</t>
  </si>
  <si>
    <t>-451.007920654179 259.998698467198 749.576656852457</t>
  </si>
  <si>
    <t>-568.332387463481 87.4154429143189 -225.587290940465</t>
  </si>
  <si>
    <t>-457.996491353527 77.2594974713556 216.431437829106</t>
  </si>
  <si>
    <t>-618.209406128845 0.39612085163958 651.553803941439</t>
  </si>
  <si>
    <t>-463.373941107761 -37.7910961373791 725.791510563533</t>
  </si>
  <si>
    <t>9763-20170724T170056.567243400.bin</t>
  </si>
  <si>
    <t>-576.358511884244 184.966618876855 -236.970441362836</t>
  </si>
  <si>
    <t>-601.976409800927 169.574383431265 -354.335602718042</t>
  </si>
  <si>
    <t>-608.730751829359 154.314379006013 -474.385962780205</t>
  </si>
  <si>
    <t>-607.016149116099 140.183331726561 -582.978002117632</t>
  </si>
  <si>
    <t>-597.608145528014 125.469422352774 -691.097538920636</t>
  </si>
  <si>
    <t>-576.568026382507 104.180008725162 -840.443057536691</t>
  </si>
  <si>
    <t>-531.861251893936 88.7136204193935 -930.693198535533</t>
  </si>
  <si>
    <t>-581.845497100369 144.895770349061 -778.255516903959</t>
  </si>
  <si>
    <t>-541.610842040124 285.963882562445 -768.090845320209</t>
  </si>
  <si>
    <t>-463.130657406841 333.624585596141 -465.179223814323</t>
  </si>
  <si>
    <t>-264.857765292586 232.173233659716 -330.875441238121</t>
  </si>
  <si>
    <t>-589.909774484971 82.3040037607116 -770.469114422474</t>
  </si>
  <si>
    <t>-583.694716358752 282.379396470915 -247.683080781725</t>
  </si>
  <si>
    <t>-575.709239616944 276.790790223858 207.907351920153</t>
  </si>
  <si>
    <t>-609.999103853487 246.870415822254 675.514062447444</t>
  </si>
  <si>
    <t>-450.956196561469 259.877286464608 749.538986537837</t>
  </si>
  <si>
    <t>-568.907796858134 87.6939131040044 -225.568606810818</t>
  </si>
  <si>
    <t>-458.46277109569 77.4947698620322 216.421888480173</t>
  </si>
  <si>
    <t>-618.20273273367 0.586906584206417 651.632164443114</t>
  </si>
  <si>
    <t>-463.458602077588 -37.9664531433748 725.871046561541</t>
  </si>
  <si>
    <t>9763-20170724T170056.596314500.bin</t>
  </si>
  <si>
    <t>-576.603648905993 185.148520278964 -236.940169514234</t>
  </si>
  <si>
    <t>-602.267937223851 169.73420070195 -354.292540990678</t>
  </si>
  <si>
    <t>-609.039151203941 154.533389579581 -474.349376877431</t>
  </si>
  <si>
    <t>-607.325440583102 140.486492915225 -582.952236388498</t>
  </si>
  <si>
    <t>-597.902729991018 125.886266347439 -691.085936461847</t>
  </si>
  <si>
    <t>-576.825023011473 104.78430564513 -840.452739455349</t>
  </si>
  <si>
    <t>-532.150771508183 89.3929688300632 -930.731800040626</t>
  </si>
  <si>
    <t>-582.116297858905 145.421826815573 -778.215155798101</t>
  </si>
  <si>
    <t>-541.710898420782 286.438427396391 -767.893058535566</t>
  </si>
  <si>
    <t>-462.083253610814 332.779420327435 -465.076063720272</t>
  </si>
  <si>
    <t>-263.452306243559 231.226157472047 -331.379770478798</t>
  </si>
  <si>
    <t>-590.18625700788 82.8206282601764 -770.509941540739</t>
  </si>
  <si>
    <t>-583.967219783065 282.618394522527 -247.683303103446</t>
  </si>
  <si>
    <t>-575.944346715077 276.981507752469 207.905901881747</t>
  </si>
  <si>
    <t>-610.04029596201 247.014586239762 675.505567773076</t>
  </si>
  <si>
    <t>-450.981124375899 259.774550048317 749.538505438974</t>
  </si>
  <si>
    <t>-569.125938547193 87.8053915123805 -225.526318398814</t>
  </si>
  <si>
    <t>-458.516301916297 77.6531069695734 216.423986690501</t>
  </si>
  <si>
    <t>-618.194980742017 0.614693032272498 651.651466767926</t>
  </si>
  <si>
    <t>-463.441623076235 -37.9198743819986 725.880824120766</t>
  </si>
  <si>
    <t>9763-20170724T170056.662563200.bin</t>
  </si>
  <si>
    <t>-577.033691993773 185.52238726325 -236.928221693372</t>
  </si>
  <si>
    <t>-602.764358806958 170.098848660689 -354.264547665887</t>
  </si>
  <si>
    <t>-609.582050232999 154.95610212887 -474.326186427741</t>
  </si>
  <si>
    <t>-607.899975633118 140.986158368836 -582.939593580675</t>
  </si>
  <si>
    <t>-598.497478346092 126.485422903484 -691.088333894626</t>
  </si>
  <si>
    <t>-577.435291347231 105.543415305538 -840.480003273586</t>
  </si>
  <si>
    <t>-532.833899086543 90.3095025649593 -930.821695987032</t>
  </si>
  <si>
    <t>-582.705462656612 146.112681285424 -778.196039375385</t>
  </si>
  <si>
    <t>-541.942536626184 287.008672588012 -767.777559574682</t>
  </si>
  <si>
    <t>-459.937701998277 331.696096208543 -465.346713626354</t>
  </si>
  <si>
    <t>-261.019944373553 229.713830124938 -332.405415436711</t>
  </si>
  <si>
    <t>-590.803893709878 83.5064324498965 -770.561549472108</t>
  </si>
  <si>
    <t>-584.427475091135 283.010037313402 -247.692542876253</t>
  </si>
  <si>
    <t>-576.212541445259 277.267378534994 207.891861168041</t>
  </si>
  <si>
    <t>-610.069383992503 247.072875592463 675.514683703357</t>
  </si>
  <si>
    <t>-451.010429581398 259.86416091326 749.542734989335</t>
  </si>
  <si>
    <t>-569.548496906661 88.1693053914041 -225.507669171914</t>
  </si>
  <si>
    <t>-458.670459327289 77.9176982008826 216.373064164076</t>
  </si>
  <si>
    <t>-618.173956695983 0.544395812961739 651.652158065576</t>
  </si>
  <si>
    <t>-463.416343039922 -37.9732322074783 725.881376991499</t>
  </si>
  <si>
    <t>9763-20170724T170056.703710100.bin</t>
  </si>
  <si>
    <t>-577.224134311716 185.657648625771 -236.948572339871</t>
  </si>
  <si>
    <t>-602.998804315239 170.248701186992 -354.277241332937</t>
  </si>
  <si>
    <t>-609.865907679498 155.138841807624 -474.340277809169</t>
  </si>
  <si>
    <t>-608.229918117396 141.204159529169 -582.958800142846</t>
  </si>
  <si>
    <t>-598.874500356984 126.743247767966 -691.117008602114</t>
  </si>
  <si>
    <t>-577.878426466908 105.86050476819 -840.526141778613</t>
  </si>
  <si>
    <t>-533.328085256441 90.7245845539239 -930.909495724956</t>
  </si>
  <si>
    <t>-583.11479801521 146.404345906651 -778.22294490362</t>
  </si>
  <si>
    <t>-542.180849671476 287.266876306925 -767.836504046895</t>
  </si>
  <si>
    <t>-458.826745143985 331.144715433898 -465.656143985609</t>
  </si>
  <si>
    <t>-259.841219533974 229.255197681436 -332.745136012014</t>
  </si>
  <si>
    <t>-591.222238666303 83.7966343740886 -770.611563257522</t>
  </si>
  <si>
    <t>-584.680175317689 283.171757877298 -247.687416497456</t>
  </si>
  <si>
    <t>-576.295517287698 277.376052775037 207.893268292717</t>
  </si>
  <si>
    <t>-610.104253477754 247.157937723272 675.511313225275</t>
  </si>
  <si>
    <t>-451.032547356382 259.741689323213 749.547475090112</t>
  </si>
  <si>
    <t>-569.669583721305 88.2662315779669 -225.550583675288</t>
  </si>
  <si>
    <t>-458.789178727553 77.9695625767729 216.328601191226</t>
  </si>
  <si>
    <t>-618.158961282329 0.482895957665505 651.638931876048</t>
  </si>
  <si>
    <t>-463.347892445966 -37.8023641079892 725.876887152483</t>
  </si>
  <si>
    <t>9763-20170724T170056.763028700.bin</t>
  </si>
  <si>
    <t>-577.563513279972 185.862200001787 -236.989113437615</t>
  </si>
  <si>
    <t>-603.342781267614 170.465524418331 -354.318532254571</t>
  </si>
  <si>
    <t>-610.290870924289 155.414105664875 -474.384075330715</t>
  </si>
  <si>
    <t>-608.757622752784 141.547297851363 -583.012760525727</t>
  </si>
  <si>
    <t>-599.5335380432 127.166958163725 -691.19314960003</t>
  </si>
  <si>
    <t>-578.748664509601 106.407467822916 -840.648983506383</t>
  </si>
  <si>
    <t>-534.304210488227 91.4341286485687 -931.111413301225</t>
  </si>
  <si>
    <t>-583.859568361483 146.895748492516 -778.299208879509</t>
  </si>
  <si>
    <t>-542.632868700831 287.655125188757 -767.826399777456</t>
  </si>
  <si>
    <t>-456.213052847906 329.695513523291 -466.246515045642</t>
  </si>
  <si>
    <t>-257.126618442468 227.865727764311 -333.440801996614</t>
  </si>
  <si>
    <t>-592.031083828139 84.2900610303072 -770.739641784842</t>
  </si>
  <si>
    <t>-585.060467415333 283.358902017498 -247.693358489457</t>
  </si>
  <si>
    <t>-576.566217554369 277.500082522924 207.884548927447</t>
  </si>
  <si>
    <t>-610.125493626128 247.191487680079 675.505241867141</t>
  </si>
  <si>
    <t>-451.04877330342 259.675719969936 749.547483806756</t>
  </si>
  <si>
    <t>-569.959167845701 88.4507328995949 -225.630129240335</t>
  </si>
  <si>
    <t>-459.055938881879 78.0828630853471 216.241565769025</t>
  </si>
  <si>
    <t>-618.126586894214 0.483456838222992 651.63936002479</t>
  </si>
  <si>
    <t>-463.308684250839 -37.7504291542434 725.889651736562</t>
  </si>
  <si>
    <t>9763-20170724T170056.799106700.bin</t>
  </si>
  <si>
    <t>-577.692370576077 185.886948386808 -237.015393753287</t>
  </si>
  <si>
    <t>-603.487744510921 170.496976443033 -354.342091997146</t>
  </si>
  <si>
    <t>-610.479583446681 155.476876685213 -474.409070191684</t>
  </si>
  <si>
    <t>-608.996328853132 141.645770031664 -583.043111270356</t>
  </si>
  <si>
    <t>-599.832099287524 127.307105388565 -691.234033447455</t>
  </si>
  <si>
    <t>-579.140345089235 106.610282494461 -840.711479985421</t>
  </si>
  <si>
    <t>-534.752785358709 91.70079550022 -931.212456315001</t>
  </si>
  <si>
    <t>-584.179913538326 147.068786027566 -778.336469032595</t>
  </si>
  <si>
    <t>-542.720566133552 287.77033973566 -767.846185763106</t>
  </si>
  <si>
    <t>-454.840606255765 328.890367914519 -466.56157553053</t>
  </si>
  <si>
    <t>-255.889262593327 227.300819124897 -333.370059060113</t>
  </si>
  <si>
    <t>-592.411702475762 84.4671843839594 -770.80800667141</t>
  </si>
  <si>
    <t>-585.217631311085 283.363918147216 -247.706682965577</t>
  </si>
  <si>
    <t>-576.711249075513 277.476627910635 207.870579191008</t>
  </si>
  <si>
    <t>-610.094746775901 247.066105120096 675.511687973134</t>
  </si>
  <si>
    <t>-451.030020823615 259.77084233633 749.54213914192</t>
  </si>
  <si>
    <t>-570.061004098649 88.4886615765627 -225.652666070696</t>
  </si>
  <si>
    <t>-459.142405998136 78.121476778821 216.215176288886</t>
  </si>
  <si>
    <t>-618.116597253001 0.471311890960806 651.642988154333</t>
  </si>
  <si>
    <t>-463.271777514644 -37.6529232120774 725.893411930361</t>
  </si>
  <si>
    <t>9763-20170724T170056.861856700.bin</t>
  </si>
  <si>
    <t>-577.861147000753 185.951950420151 -237.025011781883</t>
  </si>
  <si>
    <t>-603.728243644048 170.57356840077 -354.337390857454</t>
  </si>
  <si>
    <t>-610.814160829525 155.595225142938 -474.404055991616</t>
  </si>
  <si>
    <t>-609.423650744393 141.807799909051 -583.044841931733</t>
  </si>
  <si>
    <t>-600.359412379216 127.515187334721 -691.250377582163</t>
  </si>
  <si>
    <t>-579.813951392534 106.881560253742 -840.756633029086</t>
  </si>
  <si>
    <t>-535.524414218339 92.0649622800324 -931.320963485421</t>
  </si>
  <si>
    <t>-584.70530020089 147.303801904734 -778.346329309795</t>
  </si>
  <si>
    <t>-542.672361010184 287.823681422309 -767.852959973722</t>
  </si>
  <si>
    <t>-452.122835724905 327.523681807485 -467.169082763706</t>
  </si>
  <si>
    <t>-253.762495216383 226.066784909934 -332.9984656018</t>
  </si>
  <si>
    <t>-593.103990991389 84.718963980293 -770.86302722342</t>
  </si>
  <si>
    <t>-585.387358605765 283.43211075354 -247.719644548633</t>
  </si>
  <si>
    <t>-576.813017638773 277.55411043952 207.856482347874</t>
  </si>
  <si>
    <t>-610.115607005663 247.115767087088 675.498070048522</t>
  </si>
  <si>
    <t>-451.04891045043 259.703152476347 749.544405833136</t>
  </si>
  <si>
    <t>-570.254898559452 88.5746904792338 -225.665707341048</t>
  </si>
  <si>
    <t>-459.255006335046 78.2817053539568 216.18361546119</t>
  </si>
  <si>
    <t>-618.081159713842 0.492133362640061 651.612055556508</t>
  </si>
  <si>
    <t>-463.2376929485 -37.5887990753449 725.887578081603</t>
  </si>
  <si>
    <t>9763-20170724T170056.894946300.bin</t>
  </si>
  <si>
    <t>-577.974033230574 186.086588026327 -237.051233913157</t>
  </si>
  <si>
    <t>-603.867591993015 170.724525182327 -354.359910013642</t>
  </si>
  <si>
    <t>-611.001672973816 155.779862094789 -474.428035834702</t>
  </si>
  <si>
    <t>-609.662793923369 142.026828321371 -583.073844106711</t>
  </si>
  <si>
    <t>-600.658000575365 127.770994468166 -691.288952392618</t>
  </si>
  <si>
    <t>-580.203040349448 107.189362997027 -840.814940911338</t>
  </si>
  <si>
    <t>-535.955160018242 92.3971537030966 -931.403458293395</t>
  </si>
  <si>
    <t>-585.005992800188 147.583931950923 -778.379926210983</t>
  </si>
  <si>
    <t>-542.648448505156 288.006014545338 -767.867776819991</t>
  </si>
  <si>
    <t>-451.065503656606 327.16268432223 -467.425572407579</t>
  </si>
  <si>
    <t>-253.023425995301 225.656901409171 -332.82245993206</t>
  </si>
  <si>
    <t>-593.501443548918 85.0082977535512 -770.928778130096</t>
  </si>
  <si>
    <t>-585.469978273792 283.553998836472 -247.732928734797</t>
  </si>
  <si>
    <t>-576.85222147396 277.654062961234 207.842094419193</t>
  </si>
  <si>
    <t>-610.148849483087 247.190943327592 675.4929978835</t>
  </si>
  <si>
    <t>-451.076946685787 259.689830537524 749.543137265926</t>
  </si>
  <si>
    <t>-570.410898043268 88.7404345594093 -225.701873217434</t>
  </si>
  <si>
    <t>-459.346037594701 78.3677695947156 216.129225054891</t>
  </si>
  <si>
    <t>-618.063443004647 0.527466032087887 651.606465600925</t>
  </si>
  <si>
    <t>-463.280399279096 -37.7655450352549 725.898871803007</t>
  </si>
  <si>
    <t>9763-20170724T170056.963812000.bin</t>
  </si>
  <si>
    <t>-578.226031125557 186.227320947685 -237.072438485307</t>
  </si>
  <si>
    <t>-604.205460904838 170.921222180095 -354.369522481752</t>
  </si>
  <si>
    <t>-611.425347899439 156.028520810638 -474.438850876012</t>
  </si>
  <si>
    <t>-610.163460721472 142.316731263941 -583.090795317916</t>
  </si>
  <si>
    <t>-601.2351678349 128.093992470991 -691.316623070909</t>
  </si>
  <si>
    <t>-580.886187738592 107.54787230982 -840.861890080437</t>
  </si>
  <si>
    <t>-536.693748413695 92.7543700236424 -931.477395586221</t>
  </si>
  <si>
    <t>-585.564815434421 147.918023455152 -778.40166656788</t>
  </si>
  <si>
    <t>-542.673175793786 288.180161600358 -767.937630651422</t>
  </si>
  <si>
    <t>-449.402359767544 326.016394286398 -467.845705567809</t>
  </si>
  <si>
    <t>-251.845125822407 224.471688127717 -332.561379737214</t>
  </si>
  <si>
    <t>-594.215146037387 85.3597763250152 -770.983895941642</t>
  </si>
  <si>
    <t>-585.606323586317 283.679978781209 -247.727696686402</t>
  </si>
  <si>
    <t>-576.800053877349 277.768305487061 207.843591700008</t>
  </si>
  <si>
    <t>-610.186464436968 247.296197034469 675.476011943857</t>
  </si>
  <si>
    <t>-451.104740335115 259.5511183197 749.545835725042</t>
  </si>
  <si>
    <t>-570.76412657319 88.8934057634426 -225.758265278296</t>
  </si>
  <si>
    <t>-459.565953667259 78.4513511092723 216.037612855813</t>
  </si>
  <si>
    <t>-618.016918531379 0.609674446484405 651.588980742927</t>
  </si>
  <si>
    <t>-463.246465994148 -37.6648194485342 725.917185401365</t>
  </si>
  <si>
    <t>9763-20170724T170056.992889200.bin</t>
  </si>
  <si>
    <t>-578.326130945283 186.311008561499 -237.099146505916</t>
  </si>
  <si>
    <t>-604.358242512602 171.037858605426 -354.388901693612</t>
  </si>
  <si>
    <t>-611.637197483077 156.191965603201 -474.460485512035</t>
  </si>
  <si>
    <t>-610.430473043658 142.526522501565 -583.118842538478</t>
  </si>
  <si>
    <t>-601.558610572216 128.353481225118 -691.356007633651</t>
  </si>
  <si>
    <t>-581.289275501831 107.878627591853 -840.921857486867</t>
  </si>
  <si>
    <t>-537.121332741273 93.1165462341014 -931.554257257244</t>
  </si>
  <si>
    <t>-585.90059901944 148.214979423447 -778.434692423256</t>
  </si>
  <si>
    <t>-542.785946764428 288.408636227034 -767.968591201954</t>
  </si>
  <si>
    <t>-448.894055184249 325.72899049799 -468.005756205431</t>
  </si>
  <si>
    <t>-251.446817446197 224.221783535667 -332.532786911288</t>
  </si>
  <si>
    <t>-594.615044482243 85.6613509254069 -771.052426012879</t>
  </si>
  <si>
    <t>-585.637573313074 283.706207802092 -247.732376660435</t>
  </si>
  <si>
    <t>-576.731982543833 277.776355634355 207.836740256512</t>
  </si>
  <si>
    <t>-610.144938986847 247.189951757874 675.462187431292</t>
  </si>
  <si>
    <t>-451.091170334223 259.726396948104 749.544961869465</t>
  </si>
  <si>
    <t>-570.926881625827 89.0364045685087 -225.802742332375</t>
  </si>
  <si>
    <t>-459.696904872623 78.5566054647568 215.984209968896</t>
  </si>
  <si>
    <t>-617.996387905835 0.675413069751812 651.572531330704</t>
  </si>
  <si>
    <t>-463.25602937161 -37.6791118965161 725.922152456537</t>
  </si>
  <si>
    <t>9763-20170724T170057.061728100.bin</t>
  </si>
  <si>
    <t>-578.552179527547 186.55893152482 -237.137070121866</t>
  </si>
  <si>
    <t>-604.664129858253 171.317088225497 -354.413009328023</t>
  </si>
  <si>
    <t>-611.999560238415 156.521576335034 -474.487392923347</t>
  </si>
  <si>
    <t>-610.833453824781 142.905417729495 -583.152375943465</t>
  </si>
  <si>
    <t>-601.991446072878 128.783923846605 -691.398553269767</t>
  </si>
  <si>
    <t>-581.75244165117 108.381104135748 -840.978541729363</t>
  </si>
  <si>
    <t>-537.576272966831 93.6621371603187 -931.613991987292</t>
  </si>
  <si>
    <t>-586.297358682187 148.680663710573 -778.46286450888</t>
  </si>
  <si>
    <t>-542.796165023584 288.761043860563 -768.04831317624</t>
  </si>
  <si>
    <t>-447.986094269061 325.118446536015 -468.256066079835</t>
  </si>
  <si>
    <t>-250.725280017429 223.76937178473 -332.393495312797</t>
  </si>
  <si>
    <t>-595.117807649523 86.136726776494 -771.12514786128</t>
  </si>
  <si>
    <t>-585.779044349146 283.922125888129 -247.769847420879</t>
  </si>
  <si>
    <t>-576.712007542701 277.984620572434 207.796014262529</t>
  </si>
  <si>
    <t>-610.144035573087 247.310391324829 675.400347258666</t>
  </si>
  <si>
    <t>-451.112390442205 259.720591485345 749.55185868069</t>
  </si>
  <si>
    <t>-571.228322050086 89.2979647369391 -225.84068592681</t>
  </si>
  <si>
    <t>-459.817267373262 78.7969026560213 215.9001383568</t>
  </si>
  <si>
    <t>-617.951072401107 0.689402420436409 651.525445172895</t>
  </si>
  <si>
    <t>-463.203248724016 -37.5825005531738 725.902119577531</t>
  </si>
  <si>
    <t>9763-20170724T170057.096822700.bin</t>
  </si>
  <si>
    <t>-578.733135872161 186.656108767372 -237.138128797096</t>
  </si>
  <si>
    <t>-604.891666101713 171.41798543595 -354.404222879971</t>
  </si>
  <si>
    <t>-612.220503126438 156.653958220829 -474.482904365132</t>
  </si>
  <si>
    <t>-611.025778998512 143.076109146287 -583.15238838359</t>
  </si>
  <si>
    <t>-602.132433839475 129.001049257721 -691.400393491904</t>
  </si>
  <si>
    <t>-581.798350801608 108.670872189208 -840.977291463435</t>
  </si>
  <si>
    <t>-537.583094633949 94.0181708355046 -931.604362377096</t>
  </si>
  <si>
    <t>-586.372703914838 148.938901544042 -778.443321494625</t>
  </si>
  <si>
    <t>-542.739161385305 288.967830786257 -768.002815251227</t>
  </si>
  <si>
    <t>-447.447146905259 325.095860071039 -468.335803973816</t>
  </si>
  <si>
    <t>-250.312552890996 223.802020682296 -332.249145459409</t>
  </si>
  <si>
    <t>-595.218416406003 86.3937730573098 -771.144890589757</t>
  </si>
  <si>
    <t>-585.956917092094 284.016366913213 -247.772530520315</t>
  </si>
  <si>
    <t>-576.783020136605 278.0445158174 207.790741113817</t>
  </si>
  <si>
    <t>-610.154638940423 247.278139592722 675.423948254144</t>
  </si>
  <si>
    <t>-451.112590769612 259.63091257794 749.562643894209</t>
  </si>
  <si>
    <t>-571.425784297032 89.3785025218565 -225.843021990489</t>
  </si>
  <si>
    <t>-459.867760093228 78.875805362723 215.860634175286</t>
  </si>
  <si>
    <t>-617.932602956561 0.742234646181032 651.503991613436</t>
  </si>
  <si>
    <t>-463.192904525778 -37.5424029131445 725.89096276129</t>
  </si>
  <si>
    <t>9763-20170724T170057.162820900.bin</t>
  </si>
  <si>
    <t>-579.103593431712 186.657490187576 -237.18643057607</t>
  </si>
  <si>
    <t>-605.295060955534 171.424149579884 -354.445747990625</t>
  </si>
  <si>
    <t>-612.613561265057 156.71278207973 -474.531452177013</t>
  </si>
  <si>
    <t>-611.390471066912 143.199431270369 -583.208755711004</t>
  </si>
  <si>
    <t>-602.449153851016 129.204523782391 -691.463326126562</t>
  </si>
  <si>
    <t>-582.027793437137 109.000448614121 -841.04525258098</t>
  </si>
  <si>
    <t>-537.750703080331 94.5286210919151 -931.671202250591</t>
  </si>
  <si>
    <t>-586.636502702278 149.215440127286 -778.47983041772</t>
  </si>
  <si>
    <t>-542.884478332664 289.212517183974 -767.989660018346</t>
  </si>
  <si>
    <t>-446.327639201837 324.462906624489 -468.62301531739</t>
  </si>
  <si>
    <t>-249.483349208352 223.156162790516 -332.126243264244</t>
  </si>
  <si>
    <t>-595.490718886611 86.6648428761519 -771.239860186746</t>
  </si>
  <si>
    <t>-586.411283949253 284.08303410831 -247.776364121149</t>
  </si>
  <si>
    <t>-577.034993465502 278.030165934721 207.781752096532</t>
  </si>
  <si>
    <t>-610.165854523232 247.257892718151 675.426705324262</t>
  </si>
  <si>
    <t>-451.113460375233 259.538389892067 749.555202379354</t>
  </si>
  <si>
    <t>-571.691732014174 89.3193658437426 -225.922394066174</t>
  </si>
  <si>
    <t>-460.216234903329 78.9021272541384 215.804174358339</t>
  </si>
  <si>
    <t>-617.91494202566 0.606148155672372 651.521450043072</t>
  </si>
  <si>
    <t>-463.075482860089 -37.2804240217151 725.904652326054</t>
  </si>
  <si>
    <t>9763-20170724T170057.194888300.bin</t>
  </si>
  <si>
    <t>-579.312150038187 186.710520321341 -237.215870210033</t>
  </si>
  <si>
    <t>-605.496034726367 171.487273185906 -354.478142614755</t>
  </si>
  <si>
    <t>-612.822552972152 156.813464995943 -474.568026793793</t>
  </si>
  <si>
    <t>-611.612249928194 143.344265861612 -583.250970780213</t>
  </si>
  <si>
    <t>-602.688843576103 129.402822423388 -691.513795753033</t>
  </si>
  <si>
    <t>-582.297333085921 109.281883616198 -841.11112609584</t>
  </si>
  <si>
    <t>-538.010035799251 94.9072348061491 -931.747746542907</t>
  </si>
  <si>
    <t>-586.896443426627 149.462429831915 -778.522839305018</t>
  </si>
  <si>
    <t>-543.080665159652 289.438083221045 -768.002362162189</t>
  </si>
  <si>
    <t>-445.863793300824 324.151311854809 -468.786664417742</t>
  </si>
  <si>
    <t>-249.143872100779 222.901607716463 -332.068479163353</t>
  </si>
  <si>
    <t>-595.743443885617 86.9070887347541 -771.315139046425</t>
  </si>
  <si>
    <t>-586.672425432447 284.172789746214 -247.787268772879</t>
  </si>
  <si>
    <t>-577.26543174276 278.059544216317 207.769354735173</t>
  </si>
  <si>
    <t>-610.176399587538 247.266022796718 675.427188411011</t>
  </si>
  <si>
    <t>-451.122465616704 259.583662650048 749.546231426524</t>
  </si>
  <si>
    <t>-571.850697604911 89.3786502219252 -225.964348973846</t>
  </si>
  <si>
    <t>-460.365882868541 78.9677541720059 215.759967407553</t>
  </si>
  <si>
    <t>-617.902296946271 0.543723838250116 651.528946618778</t>
  </si>
  <si>
    <t>-463.01683374345 -37.1567872235532 725.910920854295</t>
  </si>
  <si>
    <t>9763-20170724T170057.263665500.bin</t>
  </si>
  <si>
    <t>-579.882008901548 187.034421562352 -237.194884757681</t>
  </si>
  <si>
    <t>-606.094705833912 171.798386502867 -354.44905715544</t>
  </si>
  <si>
    <t>-613.449667218683 157.181058330748 -474.544213508881</t>
  </si>
  <si>
    <t>-612.262808166916 143.789238099487 -583.236779974934</t>
  </si>
  <si>
    <t>-603.359225789322 129.950853808792 -691.514623715222</t>
  </si>
  <si>
    <t>-582.990546875649 109.998706644088 -841.137635994532</t>
  </si>
  <si>
    <t>-538.703609634362 95.8433560638048 -931.80879871118</t>
  </si>
  <si>
    <t>-587.602487228153 150.111385796804 -778.506802143001</t>
  </si>
  <si>
    <t>-543.788525530885 290.082757949479 -767.944493235103</t>
  </si>
  <si>
    <t>-445.085765630267 323.316579337612 -469.047365419026</t>
  </si>
  <si>
    <t>-248.349217319402 222.092256770131 -332.334412755465</t>
  </si>
  <si>
    <t>-596.403658567531 87.5423830457962 -771.361338154623</t>
  </si>
  <si>
    <t>-587.365079522512 284.437145238998 -247.770007947775</t>
  </si>
  <si>
    <t>-577.840704450734 278.251255579226 207.783126646327</t>
  </si>
  <si>
    <t>-610.200946415046 247.224090205177 675.466266331614</t>
  </si>
  <si>
    <t>-451.121095312847 259.460762797362 749.543187378993</t>
  </si>
  <si>
    <t>-572.298285818987 89.7244473425048 -225.944260690609</t>
  </si>
  <si>
    <t>-460.574413830495 79.3189801100764 215.719887278352</t>
  </si>
  <si>
    <t>-617.892764593527 0.694581648517669 651.529848554517</t>
  </si>
  <si>
    <t>-463.104345353766 -37.4104658150338 725.90766710277</t>
  </si>
  <si>
    <t>9763-20170724T170057.332359600.bin</t>
  </si>
  <si>
    <t>-580.389227282332 187.275129270622 -237.195133431311</t>
  </si>
  <si>
    <t>-606.648568582507 172.009149286993 -354.434971184047</t>
  </si>
  <si>
    <t>-614.048509222397 157.461355373978 -474.535751487633</t>
  </si>
  <si>
    <t>-612.898310032892 144.174267571571 -583.241689651572</t>
  </si>
  <si>
    <t>-604.025444083225 130.482428910946 -691.54060912196</t>
  </si>
  <si>
    <t>-583.691305182427 110.778200311057 -841.201089096038</t>
  </si>
  <si>
    <t>-539.431448261982 96.8902980340474 -931.926829206869</t>
  </si>
  <si>
    <t>-588.334013391161 150.792472161714 -778.50971919885</t>
  </si>
  <si>
    <t>-544.614550062357 290.795639993381 -767.91556100829</t>
  </si>
  <si>
    <t>-444.277086137995 322.821977376434 -469.431069285796</t>
  </si>
  <si>
    <t>-247.684075491871 220.951579929359 -332.991907721923</t>
  </si>
  <si>
    <t>-597.043103795516 88.2006956587784 -771.452199237951</t>
  </si>
  <si>
    <t>-587.99425784604 284.717667447504 -247.774420049235</t>
  </si>
  <si>
    <t>-578.312197362587 278.413589056964 207.773768431396</t>
  </si>
  <si>
    <t>-610.198007844632 247.186881206403 675.465514194633</t>
  </si>
  <si>
    <t>-451.12673290213 259.586693400812 749.533582526486</t>
  </si>
  <si>
    <t>-572.687673349222 89.9127886244112 -225.948020282562</t>
  </si>
  <si>
    <t>-460.769463383449 79.558485753249 215.668073671423</t>
  </si>
  <si>
    <t>-617.875032748643 0.69425721820744 651.511841337471</t>
  </si>
  <si>
    <t>-463.055055318914 -37.2985261019062 725.881444754418</t>
  </si>
  <si>
    <t>9763-20170724T170057.363447000.bin</t>
  </si>
  <si>
    <t>-580.668161979161 187.46480090832 -237.181525474242</t>
  </si>
  <si>
    <t>-606.953589580545 172.186394883455 -354.41397821137</t>
  </si>
  <si>
    <t>-614.372760174122 157.652399033211 -474.515156500818</t>
  </si>
  <si>
    <t>-613.236155312967 144.389118656174 -583.224133184814</t>
  </si>
  <si>
    <t>-604.372584270308 130.732624024173 -691.52823357785</t>
  </si>
  <si>
    <t>-584.046169906798 111.090410277778 -841.198021513298</t>
  </si>
  <si>
    <t>-539.79329929596 97.3336612602618 -931.947245680195</t>
  </si>
  <si>
    <t>-588.702295642448 151.080873959713 -778.492405999394</t>
  </si>
  <si>
    <t>-545.063124593766 291.104160510077 -767.926356448465</t>
  </si>
  <si>
    <t>-443.916191257194 322.49624537347 -469.648078864871</t>
  </si>
  <si>
    <t>-247.513110189526 219.706545727897 -333.625311002058</t>
  </si>
  <si>
    <t>-597.37766614615 88.4821161629898 -771.455198489718</t>
  </si>
  <si>
    <t>-588.296908966472 284.90247118345 -247.776420092371</t>
  </si>
  <si>
    <t>-578.513645148598 278.55052909308 207.769095098546</t>
  </si>
  <si>
    <t>-610.196694487108 247.186231569107 675.464552530409</t>
  </si>
  <si>
    <t>-451.119247032319 259.467716663583 749.539131056901</t>
  </si>
  <si>
    <t>-572.962650756487 90.1017780786788 -225.914862782807</t>
  </si>
  <si>
    <t>-460.837301932738 79.7556644377109 215.648830642507</t>
  </si>
  <si>
    <t>-617.862819246733 0.787528089330635 651.488321004812</t>
  </si>
  <si>
    <t>-463.099572892723 -37.4215995485708 725.865142370162</t>
  </si>
  <si>
    <t>9763-20170724T170057.397535900.bin</t>
  </si>
  <si>
    <t>-580.912716034715 187.609526410866 -237.170159797968</t>
  </si>
  <si>
    <t>-607.213328464934 172.314479967644 -354.396910645034</t>
  </si>
  <si>
    <t>-614.660847965933 157.809806146762 -474.500013429675</t>
  </si>
  <si>
    <t>-613.553711636224 144.591996335307 -583.214690780263</t>
  </si>
  <si>
    <t>-604.722469143704 130.999959908269 -691.529742680264</t>
  </si>
  <si>
    <t>-584.443056933273 111.466869161937 -841.220101162549</t>
  </si>
  <si>
    <t>-540.210618311874 97.8661993849435 -932.002722551029</t>
  </si>
  <si>
    <t>-589.089210528981 151.412862326125 -778.485280266473</t>
  </si>
  <si>
    <t>-545.430137810018 291.431782034181 -767.908090133712</t>
  </si>
  <si>
    <t>-443.615043055795 321.96037009771 -469.767334447357</t>
  </si>
  <si>
    <t>-247.418519260436 217.801851790646 -334.489924474411</t>
  </si>
  <si>
    <t>-597.742903996983 88.8064884836874 -771.488108796005</t>
  </si>
  <si>
    <t>-588.54452219829 285.078492110469 -247.778907076399</t>
  </si>
  <si>
    <t>-578.670601872812 278.663217412406 207.763581356798</t>
  </si>
  <si>
    <t>-610.207630470083 247.244068357073 675.451594801555</t>
  </si>
  <si>
    <t>-451.138253765232 259.543479660309 749.540431280349</t>
  </si>
  <si>
    <t>-573.182388476142 90.2258574099237 -225.898789714132</t>
  </si>
  <si>
    <t>-460.895163998234 79.8798086102311 215.623874346249</t>
  </si>
  <si>
    <t>-617.849546372353 0.765103025814824 651.462380076097</t>
  </si>
  <si>
    <t>-463.048112912036 -37.2890889436515 725.839159104185</t>
  </si>
  <si>
    <t>9763-20170724T170057.463218900.bin</t>
  </si>
  <si>
    <t>-581.299689267531 187.983849326605 -237.189295915325</t>
  </si>
  <si>
    <t>-607.590512462454 172.6882952788 -354.418392419906</t>
  </si>
  <si>
    <t>-615.061012636901 158.247182441106 -474.527497656493</t>
  </si>
  <si>
    <t>-613.986121488007 145.112576609062 -583.252731784765</t>
  </si>
  <si>
    <t>-605.197291650971 131.629277542945 -691.584717569794</t>
  </si>
  <si>
    <t>-584.986173102485 112.273532584078 -841.307320031533</t>
  </si>
  <si>
    <t>-540.786271593923 98.926775096819 -932.143508971779</t>
  </si>
  <si>
    <t>-589.603338389555 152.145010946196 -778.523064886872</t>
  </si>
  <si>
    <t>-545.85938420331 292.12651946304 -767.830144796018</t>
  </si>
  <si>
    <t>-443.232252640412 320.66160906157 -469.77026399328</t>
  </si>
  <si>
    <t>-247.913726962286 212.170779172491 -336.644499872647</t>
  </si>
  <si>
    <t>-598.254663539535 89.530514037484 -771.596276398046</t>
  </si>
  <si>
    <t>-588.970047995283 285.500473529989 -247.80586238673</t>
  </si>
  <si>
    <t>-579.065674541172 278.974178318584 207.734484578357</t>
  </si>
  <si>
    <t>-610.23510789704 247.388530826495 675.425439683442</t>
  </si>
  <si>
    <t>-451.159610521716 259.404663219393 749.547712518684</t>
  </si>
  <si>
    <t>-573.531301426294 90.5843980358115 -225.919542467953</t>
  </si>
  <si>
    <t>-460.971634909916 80.1238826804063 215.531029253524</t>
  </si>
  <si>
    <t>-617.835533679275 0.906792737847127 651.401693603814</t>
  </si>
  <si>
    <t>-463.064495816585 -37.2493711284901 725.78949622982</t>
  </si>
  <si>
    <t>9763-20170724T170057.499314200.bin</t>
  </si>
  <si>
    <t>-581.440581827867 188.079038229685 -237.183703112799</t>
  </si>
  <si>
    <t>-607.732611968099 172.773361832776 -354.410983070365</t>
  </si>
  <si>
    <t>-615.184459371522 158.375905407905 -474.526693076679</t>
  </si>
  <si>
    <t>-614.083120568319 145.301033268218 -583.25895246675</t>
  </si>
  <si>
    <t>-605.257535754182 131.896806072495 -691.59757395297</t>
  </si>
  <si>
    <t>-584.984163529065 112.669795429874 -841.328426748854</t>
  </si>
  <si>
    <t>-540.77353378839 99.4671681273617 -932.180360668236</t>
  </si>
  <si>
    <t>-589.618340011363 152.486174596806 -778.510464996671</t>
  </si>
  <si>
    <t>-545.726961303839 292.407186970476 -767.651998534515</t>
  </si>
  <si>
    <t>-443.14319462972 319.808747173934 -469.471050270931</t>
  </si>
  <si>
    <t>-248.513061560787 209.420249630251 -336.898274026556</t>
  </si>
  <si>
    <t>-598.290658259138 89.8680824498099 -771.643945768757</t>
  </si>
  <si>
    <t>-589.103898400562 285.594623514793 -247.814480034963</t>
  </si>
  <si>
    <t>-579.171741965111 279.028157572302 207.724654968463</t>
  </si>
  <si>
    <t>-610.198086844688 247.303762494771 675.41399734218</t>
  </si>
  <si>
    <t>-451.139113319736 259.455577722702 749.549665066496</t>
  </si>
  <si>
    <t>-573.655662188562 90.6320393749177 -225.910617510435</t>
  </si>
  <si>
    <t>-460.975989936652 80.2010418821867 215.51005427012</t>
  </si>
  <si>
    <t>-617.827415215677 0.852470938682018 651.372206022418</t>
  </si>
  <si>
    <t>-463.018097261607 -37.1525335965655 725.757749081382</t>
  </si>
  <si>
    <t>9763-20170724T170057.563511300.bin</t>
  </si>
  <si>
    <t>-581.627278927329 188.288728684082 -237.21705899969</t>
  </si>
  <si>
    <t>-607.954320858182 172.980975793594 -354.43628381242</t>
  </si>
  <si>
    <t>-615.352008562165 158.721703052263 -474.571799219252</t>
  </si>
  <si>
    <t>-614.161534807958 145.824747534428 -583.324223383081</t>
  </si>
  <si>
    <t>-605.204930975613 132.649038412456 -691.680210317054</t>
  </si>
  <si>
    <t>-584.70459989109 113.7908178159 -841.427019147073</t>
  </si>
  <si>
    <t>-540.446479251705 100.902513614691 -932.301114858006</t>
  </si>
  <si>
    <t>-589.406710992065 153.449153182236 -778.514121871822</t>
  </si>
  <si>
    <t>-545.145887198043 293.218752066102 -767.135579618763</t>
  </si>
  <si>
    <t>-443.386507138972 318.299691763854 -468.468297396547</t>
  </si>
  <si>
    <t>-250.373452098771 203.688372527273 -337.120484940211</t>
  </si>
  <si>
    <t>-598.143993168659 90.8208745068771 -771.82322409735</t>
  </si>
  <si>
    <t>-589.236943383928 285.892001441741 -247.858632358676</t>
  </si>
  <si>
    <t>-579.282547173548 279.265475969171 207.679114637796</t>
  </si>
  <si>
    <t>-610.227850068329 247.529570945102 675.35406225082</t>
  </si>
  <si>
    <t>-451.177979075621 259.374008604898 749.558848564735</t>
  </si>
  <si>
    <t>-573.925416405395 90.7870084190754 -225.899965338269</t>
  </si>
  <si>
    <t>-460.917023438284 80.4334543752798 215.438419386852</t>
  </si>
  <si>
    <t>-617.798543328575 0.954380187141624 651.268887330759</t>
  </si>
  <si>
    <t>-463.024610332007 -37.1491523970185 725.677655463693</t>
  </si>
  <si>
    <t>9763-20170724T170057.598601600.bin</t>
  </si>
  <si>
    <t>-581.724436814848 188.353542521357 -237.215918307427</t>
  </si>
  <si>
    <t>-608.041216759049 173.042377596148 -354.437067849754</t>
  </si>
  <si>
    <t>-615.408546468735 158.865934898378 -474.584096604157</t>
  </si>
  <si>
    <t>-614.180219762635 146.077707260783 -583.349050412421</t>
  </si>
  <si>
    <t>-605.173995476033 133.044325905216 -691.718187518059</t>
  </si>
  <si>
    <t>-584.591374166644 114.418084050896 -841.48269847213</t>
  </si>
  <si>
    <t>-540.322041591042 101.680494922293 -932.372472453338</t>
  </si>
  <si>
    <t>-589.316432108068 153.977368263857 -778.509278356747</t>
  </si>
  <si>
    <t>-544.92316385504 293.679956891373 -766.854055500339</t>
  </si>
  <si>
    <t>-443.472497735959 317.423142346404 -467.972519256222</t>
  </si>
  <si>
    <t>-251.101692018886 200.578863462615 -337.6538595788</t>
  </si>
  <si>
    <t>-598.080659560012 91.3418048707936 -771.923681000987</t>
  </si>
  <si>
    <t>-589.30122475528 285.971660454705 -247.872626056063</t>
  </si>
  <si>
    <t>-579.31809941581 279.326764670011 207.664260080384</t>
  </si>
  <si>
    <t>-610.223103011939 247.512524883646 675.349799442305</t>
  </si>
  <si>
    <t>-451.189823073771 259.530234939363 749.56230982969</t>
  </si>
  <si>
    <t>-574.050394248187 90.8503139826489 -225.897510274643</t>
  </si>
  <si>
    <t>-460.892763655546 80.42762267183 215.401059706988</t>
  </si>
  <si>
    <t>-617.796699994248 0.926410586327165 651.236593170046</t>
  </si>
  <si>
    <t>-462.974828585624 -37.0075896400842 725.632212869597</t>
  </si>
  <si>
    <t>9763-20170724T170057.663462000.bin</t>
  </si>
  <si>
    <t>-581.833651729296 188.377439073739 -237.267605866161</t>
  </si>
  <si>
    <t>-608.171396852845 173.103875032979 -354.489001844268</t>
  </si>
  <si>
    <t>-615.538385494634 159.151381300952 -474.662280401645</t>
  </si>
  <si>
    <t>-614.295814208108 146.640721203339 -583.459188580808</t>
  </si>
  <si>
    <t>-605.258200766428 133.960004537211 -691.86759966468</t>
  </si>
  <si>
    <t>-584.611297400513 115.901660028923 -841.692816542888</t>
  </si>
  <si>
    <t>-540.323971879252 103.473853016544 -932.616806293772</t>
  </si>
  <si>
    <t>-589.359736226264 155.221541952445 -778.571371502667</t>
  </si>
  <si>
    <t>-544.863621960916 294.83818087737 -766.316268454702</t>
  </si>
  <si>
    <t>-443.571585114278 315.757989904972 -467.170028400402</t>
  </si>
  <si>
    <t>-252.27321825089 194.847716557478 -338.999422831071</t>
  </si>
  <si>
    <t>-598.13403060859 92.5625058181377 -772.228234230626</t>
  </si>
  <si>
    <t>-589.282994724459 285.984634733313 -247.901681455828</t>
  </si>
  <si>
    <t>-579.231083855036 279.356649755214 207.633854487564</t>
  </si>
  <si>
    <t>-610.227213337229 247.537062975203 675.322494728644</t>
  </si>
  <si>
    <t>-451.1956453997 259.397830663634 749.564080838297</t>
  </si>
  <si>
    <t>-574.286920636533 90.8299597660061 -225.972137206147</t>
  </si>
  <si>
    <t>-460.975028626101 80.4640231884289 215.288073161467</t>
  </si>
  <si>
    <t>-617.784878418789 1.0180644354582 651.166162624376</t>
  </si>
  <si>
    <t>-463.048996635246 -37.2301377041583 725.579834063695</t>
  </si>
  <si>
    <t>9763-20170724T170057.697551600.bin</t>
  </si>
  <si>
    <t>-581.852432307304 188.278459711141 -237.293856799819</t>
  </si>
  <si>
    <t>-608.184864027512 173.052974063026 -354.52272119896</t>
  </si>
  <si>
    <t>-615.544258937404 159.24631310828 -474.713265127372</t>
  </si>
  <si>
    <t>-614.29116111242 146.908216421966 -583.529904247059</t>
  </si>
  <si>
    <t>-605.237783116084 134.440690093887 -691.961664716789</t>
  </si>
  <si>
    <t>-584.561803343867 116.721427564403 -841.823299552954</t>
  </si>
  <si>
    <t>-540.286769255306 104.474158685378 -932.77778045624</t>
  </si>
  <si>
    <t>-589.330234316388 155.899244113371 -778.615215526168</t>
  </si>
  <si>
    <t>-544.773145509029 295.467217946171 -766.036175355959</t>
  </si>
  <si>
    <t>-443.225201679572 315.00218042042 -466.88303079738</t>
  </si>
  <si>
    <t>-252.415721450621 192.214112330721 -339.773201324928</t>
  </si>
  <si>
    <t>-598.090334604446 93.2239948750066 -772.413175490737</t>
  </si>
  <si>
    <t>-589.247859933898 285.930214838126 -247.908056244232</t>
  </si>
  <si>
    <t>-579.195698002811 279.298739321794 207.627495047601</t>
  </si>
  <si>
    <t>-610.259531386182 247.590710123562 675.329064865178</t>
  </si>
  <si>
    <t>-451.213188125269 259.257643649333 749.569549818354</t>
  </si>
  <si>
    <t>-574.340873338301 90.7384273322473 -226.031979293156</t>
  </si>
  <si>
    <t>-461.070906119686 80.3838356723452 215.239315749989</t>
  </si>
  <si>
    <t>-617.78545572282 0.945278423216223 651.160140069734</t>
  </si>
  <si>
    <t>-462.983717990724 -37.0607848420784 725.560906674892</t>
  </si>
  <si>
    <t>9763-20170724T170057.765390500.bin</t>
  </si>
  <si>
    <t>-581.800012918603 187.907117806914 -237.315519032335</t>
  </si>
  <si>
    <t>-608.169673641342 172.749452837303 -354.544799300797</t>
  </si>
  <si>
    <t>-615.539030512219 159.197399839767 -474.763692008649</t>
  </si>
  <si>
    <t>-614.278585556588 147.165824356115 -583.614461844239</t>
  </si>
  <si>
    <t>-605.198185802747 135.081758762406 -692.087439476637</t>
  </si>
  <si>
    <t>-584.461343132071 117.975871683465 -842.011992795511</t>
  </si>
  <si>
    <t>-540.219822243046 106.024913220943 -933.022141805893</t>
  </si>
  <si>
    <t>-589.25958363224 156.895216603817 -778.646641005404</t>
  </si>
  <si>
    <t>-544.534407711376 296.350185644628 -765.49389826793</t>
  </si>
  <si>
    <t>-442.407034384664 313.775902342417 -466.407742722099</t>
  </si>
  <si>
    <t>-252.413806520106 188.632791139277 -340.376530379552</t>
  </si>
  <si>
    <t>-598.013942884606 94.1940968477888 -772.703438438851</t>
  </si>
  <si>
    <t>-589.04797107931 285.56695489988 -247.90824995956</t>
  </si>
  <si>
    <t>-578.962298000689 279.026721707846 207.627934921598</t>
  </si>
  <si>
    <t>-610.242751938645 247.526123437214 675.306680470197</t>
  </si>
  <si>
    <t>-451.212321778018 259.25543984039 749.571413699578</t>
  </si>
  <si>
    <t>-574.464325659436 90.3025913387776 -226.075733892114</t>
  </si>
  <si>
    <t>-461.061265609972 80.1079519779812 215.165074251261</t>
  </si>
  <si>
    <t>-617.780067991813 0.901394678610586 651.132157809258</t>
  </si>
  <si>
    <t>-462.95010290808 -36.9966491589914 725.529289633838</t>
  </si>
  <si>
    <t>9763-20170724T170057.797475500.bin</t>
  </si>
  <si>
    <t>-581.795899636391 187.729472870885 -237.344620421716</t>
  </si>
  <si>
    <t>-608.180816601773 172.612720203108 -354.575649260946</t>
  </si>
  <si>
    <t>-615.512733178636 159.190391330491 -474.811601736832</t>
  </si>
  <si>
    <t>-614.194786728805 147.311158445447 -583.678363053314</t>
  </si>
  <si>
    <t>-605.032002533031 135.414570793993 -692.165149572608</t>
  </si>
  <si>
    <t>-584.153856117585 118.605440663031 -842.103595422344</t>
  </si>
  <si>
    <t>-539.919341533829 106.761897008681 -933.131150129989</t>
  </si>
  <si>
    <t>-589.006198997798 157.398672883959 -778.664975204014</t>
  </si>
  <si>
    <t>-544.138055364185 296.799440740657 -765.305997711213</t>
  </si>
  <si>
    <t>-441.896314651691 313.397187979898 -466.21181202225</t>
  </si>
  <si>
    <t>-252.012148586149 187.474209966725 -340.79455872164</t>
  </si>
  <si>
    <t>-597.777370843849 94.687241072053 -772.85594360437</t>
  </si>
  <si>
    <t>-588.965501113158 285.417733580135 -247.921050951652</t>
  </si>
  <si>
    <t>-578.829862774313 278.887466801425 207.614183257214</t>
  </si>
  <si>
    <t>-610.253135750388 247.513069693835 675.315303752309</t>
  </si>
  <si>
    <t>-451.206621899049 259.024772155057 749.579713077716</t>
  </si>
  <si>
    <t>-574.517715833501 90.1067836869343 -226.130423152255</t>
  </si>
  <si>
    <t>-461.122475561762 80.038159092275 215.115279348165</t>
  </si>
  <si>
    <t>-617.784841711577 1.01254050367857 651.130802566423</t>
  </si>
  <si>
    <t>-463.00636318002 -37.1088509164404 725.520978487943</t>
  </si>
  <si>
    <t>9763-20170724T170057.861490300.bin</t>
  </si>
  <si>
    <t>-581.870177132905 187.128942433474 -237.3446533434</t>
  </si>
  <si>
    <t>-608.31116363381 172.060239899807 -354.569214559975</t>
  </si>
  <si>
    <t>-615.67370505555 158.879983760482 -474.829921986131</t>
  </si>
  <si>
    <t>-614.367119178379 147.293519263447 -583.728480595716</t>
  </si>
  <si>
    <t>-605.196266114898 135.76063815973 -692.253751418411</t>
  </si>
  <si>
    <t>-584.284179389291 119.527990094799 -842.251075099153</t>
  </si>
  <si>
    <t>-540.1554589957 107.805464803487 -933.345697963993</t>
  </si>
  <si>
    <t>-589.092322795199 158.069490966983 -778.655982821988</t>
  </si>
  <si>
    <t>-543.972158573427 297.325170729708 -764.693196555399</t>
  </si>
  <si>
    <t>-441.287672963423 311.814451642955 -465.641082917431</t>
  </si>
  <si>
    <t>-251.275229963999 184.578178656137 -341.752839468699</t>
  </si>
  <si>
    <t>-597.981961373562 95.3512742200378 -773.108023543122</t>
  </si>
  <si>
    <t>-588.929582189016 284.66537878526 -247.855800031313</t>
  </si>
  <si>
    <t>-578.59805735546 278.204097611761 207.676036935896</t>
  </si>
  <si>
    <t>-610.208415563901 246.971916920373 675.42824766802</t>
  </si>
  <si>
    <t>-451.147902112482 259.054007496913 749.57194959065</t>
  </si>
  <si>
    <t>-574.736686749529 89.6291784702573 -226.13389915521</t>
  </si>
  <si>
    <t>-461.244537964747 79.6335644983678 215.088490869178</t>
  </si>
  <si>
    <t>-617.792126365923 0.992442786272932 651.169851533234</t>
  </si>
  <si>
    <t>-462.997008459456 -37.1104591477483 725.534867703896</t>
  </si>
  <si>
    <t>9763-20170724T170057.908148900.bin</t>
  </si>
  <si>
    <t>-581.947458835042 186.724026263052 -237.311052873073</t>
  </si>
  <si>
    <t>-608.353840161705 171.679337299906 -354.546573091333</t>
  </si>
  <si>
    <t>-615.70601611956 158.58281490852 -474.817017707491</t>
  </si>
  <si>
    <t>-614.398428890853 147.094692359772 -583.725953825972</t>
  </si>
  <si>
    <t>-605.233934979729 135.681984800824 -692.264565906234</t>
  </si>
  <si>
    <t>-584.337414408678 119.638027015919 -842.284279186714</t>
  </si>
  <si>
    <t>-540.29900724565 107.923634789634 -933.423595481511</t>
  </si>
  <si>
    <t>-589.11257277756 158.096046918284 -778.636130179018</t>
  </si>
  <si>
    <t>-543.968413933959 297.327684553583 -764.332465626872</t>
  </si>
  <si>
    <t>-440.921012655338 310.244857264031 -465.333094837072</t>
  </si>
  <si>
    <t>-250.562782869583 182.768845702907 -342.224854767723</t>
  </si>
  <si>
    <t>-598.054451452258 95.3776906860469 -773.174312531019</t>
  </si>
  <si>
    <t>-588.985910041578 284.125102247133 -247.782728585291</t>
  </si>
  <si>
    <t>-578.657977224094 277.652388858937 207.748902075642</t>
  </si>
  <si>
    <t>-610.154466864333 246.48465046912 675.546288869023</t>
  </si>
  <si>
    <t>-451.06979047131 258.97128493247 749.571157526123</t>
  </si>
  <si>
    <t>-574.789510345562 89.3696867440858 -226.141357790834</t>
  </si>
  <si>
    <t>-461.363523629433 79.4709724412305 215.100283188659</t>
  </si>
  <si>
    <t>-617.809646119327 1.13755175293227 651.236075822862</t>
  </si>
  <si>
    <t>-463.067853166361 -37.217739156659 725.582305543044</t>
  </si>
  <si>
    <t>9763-20170724T170057.966821900.bin</t>
  </si>
  <si>
    <t>-582.358955990935 186.055407137264 -237.149740016239</t>
  </si>
  <si>
    <t>-608.710932941236 170.975630436106 -354.393024652896</t>
  </si>
  <si>
    <t>-616.062643648778 158.185036817632 -474.696489784375</t>
  </si>
  <si>
    <t>-614.766070583745 147.094823997645 -583.646766358433</t>
  </si>
  <si>
    <t>-605.618603727411 136.191138492703 -692.23911795976</t>
  </si>
  <si>
    <t>-584.747578462715 120.960873490834 -842.347203304847</t>
  </si>
  <si>
    <t>-540.930584967875 109.39735865193 -933.612466860299</t>
  </si>
  <si>
    <t>-589.353310243458 159.052349905721 -778.46657013054</t>
  </si>
  <si>
    <t>-543.469742984613 297.88479263544 -762.826451683235</t>
  </si>
  <si>
    <t>-439.9090959056 307.597104503774 -463.883215896242</t>
  </si>
  <si>
    <t>-248.321428744161 181.496884258018 -341.26608218821</t>
  </si>
  <si>
    <t>-598.611416769755 96.3472334525161 -773.391481219982</t>
  </si>
  <si>
    <t>-589.572328700942 283.331733399814 -247.65245572309</t>
  </si>
  <si>
    <t>-579.223968364467 276.98203817365 207.88046743256</t>
  </si>
  <si>
    <t>-610.143865129256 245.987745509081 675.724917881993</t>
  </si>
  <si>
    <t>-450.995046870733 258.864542315434 749.544716583025</t>
  </si>
  <si>
    <t>-575.059675821206 88.9094226917657 -225.973575363579</t>
  </si>
  <si>
    <t>-461.433139628243 79.1919662523862 215.220528483513</t>
  </si>
  <si>
    <t>-617.829545267864 1.22592282094183 651.343507773644</t>
  </si>
  <si>
    <t>-463.134795800033 -37.3827191884416 725.656536208479</t>
  </si>
  <si>
    <t>9763-20170724T170057.994881800.bin</t>
  </si>
  <si>
    <t>-582.62659582709 185.724513263853 -237.051181878319</t>
  </si>
  <si>
    <t>-609.023772286244 170.581197498964 -354.276185539731</t>
  </si>
  <si>
    <t>-616.456881487106 157.971440294461 -474.593561318909</t>
  </si>
  <si>
    <t>-615.239866327764 147.12982735622 -583.569852509577</t>
  </si>
  <si>
    <t>-606.1735734684 136.551294649999 -692.201027387132</t>
  </si>
  <si>
    <t>-585.413613437176 121.84469922886 -842.37678490465</t>
  </si>
  <si>
    <t>-541.756596576512 110.326195515745 -933.724305923765</t>
  </si>
  <si>
    <t>-589.828680885486 159.693252049164 -778.338536931889</t>
  </si>
  <si>
    <t>-543.434305920884 298.259046598149 -761.745748557452</t>
  </si>
  <si>
    <t>-439.475548132214 306.393020453695 -462.89359859065</t>
  </si>
  <si>
    <t>-247.06420453108 181.641236173434 -340.186904199855</t>
  </si>
  <si>
    <t>-599.36984088487 97.0104840458509 -773.51886957791</t>
  </si>
  <si>
    <t>-589.968476066578 282.927882102329 -247.592222285007</t>
  </si>
  <si>
    <t>-579.528812735967 276.722733213637 207.940640696021</t>
  </si>
  <si>
    <t>-610.123441485862 245.763652375056 675.800257365195</t>
  </si>
  <si>
    <t>-450.942894078799 258.735343928549 749.534908767469</t>
  </si>
  <si>
    <t>-575.202645850401 88.6102903517237 -225.827244424923</t>
  </si>
  <si>
    <t>-461.358813470052 79.1541424499337 215.316538542368</t>
  </si>
  <si>
    <t>-617.833116059659 1.30731186190656 651.382362531171</t>
  </si>
  <si>
    <t>-463.172470392702 -37.4649810274177 725.681093639561</t>
  </si>
  <si>
    <t>9763-20170724T170058.064069800.bin</t>
  </si>
  <si>
    <t>-582.928167548865 185.040899483551 -236.850091905709</t>
  </si>
  <si>
    <t>-609.369035233898 169.74063957153 -354.044812578206</t>
  </si>
  <si>
    <t>-616.932579906172 157.523485872329 -474.394705697031</t>
  </si>
  <si>
    <t>-615.84797053064 147.226356234504 -583.425113730897</t>
  </si>
  <si>
    <t>-606.918549209769 137.361383561446 -692.13478119662</t>
  </si>
  <si>
    <t>-586.345803801663 123.802897578701 -842.444309339993</t>
  </si>
  <si>
    <t>-543.098656406115 112.410527835724 -934.002346516174</t>
  </si>
  <si>
    <t>-590.288591800595 161.102905901186 -778.054236533785</t>
  </si>
  <si>
    <t>-542.60924812128 299.010623951313 -759.777791928107</t>
  </si>
  <si>
    <t>-438.734834582561 305.434598117278 -460.854558769866</t>
  </si>
  <si>
    <t>-244.430107839014 184.784814757177 -337.034803852718</t>
  </si>
  <si>
    <t>-600.60864109526 98.5012789759194 -773.819872941532</t>
  </si>
  <si>
    <t>-590.407147584122 282.223189090137 -247.535010310301</t>
  </si>
  <si>
    <t>-579.852255739195 276.279809379667 207.99873769509</t>
  </si>
  <si>
    <t>-610.119676641815 245.643892963132 675.882772609806</t>
  </si>
  <si>
    <t>-450.909049927012 258.738760928747 749.53067795024</t>
  </si>
  <si>
    <t>-575.317743053189 87.9188552458759 -225.520378184981</t>
  </si>
  <si>
    <t>-461.046133039715 79.0768973376298 215.525469624379</t>
  </si>
  <si>
    <t>-617.840745758014 1.34910015461855 651.427335286077</t>
  </si>
  <si>
    <t>-463.17767203431 -37.4578561230185 725.702903163725</t>
  </si>
  <si>
    <t>9763-20170724T170058.096154500.bin</t>
  </si>
  <si>
    <t>-582.991660428649 184.626595978535 -236.842402128839</t>
  </si>
  <si>
    <t>-609.4633153756 169.328491718546 -354.030479309021</t>
  </si>
  <si>
    <t>-617.135794799935 157.329411961429 -474.39532957105</t>
  </si>
  <si>
    <t>-616.173101132082 147.307399770811 -583.452630023442</t>
  </si>
  <si>
    <t>-607.384263666287 137.790358772669 -692.204732529011</t>
  </si>
  <si>
    <t>-587.022374266379 124.785983496254 -842.591895883399</t>
  </si>
  <si>
    <t>-544.025413656582 113.526194563308 -934.284080567951</t>
  </si>
  <si>
    <t>-590.707334334245 161.822028910991 -778.034434315175</t>
  </si>
  <si>
    <t>-542.730601550639 299.52009257723 -759.025655439347</t>
  </si>
  <si>
    <t>-438.794813163774 305.848994473526 -460.121794932029</t>
  </si>
  <si>
    <t>-244.131339534324 188.008839922701 -334.177794837466</t>
  </si>
  <si>
    <t>-601.356427507745 99.2580290113881 -774.066109816904</t>
  </si>
  <si>
    <t>-590.364416244819 281.912087853908 -247.548457767277</t>
  </si>
  <si>
    <t>-579.996288198669 276.15544781656 207.99190038481</t>
  </si>
  <si>
    <t>-610.14746597475 245.771853363751 675.886736536625</t>
  </si>
  <si>
    <t>-450.914603410436 258.572143438429 749.538429302495</t>
  </si>
  <si>
    <t>-575.538354389396 87.3950991382774 -225.463473451047</t>
  </si>
  <si>
    <t>-461.038795741066 78.8804896070974 215.529763624563</t>
  </si>
  <si>
    <t>-617.845237204469 1.24261197457145 651.44922846371</t>
  </si>
  <si>
    <t>-463.096969676845 -37.2665449661124 725.702388676612</t>
  </si>
  <si>
    <t>9763-20170724T170058.165380900.bin</t>
  </si>
  <si>
    <t>-582.742798091604 183.74607615078 -236.853000256469</t>
  </si>
  <si>
    <t>-609.182506595956 168.61404536141 -354.069889998485</t>
  </si>
  <si>
    <t>-617.101621030344 156.944719686791 -474.451155427626</t>
  </si>
  <si>
    <t>-616.470961215084 147.301255403301 -583.54507077343</t>
  </si>
  <si>
    <t>-608.118116067128 138.252720252664 -692.37144964861</t>
  </si>
  <si>
    <t>-588.464019476124 126.00250540659 -842.916014440721</t>
  </si>
  <si>
    <t>-546.038909674399 114.969012341861 -934.901638142706</t>
  </si>
  <si>
    <t>-591.678959169888 162.68730938105 -778.133158138468</t>
  </si>
  <si>
    <t>-543.81810810863 300.388420107799 -758.566557260107</t>
  </si>
  <si>
    <t>-440.819353386442 311.742404871337 -459.487005991069</t>
  </si>
  <si>
    <t>-246.868459604588 209.144511361996 -319.849145016319</t>
  </si>
  <si>
    <t>-602.641692628231 100.158547132444 -774.476315310507</t>
  </si>
  <si>
    <t>-589.287191278637 281.154969811666 -247.635304117819</t>
  </si>
  <si>
    <t>-580.368101810194 275.775652310202 207.940427790364</t>
  </si>
  <si>
    <t>-610.178683890348 246.051793965883 675.860207330757</t>
  </si>
  <si>
    <t>-450.943217162723 258.455560172241 749.57396211251</t>
  </si>
  <si>
    <t>-576.124490503965 86.3607209310107 -225.404606474639</t>
  </si>
  <si>
    <t>-461.094063361923 78.2524857831061 215.458016796381</t>
  </si>
  <si>
    <t>-617.913916156143 1.40634035581934 651.527430875</t>
  </si>
  <si>
    <t>-463.228155855936 -37.4458041783785 725.732173010826</t>
  </si>
  <si>
    <t>9763-20170724T170058.199471200.bin</t>
  </si>
  <si>
    <t>-582.458468751915 183.21622638832 -236.943163760546</t>
  </si>
  <si>
    <t>-608.84410113485 168.258021198189 -354.194471460813</t>
  </si>
  <si>
    <t>-616.870203702695 156.559956015289 -474.566043074823</t>
  </si>
  <si>
    <t>-616.410118934105 146.826442196054 -583.652655066124</t>
  </si>
  <si>
    <t>-608.304273977178 137.636917655576 -692.486021541356</t>
  </si>
  <si>
    <t>-589.073992622184 125.148706860147 -843.065681781284</t>
  </si>
  <si>
    <t>-546.922630926109 114.028372408933 -935.166566280432</t>
  </si>
  <si>
    <t>-592.061764362817 161.928227832779 -778.32582009169</t>
  </si>
  <si>
    <t>-544.736814600505 299.858363372817 -759.178972340858</t>
  </si>
  <si>
    <t>-444.603025208378 315.659875550988 -459.329347692412</t>
  </si>
  <si>
    <t>-250.650306219049 225.038092577279 -311.640284605113</t>
  </si>
  <si>
    <t>-603.103829681979 99.4204659589743 -774.551867587987</t>
  </si>
  <si>
    <t>-588.301930899562 280.789064001109 -247.732274967149</t>
  </si>
  <si>
    <t>-580.529265840225 275.582650388649 207.866465863881</t>
  </si>
  <si>
    <t>-610.256296065841 246.395244188232 675.840583353973</t>
  </si>
  <si>
    <t>-450.992598673787 258.124406894141 749.603798062372</t>
  </si>
  <si>
    <t>-576.623528983938 85.6312756805189 -225.444563969369</t>
  </si>
  <si>
    <t>-461.18204843931 77.5475895948164 215.311155458276</t>
  </si>
  <si>
    <t>-617.956605920617 1.38576699240139 651.57741145251</t>
  </si>
  <si>
    <t>-463.279582301736 -37.5530930051325 725.754809400507</t>
  </si>
  <si>
    <t>9763-20170724T170058.268375100.bin</t>
  </si>
  <si>
    <t>-581.408911195673 182.043790840905 -237.114450193182</t>
  </si>
  <si>
    <t>-607.631945024434 167.53949865863 -354.459128094196</t>
  </si>
  <si>
    <t>-615.579960275719 155.543502765853 -474.806483960222</t>
  </si>
  <si>
    <t>-615.110565080867 145.267481105207 -583.843400939083</t>
  </si>
  <si>
    <t>-607.069513927847 135.284399937334 -692.611634398114</t>
  </si>
  <si>
    <t>-588.016054006681 121.451840518725 -843.096216392019</t>
  </si>
  <si>
    <t>-546.274030289513 110.071742099753 -935.351786159481</t>
  </si>
  <si>
    <t>-590.881061641783 158.800186302877 -778.677295564588</t>
  </si>
  <si>
    <t>-544.505749348352 297.25568017842 -761.1586806605</t>
  </si>
  <si>
    <t>-457.18025612198 325.87460559706 -458.270279764197</t>
  </si>
  <si>
    <t>-265.330316040869 250.891897205439 -299.48354694496</t>
  </si>
  <si>
    <t>-602.012207460328 96.3443157173708 -774.345695056287</t>
  </si>
  <si>
    <t>-585.892973977985 280.037965292506 -247.877409487705</t>
  </si>
  <si>
    <t>-580.186115556505 275.122734695975 207.755067859636</t>
  </si>
  <si>
    <t>-610.329311981136 246.842885971701 675.788305570071</t>
  </si>
  <si>
    <t>-451.055122274902 257.693856295058 749.66320868417</t>
  </si>
  <si>
    <t>-576.829342588585 84.2241134579569 -225.680310538703</t>
  </si>
  <si>
    <t>-461.214253106585 75.9286233250398 215.026007246297</t>
  </si>
  <si>
    <t>-618.078927077495 1.44664022495044 651.69367535835</t>
  </si>
  <si>
    <t>-463.519852184466 -38.0360819602731 725.829458102898</t>
  </si>
  <si>
    <t>9763-20170724T170058.299460400.bin</t>
  </si>
  <si>
    <t>-580.69643089389 181.632306870957 -237.152942843511</t>
  </si>
  <si>
    <t>-606.869762569565 167.286326622886 -354.52820825141</t>
  </si>
  <si>
    <t>-614.767288027828 155.109335595181 -474.860691749583</t>
  </si>
  <si>
    <t>-614.262911728735 144.542244055146 -583.869610607407</t>
  </si>
  <si>
    <t>-606.203261742207 134.147574796622 -692.597900892944</t>
  </si>
  <si>
    <t>-587.145683767288 119.623936297247 -843.016883553671</t>
  </si>
  <si>
    <t>-545.568943352602 108.073334454921 -935.325805388655</t>
  </si>
  <si>
    <t>-590.019129561292 157.268925901021 -778.771198163283</t>
  </si>
  <si>
    <t>-544.089822198154 295.933600107587 -762.011846596221</t>
  </si>
  <si>
    <t>-465.727013595341 332.146113841423 -457.489027657002</t>
  </si>
  <si>
    <t>-276.555921867884 263.755382611711 -292.628422348035</t>
  </si>
  <si>
    <t>-601.137026817888 94.8313886409496 -774.15106098396</t>
  </si>
  <si>
    <t>-584.750894048525 279.774300903055 -247.884366649869</t>
  </si>
  <si>
    <t>-579.586469667321 274.980532450089 207.755791209422</t>
  </si>
  <si>
    <t>-610.371660230089 247.047858415005 675.765935049638</t>
  </si>
  <si>
    <t>-451.090787541636 257.402277966658 749.697647210023</t>
  </si>
  <si>
    <t>-576.520691503266 83.7426640175111 -225.729436604933</t>
  </si>
  <si>
    <t>-460.93921137001 75.1457151020636 214.97979451447</t>
  </si>
  <si>
    <t>-618.12707854584 1.29487653454635 651.698451870597</t>
  </si>
  <si>
    <t>-463.573838470734 -38.1643527367205 725.858938849007</t>
  </si>
  <si>
    <t>9763-20170724T170058.363379600.bin</t>
  </si>
  <si>
    <t>-579.050378917544 181.34300263046 -237.029411453744</t>
  </si>
  <si>
    <t>-605.074407117394 167.082723413469 -354.448273850474</t>
  </si>
  <si>
    <t>-612.634697809413 154.671955430598 -474.778525837183</t>
  </si>
  <si>
    <t>-611.760748145073 143.778712899866 -583.752931924855</t>
  </si>
  <si>
    <t>-603.273754374566 132.951273595611 -692.406538580044</t>
  </si>
  <si>
    <t>-583.56793663568 117.723520817197 -842.672270036531</t>
  </si>
  <si>
    <t>-542.059585485611 105.990213512803 -934.988881495741</t>
  </si>
  <si>
    <t>-586.936649193577 155.70466990173 -778.64877412631</t>
  </si>
  <si>
    <t>-541.733341037512 294.716458349105 -762.930983551916</t>
  </si>
  <si>
    <t>-481.433446932764 341.137658935021 -455.693046769518</t>
  </si>
  <si>
    <t>-300.069178480405 284.281496460078 -278.164329827766</t>
  </si>
  <si>
    <t>-597.637622557312 93.2180522098038 -773.719815423282</t>
  </si>
  <si>
    <t>-583.00201143056 279.259219007943 -247.712854390102</t>
  </si>
  <si>
    <t>-578.119664311112 274.526648078835 207.93102309716</t>
  </si>
  <si>
    <t>-610.284116557006 246.556686359582 675.871091948945</t>
  </si>
  <si>
    <t>-451.017863375796 257.492379113117 749.750534634809</t>
  </si>
  <si>
    <t>-574.920627245348 83.6465726352542 -225.671938339193</t>
  </si>
  <si>
    <t>-459.904761992614 74.3462930585754 215.170994096379</t>
  </si>
  <si>
    <t>-618.142051383847 1.25596357195263 651.591519776639</t>
  </si>
  <si>
    <t>-463.71791839643 -38.5108249169873 725.856589957869</t>
  </si>
  <si>
    <t>9763-20170724T170058.395465000.bin</t>
  </si>
  <si>
    <t>-578.259102589505 181.394972120905 -236.929611448465</t>
  </si>
  <si>
    <t>-604.255164308541 167.036795067854 -354.342723730095</t>
  </si>
  <si>
    <t>-611.685325509524 154.498311450644 -474.668051523108</t>
  </si>
  <si>
    <t>-610.653793953645 143.481974211197 -583.628586623941</t>
  </si>
  <si>
    <t>-601.970413215302 132.52588708541 -692.253781304586</t>
  </si>
  <si>
    <t>-581.952510608943 117.115232323637 -842.45948618844</t>
  </si>
  <si>
    <t>-540.419785767558 105.331541008124 -934.758858340054</t>
  </si>
  <si>
    <t>-585.647087430807 155.204528316021 -778.518268841264</t>
  </si>
  <si>
    <t>-541.235433551832 294.555130625342 -763.231691212432</t>
  </si>
  <si>
    <t>-487.552719332794 343.027905814513 -455.084417520474</t>
  </si>
  <si>
    <t>-311.028777942944 287.479376758882 -272.339541176378</t>
  </si>
  <si>
    <t>-595.972483384175 92.6635300307735 -773.477947585246</t>
  </si>
  <si>
    <t>-582.552914361304 279.14614538183 -247.581490629304</t>
  </si>
  <si>
    <t>-577.285021246729 274.376437897651 208.05788546717</t>
  </si>
  <si>
    <t>-610.205463958265 246.200455929948 675.922033214503</t>
  </si>
  <si>
    <t>-450.953026567505 257.639843900014 749.755088897318</t>
  </si>
  <si>
    <t>-573.761775474186 83.7954144601633 -225.616670676282</t>
  </si>
  <si>
    <t>-459.275162812463 74.411140517054 215.362266839304</t>
  </si>
  <si>
    <t>-618.114909405459 1.2944815542478 651.517941264745</t>
  </si>
  <si>
    <t>-463.712316925389 -38.463130398497 725.832760021438</t>
  </si>
  <si>
    <t>9763-20170724T170058.460641300.bin</t>
  </si>
  <si>
    <t>-577.035802674515 182.266297098142 -236.7780999791</t>
  </si>
  <si>
    <t>-602.914356405956 167.598117775084 -354.17883121726</t>
  </si>
  <si>
    <t>-610.129257325392 155.021057249145 -474.513060432542</t>
  </si>
  <si>
    <t>-608.85721814835 144.084348334232 -583.479178303495</t>
  </si>
  <si>
    <t>-599.884064831996 133.322077194751 -692.100169571018</t>
  </si>
  <si>
    <t>-579.409463741008 118.299803896563 -842.283785408991</t>
  </si>
  <si>
    <t>-537.716009100531 106.777507940078 -934.54359464627</t>
  </si>
  <si>
    <t>-583.759847879319 156.290953743521 -778.32556488394</t>
  </si>
  <si>
    <t>-541.248081697315 296.157912139949 -762.77419900032</t>
  </si>
  <si>
    <t>-494.879826470295 344.401749404912 -453.405895920848</t>
  </si>
  <si>
    <t>-321.261971382214 284.834376741956 -269.149017055205</t>
  </si>
  <si>
    <t>-593.17779550324 93.6025905507493 -773.339012662268</t>
  </si>
  <si>
    <t>-582.515314556958 279.689699305167 -247.383234230912</t>
  </si>
  <si>
    <t>-575.995356915111 274.703182202187 208.237599958118</t>
  </si>
  <si>
    <t>-610.068880086839 245.736704749745 675.943373381278</t>
  </si>
  <si>
    <t>-450.855754716229 257.962518846669 749.735162726406</t>
  </si>
  <si>
    <t>-571.422040098966 85.0643831407265 -225.503980914519</t>
  </si>
  <si>
    <t>-458.093375960309 75.3045701942776 215.76583262567</t>
  </si>
  <si>
    <t>-617.978355566191 1.22310724168665 651.287197004632</t>
  </si>
  <si>
    <t>-463.601735690472 -38.3252573967884 725.767383477823</t>
  </si>
  <si>
    <t>9763-20170724T170058.498742200.bin</t>
  </si>
  <si>
    <t>-576.624759625641 183.042381917584 -236.734801197364</t>
  </si>
  <si>
    <t>-602.451918790261 168.167978759732 -354.121053243773</t>
  </si>
  <si>
    <t>-609.586283868433 155.62449099281 -474.463559050061</t>
  </si>
  <si>
    <t>-608.223701953475 144.81756004195 -583.441629208304</t>
  </si>
  <si>
    <t>-599.138681983117 134.28444230922 -692.075544586467</t>
  </si>
  <si>
    <t>-578.483399975636 119.684281500402 -842.276145103765</t>
  </si>
  <si>
    <t>-536.660632892557 108.388928113833 -934.505571043308</t>
  </si>
  <si>
    <t>-583.174649219887 157.531071566382 -778.256305288478</t>
  </si>
  <si>
    <t>-541.80578553976 297.736359958572 -762.350704681029</t>
  </si>
  <si>
    <t>-495.804978604977 343.479793888459 -452.547965087324</t>
  </si>
  <si>
    <t>-320.888426917572 280.834604336091 -270.553936866731</t>
  </si>
  <si>
    <t>-592.07071839846 94.7579828120267 -773.377800686651</t>
  </si>
  <si>
    <t>-582.8468743743 280.283836723718 -247.318464552019</t>
  </si>
  <si>
    <t>-575.763978127118 275.122571240261 208.292035678604</t>
  </si>
  <si>
    <t>-610.03204027521 245.639586105402 675.951070042507</t>
  </si>
  <si>
    <t>-450.832597526336 258.166401182406 749.721822107339</t>
  </si>
  <si>
    <t>-570.239696135509 85.981287272655 -225.477997624113</t>
  </si>
  <si>
    <t>-457.667343219595 76.1417611651304 215.983606578577</t>
  </si>
  <si>
    <t>-617.905811328837 1.22067199984326 651.194918427013</t>
  </si>
  <si>
    <t>-463.500457736864 -38.1003987531124 725.735828128526</t>
  </si>
  <si>
    <t>9763-20170724T170058.564939000.bin</t>
  </si>
  <si>
    <t>-576.271563989066 184.601640490173 -236.703529564278</t>
  </si>
  <si>
    <t>-601.915982980136 169.283518400212 -354.072689097451</t>
  </si>
  <si>
    <t>-609.02527877601 156.720314430549 -474.414612121321</t>
  </si>
  <si>
    <t>-607.693582763847 146.076480764926 -583.409146722684</t>
  </si>
  <si>
    <t>-598.685681678834 135.889417637093 -692.082659513073</t>
  </si>
  <si>
    <t>-578.178189252588 121.963953190251 -842.367386693197</t>
  </si>
  <si>
    <t>-536.189632810686 111.085119161073 -934.571598829411</t>
  </si>
  <si>
    <t>-583.266570491568 159.579416208927 -778.241763000228</t>
  </si>
  <si>
    <t>-544.049810391028 300.336177846085 -761.5641861619</t>
  </si>
  <si>
    <t>-495.765927273012 339.476144183861 -451.20485517211</t>
  </si>
  <si>
    <t>-315.588926656875 272.911321325107 -275.855316348545</t>
  </si>
  <si>
    <t>-591.237625271247 96.6717933264301 -773.500304563491</t>
  </si>
  <si>
    <t>-583.865114906253 281.523435078359 -247.339170621268</t>
  </si>
  <si>
    <t>-576.34203849496 276.017589404073 208.260267517245</t>
  </si>
  <si>
    <t>-609.954293664531 245.515479010989 675.922891992172</t>
  </si>
  <si>
    <t>-450.795871234089 258.699315105048 749.667719137502</t>
  </si>
  <si>
    <t>-568.6146077971 87.7052504221704 -225.339408898277</t>
  </si>
  <si>
    <t>-456.968354814799 77.8497911880763 216.356971040136</t>
  </si>
  <si>
    <t>-617.774247792668 1.25462326661727 651.028259133865</t>
  </si>
  <si>
    <t>-463.280029161045 -37.5540135701735 725.653521125532</t>
  </si>
  <si>
    <t>9763-20170724T170058.593013300.bin</t>
  </si>
  <si>
    <t>-576.267713694518 185.222727071979 -236.694451055236</t>
  </si>
  <si>
    <t>-601.732393986324 169.708303329336 -354.076889429506</t>
  </si>
  <si>
    <t>-608.777580054984 157.117185408393 -474.419882440362</t>
  </si>
  <si>
    <t>-607.431478862815 146.521681197 -583.418788208482</t>
  </si>
  <si>
    <t>-598.449909667281 136.45815149772 -692.106003830955</t>
  </si>
  <si>
    <t>-578.018308017995 122.784704016992 -842.424288054356</t>
  </si>
  <si>
    <t>-535.9919747188 112.145465853476 -934.639090343563</t>
  </si>
  <si>
    <t>-583.260801327875 160.313592188978 -778.260253987554</t>
  </si>
  <si>
    <t>-544.645689982327 301.205011565349 -761.374827459885</t>
  </si>
  <si>
    <t>-494.464947714587 338.032034713973 -451.033377341228</t>
  </si>
  <si>
    <t>-311.878806501392 269.954607884881 -278.783912298287</t>
  </si>
  <si>
    <t>-590.856503920343 97.3560088890199 -773.565879816194</t>
  </si>
  <si>
    <t>-584.434903715065 282.067184421 -247.396313474</t>
  </si>
  <si>
    <t>-577.004971087731 276.424514644716 208.202877372354</t>
  </si>
  <si>
    <t>-609.944833674791 245.572536878516 675.896503206834</t>
  </si>
  <si>
    <t>-450.792161840748 258.848937971405 749.637165860559</t>
  </si>
  <si>
    <t>-567.966262653483 88.3879999802036 -225.323505223015</t>
  </si>
  <si>
    <t>-456.852611769826 78.5760491123283 216.508205654605</t>
  </si>
  <si>
    <t>-617.744133603674 1.26060859055019 650.998455090681</t>
  </si>
  <si>
    <t>-463.188771486993 -37.3121498563994 725.619396064608</t>
  </si>
  <si>
    <t>9763-20170724T170058.661201700.bin</t>
  </si>
  <si>
    <t>-576.542626647745 186.410009806523 -236.8295957537</t>
  </si>
  <si>
    <t>-601.811104165528 170.656295258408 -354.222639543742</t>
  </si>
  <si>
    <t>-608.8584389276 157.946074950252 -474.552753248087</t>
  </si>
  <si>
    <t>-607.59293509944 147.301270186011 -583.548005752824</t>
  </si>
  <si>
    <t>-598.767826064069 137.251285530734 -692.249145194767</t>
  </si>
  <si>
    <t>-578.629468575872 123.666101009528 -842.615052042477</t>
  </si>
  <si>
    <t>-536.613898122431 113.251833403587 -934.860506140906</t>
  </si>
  <si>
    <t>-584.050178048364 161.189039399945 -778.462483863227</t>
  </si>
  <si>
    <t>-546.133361462365 302.3170848539 -761.902373713066</t>
  </si>
  <si>
    <t>-491.712672773171 338.449108893516 -452.194520293842</t>
  </si>
  <si>
    <t>-305.822853124577 267.060276128053 -284.890360379702</t>
  </si>
  <si>
    <t>-591.029998382532 98.1650111988831 -773.70321435331</t>
  </si>
  <si>
    <t>-585.545922652532 283.202818695228 -247.60281970055</t>
  </si>
  <si>
    <t>-578.496455976211 277.398301272616 208.000482152404</t>
  </si>
  <si>
    <t>-610.009369536163 246.137810045843 675.765221149218</t>
  </si>
  <si>
    <t>-450.863223770226 259.079274960647 749.579311656299</t>
  </si>
  <si>
    <t>-567.522981666211 89.6930094187478 -225.387408264974</t>
  </si>
  <si>
    <t>-456.882159476292 79.572789364865 216.555892750056</t>
  </si>
  <si>
    <t>-617.726882491804 1.36534818453083 650.932173528344</t>
  </si>
  <si>
    <t>-463.177309349878 -37.2684424325023 725.533596827721</t>
  </si>
  <si>
    <t>9763-20170724T170058.696316000.bin</t>
  </si>
  <si>
    <t>-576.844827087211 186.780929055308 -236.907325559991</t>
  </si>
  <si>
    <t>-602.056492792065 170.982140418199 -354.306446836889</t>
  </si>
  <si>
    <t>-609.13258435574 158.212346067562 -474.628725402557</t>
  </si>
  <si>
    <t>-607.928533948122 147.512097070166 -583.619133063724</t>
  </si>
  <si>
    <t>-599.200223656961 137.406686228746 -692.32299009291</t>
  </si>
  <si>
    <t>-579.232419231358 123.747251131766 -842.704950099633</t>
  </si>
  <si>
    <t>-537.259634107956 113.366966270521 -934.973686273505</t>
  </si>
  <si>
    <t>-584.685987502544 161.312437951219 -778.579755890626</t>
  </si>
  <si>
    <t>-546.999751042991 302.524398522281 -762.355377954077</t>
  </si>
  <si>
    <t>-490.297360639898 338.986088747608 -453.095612963459</t>
  </si>
  <si>
    <t>-303.359427224959 266.457396075994 -287.457882030549</t>
  </si>
  <si>
    <t>-591.44912066692 98.26983457952 -773.751485644495</t>
  </si>
  <si>
    <t>-586.108476400058 283.550351094683 -247.676929159865</t>
  </si>
  <si>
    <t>-579.056779833617 277.655577488744 207.925077055256</t>
  </si>
  <si>
    <t>-610.006961099958 246.222765366093 675.741597343384</t>
  </si>
  <si>
    <t>-450.862448883099 259.127260464017 749.565734669184</t>
  </si>
  <si>
    <t>-567.542935836618 90.0582860439035 -225.48463719917</t>
  </si>
  <si>
    <t>-457.078767704379 79.7702265185494 216.498990443187</t>
  </si>
  <si>
    <t>-617.726921425508 1.20603051693911 650.905137078586</t>
  </si>
  <si>
    <t>-463.021175346719 -36.8527521286908 725.478402687912</t>
  </si>
  <si>
    <t>9763-20170724T170058.768081700.bin</t>
  </si>
  <si>
    <t>-577.417829920339 187.294325979592 -237.029654053676</t>
  </si>
  <si>
    <t>-602.670478148574 171.48416515318 -354.418451907719</t>
  </si>
  <si>
    <t>-609.854828979 158.618674547151 -474.724103889998</t>
  </si>
  <si>
    <t>-608.778113103293 147.803705844473 -583.704451439382</t>
  </si>
  <si>
    <t>-600.207227395064 137.558748643171 -692.407953710222</t>
  </si>
  <si>
    <t>-580.489741336926 123.682623037869 -842.802879115752</t>
  </si>
  <si>
    <t>-538.617812559592 113.123946758925 -935.0973360097</t>
  </si>
  <si>
    <t>-585.952645763495 161.351073321962 -778.739137429353</t>
  </si>
  <si>
    <t>-548.448846484652 302.670981697411 -763.026135695677</t>
  </si>
  <si>
    <t>-487.608667205566 339.791936621175 -454.632279057036</t>
  </si>
  <si>
    <t>-298.660286042973 265.268491210876 -292.19207888193</t>
  </si>
  <si>
    <t>-592.475541874958 98.2938453373897 -773.776441410811</t>
  </si>
  <si>
    <t>-586.843669204486 284.063391838868 -247.769328678837</t>
  </si>
  <si>
    <t>-579.593214010269 278.057451450377 207.828079700158</t>
  </si>
  <si>
    <t>-610.050251909664 246.551022462367 675.670103811598</t>
  </si>
  <si>
    <t>-450.90826013574 259.281534101422 749.529870177222</t>
  </si>
  <si>
    <t>-567.88874649675 90.5069471251124 -225.646984914963</t>
  </si>
  <si>
    <t>-457.472286699888 80.0536768930731 216.344603284039</t>
  </si>
  <si>
    <t>-617.725739463667 1.20791224904133 650.832367323758</t>
  </si>
  <si>
    <t>-463.016951051228 -36.8088702273851 725.420762858263</t>
  </si>
  <si>
    <t>9763-20170724T170058.796159200.bin</t>
  </si>
  <si>
    <t>-577.73446372612 187.402505293571 -237.047194475776</t>
  </si>
  <si>
    <t>-603.088227645421 171.599104086454 -354.415335480224</t>
  </si>
  <si>
    <t>-610.356387696876 158.693259070214 -474.711453487161</t>
  </si>
  <si>
    <t>-609.349100737708 147.824157659459 -583.687198251237</t>
  </si>
  <si>
    <t>-600.841630410805 137.508732661981 -692.388963618035</t>
  </si>
  <si>
    <t>-581.206575887996 123.518039264484 -842.784076504576</t>
  </si>
  <si>
    <t>-539.370755436629 112.80150894845 -935.076594829058</t>
  </si>
  <si>
    <t>-586.63978258553 161.235660918485 -778.746886962644</t>
  </si>
  <si>
    <t>-549.00323036208 302.545748835862 -763.266762973997</t>
  </si>
  <si>
    <t>-486.464681556162 339.933904785711 -455.245204888372</t>
  </si>
  <si>
    <t>-296.387887816666 264.645523617382 -294.483025715838</t>
  </si>
  <si>
    <t>-593.149208878249 98.181208456278 -773.730969659639</t>
  </si>
  <si>
    <t>-587.115210113105 284.18054110725 -247.782249224036</t>
  </si>
  <si>
    <t>-579.684034824141 278.12079916771 207.811623935437</t>
  </si>
  <si>
    <t>-610.018313829978 246.497638347269 675.65701147523</t>
  </si>
  <si>
    <t>-450.883407526464 259.281138412857 749.522965366811</t>
  </si>
  <si>
    <t>-568.278564835941 90.5867553592987 -225.648446465785</t>
  </si>
  <si>
    <t>-457.613622063226 80.1552648352529 216.281511714379</t>
  </si>
  <si>
    <t>-617.731787148608 1.23325791635102 650.809310568877</t>
  </si>
  <si>
    <t>-463.015618653231 -36.7600831734806 725.394329255515</t>
  </si>
  <si>
    <t>9763-20170724T170058.834271400.bin</t>
  </si>
  <si>
    <t>-578.132448697683 187.528104361799 -237.061645544794</t>
  </si>
  <si>
    <t>-603.573985577314 171.722408720591 -354.410291257003</t>
  </si>
  <si>
    <t>-610.939826780774 158.757074392231 -474.694212907569</t>
  </si>
  <si>
    <t>-610.025616426362 147.811823493634 -583.663013650083</t>
  </si>
  <si>
    <t>-601.616462933904 137.398202034942 -692.363100550248</t>
  </si>
  <si>
    <t>-582.123817954689 123.248967889565 -842.761951624466</t>
  </si>
  <si>
    <t>-540.314668359105 112.328084661397 -935.042562421058</t>
  </si>
  <si>
    <t>-587.466829777106 161.031327885615 -778.755274345235</t>
  </si>
  <si>
    <t>-549.636205313515 302.325362405886 -763.546306394174</t>
  </si>
  <si>
    <t>-485.609617309684 339.819481155497 -455.843486536927</t>
  </si>
  <si>
    <t>-294.55482612935 263.573205803639 -296.700122941559</t>
  </si>
  <si>
    <t>-594.030586255941 97.9877684966095 -773.674923419141</t>
  </si>
  <si>
    <t>-587.414306134357 284.324654291858 -247.792910275439</t>
  </si>
  <si>
    <t>-579.787963538476 278.179076724636 207.796544144572</t>
  </si>
  <si>
    <t>-610.012742747941 246.48033257428 675.659255269028</t>
  </si>
  <si>
    <t>-450.857771597593 259.033219402417 749.521592778102</t>
  </si>
  <si>
    <t>-568.775512865083 90.7321393188154 -225.644161143661</t>
  </si>
  <si>
    <t>-457.841862275953 80.2562815075569 216.217438783229</t>
  </si>
  <si>
    <t>-617.740228634453 1.31480337764265 650.794617809963</t>
  </si>
  <si>
    <t>-463.044665392571 -36.7781683847822 725.371517487772</t>
  </si>
  <si>
    <t>9763-20170724T170058.896433600.bin</t>
  </si>
  <si>
    <t>-578.505819701404 187.506665849853 -237.063226139015</t>
  </si>
  <si>
    <t>-604.040949695702 171.70409875181 -354.392061212887</t>
  </si>
  <si>
    <t>-611.502263009124 158.677154778158 -474.663445390999</t>
  </si>
  <si>
    <t>-610.675982503706 147.649285475166 -583.624590944877</t>
  </si>
  <si>
    <t>-602.356996880666 137.126281410536 -692.321056146433</t>
  </si>
  <si>
    <t>-582.992568237229 122.796853575173 -842.719458598703</t>
  </si>
  <si>
    <t>-541.212059400798 111.653462052676 -934.986550190748</t>
  </si>
  <si>
    <t>-588.230153558898 160.651157708633 -778.746567526614</t>
  </si>
  <si>
    <t>-550.066007127249 301.878862913752 -763.813378435428</t>
  </si>
  <si>
    <t>-484.596804113962 339.523589700294 -456.432587077483</t>
  </si>
  <si>
    <t>-292.850092986254 262.399525308709 -298.549338419823</t>
  </si>
  <si>
    <t>-594.891310196478 97.6231480105037 -773.599169872574</t>
  </si>
  <si>
    <t>-587.668644490396 284.255172316145 -247.787825006875</t>
  </si>
  <si>
    <t>-579.866062977638 278.071991133157 207.798221893223</t>
  </si>
  <si>
    <t>-609.969175829205 246.304686759212 675.678202201911</t>
  </si>
  <si>
    <t>-450.823458836554 259.133935824987 749.512971485603</t>
  </si>
  <si>
    <t>-569.228731873622 90.731879990064 -225.665155837007</t>
  </si>
  <si>
    <t>-458.091505226711 80.2799572711301 216.145799652179</t>
  </si>
  <si>
    <t>-617.74696312276 1.35487188544357 650.811270511526</t>
  </si>
  <si>
    <t>-463.059320534103 -36.8076517446493 725.369083893809</t>
  </si>
  <si>
    <t>9763-20170724T170058.969372400.bin</t>
  </si>
  <si>
    <t>-579.715065972853 187.262854976048 -237.056928253976</t>
  </si>
  <si>
    <t>-605.526640379148 171.577841883311 -354.341097268309</t>
  </si>
  <si>
    <t>-613.319598502446 158.406311372245 -474.575615032342</t>
  </si>
  <si>
    <t>-612.819580404151 147.137091555752 -583.514092299848</t>
  </si>
  <si>
    <t>-604.856037781124 136.260436685149 -692.202333067657</t>
  </si>
  <si>
    <t>-586.01838663224 121.321352124612 -842.608376231774</t>
  </si>
  <si>
    <t>-544.420020969931 109.502791980401 -934.873636094071</t>
  </si>
  <si>
    <t>-590.79043512626 159.411074427175 -778.738871898695</t>
  </si>
  <si>
    <t>-551.280390293119 300.351423262365 -764.619225747381</t>
  </si>
  <si>
    <t>-481.604438368051 337.372396523949 -458.088748817618</t>
  </si>
  <si>
    <t>-288.318241377294 258.12717040137 -303.160752167366</t>
  </si>
  <si>
    <t>-597.916509012249 96.4516978153101 -773.377871260984</t>
  </si>
  <si>
    <t>-588.357954465585 284.058068195618 -247.741210793792</t>
  </si>
  <si>
    <t>-579.970397801592 277.628274554941 207.830904703544</t>
  </si>
  <si>
    <t>-609.868351054022 245.834899108669 675.722916579643</t>
  </si>
  <si>
    <t>-450.701056088249 258.917523136759 749.466636160364</t>
  </si>
  <si>
    <t>-570.977049707775 90.5637743206585 -225.702227079216</t>
  </si>
  <si>
    <t>-459.280105156943 80.138853559238 215.968223951052</t>
  </si>
  <si>
    <t>-617.813218781515 1.36578491778027 651.04718924809</t>
  </si>
  <si>
    <t>-463.055022990741 -36.7516580099264 725.481504545298</t>
  </si>
  <si>
    <t>9763-20170724T170059.029535900.bin</t>
  </si>
  <si>
    <t>-580.463506818074 187.32449254891 -237.000513483901</t>
  </si>
  <si>
    <t>-606.469342060964 171.713748560473 -354.251605949292</t>
  </si>
  <si>
    <t>-614.529519522395 158.42848931206 -474.456049407768</t>
  </si>
  <si>
    <t>-614.303443407041 146.974134758325 -583.376158575699</t>
  </si>
  <si>
    <t>-606.647912853926 135.827671137976 -692.059268127718</t>
  </si>
  <si>
    <t>-588.275510929884 120.422875706435 -842.475805823031</t>
  </si>
  <si>
    <t>-546.832782877083 108.145333914349 -934.751058059857</t>
  </si>
  <si>
    <t>-592.622643363081 158.686390824041 -778.679884572926</t>
  </si>
  <si>
    <t>-551.962650742635 299.352849874591 -765.115692104238</t>
  </si>
  <si>
    <t>-479.735611987566 335.757136548829 -459.102208491576</t>
  </si>
  <si>
    <t>-286.128596050418 255.645141684711 -305.022829317447</t>
  </si>
  <si>
    <t>-600.186804546531 95.79172422377 -773.162448199883</t>
  </si>
  <si>
    <t>-588.695756418034 284.326521153538 -247.73082907659</t>
  </si>
  <si>
    <t>-580.006287127246 277.665878316287 207.832279314618</t>
  </si>
  <si>
    <t>-609.850892091458 245.84689076526 675.707107676049</t>
  </si>
  <si>
    <t>-450.669605840653 258.648764889052 749.469918022321</t>
  </si>
  <si>
    <t>-572.132519629701 90.4590217605557 -225.629971377579</t>
  </si>
  <si>
    <t>-459.910038635429 80.0581565679636 215.907839289135</t>
  </si>
  <si>
    <t>-617.866187978779 1.31391171150744 651.233135294185</t>
  </si>
  <si>
    <t>-463.042006607812 -36.7092494209915 725.578442811437</t>
  </si>
  <si>
    <t>9763-20170724T170059.061622300.bin</t>
  </si>
  <si>
    <t>-580.759284210011 187.371846877225 -236.986202703781</t>
  </si>
  <si>
    <t>-606.845948197505 171.792555727268 -354.223509254434</t>
  </si>
  <si>
    <t>-615.06061746464 158.460225109964 -474.412241683515</t>
  </si>
  <si>
    <t>-615.00515861303 146.928781294234 -583.324384961369</t>
  </si>
  <si>
    <t>-607.551639109017 135.669841130203 -692.00990806211</t>
  </si>
  <si>
    <t>-589.493086653061 120.070827316692 -842.444581961207</t>
  </si>
  <si>
    <t>-548.167950504355 107.560868220154 -934.741329803162</t>
  </si>
  <si>
    <t>-593.584324244442 158.402992258079 -778.672962494424</t>
  </si>
  <si>
    <t>-552.344721689576 298.917857529388 -765.345492743079</t>
  </si>
  <si>
    <t>-478.957986759204 335.101210791146 -459.581932794159</t>
  </si>
  <si>
    <t>-285.434538929985 254.481612519781 -305.662449606419</t>
  </si>
  <si>
    <t>-601.382576516139 95.5427384276697 -773.090761345567</t>
  </si>
  <si>
    <t>-588.755520402843 284.422879716773 -247.735002897002</t>
  </si>
  <si>
    <t>-580.017452178763 277.730872598785 207.826684273677</t>
  </si>
  <si>
    <t>-609.845441189111 245.943879608218 675.674561658241</t>
  </si>
  <si>
    <t>-450.682669481751 258.765173893626 749.473884208944</t>
  </si>
  <si>
    <t>-572.658499688617 90.4472146744279 -225.569151594036</t>
  </si>
  <si>
    <t>-460.090130888733 80.0670305281428 215.88104879406</t>
  </si>
  <si>
    <t>-617.875854162029 1.37167756300073 651.287899652371</t>
  </si>
  <si>
    <t>-463.093297187466 -36.831514310386 725.627552456899</t>
  </si>
  <si>
    <t>9763-20170724T170059.098720500.bin</t>
  </si>
  <si>
    <t>-581.014798821401 187.454180933594 -236.960957172136</t>
  </si>
  <si>
    <t>-607.189243346093 171.904908226172 -354.182611523357</t>
  </si>
  <si>
    <t>-615.537627733741 158.517588915571 -474.356043451401</t>
  </si>
  <si>
    <t>-615.622948861012 146.899951321227 -583.259086267977</t>
  </si>
  <si>
    <t>-608.33086931686 135.517709943686 -691.942678165619</t>
  </si>
  <si>
    <t>-590.519031776187 119.707282553217 -842.384707502977</t>
  </si>
  <si>
    <t>-549.309601972973 106.961283663014 -934.700973504658</t>
  </si>
  <si>
    <t>-594.394096168938 158.116396283647 -778.645734573312</t>
  </si>
  <si>
    <t>-552.602090045154 298.499805675197 -765.575421470199</t>
  </si>
  <si>
    <t>-478.236023664985 334.585212155198 -460.036981285491</t>
  </si>
  <si>
    <t>-284.985239748455 253.323839066768 -306.112463297389</t>
  </si>
  <si>
    <t>-602.406329100245 95.2894118638255 -772.99174603192</t>
  </si>
  <si>
    <t>-588.811800059455 284.550486441584 -247.738472949955</t>
  </si>
  <si>
    <t>-580.087458433319 277.789768223392 207.822561084922</t>
  </si>
  <si>
    <t>-609.832452176816 245.972438939995 675.66238374409</t>
  </si>
  <si>
    <t>-450.685953230992 258.85293944319 749.486502867067</t>
  </si>
  <si>
    <t>-573.118896365656 90.4818296594099 -225.513833801224</t>
  </si>
  <si>
    <t>-460.227020245488 80.1394907665606 215.854617473871</t>
  </si>
  <si>
    <t>-617.8870901602 1.42483705564473 651.332339008138</t>
  </si>
  <si>
    <t>-463.156998412799 -36.9988102296145 725.667584397814</t>
  </si>
  <si>
    <t>9763-20170724T170059.163900700.bin</t>
  </si>
  <si>
    <t>-581.467678944612 187.514256027428 -236.934197596253</t>
  </si>
  <si>
    <t>-607.790357868799 172.021704093902 -354.13012543138</t>
  </si>
  <si>
    <t>-616.438643405059 158.535605072063 -474.271239835211</t>
  </si>
  <si>
    <t>-616.859090567162 146.762653413028 -583.156948241385</t>
  </si>
  <si>
    <t>-609.967234983407 135.158412781353 -691.843128439224</t>
  </si>
  <si>
    <t>-592.780114415439 118.969375745035 -842.317497942405</t>
  </si>
  <si>
    <t>-551.8651284994 105.821385009493 -934.708352235599</t>
  </si>
  <si>
    <t>-596.179768670078 157.513865098664 -778.633141287771</t>
  </si>
  <si>
    <t>-553.555020559915 297.678587828283 -766.025340171275</t>
  </si>
  <si>
    <t>-477.821023512646 333.834643251771 -460.831368888166</t>
  </si>
  <si>
    <t>-284.913993163438 251.865329136511 -306.851043585172</t>
  </si>
  <si>
    <t>-604.589957312494 94.7513833890669 -772.84134179085</t>
  </si>
  <si>
    <t>-588.911914569222 284.789544388578 -247.754006197807</t>
  </si>
  <si>
    <t>-580.255240607216 277.92436333328 207.806749781946</t>
  </si>
  <si>
    <t>-609.840660680094 246.116401730945 675.644150746703</t>
  </si>
  <si>
    <t>-450.695746191809 258.693829672671 749.523953007645</t>
  </si>
  <si>
    <t>-573.929968931925 90.3785899579555 -225.438132121681</t>
  </si>
  <si>
    <t>-460.487230001819 80.0630381771218 215.78970172422</t>
  </si>
  <si>
    <t>-617.910613894235 1.31174828591452 651.4039002743</t>
  </si>
  <si>
    <t>-463.106648766797 -36.8812183515511 725.704259247348</t>
  </si>
  <si>
    <t>9763-20170724T170059.196988500.bin</t>
  </si>
  <si>
    <t>-581.626634014053 187.643175720018 -236.933317790747</t>
  </si>
  <si>
    <t>-608.002024145081 172.193803723211 -354.123143002761</t>
  </si>
  <si>
    <t>-616.78404366337 158.6652358484 -474.249872789197</t>
  </si>
  <si>
    <t>-617.359883618601 146.818361540098 -583.12675841612</t>
  </si>
  <si>
    <t>-610.658781074204 135.104307863877 -691.813122581831</t>
  </si>
  <si>
    <t>-593.774059801656 118.725261082289 -842.301121700792</t>
  </si>
  <si>
    <t>-553.012355855803 105.414395211665 -934.736403510744</t>
  </si>
  <si>
    <t>-596.952132842165 157.338439169887 -778.647077464557</t>
  </si>
  <si>
    <t>-554.043328060172 297.441160260392 -766.255029822051</t>
  </si>
  <si>
    <t>-477.998108316497 333.773996114234 -461.159454400647</t>
  </si>
  <si>
    <t>-285.341444632158 251.524460818831 -307.015211921934</t>
  </si>
  <si>
    <t>-605.537935636395 94.6064992142333 -772.782565346984</t>
  </si>
  <si>
    <t>-588.879095223505 284.959287817268 -247.761007334782</t>
  </si>
  <si>
    <t>-580.33836169313 278.058191845301 207.801377762004</t>
  </si>
  <si>
    <t>-609.857419855948 246.233317069467 675.625532826226</t>
  </si>
  <si>
    <t>-450.708743652873 258.561963293524 749.539027349696</t>
  </si>
  <si>
    <t>-574.294707224291 90.4711703443736 -225.415245965679</t>
  </si>
  <si>
    <t>-460.567675109736 80.1132025066499 215.738383611897</t>
  </si>
  <si>
    <t>-617.91551246496 1.41380508004318 651.398846207627</t>
  </si>
  <si>
    <t>-463.133947560011 -36.8652660635205 725.701559176457</t>
  </si>
  <si>
    <t>9763-20170724T170059.233756900.bin</t>
  </si>
  <si>
    <t>-581.746594706349 187.761745151553 -236.938129666169</t>
  </si>
  <si>
    <t>-608.156711438843 172.361570936106 -354.126476297118</t>
  </si>
  <si>
    <t>-617.031923511798 158.804387367717 -474.243142074611</t>
  </si>
  <si>
    <t>-617.717454012291 146.900276435758 -583.113209214765</t>
  </si>
  <si>
    <t>-611.152308326848 135.097925336004 -691.798165328203</t>
  </si>
  <si>
    <t>-594.484475546028 118.564345115725 -842.293629222186</t>
  </si>
  <si>
    <t>-553.860555774666 105.144220475932 -934.773600618966</t>
  </si>
  <si>
    <t>-597.493545550167 157.233172707212 -778.665053890664</t>
  </si>
  <si>
    <t>-554.35209675981 297.275662021905 -766.504722710592</t>
  </si>
  <si>
    <t>-478.337092686796 333.94875953175 -461.442422603136</t>
  </si>
  <si>
    <t>-285.807946338413 251.743790338198 -307.115083824749</t>
  </si>
  <si>
    <t>-606.225392076629 94.5267448986265 -772.743157009133</t>
  </si>
  <si>
    <t>-588.779422986647 285.053715395605 -247.7730265543</t>
  </si>
  <si>
    <t>-580.349111107293 278.056976467626 207.789992561386</t>
  </si>
  <si>
    <t>-609.821910833728 246.136175075001 675.632894742442</t>
  </si>
  <si>
    <t>-450.690301242696 258.666826625056 749.549260999375</t>
  </si>
  <si>
    <t>-574.612417595353 90.5933784909546 -225.420323313558</t>
  </si>
  <si>
    <t>-460.659206930793 80.1664753127297 215.673387269339</t>
  </si>
  <si>
    <t>-617.916223488811 1.50874199171562 651.389925105284</t>
  </si>
  <si>
    <t>-463.235975860689 -37.1425019731139 725.710987333938</t>
  </si>
  <si>
    <t>9763-20170724T170059.298935700.bin</t>
  </si>
  <si>
    <t>-581.938607856517 188.107861702987 -236.949399849685</t>
  </si>
  <si>
    <t>-608.47999583347 172.790269297677 -354.119047629197</t>
  </si>
  <si>
    <t>-617.637359334195 159.179157765591 -474.208287741923</t>
  </si>
  <si>
    <t>-618.641937205497 147.173451212901 -583.064726403125</t>
  </si>
  <si>
    <t>-612.46052697897 135.219566803796 -691.755789006582</t>
  </si>
  <si>
    <t>-596.393834607088 118.425036728673 -842.28753358728</t>
  </si>
  <si>
    <t>-556.081267549264 104.870889254621 -934.884331958074</t>
  </si>
  <si>
    <t>-599.056109932746 157.192054215694 -778.703407537077</t>
  </si>
  <si>
    <t>-555.737615091517 297.226157403717 -767.058431312515</t>
  </si>
  <si>
    <t>-480.227910336747 334.538107331651 -461.948130475512</t>
  </si>
  <si>
    <t>-287.827621173026 252.718198696504 -307.255724736035</t>
  </si>
  <si>
    <t>-607.949629845757 94.5200434784583 -772.660385120091</t>
  </si>
  <si>
    <t>-588.630004887311 285.438672468212 -247.780558736952</t>
  </si>
  <si>
    <t>-580.116929176922 278.333886780372 207.779151536122</t>
  </si>
  <si>
    <t>-609.863294842984 246.391153643336 675.587124434222</t>
  </si>
  <si>
    <t>-450.724467454788 258.396588414912 749.575033592491</t>
  </si>
  <si>
    <t>-575.151783948311 90.9094252127013 -225.430573616939</t>
  </si>
  <si>
    <t>-460.774889689828 80.1320131373759 215.544971164927</t>
  </si>
  <si>
    <t>-617.896063035403 1.43575932438603 651.341992399584</t>
  </si>
  <si>
    <t>-463.202485840234 -37.1025463889591 725.693947058789</t>
  </si>
  <si>
    <t>9763-20170724T170059.363684300.bin</t>
  </si>
  <si>
    <t>-581.86540135832 188.497933622351 -236.994286023216</t>
  </si>
  <si>
    <t>-608.427901880143 173.249901449861 -354.168376359825</t>
  </si>
  <si>
    <t>-617.749440680424 159.625011966423 -474.24347947407</t>
  </si>
  <si>
    <t>-618.962453603094 147.57596499683 -583.09292085563</t>
  </si>
  <si>
    <t>-613.05000199904 135.549771961869 -691.79090297679</t>
  </si>
  <si>
    <t>-597.420036124487 118.626374538612 -842.354213409219</t>
  </si>
  <si>
    <t>-557.370904603386 105.006089011458 -935.055531127822</t>
  </si>
  <si>
    <t>-599.8684612922 157.444091169487 -778.792359600045</t>
  </si>
  <si>
    <t>-556.641473495831 297.544885898858 -767.439415305113</t>
  </si>
  <si>
    <t>-481.442997641213 336.196244618638 -462.419114368575</t>
  </si>
  <si>
    <t>-288.630682864543 255.509050426354 -307.644988368928</t>
  </si>
  <si>
    <t>-608.803138688128 94.7849252102576 -772.676858811157</t>
  </si>
  <si>
    <t>-588.401007540597 285.894151453383 -247.783429624223</t>
  </si>
  <si>
    <t>-579.940050557218 278.669810341951 207.775461175179</t>
  </si>
  <si>
    <t>-609.903865124228 246.656591257618 675.542505992567</t>
  </si>
  <si>
    <t>-450.766031634942 258.241900187633 749.599538215658</t>
  </si>
  <si>
    <t>-575.184450186649 91.2074080795371 -225.541843483896</t>
  </si>
  <si>
    <t>-460.807369193521 80.2300556920234 215.428740173714</t>
  </si>
  <si>
    <t>-617.86404222882 1.43969518011113 651.2898431597</t>
  </si>
  <si>
    <t>-463.188389883903 -37.0833665909497 725.686984140538</t>
  </si>
  <si>
    <t>9763-20170724T170059.396771400.bin</t>
  </si>
  <si>
    <t>-581.744395486372 188.643463888439 -236.988321602645</t>
  </si>
  <si>
    <t>-608.292899895366 173.408254933823 -354.167062747658</t>
  </si>
  <si>
    <t>-617.626698186449 159.766830039153 -474.239378920512</t>
  </si>
  <si>
    <t>-618.862274525831 147.68866101694 -583.085366048299</t>
  </si>
  <si>
    <t>-612.98424659131 135.618360011895 -691.78045764251</t>
  </si>
  <si>
    <t>-597.414978531994 118.616923530502 -842.341330392393</t>
  </si>
  <si>
    <t>-557.443951285137 104.969845422726 -935.072253801028</t>
  </si>
  <si>
    <t>-599.810987256804 157.464076203145 -778.795344488656</t>
  </si>
  <si>
    <t>-556.608131802465 297.552724054742 -767.522510888504</t>
  </si>
  <si>
    <t>-481.583406239393 336.77476886342 -462.532185182111</t>
  </si>
  <si>
    <t>-288.364532013394 256.765365905573 -307.913436538209</t>
  </si>
  <si>
    <t>-608.796776115627 94.815120809264 -772.650205334459</t>
  </si>
  <si>
    <t>-588.283028730197 286.093689421946 -247.790223997277</t>
  </si>
  <si>
    <t>-579.873879573827 278.802702481007 207.76856081407</t>
  </si>
  <si>
    <t>-609.885547518552 246.699433968293 675.505586053262</t>
  </si>
  <si>
    <t>-450.772921480343 258.38490302181 749.601028196491</t>
  </si>
  <si>
    <t>-575.066826985945 91.3156823731456 -225.555866523286</t>
  </si>
  <si>
    <t>-460.727641247264 80.3203693758835 215.424116068954</t>
  </si>
  <si>
    <t>-617.847641188965 1.47965342078123 651.260559474859</t>
  </si>
  <si>
    <t>-463.165657194852 -36.9812780812531 725.676660727238</t>
  </si>
  <si>
    <t>9763-20170724T170059.461947700.bin</t>
  </si>
  <si>
    <t>-581.608183702404 189.088022000478 -237.008943251475</t>
  </si>
  <si>
    <t>-608.019610440982 173.810718780466 -354.213194862415</t>
  </si>
  <si>
    <t>-617.34707430283 160.229134343549 -474.292813546793</t>
  </si>
  <si>
    <t>-618.627478462024 148.241744020981 -583.148247431191</t>
  </si>
  <si>
    <t>-612.84325654914 136.295355258732 -691.862024261327</t>
  </si>
  <si>
    <t>-597.453692472375 119.497984549518 -842.464118447629</t>
  </si>
  <si>
    <t>-557.630431775169 105.877194841773 -935.262729349594</t>
  </si>
  <si>
    <t>-599.697291223227 158.248756582173 -778.854027805816</t>
  </si>
  <si>
    <t>-556.511207681972 298.350142081621 -767.388239419896</t>
  </si>
  <si>
    <t>-481.263954555437 338.063664049803 -462.516287614746</t>
  </si>
  <si>
    <t>-287.514253919341 259.020923518521 -308.064677048557</t>
  </si>
  <si>
    <t>-608.828894349428 95.6119184243273 -772.800979007266</t>
  </si>
  <si>
    <t>-588.190081094219 286.496125348815 -247.832619644746</t>
  </si>
  <si>
    <t>-579.957485729937 279.098423826847 207.727669752953</t>
  </si>
  <si>
    <t>-609.891654379288 246.830772700968 675.457500689994</t>
  </si>
  <si>
    <t>-450.79796135105 258.411908669561 749.610060018449</t>
  </si>
  <si>
    <t>-574.924619420461 91.739934620191 -225.532400023151</t>
  </si>
  <si>
    <t>-460.5318541804 80.5844659998229 215.429704591628</t>
  </si>
  <si>
    <t>-617.794219875477 1.44501941431804 651.157730843586</t>
  </si>
  <si>
    <t>-463.143189413149 -37.0390182477233 725.626190578681</t>
  </si>
  <si>
    <t>9763-20170724T170059.497043700.bin</t>
  </si>
  <si>
    <t>-581.541400556418 189.313067256076 -237.013899413906</t>
  </si>
  <si>
    <t>-607.880561425263 174.028048099877 -354.233377922665</t>
  </si>
  <si>
    <t>-617.151861141841 160.507587736318 -474.324270889078</t>
  </si>
  <si>
    <t>-618.386677029706 148.604069037433 -583.189454289917</t>
  </si>
  <si>
    <t>-612.56096669876 136.770808300808 -691.913307228443</t>
  </si>
  <si>
    <t>-597.117029706744 120.161008742289 -842.530799589245</t>
  </si>
  <si>
    <t>-557.34182011842 106.653507482582 -935.366418348002</t>
  </si>
  <si>
    <t>-599.392403794585 158.833703871706 -778.874196116419</t>
  </si>
  <si>
    <t>-556.463868636699 298.971208263042 -767.283240543304</t>
  </si>
  <si>
    <t>-480.746867952301 339.02108300669 -462.571657262602</t>
  </si>
  <si>
    <t>-286.827939452822 260.103626024793 -308.268304906277</t>
  </si>
  <si>
    <t>-608.508625557352 96.1868682351778 -772.900369748991</t>
  </si>
  <si>
    <t>-588.14999436043 286.747250921682 -247.857989352885</t>
  </si>
  <si>
    <t>-579.98284114284 279.272991460216 207.702240453768</t>
  </si>
  <si>
    <t>-609.933530308254 246.974278078279 675.44253236207</t>
  </si>
  <si>
    <t>-450.827901096443 258.286529114966 749.610984541438</t>
  </si>
  <si>
    <t>-574.791268063117 91.9484093034348 -225.550029661618</t>
  </si>
  <si>
    <t>-460.46325868386 80.7674310953826 215.428094903295</t>
  </si>
  <si>
    <t>-617.767681947196 1.43448118237666 651.11603847998</t>
  </si>
  <si>
    <t>-463.132959000687 -37.0743616343502 725.60552039063</t>
  </si>
  <si>
    <t>9763-20170724T170059.562218600.bin</t>
  </si>
  <si>
    <t>-581.528862204415 189.461932443101 -237.106553002777</t>
  </si>
  <si>
    <t>-607.869501044122 174.195494575567 -354.328266195196</t>
  </si>
  <si>
    <t>-617.08740600608 160.811547631692 -474.438408333599</t>
  </si>
  <si>
    <t>-618.248806202347 149.08245561244 -583.323244222289</t>
  </si>
  <si>
    <t>-612.322752834306 137.476507575487 -692.066293635745</t>
  </si>
  <si>
    <t>-596.709541965227 121.23968478686 -842.706869987372</t>
  </si>
  <si>
    <t>-557.048896298654 107.977955154853 -935.627079889749</t>
  </si>
  <si>
    <t>-599.139983144553 159.76574824316 -778.967226701229</t>
  </si>
  <si>
    <t>-556.917604625996 300.1222852454 -767.043426480503</t>
  </si>
  <si>
    <t>-480.734859014599 339.691711481319 -462.385016775223</t>
  </si>
  <si>
    <t>-286.091032731079 260.911107895608 -308.926749541103</t>
  </si>
  <si>
    <t>-608.095814213775 97.0822427314481 -773.13898446582</t>
  </si>
  <si>
    <t>-588.192178967882 286.922924970996 -247.887195039503</t>
  </si>
  <si>
    <t>-579.837873392533 279.318624957045 207.667409425249</t>
  </si>
  <si>
    <t>-609.894890503815 246.886701210713 675.413882113065</t>
  </si>
  <si>
    <t>-450.813205559401 258.39082827324 749.603990255327</t>
  </si>
  <si>
    <t>-574.79173743105 92.0941387815556 -225.632072233338</t>
  </si>
  <si>
    <t>-460.509787733852 80.9018469120906 215.357773545731</t>
  </si>
  <si>
    <t>-617.744216141634 1.51862938518116 651.072371048915</t>
  </si>
  <si>
    <t>-463.114252226582 -36.9569257313258 725.588937930653</t>
  </si>
  <si>
    <t>9763-20170724T170059.594308200.bin</t>
  </si>
  <si>
    <t>-581.611595230534 189.492174492444 -237.121444652621</t>
  </si>
  <si>
    <t>-607.960042475068 174.234511875889 -354.342427226881</t>
  </si>
  <si>
    <t>-617.138593087164 160.93341277313 -474.464886226927</t>
  </si>
  <si>
    <t>-618.243499862979 149.311451496444 -583.361886665293</t>
  </si>
  <si>
    <t>-612.238906906397 137.845999848902 -692.115508795068</t>
  </si>
  <si>
    <t>-596.492625662558 121.840262483629 -842.766987166014</t>
  </si>
  <si>
    <t>-556.93924533389 108.785359450232 -935.762051102797</t>
  </si>
  <si>
    <t>-599.043302476356 160.27683449228 -778.97795009728</t>
  </si>
  <si>
    <t>-557.1331355846 300.703384218369 -766.887702442078</t>
  </si>
  <si>
    <t>-480.751692190086 340.054878770125 -462.251075427878</t>
  </si>
  <si>
    <t>-285.730876864174 261.180873142002 -309.320405096396</t>
  </si>
  <si>
    <t>-607.876401071587 97.5678647668415 -773.238779431133</t>
  </si>
  <si>
    <t>-588.330120818875 286.972609818964 -247.883954469595</t>
  </si>
  <si>
    <t>-579.933636265034 279.32199135751 207.669146171578</t>
  </si>
  <si>
    <t>-609.897511719681 246.86846069232 675.415144446759</t>
  </si>
  <si>
    <t>-450.808718917494 258.288052462394 749.603194391243</t>
  </si>
  <si>
    <t>-574.804941000908 92.1350605578862 -225.657779177445</t>
  </si>
  <si>
    <t>-460.553667171455 80.9285760386304 215.339594024292</t>
  </si>
  <si>
    <t>-617.739134247437 1.45239856139483 651.059224939578</t>
  </si>
  <si>
    <t>-463.07295494712 -36.8722757985443 725.578341902588</t>
  </si>
  <si>
    <t>9763-20170724T170059.666500500.bin</t>
  </si>
  <si>
    <t>-581.883840531077 189.506602730556 -237.093895687861</t>
  </si>
  <si>
    <t>-608.223153821457 174.214311045173 -354.312336064043</t>
  </si>
  <si>
    <t>-617.302939987166 161.005412708692 -474.452592897393</t>
  </si>
  <si>
    <t>-618.278962193937 149.5183400473 -583.365087223615</t>
  </si>
  <si>
    <t>-612.104475738303 138.238590534411 -692.12856834616</t>
  </si>
  <si>
    <t>-596.07798189931 122.544128395759 -842.783263939974</t>
  </si>
  <si>
    <t>-556.737853720263 109.802951215045 -935.91220124608</t>
  </si>
  <si>
    <t>-598.801978971366 160.855963883954 -778.926356400878</t>
  </si>
  <si>
    <t>-557.319954761022 301.391201749222 -766.543029393368</t>
  </si>
  <si>
    <t>-481.007735198989 340.269273755874 -461.828158948809</t>
  </si>
  <si>
    <t>-285.362378101016 260.993424476977 -309.9062556593</t>
  </si>
  <si>
    <t>-607.536415271654 98.12099268373 -773.32012142073</t>
  </si>
  <si>
    <t>-588.647483343351 286.918912404289 -247.882794830824</t>
  </si>
  <si>
    <t>-580.257618524789 279.292321756497 207.670866907069</t>
  </si>
  <si>
    <t>-609.868540192037 246.728819486617 675.435005329018</t>
  </si>
  <si>
    <t>-450.77926258639 258.287033967425 749.600519532214</t>
  </si>
  <si>
    <t>-574.996750929111 92.1218456025599 -225.624668579587</t>
  </si>
  <si>
    <t>-460.531397902073 81.1115292171842 215.32219256491</t>
  </si>
  <si>
    <t>-617.712276898361 1.52376765293707 650.995346712327</t>
  </si>
  <si>
    <t>-463.103752399133 -36.9772307302815 725.543195341614</t>
  </si>
  <si>
    <t>9763-20170724T170059.695582900.bin</t>
  </si>
  <si>
    <t>-582.03875491822 189.453022701 -237.053208226397</t>
  </si>
  <si>
    <t>-608.431762138313 174.149183333376 -354.258127651442</t>
  </si>
  <si>
    <t>-617.519914922214 160.993747853568 -474.403551440071</t>
  </si>
  <si>
    <t>-618.483030832231 149.580771651436 -583.323925935593</t>
  </si>
  <si>
    <t>-612.274095453566 138.40082533351 -692.095690089033</t>
  </si>
  <si>
    <t>-596.176651553964 122.871171236632 -842.759942710561</t>
  </si>
  <si>
    <t>-556.812693202807 110.288763583471 -935.900430761185</t>
  </si>
  <si>
    <t>-598.932198647496 161.113273568707 -778.862720779592</t>
  </si>
  <si>
    <t>-557.356839263224 301.612527706495 -766.34982104055</t>
  </si>
  <si>
    <t>-480.993403996704 340.253216906296 -461.617749596572</t>
  </si>
  <si>
    <t>-285.335930719715 260.149265675788 -310.146329162022</t>
  </si>
  <si>
    <t>-607.666349436289 98.3718306358801 -773.328791213905</t>
  </si>
  <si>
    <t>-588.81169008769 286.918846741319 -247.875589263369</t>
  </si>
  <si>
    <t>-580.331242629461 279.273458438812 207.676038181206</t>
  </si>
  <si>
    <t>-609.886302796913 246.785794776159 675.430584943845</t>
  </si>
  <si>
    <t>-450.79493510612 258.288699724871 749.600236144707</t>
  </si>
  <si>
    <t>-575.136966938357 92.0119044760352 -225.586417708475</t>
  </si>
  <si>
    <t>-460.514408803896 81.141582876862 215.323125599039</t>
  </si>
  <si>
    <t>-617.700958170206 1.52155293248734 650.970202498864</t>
  </si>
  <si>
    <t>-463.058994136087 -36.8408623509374 725.52021951255</t>
  </si>
  <si>
    <t>9763-20170724T170059.765696600.bin</t>
  </si>
  <si>
    <t>-582.51910700972 189.30781123096 -237.096779347813</t>
  </si>
  <si>
    <t>-608.995777791456 174.04279608257 -354.287993754251</t>
  </si>
  <si>
    <t>-618.118892689489 160.886862013956 -474.430717534413</t>
  </si>
  <si>
    <t>-619.094629985855 149.45994168541 -583.349577513585</t>
  </si>
  <si>
    <t>-612.879953737332 138.25392437496 -692.118340012476</t>
  </si>
  <si>
    <t>-596.755916605629 122.677132244153 -842.774795892205</t>
  </si>
  <si>
    <t>-557.338962034239 110.240462833627 -935.912507416389</t>
  </si>
  <si>
    <t>-599.502421320253 160.936544409708 -778.887476082497</t>
  </si>
  <si>
    <t>-557.912035268505 301.431405951297 -766.321967556515</t>
  </si>
  <si>
    <t>-481.252522859661 339.997214553949 -461.654617114179</t>
  </si>
  <si>
    <t>-285.437494751228 258.594104723523 -311.082020263327</t>
  </si>
  <si>
    <t>-608.278216478002 98.2021258510265 -773.340533448567</t>
  </si>
  <si>
    <t>-589.100342229585 286.87224959159 -247.901508575335</t>
  </si>
  <si>
    <t>-580.436406181301 279.245807749896 207.646971323649</t>
  </si>
  <si>
    <t>-609.933540925049 246.90900931843 675.416268783194</t>
  </si>
  <si>
    <t>-450.831358509998 258.169885018145 749.599846695095</t>
  </si>
  <si>
    <t>-575.861497443865 91.8068466112554 -225.624088717336</t>
  </si>
  <si>
    <t>-460.783587419937 81.0080358614975 215.168525537553</t>
  </si>
  <si>
    <t>-617.706008815878 1.63974548525471 650.968852905434</t>
  </si>
  <si>
    <t>-463.108343127405 -36.9228136627401 725.507442408094</t>
  </si>
  <si>
    <t>9763-20170724T170059.797775900.bin</t>
  </si>
  <si>
    <t>-582.80411664008 189.142489805052 -237.114918189203</t>
  </si>
  <si>
    <t>-609.343456306328 173.916544821553 -354.296954803082</t>
  </si>
  <si>
    <t>-618.490067195053 160.743670750389 -474.435878227941</t>
  </si>
  <si>
    <t>-619.472627863634 149.280619700637 -583.351051946646</t>
  </si>
  <si>
    <t>-613.251024780163 138.019795750116 -692.113709107834</t>
  </si>
  <si>
    <t>-597.104046545982 122.347981623494 -842.758017149208</t>
  </si>
  <si>
    <t>-557.735180572533 109.935857339402 -935.91920595223</t>
  </si>
  <si>
    <t>-599.853916075698 160.646802329483 -778.894389690635</t>
  </si>
  <si>
    <t>-558.19210669153 301.11695070149 -766.377446772619</t>
  </si>
  <si>
    <t>-481.472729389457 339.735403106649 -461.731922664335</t>
  </si>
  <si>
    <t>-285.631968559502 257.301719717988 -311.754769243069</t>
  </si>
  <si>
    <t>-608.643279109064 97.917644178845 -773.310691394308</t>
  </si>
  <si>
    <t>-589.253723266165 286.716285642867 -247.911279717473</t>
  </si>
  <si>
    <t>-580.444974346751 279.062844572524 207.634020983241</t>
  </si>
  <si>
    <t>-609.920734799191 246.783529454615 675.434088463621</t>
  </si>
  <si>
    <t>-450.810930441073 258.057635456524 749.5992367068</t>
  </si>
  <si>
    <t>-576.267449492977 91.6411290561857 -225.661572824193</t>
  </si>
  <si>
    <t>-461.008365829046 80.8197001408125 215.083110434222</t>
  </si>
  <si>
    <t>-617.715574814365 1.64288175340084 651.005520587266</t>
  </si>
  <si>
    <t>-463.139853771904 -37.0075058521159 725.544199355463</t>
  </si>
  <si>
    <t>9763-20170724T170059.864650100.bin</t>
  </si>
  <si>
    <t>-583.452499475875 188.660633551727 -237.152463614839</t>
  </si>
  <si>
    <t>-610.182647873022 173.517740585676 -354.302003077504</t>
  </si>
  <si>
    <t>-619.449557854279 160.262063894442 -474.422605624635</t>
  </si>
  <si>
    <t>-620.51557488086 148.659799009407 -583.32205670537</t>
  </si>
  <si>
    <t>-614.35458092545 137.196724773662 -692.067273259371</t>
  </si>
  <si>
    <t>-598.270118328795 121.180408395548 -842.681804347702</t>
  </si>
  <si>
    <t>-558.787353723264 108.70952880583 -935.787013929452</t>
  </si>
  <si>
    <t>-600.992111839112 159.625199822345 -778.904697971221</t>
  </si>
  <si>
    <t>-559.138552262128 300.052161174006 -766.585225409229</t>
  </si>
  <si>
    <t>-482.156421829539 338.886942562875 -462.033459186234</t>
  </si>
  <si>
    <t>-286.365417314808 253.815749890534 -313.470771021079</t>
  </si>
  <si>
    <t>-609.781848467842 96.9091318291705 -773.174200064803</t>
  </si>
  <si>
    <t>-589.748400637483 286.301508337913 -247.893276784643</t>
  </si>
  <si>
    <t>-580.510785027415 278.699326539729 207.644278489774</t>
  </si>
  <si>
    <t>-609.92365722889 246.665453705567 675.463372564481</t>
  </si>
  <si>
    <t>-450.794879512707 257.902069062282 749.593519978335</t>
  </si>
  <si>
    <t>-577.07628214166 91.1324643586142 -225.717293514289</t>
  </si>
  <si>
    <t>-461.444568505866 80.3904466996637 214.931729870094</t>
  </si>
  <si>
    <t>-617.718524305685 1.60949404674943 651.069087106606</t>
  </si>
  <si>
    <t>-463.173599491177 -37.1054729016992 725.638096346181</t>
  </si>
  <si>
    <t>9763-20170724T170059.929713200.bin</t>
  </si>
  <si>
    <t>-583.839157766836 188.488318268822 -237.152523578481</t>
  </si>
  <si>
    <t>-610.614165820302 173.362298923307 -354.293882039241</t>
  </si>
  <si>
    <t>-619.916102010571 160.022180278881 -474.402646588382</t>
  </si>
  <si>
    <t>-621.012206011846 148.302083708044 -583.28912841856</t>
  </si>
  <si>
    <t>-614.881236184321 136.679801276455 -692.01902383341</t>
  </si>
  <si>
    <t>-598.839908198196 120.39882263121 -842.609947513532</t>
  </si>
  <si>
    <t>-559.324586249649 107.860532759042 -935.692289943768</t>
  </si>
  <si>
    <t>-601.535083299961 158.954465679406 -778.898674581176</t>
  </si>
  <si>
    <t>-559.518854799852 299.349183283719 -766.695405969271</t>
  </si>
  <si>
    <t>-482.206858078235 338.408590298867 -462.255951002803</t>
  </si>
  <si>
    <t>-286.742506467454 250.682042492864 -314.811835253459</t>
  </si>
  <si>
    <t>-610.340334338091 96.2507717411047 -773.057484873142</t>
  </si>
  <si>
    <t>-590.14018757494 286.083065155632 -247.875475909867</t>
  </si>
  <si>
    <t>-580.676589989806 278.493353140534 207.657727285931</t>
  </si>
  <si>
    <t>-609.910254213423 246.477969694763 675.507312185938</t>
  </si>
  <si>
    <t>-450.779479197704 258.03333828753 749.584151221296</t>
  </si>
  <si>
    <t>-577.440595963617 91.0186695452012 -225.733796967799</t>
  </si>
  <si>
    <t>-461.641926108624 80.3145354352657 214.872424289676</t>
  </si>
  <si>
    <t>-617.730823840251 1.71935935171223 651.114073118983</t>
  </si>
  <si>
    <t>-463.223365416351 -37.1597558191597 725.675229909211</t>
  </si>
  <si>
    <t>9763-20170724T170059.961800700.bin</t>
  </si>
  <si>
    <t>-584.817619694663 188.143420323322 -237.070999275304</t>
  </si>
  <si>
    <t>-611.735261575979 173.015407402543 -354.17952887543</t>
  </si>
  <si>
    <t>-621.173496259316 159.419968667609 -474.248707499725</t>
  </si>
  <si>
    <t>-622.395970907356 147.369868571074 -583.09803691832</t>
  </si>
  <si>
    <t>-616.398102938944 135.320038080841 -691.788652163789</t>
  </si>
  <si>
    <t>-600.551805293961 118.345600984163 -842.323698505392</t>
  </si>
  <si>
    <t>-561.092771108745 105.640610631366 -935.407335444818</t>
  </si>
  <si>
    <t>-603.203012763409 157.199267635151 -778.791924403564</t>
  </si>
  <si>
    <t>-561.106468927677 297.593584834345 -766.993184084324</t>
  </si>
  <si>
    <t>-482.298756022983 336.747866682126 -462.949561228673</t>
  </si>
  <si>
    <t>-287.489449329379 243.475165192374 -318.064960441974</t>
  </si>
  <si>
    <t>-611.923563679301 94.5133487165576 -772.641344488258</t>
  </si>
  <si>
    <t>-591.173876648582 285.69382649652 -247.788312483822</t>
  </si>
  <si>
    <t>-581.207821188611 278.174234007987 207.735335218517</t>
  </si>
  <si>
    <t>-609.923994113628 246.26019401283 675.602194014331</t>
  </si>
  <si>
    <t>-450.754044382714 257.883358841443 749.584296899987</t>
  </si>
  <si>
    <t>-578.347389045245 90.7166466719277 -225.678976956409</t>
  </si>
  <si>
    <t>-461.996156312391 80.1880840704061 214.785806569246</t>
  </si>
  <si>
    <t>-617.695489214174 1.7312777842194 651.122260886495</t>
  </si>
  <si>
    <t>-463.229435641587 -37.157324363161 725.764219817749</t>
  </si>
  <si>
    <t>9763-20170724T170059.999900600.bin</t>
  </si>
  <si>
    <t>-585.248607545601 188.112823839726 -237.072847741573</t>
  </si>
  <si>
    <t>-612.138195249987 172.960716112383 -354.184640674026</t>
  </si>
  <si>
    <t>-621.54807867955 159.174722445151 -474.234396725697</t>
  </si>
  <si>
    <t>-622.749617493822 146.886805115923 -583.05739252937</t>
  </si>
  <si>
    <t>-616.738078680779 134.535421813185 -691.71351095685</t>
  </si>
  <si>
    <t>-600.882809801597 117.076588656099 -842.1920829329</t>
  </si>
  <si>
    <t>-561.558285174556 104.29987708427 -935.322784249501</t>
  </si>
  <si>
    <t>-603.572604680527 156.13889264281 -778.790022563759</t>
  </si>
  <si>
    <t>-561.75522086269 296.626134856442 -767.263713241382</t>
  </si>
  <si>
    <t>-481.551660974981 335.996787197272 -463.613443897712</t>
  </si>
  <si>
    <t>-287.213991312758 239.635376901538 -320.123294548396</t>
  </si>
  <si>
    <t>-612.22389956533 93.4643954961007 -772.429912783377</t>
  </si>
  <si>
    <t>-591.713557032504 285.660667946429 -247.777320102761</t>
  </si>
  <si>
    <t>-581.557559111301 278.128160579109 207.741960718503</t>
  </si>
  <si>
    <t>-609.932456046315 246.17210825673 675.633551179551</t>
  </si>
  <si>
    <t>-450.742644661565 257.795158682697 749.572762615775</t>
  </si>
  <si>
    <t>-578.634204282961 90.6934797228491 -225.723859611075</t>
  </si>
  <si>
    <t>-462.232953467561 80.334640479565 214.731672855438</t>
  </si>
  <si>
    <t>-617.65134568649 1.79913129058332 651.117885954842</t>
  </si>
  <si>
    <t>-463.263286717176 -37.176340721622 725.875871932285</t>
  </si>
  <si>
    <t>9763-20170724T170100.064077200.bin</t>
  </si>
  <si>
    <t>-586.032808776687 188.062268100354 -237.159245191253</t>
  </si>
  <si>
    <t>-612.830245935318 172.827913328965 -354.281474937884</t>
  </si>
  <si>
    <t>-622.230344451178 158.734101857626 -474.296445445246</t>
  </si>
  <si>
    <t>-623.462997447836 146.081885957569 -583.077204884712</t>
  </si>
  <si>
    <t>-617.525898788191 133.282453343106 -691.685451411182</t>
  </si>
  <si>
    <t>-601.821974613979 115.116324438141 -842.096261350165</t>
  </si>
  <si>
    <t>-562.839526939618 102.33221032524 -935.369510285193</t>
  </si>
  <si>
    <t>-604.578226188945 154.492285032929 -778.891360288512</t>
  </si>
  <si>
    <t>-563.133033205517 295.152670358088 -767.994913419042</t>
  </si>
  <si>
    <t>-480.694188616335 334.467449842415 -464.936502248541</t>
  </si>
  <si>
    <t>-286.892969201438 233.522156431153 -323.893239030025</t>
  </si>
  <si>
    <t>-612.962691558976 91.8163028149509 -772.196964519818</t>
  </si>
  <si>
    <t>-592.89326598457 285.500897715614 -247.798297811783</t>
  </si>
  <si>
    <t>-582.276290416308 277.849026445577 207.708461240647</t>
  </si>
  <si>
    <t>-609.881314584006 245.730758465734 675.707722140256</t>
  </si>
  <si>
    <t>-450.657259148813 257.731975457835 749.51273179237</t>
  </si>
  <si>
    <t>-579.054684989702 90.7731751055317 -225.862311697432</t>
  </si>
  <si>
    <t>-462.635472217565 80.4743917608087 214.589966315846</t>
  </si>
  <si>
    <t>-617.456721092465 1.73768997268257 651.084880629522</t>
  </si>
  <si>
    <t>-463.174283710399 -36.7450077140486 726.314691897109</t>
  </si>
  <si>
    <t>9763-20170724T170100.098167900.bin</t>
  </si>
  <si>
    <t>-586.371509440132 188.115699089163 -237.177549272527</t>
  </si>
  <si>
    <t>-613.121060350696 172.823369515639 -354.303213700676</t>
  </si>
  <si>
    <t>-622.545591233044 158.592473403453 -474.299933108892</t>
  </si>
  <si>
    <t>-623.83208472177 145.786230187097 -583.062099878781</t>
  </si>
  <si>
    <t>-617.981485384133 132.803984946828 -691.653453095939</t>
  </si>
  <si>
    <t>-602.432482237936 114.354526426085 -842.045823951511</t>
  </si>
  <si>
    <t>-563.601023321077 101.503527783347 -935.37288820228</t>
  </si>
  <si>
    <t>-605.192674900489 153.857872059831 -778.920502514904</t>
  </si>
  <si>
    <t>-563.960332728424 294.607685272074 -768.321810516743</t>
  </si>
  <si>
    <t>-480.310969689402 334.097153972189 -465.61798111141</t>
  </si>
  <si>
    <t>-286.554148911354 231.624314016174 -325.61925605046</t>
  </si>
  <si>
    <t>-613.432168453944 91.1779500425059 -772.083114858076</t>
  </si>
  <si>
    <t>-593.438798772294 285.419715432562 -247.801201212854</t>
  </si>
  <si>
    <t>-582.585311897048 277.709654449894 207.699019540534</t>
  </si>
  <si>
    <t>-609.806291924267 245.400057726716 675.723452287039</t>
  </si>
  <si>
    <t>-450.597463081526 257.987105756925 749.463701023226</t>
  </si>
  <si>
    <t>-579.19396511176 90.9593226671009 -225.900292970687</t>
  </si>
  <si>
    <t>-462.816651587309 80.5980718181049 214.561571858277</t>
  </si>
  <si>
    <t>-617.343527816397 1.72136562083347 651.104736853965</t>
  </si>
  <si>
    <t>-463.107513271094 -36.4901348641015 726.567581535234</t>
  </si>
  <si>
    <t>9763-20170724T170100.165363700.bin</t>
  </si>
  <si>
    <t>-586.773504597476 188.31903312957 -237.170971111698</t>
  </si>
  <si>
    <t>-613.404042764622 172.851193267968 -354.300724796774</t>
  </si>
  <si>
    <t>-622.806198975484 158.288575159331 -474.259460494986</t>
  </si>
  <si>
    <t>-624.11632027365 145.123217796288 -582.97843506357</t>
  </si>
  <si>
    <t>-618.335691807209 131.723717211565 -691.522824296174</t>
  </si>
  <si>
    <t>-602.933981486023 112.635437420264 -841.850468122015</t>
  </si>
  <si>
    <t>-564.242150645651 99.5863218038883 -935.208136731933</t>
  </si>
  <si>
    <t>-605.750745063714 152.420264054326 -778.904882767934</t>
  </si>
  <si>
    <t>-564.78051287482 293.287588913226 -768.956990988655</t>
  </si>
  <si>
    <t>-478.865259376243 333.264235482064 -466.952570487749</t>
  </si>
  <si>
    <t>-284.788089294861 227.632264577255 -329.773959026283</t>
  </si>
  <si>
    <t>-613.746774293316 89.7425793801269 -771.765350289221</t>
  </si>
  <si>
    <t>-594.301480852332 285.492734014547 -247.817802174277</t>
  </si>
  <si>
    <t>-583.205497716128 277.717106957916 207.675362499559</t>
  </si>
  <si>
    <t>-609.790441480312 245.1679129399 675.759668340785</t>
  </si>
  <si>
    <t>-450.542077102912 258.024906932124 749.367864936951</t>
  </si>
  <si>
    <t>-579.07529082298 91.1855627518323 -225.90996276389</t>
  </si>
  <si>
    <t>-462.874787317434 81.2445632643778 214.608300656321</t>
  </si>
  <si>
    <t>-617.065506028084 1.72117902269406 651.095759725938</t>
  </si>
  <si>
    <t>-463.067945069701 -36.1046866501688 727.236864886455</t>
  </si>
  <si>
    <t>9763-20170724T170100.198438100.bin</t>
  </si>
  <si>
    <t>-586.895135262555 188.450763370414 -237.122958204959</t>
  </si>
  <si>
    <t>-613.517218336742 172.898781777961 -354.243439105428</t>
  </si>
  <si>
    <t>-622.950270525261 158.213257563849 -474.184777066176</t>
  </si>
  <si>
    <t>-624.305305404069 144.922991018965 -582.8878922677</t>
  </si>
  <si>
    <t>-618.58704811125 131.385217887645 -691.41854042145</t>
  </si>
  <si>
    <t>-603.290277686236 112.092310727985 -841.730802018136</t>
  </si>
  <si>
    <t>-564.710068251346 98.9978288624059 -935.128303294662</t>
  </si>
  <si>
    <t>-606.110495102031 151.968125452714 -778.843031806844</t>
  </si>
  <si>
    <t>-565.277411839401 292.897890704819 -769.195370010723</t>
  </si>
  <si>
    <t>-478.105829427873 333.166067246404 -467.590059766802</t>
  </si>
  <si>
    <t>-283.41583968044 227.153425988786 -331.578302873283</t>
  </si>
  <si>
    <t>-614.006722332173 89.2896180568778 -771.601524232701</t>
  </si>
  <si>
    <t>-594.617528785582 285.678646663917 -247.814229561922</t>
  </si>
  <si>
    <t>-583.430990734266 277.830453206302 207.675587506132</t>
  </si>
  <si>
    <t>-609.83010747289 245.233976189361 675.765985947559</t>
  </si>
  <si>
    <t>-450.551865984836 257.947399602829 749.334439392918</t>
  </si>
  <si>
    <t>-579.084477694077 91.2777322024065 -225.793742630735</t>
  </si>
  <si>
    <t>-462.759020794221 81.358958644852 214.691876901181</t>
  </si>
  <si>
    <t>-616.987741167835 1.64225815190593 651.192545989589</t>
  </si>
  <si>
    <t>-463.065627808983 -36.1092656446153 727.522906519399</t>
  </si>
  <si>
    <t>9763-20170724T170100.263624300.bin</t>
  </si>
  <si>
    <t>-587.140091854337 188.740188510173 -237.003926045734</t>
  </si>
  <si>
    <t>-613.576388059967 173.052597132615 -354.148359062855</t>
  </si>
  <si>
    <t>-622.821637180186 158.105217928155 -474.072028421139</t>
  </si>
  <si>
    <t>-624.010713719701 144.530648478644 -582.7419906937</t>
  </si>
  <si>
    <t>-618.132801819648 130.663127800011 -691.222272695844</t>
  </si>
  <si>
    <t>-602.623030972603 110.865524103352 -841.447184017205</t>
  </si>
  <si>
    <t>-564.104818797677 97.724564995468 -934.863743495922</t>
  </si>
  <si>
    <t>-605.610947425224 150.961019077564 -778.706878248878</t>
  </si>
  <si>
    <t>-565.071009034623 292.021023622436 -769.75958158311</t>
  </si>
  <si>
    <t>-473.918675938345 333.101686073958 -469.443378926101</t>
  </si>
  <si>
    <t>-278.413989447254 227.030895606905 -334.65115811647</t>
  </si>
  <si>
    <t>-613.36033740548 88.2895943970191 -771.24781600293</t>
  </si>
  <si>
    <t>-594.986787462916 285.884472482748 -247.795966012369</t>
  </si>
  <si>
    <t>-583.663813804984 277.906716159823 207.688336775708</t>
  </si>
  <si>
    <t>-609.797638355474 245.150286135768 675.756661782869</t>
  </si>
  <si>
    <t>-450.534953107452 258.236465866778 749.293424759129</t>
  </si>
  <si>
    <t>-579.1373829232 91.6829894489767 -225.580333863579</t>
  </si>
  <si>
    <t>-462.763730192315 81.6729506631036 214.890618017797</t>
  </si>
  <si>
    <t>-616.888623165931 1.80297431504118 651.380862796284</t>
  </si>
  <si>
    <t>-463.08418723826 -35.8381402948894 728.00236582668</t>
  </si>
  <si>
    <t>9763-20170724T170100.298722400.bin</t>
  </si>
  <si>
    <t>-587.279001117402 188.765057018024 -236.966995846961</t>
  </si>
  <si>
    <t>-613.655910631325 173.038451685388 -354.119576982203</t>
  </si>
  <si>
    <t>-622.892897575064 158.027195711488 -474.035866610633</t>
  </si>
  <si>
    <t>-624.096242845012 144.384259437467 -582.697063530834</t>
  </si>
  <si>
    <t>-618.254805913611 130.437385826652 -691.169246580731</t>
  </si>
  <si>
    <t>-602.819074926252 110.517743321882 -841.385537000467</t>
  </si>
  <si>
    <t>-564.326500022483 97.3677215821053 -934.811364809075</t>
  </si>
  <si>
    <t>-605.779780185612 150.664698026864 -778.676883963496</t>
  </si>
  <si>
    <t>-565.101499096937 291.718328409425 -770.10227537778</t>
  </si>
  <si>
    <t>-471.596837630068 333.16174427804 -470.560239373985</t>
  </si>
  <si>
    <t>-275.849215567465 228.394643848602 -335.102614910474</t>
  </si>
  <si>
    <t>-613.518010848411 87.9985463074784 -771.162137043255</t>
  </si>
  <si>
    <t>-595.212908073704 285.946882368427 -247.789466179678</t>
  </si>
  <si>
    <t>-583.809459440143 277.889712459027 207.691336379208</t>
  </si>
  <si>
    <t>-609.787969949986 245.138778453468 675.757788502705</t>
  </si>
  <si>
    <t>-450.516376633627 258.157362096999 749.287284243185</t>
  </si>
  <si>
    <t>-579.26815911958 91.670912402966 -225.509125022567</t>
  </si>
  <si>
    <t>-462.805874607877 81.532931349768 214.935523157932</t>
  </si>
  <si>
    <t>-616.850086297395 1.45639618844507 651.493434571888</t>
  </si>
  <si>
    <t>-462.971848711575 -35.6380654796183 728.233252697508</t>
  </si>
  <si>
    <t>9763-20170724T170100.365021400.bin</t>
  </si>
  <si>
    <t>-587.817859794005 188.438362995047 -236.987658848036</t>
  </si>
  <si>
    <t>-613.962878803979 172.674631892565 -354.187206457444</t>
  </si>
  <si>
    <t>-623.099360165923 157.509995514898 -474.091900798233</t>
  </si>
  <si>
    <t>-624.269809983468 143.680060636094 -582.730010952083</t>
  </si>
  <si>
    <t>-618.455571114621 129.49738479245 -691.172883667283</t>
  </si>
  <si>
    <t>-603.122218103671 109.197990880734 -841.348957597793</t>
  </si>
  <si>
    <t>-564.7789950342 95.887878604467 -934.813431353251</t>
  </si>
  <si>
    <t>-606.032753293722 149.502449971917 -778.739126881097</t>
  </si>
  <si>
    <t>-565.189001976922 290.522231359397 -770.632296136626</t>
  </si>
  <si>
    <t>-466.291249709258 331.91407607383 -472.819986256042</t>
  </si>
  <si>
    <t>-270.690165310912 229.062418901578 -335.693098829447</t>
  </si>
  <si>
    <t>-613.780769955684 86.8571985990027 -771.062413839443</t>
  </si>
  <si>
    <t>-595.776274106967 285.563710490169 -247.773622268882</t>
  </si>
  <si>
    <t>-584.15151247591 277.517601979523 207.70168174605</t>
  </si>
  <si>
    <t>-609.75473374419 244.934344326444 675.800059082383</t>
  </si>
  <si>
    <t>-450.488659493037 258.468349600736 749.248400010342</t>
  </si>
  <si>
    <t>-579.73561055086 91.3479215776176 -225.506959891912</t>
  </si>
  <si>
    <t>-463.203828355168 80.9427520969268 214.912947772603</t>
  </si>
  <si>
    <t>-616.739855768565 0.969270905524581 651.685861288086</t>
  </si>
  <si>
    <t>-462.900039608148 -35.4141511556361 728.842013393824</t>
  </si>
  <si>
    <t>9763-20170724T170100.394605600.bin</t>
  </si>
  <si>
    <t>-588.078893174318 188.30329341138 -236.946039051425</t>
  </si>
  <si>
    <t>-614.142721606398 172.547740443595 -354.164873401268</t>
  </si>
  <si>
    <t>-623.288804788436 157.40028987153 -474.070873585677</t>
  </si>
  <si>
    <t>-624.504916381575 143.590273591181 -582.710928989828</t>
  </si>
  <si>
    <t>-618.773219732888 129.431695037483 -691.161524598335</t>
  </si>
  <si>
    <t>-603.592219374475 109.170965428506 -841.358265968108</t>
  </si>
  <si>
    <t>-565.303083899176 95.8970604671295 -934.850201879438</t>
  </si>
  <si>
    <t>-606.422310402734 149.457489953379 -778.733092079409</t>
  </si>
  <si>
    <t>-565.228156458162 290.378022737818 -770.567050038988</t>
  </si>
  <si>
    <t>-463.907163741474 331.269568194926 -473.501274230272</t>
  </si>
  <si>
    <t>-268.553747256004 229.130003860975 -335.491682694237</t>
  </si>
  <si>
    <t>-614.196382023915 86.8138364947961 -771.068581005532</t>
  </si>
  <si>
    <t>-596.012551918902 285.428614235569 -247.743740965226</t>
  </si>
  <si>
    <t>-584.517673917257 277.387643203013 207.73505972972</t>
  </si>
  <si>
    <t>-609.760611313908 244.880695409801 675.832852524305</t>
  </si>
  <si>
    <t>-450.473941046404 258.410422627265 749.237364264566</t>
  </si>
  <si>
    <t>-580.030296439317 91.2620859100834 -225.461517395248</t>
  </si>
  <si>
    <t>-463.429379834066 80.6593332710675 214.9353843013</t>
  </si>
  <si>
    <t>-616.751917661498 0.959098541211461 651.865801395813</t>
  </si>
  <si>
    <t>-462.95721980683 -35.4314473937852 729.108478589929</t>
  </si>
  <si>
    <t>9763-20170724T170100.464414600.bin</t>
  </si>
  <si>
    <t>-588.568418111733 188.173304389597 -237.004139731745</t>
  </si>
  <si>
    <t>-614.294708632902 172.493690964069 -354.307548507133</t>
  </si>
  <si>
    <t>-623.453854506196 157.379645800522 -474.216962277413</t>
  </si>
  <si>
    <t>-624.827138306914 143.584732922984 -582.857026011191</t>
  </si>
  <si>
    <t>-619.398191557462 129.427652564735 -691.323348311396</t>
  </si>
  <si>
    <t>-604.788738516128 109.156544263007 -841.575372990992</t>
  </si>
  <si>
    <t>-566.598952706185 95.8661228706617 -935.10546449498</t>
  </si>
  <si>
    <t>-607.282866609011 149.43652934981 -778.931722272605</t>
  </si>
  <si>
    <t>-565.518562494064 290.193036081621 -770.659417295377</t>
  </si>
  <si>
    <t>-460.166987272023 329.402498942781 -474.771176684435</t>
  </si>
  <si>
    <t>-265.090132028791 228.371279767576 -335.559977140442</t>
  </si>
  <si>
    <t>-615.22303734435 86.8152932620831 -771.255234577792</t>
  </si>
  <si>
    <t>-596.295840757227 285.276202915373 -247.770685599475</t>
  </si>
  <si>
    <t>-585.399495944949 277.311165446272 207.724121093605</t>
  </si>
  <si>
    <t>-609.870968449086 245.063554137638 675.881140063767</t>
  </si>
  <si>
    <t>-450.522231241476 258.301747974841 749.203899108321</t>
  </si>
  <si>
    <t>-580.766427321073 91.2326158449482 -225.513149489294</t>
  </si>
  <si>
    <t>-464.220170115375 80.1106456481396 214.885508366211</t>
  </si>
  <si>
    <t>-616.817417188071 0.851874514476776 652.222283971409</t>
  </si>
  <si>
    <t>-463.020078213187 -35.5980702810605 729.431669122395</t>
  </si>
  <si>
    <t>9763-20170724T170100.499490900.bin</t>
  </si>
  <si>
    <t>-588.684836338963 188.182335037874 -236.951847418912</t>
  </si>
  <si>
    <t>-614.286827519525 172.582986011151 -354.293264963039</t>
  </si>
  <si>
    <t>-623.532177935268 157.494686887085 -474.199195420161</t>
  </si>
  <si>
    <t>-625.070944580622 143.701280752116 -582.837178990938</t>
  </si>
  <si>
    <t>-619.895413859253 129.524640279848 -691.313473424716</t>
  </si>
  <si>
    <t>-605.729744483185 109.204661482788 -841.601336065064</t>
  </si>
  <si>
    <t>-567.665410677948 95.8976161335097 -935.180153485281</t>
  </si>
  <si>
    <t>-607.966538288832 149.496766352137 -778.955732448377</t>
  </si>
  <si>
    <t>-565.897716380579 290.189172116906 -770.742597506654</t>
  </si>
  <si>
    <t>-459.087644662229 328.315862835512 -475.235900867857</t>
  </si>
  <si>
    <t>-264.147022073887 226.858781344064 -336.143577510231</t>
  </si>
  <si>
    <t>-616.028690547163 86.8945147219799 -771.251498362197</t>
  </si>
  <si>
    <t>-596.292028995448 285.281021206105 -247.739658040294</t>
  </si>
  <si>
    <t>-585.733187487215 277.299380651753 207.762765379071</t>
  </si>
  <si>
    <t>-609.90753966891 245.074748315995 675.920112473371</t>
  </si>
  <si>
    <t>-450.527403021427 258.185742809085 749.197589724476</t>
  </si>
  <si>
    <t>-580.989714036581 91.2726272897496 -225.519886174383</t>
  </si>
  <si>
    <t>-464.557678294438 79.945122399462 214.90372505855</t>
  </si>
  <si>
    <t>-616.864357249771 0.85083466355718 652.364702253636</t>
  </si>
  <si>
    <t>-463.023770521466 -35.4276342788692 729.568726115349</t>
  </si>
  <si>
    <t>9763-20170724T170100.566671800.bin</t>
  </si>
  <si>
    <t>-588.548495068193 188.008593481117 -236.81540502701</t>
  </si>
  <si>
    <t>-613.987272228407 172.511188326486 -354.205822855321</t>
  </si>
  <si>
    <t>-623.358025422756 157.451714496711 -474.105631494428</t>
  </si>
  <si>
    <t>-625.130018633943 143.658459200077 -582.740112117369</t>
  </si>
  <si>
    <t>-620.307914487996 129.459279480429 -691.229653486041</t>
  </si>
  <si>
    <t>-606.758321153626 109.086310220849 -841.567148715968</t>
  </si>
  <si>
    <t>-568.934056671375 95.6613479154967 -935.226579137666</t>
  </si>
  <si>
    <t>-608.604318267103 149.384755266618 -778.912873948591</t>
  </si>
  <si>
    <t>-566.023496721213 289.879677764109 -770.723560482863</t>
  </si>
  <si>
    <t>-457.552948446112 325.992273962305 -475.56904557688</t>
  </si>
  <si>
    <t>-262.441234238451 224.532052355374 -336.719166650973</t>
  </si>
  <si>
    <t>-616.902870766223 86.8166351722282 -771.182030236287</t>
  </si>
  <si>
    <t>-595.740327996721 285.041790097491 -247.639833747024</t>
  </si>
  <si>
    <t>-585.873943758624 277.200028155795 207.880499842661</t>
  </si>
  <si>
    <t>-609.945847419575 245.014274175736 675.99875603002</t>
  </si>
  <si>
    <t>-450.544267561218 258.200037533574 749.216096130796</t>
  </si>
  <si>
    <t>-581.243380356054 90.9531325074076 -225.345242633748</t>
  </si>
  <si>
    <t>-464.415181548698 79.4159322495955 214.967928991562</t>
  </si>
  <si>
    <t>-616.862598964207 0.845955804179766 652.525855776556</t>
  </si>
  <si>
    <t>-463.062594596771 -35.4882368861438 729.784424655892</t>
  </si>
  <si>
    <t>9763-20170724T170100.596752100.bin</t>
  </si>
  <si>
    <t>-588.309549113236 187.895686706015 -236.697228573402</t>
  </si>
  <si>
    <t>-613.744488468599 172.41561511674 -354.090769459024</t>
  </si>
  <si>
    <t>-623.22090769636 157.373425264489 -473.984375457269</t>
  </si>
  <si>
    <t>-625.132712021273 143.601354641829 -582.619252963245</t>
  </si>
  <si>
    <t>-620.493901703757 129.432712999947 -691.120851361207</t>
  </si>
  <si>
    <t>-607.242945454299 109.115867650441 -841.492533710026</t>
  </si>
  <si>
    <t>-569.530986446194 95.6562343585165 -935.192156171386</t>
  </si>
  <si>
    <t>-608.917888930236 149.38539102834 -778.814939547741</t>
  </si>
  <si>
    <t>-566.087316632726 289.832311023627 -770.556695739739</t>
  </si>
  <si>
    <t>-457.161616497166 325.35719130137 -475.498427923968</t>
  </si>
  <si>
    <t>-261.978563319246 223.653178197361 -336.927450928615</t>
  </si>
  <si>
    <t>-617.294263266454 86.8255765109827 -771.100395203528</t>
  </si>
  <si>
    <t>-595.197356377769 284.982278233442 -247.599073292263</t>
  </si>
  <si>
    <t>-585.649046733678 277.167319359169 207.928665760996</t>
  </si>
  <si>
    <t>-609.96223980691 245.061237631815 676.012882259794</t>
  </si>
  <si>
    <t>-450.551180895792 258.02364368386 749.249448070983</t>
  </si>
  <si>
    <t>-581.351389839644 90.7603122710641 -225.119889790368</t>
  </si>
  <si>
    <t>-464.020055417761 79.0723550442033 215.055550735287</t>
  </si>
  <si>
    <t>-616.859311301132 0.786676338085954 652.557091878624</t>
  </si>
  <si>
    <t>-463.137082543153 -35.7183678657771 729.889943656405</t>
  </si>
  <si>
    <t>9763-20170724T170100.666946900.bin</t>
  </si>
  <si>
    <t>-587.535777164225 187.596080227358 -236.424633605086</t>
  </si>
  <si>
    <t>-612.937661494355 172.167721474889 -353.832138059127</t>
  </si>
  <si>
    <t>-622.507650318443 157.141339514917 -473.720416786138</t>
  </si>
  <si>
    <t>-624.556306011686 143.37879649602 -582.353921666125</t>
  </si>
  <si>
    <t>-620.106188487931 129.221370417481 -690.864839655254</t>
  </si>
  <si>
    <t>-607.170236623058 108.928042123378 -841.267141942853</t>
  </si>
  <si>
    <t>-569.521433470033 95.4112914141713 -934.983934017014</t>
  </si>
  <si>
    <t>-608.61651888388 149.175769855872 -778.569881473012</t>
  </si>
  <si>
    <t>-565.273961309633 289.461851123071 -770.286625481536</t>
  </si>
  <si>
    <t>-456.086027589697 324.750639968838 -475.296879802182</t>
  </si>
  <si>
    <t>-260.703046978752 223.148870398945 -336.932829509799</t>
  </si>
  <si>
    <t>-617.171461681731 86.6387153967355 -770.86761375782</t>
  </si>
  <si>
    <t>-593.75314931782 284.896170143409 -247.450601530403</t>
  </si>
  <si>
    <t>-584.968246714397 277.072714516998 208.092229799288</t>
  </si>
  <si>
    <t>-609.996329451032 245.009015812097 676.107625606524</t>
  </si>
  <si>
    <t>-450.579331221187 257.953104307103 749.334610744517</t>
  </si>
  <si>
    <t>-581.187526666179 90.3102286222922 -224.721449071694</t>
  </si>
  <si>
    <t>-462.982374181187 78.4098295396484 215.214460688064</t>
  </si>
  <si>
    <t>-616.84608175465 0.835298833267188 652.529463854218</t>
  </si>
  <si>
    <t>-463.35135758718 -36.306965800153 730.010671215939</t>
  </si>
  <si>
    <t>9763-20170724T170100.702037600.bin</t>
  </si>
  <si>
    <t>-586.992170797564 187.522757072221 -236.348919807346</t>
  </si>
  <si>
    <t>-612.364709654552 172.118020863476 -353.765784846927</t>
  </si>
  <si>
    <t>-621.970346499345 157.017769109086 -473.641973213385</t>
  </si>
  <si>
    <t>-624.080331095094 143.151914502597 -582.261160734265</t>
  </si>
  <si>
    <t>-619.721705874879 128.857451795082 -690.757716795046</t>
  </si>
  <si>
    <t>-606.945434022745 108.339588402531 -841.143215555836</t>
  </si>
  <si>
    <t>-569.325827896912 94.7097981927482 -934.855372601872</t>
  </si>
  <si>
    <t>-608.267846833522 148.673529561464 -778.49881689183</t>
  </si>
  <si>
    <t>-564.703863630313 288.899093282046 -770.371981338089</t>
  </si>
  <si>
    <t>-455.485733839374 324.355618363878 -475.413654544938</t>
  </si>
  <si>
    <t>-259.981467865249 223.325982776561 -336.802065295434</t>
  </si>
  <si>
    <t>-616.929317666324 86.1624530052022 -770.705857110058</t>
  </si>
  <si>
    <t>-592.988288012274 284.8836905688 -247.407501946457</t>
  </si>
  <si>
    <t>-584.53722719768 277.025573179762 208.141059758389</t>
  </si>
  <si>
    <t>-609.985618467978 244.931908661468 676.125956512169</t>
  </si>
  <si>
    <t>-450.574588846227 257.866995509982 749.367573517891</t>
  </si>
  <si>
    <t>-580.87370349873 90.2272890725731 -224.636860416348</t>
  </si>
  <si>
    <t>-462.510518474884 78.153814494133 215.251873424287</t>
  </si>
  <si>
    <t>-616.807504778877 0.861895637711314 652.470377445915</t>
  </si>
  <si>
    <t>-463.406499618199 -36.4982905838635 730.032392411688</t>
  </si>
  <si>
    <t>9763-20170724T170100.766250600.bin</t>
  </si>
  <si>
    <t>-585.907608635153 187.801059141498 -236.273690256809</t>
  </si>
  <si>
    <t>-611.095545411039 172.464984371204 -353.739307163066</t>
  </si>
  <si>
    <t>-620.720832520266 157.219291831738 -473.59537481958</t>
  </si>
  <si>
    <t>-622.938165827635 143.138561342359 -582.184794919202</t>
  </si>
  <si>
    <t>-618.779647252375 128.548492465107 -690.650036997077</t>
  </si>
  <si>
    <t>-606.380339760295 107.538413549652 -840.999106955799</t>
  </si>
  <si>
    <t>-568.849583985437 93.6545938199195 -934.709655342533</t>
  </si>
  <si>
    <t>-607.423871574136 148.061762985451 -778.471586951069</t>
  </si>
  <si>
    <t>-563.412693276561 288.16389375462 -770.688963896888</t>
  </si>
  <si>
    <t>-453.275914245679 323.517333358424 -476.060053004841</t>
  </si>
  <si>
    <t>-257.070032093292 227.416171637899 -334.957602920079</t>
  </si>
  <si>
    <t>-616.309443705239 85.6075310174801 -770.476938724384</t>
  </si>
  <si>
    <t>-591.576739246152 285.290546559985 -247.338222631231</t>
  </si>
  <si>
    <t>-583.819828964929 277.250339231622 208.219429554463</t>
  </si>
  <si>
    <t>-610.016162685095 245.013690399046 676.135817453813</t>
  </si>
  <si>
    <t>-450.610314257191 257.675448073506 749.436291427054</t>
  </si>
  <si>
    <t>-580.122076405997 90.4692097655573 -224.532064868116</t>
  </si>
  <si>
    <t>-461.667088180018 77.9814404954252 215.320322858068</t>
  </si>
  <si>
    <t>-616.74909540838 1.07586500222078 652.347606000518</t>
  </si>
  <si>
    <t>-463.507251854617 -36.7555275341388 729.99571037117</t>
  </si>
  <si>
    <t>9763-20170724T170100.794321300.bin</t>
  </si>
  <si>
    <t>-585.305805797521 188.01301399016 -236.264093945067</t>
  </si>
  <si>
    <t>-610.367164299494 172.703727059809 -353.760323622365</t>
  </si>
  <si>
    <t>-619.969994577887 157.328258044868 -473.601667549143</t>
  </si>
  <si>
    <t>-622.214092416196 143.068953246772 -582.167221500832</t>
  </si>
  <si>
    <t>-618.131914845107 128.240719128675 -690.602966736676</t>
  </si>
  <si>
    <t>-605.892320626146 106.838813202353 -840.909888520172</t>
  </si>
  <si>
    <t>-568.440795954927 92.7471393302276 -934.621146878867</t>
  </si>
  <si>
    <t>-606.832354871434 147.520421700573 -778.48343919748</t>
  </si>
  <si>
    <t>-562.646873906248 287.572576179324 -771.082982097764</t>
  </si>
  <si>
    <t>-451.816586177729 323.01988744126 -476.72544677493</t>
  </si>
  <si>
    <t>-253.974435660304 234.502663958875 -332.971329690706</t>
  </si>
  <si>
    <t>-615.783536037261 85.0968030476283 -770.324011738739</t>
  </si>
  <si>
    <t>-590.849959473512 285.532422451114 -247.324926718503</t>
  </si>
  <si>
    <t>-583.602741394227 277.423259295812 208.240000623733</t>
  </si>
  <si>
    <t>-610.022871893795 245.088894919156 676.109023754276</t>
  </si>
  <si>
    <t>-450.62973309717 257.63615957139 749.457006530956</t>
  </si>
  <si>
    <t>-579.648281734869 90.6295010626759 -224.526875448767</t>
  </si>
  <si>
    <t>-461.312210864325 77.8894619729206 215.350304474544</t>
  </si>
  <si>
    <t>-616.715772559795 0.924776662150634 652.290016887036</t>
  </si>
  <si>
    <t>-463.442471944403 -36.7544797682672 729.950027820071</t>
  </si>
  <si>
    <t>9763-20170724T170100.861131000.bin</t>
  </si>
  <si>
    <t>-584.299733138194 188.89612299797 -236.318302541856</t>
  </si>
  <si>
    <t>-609.093885553793 173.695508941075 -353.885230053377</t>
  </si>
  <si>
    <t>-618.735671071542 158.051411859314 -473.688720600021</t>
  </si>
  <si>
    <t>-621.150290591183 143.40422866105 -582.198893895365</t>
  </si>
  <si>
    <t>-617.379651746557 128.047547438865 -690.572365571659</t>
  </si>
  <si>
    <t>-605.724211342065 105.769116784857 -840.798257519392</t>
  </si>
  <si>
    <t>-568.582586218754 91.1872264092415 -934.557829388345</t>
  </si>
  <si>
    <t>-606.38706754891 146.809412016676 -778.60370030319</t>
  </si>
  <si>
    <t>-562.118395329526 286.911844409669 -772.075596822227</t>
  </si>
  <si>
    <t>-449.049633398941 322.230800986583 -478.555311983684</t>
  </si>
  <si>
    <t>-247.918350727697 244.470205398824 -333.153809992476</t>
  </si>
  <si>
    <t>-615.375705550958 84.4438591994153 -770.052302185864</t>
  </si>
  <si>
    <t>-589.697582190036 286.408703598605 -247.321218672017</t>
  </si>
  <si>
    <t>-583.32369284023 277.935411058603 208.250125228727</t>
  </si>
  <si>
    <t>-610.025024867101 245.093540582506 676.090276583648</t>
  </si>
  <si>
    <t>-450.654606979045 257.585093949621 749.496889652162</t>
  </si>
  <si>
    <t>-578.812373450961 91.4999903883161 -224.626207183649</t>
  </si>
  <si>
    <t>-460.783235664166 77.9690547826729 215.30971784293</t>
  </si>
  <si>
    <t>-616.637410511747 0.998111454766104 652.121918432327</t>
  </si>
  <si>
    <t>-463.496147275591 -36.977104637944 729.898168088871</t>
  </si>
  <si>
    <t>9763-20170724T170100.899234400.bin</t>
  </si>
  <si>
    <t>-583.770437259697 189.34153686387 -236.335025236429</t>
  </si>
  <si>
    <t>-608.423007435022 174.171812068212 -353.935816814413</t>
  </si>
  <si>
    <t>-618.057959381741 158.341875059005 -473.715338213856</t>
  </si>
  <si>
    <t>-620.527467947823 143.443565015327 -582.190216591271</t>
  </si>
  <si>
    <t>-616.87583959599 127.756065929228 -690.520419737945</t>
  </si>
  <si>
    <t>-605.45533631191 104.937021026307 -840.683118857937</t>
  </si>
  <si>
    <t>-568.462738114274 90.0673016965318 -934.456359222888</t>
  </si>
  <si>
    <t>-606.013923209808 146.199963162749 -778.635094175596</t>
  </si>
  <si>
    <t>-561.771041336397 286.293575650307 -772.660698845414</t>
  </si>
  <si>
    <t>-447.226497151594 323.01011179366 -479.88502248585</t>
  </si>
  <si>
    <t>-244.161785644231 251.68651377774 -333.872257108184</t>
  </si>
  <si>
    <t>-615.003214764827 83.8673875887087 -769.846469371145</t>
  </si>
  <si>
    <t>-589.109555186199 286.874472953279 -247.323568409516</t>
  </si>
  <si>
    <t>-583.182893962629 278.228736889464 208.250446024168</t>
  </si>
  <si>
    <t>-610.024459211348 245.109145418257 676.065638182371</t>
  </si>
  <si>
    <t>-450.667654709444 257.580252361753 749.505460904703</t>
  </si>
  <si>
    <t>-578.30111810325 91.8971489073833 -224.654744677143</t>
  </si>
  <si>
    <t>-460.499694677621 78.0028436033565 215.331057912796</t>
  </si>
  <si>
    <t>-616.587664117922 0.926741983146712 652.045467596061</t>
  </si>
  <si>
    <t>-463.384338226765 -36.7249557407736 729.856735680353</t>
  </si>
  <si>
    <t>9763-20170724T170100.965143500.bin</t>
  </si>
  <si>
    <t>-582.623515549431 190.648040057669 -236.312733383657</t>
  </si>
  <si>
    <t>-607.107718900641 175.522337580336 -353.954388069198</t>
  </si>
  <si>
    <t>-616.840943411221 159.288306111237 -473.671860462276</t>
  </si>
  <si>
    <t>-619.519641581207 143.852467402842 -582.066560389536</t>
  </si>
  <si>
    <t>-616.2040630846 127.460744677937 -690.30319563616</t>
  </si>
  <si>
    <t>-605.387935816127 103.494537068164 -840.331977864295</t>
  </si>
  <si>
    <t>-568.705854873168 87.9871333857748 -934.123885552992</t>
  </si>
  <si>
    <t>-605.680334635627 145.228441226892 -778.597742093903</t>
  </si>
  <si>
    <t>-561.189473784912 285.308075401128 -773.771742916275</t>
  </si>
  <si>
    <t>-443.468224809062 325.497754492271 -482.717287343383</t>
  </si>
  <si>
    <t>-235.354945647983 270.0085146642 -336.937105184368</t>
  </si>
  <si>
    <t>-614.667107207666 82.9692916747722 -769.300036193436</t>
  </si>
  <si>
    <t>-587.90452275722 288.220338974559 -247.318013403079</t>
  </si>
  <si>
    <t>-582.981627246535 279.082067381475 208.258441757076</t>
  </si>
  <si>
    <t>-610.039303759641 245.289013468089 675.991038293482</t>
  </si>
  <si>
    <t>-450.718130660398 257.626880616923 749.530495865621</t>
  </si>
  <si>
    <t>-577.271959321751 93.1553849605853 -224.617629458053</t>
  </si>
  <si>
    <t>-459.668407330555 78.4843132760648 215.395821457544</t>
  </si>
  <si>
    <t>-616.494412041435 1.17185665391571 651.821736323169</t>
  </si>
  <si>
    <t>-463.494991134909 -37.2281845547889 729.668508558838</t>
  </si>
  <si>
    <t>9763-20170724T170100.996226300.bin</t>
  </si>
  <si>
    <t>-581.988520084171 191.416795353464 -236.298585008463</t>
  </si>
  <si>
    <t>-606.353087560842 176.301201711229 -353.966292912024</t>
  </si>
  <si>
    <t>-616.083988531196 159.804280091217 -473.648105288797</t>
  </si>
  <si>
    <t>-618.815851434745 144.02397428786 -581.991851981046</t>
  </si>
  <si>
    <t>-615.612927193569 127.183717230998 -690.163018096685</t>
  </si>
  <si>
    <t>-605.019054361449 102.487680585714 -840.089243337442</t>
  </si>
  <si>
    <t>-568.470311295014 86.5622042177777 -933.863231264978</t>
  </si>
  <si>
    <t>-605.196271005201 144.518296909024 -778.556267418217</t>
  </si>
  <si>
    <t>-560.592966195138 284.571258421673 -774.33247821378</t>
  </si>
  <si>
    <t>-441.59413898672 326.361457981589 -484.023958506502</t>
  </si>
  <si>
    <t>-230.938209882549 277.65604041296 -339.476657621998</t>
  </si>
  <si>
    <t>-614.21673368745 82.3115344981809 -768.946856869872</t>
  </si>
  <si>
    <t>-587.238169774754 289.048072252344 -247.319229541554</t>
  </si>
  <si>
    <t>-582.792723210857 279.600227850879 208.255869270224</t>
  </si>
  <si>
    <t>-610.058281594389 245.462407907375 675.942062912166</t>
  </si>
  <si>
    <t>-450.753121665092 257.577521932288 749.553196019374</t>
  </si>
  <si>
    <t>-576.589570622118 93.890081992502 -224.608215479659</t>
  </si>
  <si>
    <t>-459.209182506128 78.7404887626333 215.448662608264</t>
  </si>
  <si>
    <t>-616.44864888639 1.11913643184221 651.68380245913</t>
  </si>
  <si>
    <t>-463.416491307291 -37.1990299761646 729.506626889396</t>
  </si>
  <si>
    <t>9763-20170724T170101.064423200.bin</t>
  </si>
  <si>
    <t>-580.542932342779 193.436365845758 -236.179634231491</t>
  </si>
  <si>
    <t>-604.84874603769 178.227838563466 -353.847554056714</t>
  </si>
  <si>
    <t>-614.664498462816 161.255568629648 -473.456028075167</t>
  </si>
  <si>
    <t>-617.541293611035 144.89708265975 -581.710219474981</t>
  </si>
  <si>
    <t>-614.557146116969 127.334101905227 -689.772647977868</t>
  </si>
  <si>
    <t>-604.349326438848 101.486380033684 -839.531421794505</t>
  </si>
  <si>
    <t>-568.088846005952 84.887956453309 -933.300535050699</t>
  </si>
  <si>
    <t>-604.351936691437 143.98649931512 -778.321461555365</t>
  </si>
  <si>
    <t>-559.39540810498 283.959215823627 -775.224180794339</t>
  </si>
  <si>
    <t>-438.609320690533 328.229386641741 -486.023434096956</t>
  </si>
  <si>
    <t>-226.034507724444 284.734581389305 -342.628286595032</t>
  </si>
  <si>
    <t>-613.380030538309 81.8597769529349 -768.214017369296</t>
  </si>
  <si>
    <t>-585.792555641787 291.125375910572 -247.346657025763</t>
  </si>
  <si>
    <t>-582.111946905265 281.050523972355 208.221845650704</t>
  </si>
  <si>
    <t>-610.078191330413 245.963826556099 675.760808242775</t>
  </si>
  <si>
    <t>-450.836293300437 257.422013211033 749.613679263116</t>
  </si>
  <si>
    <t>-575.189697743315 95.8825977874158 -224.371423470914</t>
  </si>
  <si>
    <t>-458.149364831315 79.9332688991174 215.747649951905</t>
  </si>
  <si>
    <t>-616.434742626327 1.42633668485269 651.455127385878</t>
  </si>
  <si>
    <t>-463.443028489022 -37.4527425039148 729.078992919736</t>
  </si>
  <si>
    <t>9763-20170724T170101.100520600.bin</t>
  </si>
  <si>
    <t>-579.812890633956 194.45829624168 -236.134423425414</t>
  </si>
  <si>
    <t>-604.135850647758 179.151787866516 -353.786034434856</t>
  </si>
  <si>
    <t>-614.010424829574 161.945173848769 -473.356064748512</t>
  </si>
  <si>
    <t>-616.960578159933 145.322026699706 -581.567998593301</t>
  </si>
  <si>
    <t>-614.072112158773 127.44225517129 -689.581107483464</t>
  </si>
  <si>
    <t>-604.022229126819 101.101454598706 -839.264655956654</t>
  </si>
  <si>
    <t>-567.878753901691 84.2070680081174 -933.026121085848</t>
  </si>
  <si>
    <t>-603.951387573319 143.801812181311 -778.194228397027</t>
  </si>
  <si>
    <t>-558.562175467052 283.619508043146 -775.348001708353</t>
  </si>
  <si>
    <t>-436.789796388077 329.509499146007 -486.814084854857</t>
  </si>
  <si>
    <t>-223.381044065958 287.944533794771 -344.086790080642</t>
  </si>
  <si>
    <t>-612.986597757208 81.7110387102036 -767.874329199044</t>
  </si>
  <si>
    <t>-585.056238503466 292.142150223891 -247.372038156101</t>
  </si>
  <si>
    <t>-581.571425234488 281.756319131784 208.190982257342</t>
  </si>
  <si>
    <t>-610.033454964463 246.120069035197 675.644055057071</t>
  </si>
  <si>
    <t>-450.854192664569 257.45118457641 749.651272097854</t>
  </si>
  <si>
    <t>-574.462659432974 96.8457531074459 -224.212266223194</t>
  </si>
  <si>
    <t>-457.634994652953 80.7548923679076 215.958135419432</t>
  </si>
  <si>
    <t>-616.49633790633 1.58589116100507 651.394004557682</t>
  </si>
  <si>
    <t>-463.368369009327 -37.3553216263349 728.717465979589</t>
  </si>
  <si>
    <t>9763-20170724T170101.167736800.bin</t>
  </si>
  <si>
    <t>-578.581100575901 196.386933264798 -235.994602564983</t>
  </si>
  <si>
    <t>-602.933273624521 180.920749476194 -353.619424342123</t>
  </si>
  <si>
    <t>-612.910781304077 163.340634380706 -473.126523462862</t>
  </si>
  <si>
    <t>-615.98821574246 146.301861066705 -581.270225910155</t>
  </si>
  <si>
    <t>-613.263451829547 127.933607171592 -689.205576581517</t>
  </si>
  <si>
    <t>-603.48083267071 100.841940255954 -838.772752367736</t>
  </si>
  <si>
    <t>-567.465610279554 83.572089489036 -932.515071964265</t>
  </si>
  <si>
    <t>-603.368551468987 143.856959908989 -777.92356089918</t>
  </si>
  <si>
    <t>-557.368256341568 283.508876835428 -775.474745521591</t>
  </si>
  <si>
    <t>-432.394246735044 333.46252935653 -488.992074945499</t>
  </si>
  <si>
    <t>-216.995577162416 296.784077716425 -347.924053636441</t>
  </si>
  <si>
    <t>-612.250119266066 81.801391534422 -767.264239282363</t>
  </si>
  <si>
    <t>-583.88374066789 294.007664939168 -247.390494559316</t>
  </si>
  <si>
    <t>-580.656261858137 283.005627694134 208.159845270875</t>
  </si>
  <si>
    <t>-609.983430512053 246.338698715016 675.504426197565</t>
  </si>
  <si>
    <t>-450.886912237184 257.397546031147 749.730443149327</t>
  </si>
  <si>
    <t>-573.182046128485 98.8461237280633 -223.910102710638</t>
  </si>
  <si>
    <t>-456.766680120043 82.3911845814364 216.356169238127</t>
  </si>
  <si>
    <t>-616.652753399991 2.0098777630501 651.19385888992</t>
  </si>
  <si>
    <t>-463.30063956174 -37.3843012093282 727.840699522158</t>
  </si>
  <si>
    <t>9763-20170724T170101.197792800.bin</t>
  </si>
  <si>
    <t>-578.106853760415 197.142502862022 -236.002922461081</t>
  </si>
  <si>
    <t>-602.4577467525 181.644169757336 -353.623644148983</t>
  </si>
  <si>
    <t>-612.479859296444 163.895142084674 -473.102091078782</t>
  </si>
  <si>
    <t>-615.619123644528 146.653119828037 -581.211791425867</t>
  </si>
  <si>
    <t>-612.979124251086 128.034211300277 -689.106294081112</t>
  </si>
  <si>
    <t>-603.339364634068 100.547521360624 -838.610573059857</t>
  </si>
  <si>
    <t>-567.378461716653 83.1153438901965 -932.343732955212</t>
  </si>
  <si>
    <t>-603.224533482523 143.730129751255 -777.880290011827</t>
  </si>
  <si>
    <t>-556.659986738709 283.177839504641 -775.254381416972</t>
  </si>
  <si>
    <t>-429.081461619121 337.108365232397 -490.646880756147</t>
  </si>
  <si>
    <t>-212.696921742916 302.246443020825 -350.631193162885</t>
  </si>
  <si>
    <t>-611.984795691401 81.688898768688 -767.038742128219</t>
  </si>
  <si>
    <t>-583.447544307548 294.768573542943 -247.391200704299</t>
  </si>
  <si>
    <t>-580.284444712822 283.518676659586 208.153755205855</t>
  </si>
  <si>
    <t>-609.995591321059 246.505874348366 675.43987796535</t>
  </si>
  <si>
    <t>-450.919698348393 257.301558060758 749.748903065499</t>
  </si>
  <si>
    <t>-572.717555238675 99.5978257082252 -223.925195981831</t>
  </si>
  <si>
    <t>-456.472269401477 83.0234153892948 216.381519374002</t>
  </si>
  <si>
    <t>-616.623078528676 2.22638601699373 650.979217656384</t>
  </si>
  <si>
    <t>-463.269103694829 -37.3236209057036 727.542078928993</t>
  </si>
  <si>
    <t>9763-20170724T170101.260966200.bin</t>
  </si>
  <si>
    <t>-577.258084286526 198.236070398449 -236.093304418149</t>
  </si>
  <si>
    <t>-601.590260934164 182.733202383784 -353.717440651587</t>
  </si>
  <si>
    <t>-611.647899444751 164.551266663161 -473.127752461531</t>
  </si>
  <si>
    <t>-614.850098637763 146.757861470786 -581.146040917042</t>
  </si>
  <si>
    <t>-612.308838515783 127.435151013322 -688.919112563921</t>
  </si>
  <si>
    <t>-602.847796648477 98.8182182580588 -838.222777699667</t>
  </si>
  <si>
    <t>-566.982677049898 81.0691310007505 -931.933247011526</t>
  </si>
  <si>
    <t>-602.809473210156 142.477214030488 -777.834028063875</t>
  </si>
  <si>
    <t>-556.254241828041 281.96858861405 -776.192662613757</t>
  </si>
  <si>
    <t>-420.75525787908 347.429377031145 -497.730501591448</t>
  </si>
  <si>
    <t>-202.48788722596 315.196783877736 -360.026337085755</t>
  </si>
  <si>
    <t>-611.258567144858 80.4833136432783 -766.487071407011</t>
  </si>
  <si>
    <t>-582.590476480246 295.814429625343 -247.430919062308</t>
  </si>
  <si>
    <t>-579.71046039621 284.089486460374 208.103880494555</t>
  </si>
  <si>
    <t>-609.948302123889 246.461578444228 675.349572499417</t>
  </si>
  <si>
    <t>-450.927815571204 257.446761992083 749.749236751939</t>
  </si>
  <si>
    <t>-571.86832016198 100.774334481411 -224.054578787317</t>
  </si>
  <si>
    <t>-455.996189547449 83.4660081296274 216.322190016665</t>
  </si>
  <si>
    <t>-616.552859878758 2.19647854196796 650.679219395925</t>
  </si>
  <si>
    <t>-463.153638449801 -37.1331058913722 727.264999570926</t>
  </si>
  <si>
    <t>9763-20170724T170101.300089500.bin</t>
  </si>
  <si>
    <t>-577.018402121433 198.79440328901 -236.163265749158</t>
  </si>
  <si>
    <t>-601.286316957622 183.282849505387 -353.799393175212</t>
  </si>
  <si>
    <t>-611.371076855397 164.860105057829 -473.170500617407</t>
  </si>
  <si>
    <t>-614.640860271639 146.75835468418 -581.135770177611</t>
  </si>
  <si>
    <t>-612.213945748027 127.03777342941 -688.839296612581</t>
  </si>
  <si>
    <t>-602.963620032562 97.7765882310832 -838.031167659316</t>
  </si>
  <si>
    <t>-567.131184888153 79.8341097812088 -931.717202253637</t>
  </si>
  <si>
    <t>-602.852861331566 141.697611357284 -777.832662596598</t>
  </si>
  <si>
    <t>-556.29664700765 281.189220685025 -776.983315495745</t>
  </si>
  <si>
    <t>-417.181590632922 352.169709975975 -501.674407290787</t>
  </si>
  <si>
    <t>-198.809477377366 319.734331897917 -364.18399116364</t>
  </si>
  <si>
    <t>-611.260257761707 79.7501795343478 -766.204103978336</t>
  </si>
  <si>
    <t>-582.388427929614 296.350768805793 -247.462679571811</t>
  </si>
  <si>
    <t>-579.56735094952 284.467630667312 208.068327949485</t>
  </si>
  <si>
    <t>-609.95520649236 246.537730652845 675.296944077932</t>
  </si>
  <si>
    <t>-450.932077275477 257.170932807016 749.74220397667</t>
  </si>
  <si>
    <t>-571.607089685349 101.35499594312 -224.116185847844</t>
  </si>
  <si>
    <t>-455.841103592559 83.5990096444693 216.270699572548</t>
  </si>
  <si>
    <t>-616.503170666994 2.16227668828719 650.547614779643</t>
  </si>
  <si>
    <t>-463.135864843017 -37.1420451204306 727.21022230947</t>
  </si>
  <si>
    <t>9763-20170724T170101.364879700.bin</t>
  </si>
  <si>
    <t>-576.365273067082 199.591202626468 -236.205294963777</t>
  </si>
  <si>
    <t>-600.587930569052 184.098282263127 -353.853110987685</t>
  </si>
  <si>
    <t>-610.716918635757 165.343068030891 -473.168860913873</t>
  </si>
  <si>
    <t>-614.072928826058 146.798315972281 -581.056157740254</t>
  </si>
  <si>
    <t>-611.784637141297 126.493033801624 -688.654062250211</t>
  </si>
  <si>
    <t>-602.787596331402 96.2713199946616 -837.669827048728</t>
  </si>
  <si>
    <t>-567.045687275962 78.0782216205846 -931.342181730328</t>
  </si>
  <si>
    <t>-602.513062944272 140.571670436035 -777.750582742583</t>
  </si>
  <si>
    <t>-555.530170193381 279.932361109205 -778.211734549695</t>
  </si>
  <si>
    <t>-412.906606753556 357.215421927345 -506.417449203282</t>
  </si>
  <si>
    <t>-196.527635318919 321.310106787323 -366.656989996571</t>
  </si>
  <si>
    <t>-611.023966514576 78.7152643837169 -765.719386542224</t>
  </si>
  <si>
    <t>-581.701553510888 297.04825433306 -247.4749952539</t>
  </si>
  <si>
    <t>-579.273159456181 284.87858651606 208.050642725912</t>
  </si>
  <si>
    <t>-609.929905673747 246.446052434996 675.236726404353</t>
  </si>
  <si>
    <t>-450.938583711079 257.336846235264 749.712556881542</t>
  </si>
  <si>
    <t>-570.913277255971 102.217642047798 -224.186352333386</t>
  </si>
  <si>
    <t>-455.57308542675 84.0425953595748 216.295162661566</t>
  </si>
  <si>
    <t>-616.481356961142 2.18113323341822 650.419064184592</t>
  </si>
  <si>
    <t>-463.127724290512 -37.2850386611474 727.025804203918</t>
  </si>
  <si>
    <t>9763-20170724T170101.394936700.bin</t>
  </si>
  <si>
    <t>-576.04958633608 200.079553725036 -236.172166415939</t>
  </si>
  <si>
    <t>-600.349327965347 184.561474998195 -353.800791207612</t>
  </si>
  <si>
    <t>-610.574815691263 165.681467508064 -473.088496652769</t>
  </si>
  <si>
    <t>-614.028416377279 146.983254000904 -580.94627794087</t>
  </si>
  <si>
    <t>-611.849804460633 126.483421624 -688.509575981442</t>
  </si>
  <si>
    <t>-603.019435599572 95.9486185038418 -837.471553865901</t>
  </si>
  <si>
    <t>-567.317114838962 77.6534737690811 -931.139056608365</t>
  </si>
  <si>
    <t>-602.641947720238 140.370481129349 -777.642811881456</t>
  </si>
  <si>
    <t>-555.606839500084 279.691847932261 -778.517800561257</t>
  </si>
  <si>
    <t>-412.766033951669 357.638306126544 -507.02746258305</t>
  </si>
  <si>
    <t>-198.174185340965 319.249878138682 -365.186840810974</t>
  </si>
  <si>
    <t>-611.21122245433 78.5482061594098 -765.478209249017</t>
  </si>
  <si>
    <t>-581.343996209927 297.514121196547 -247.471615631276</t>
  </si>
  <si>
    <t>-578.997143268048 285.217507489525 208.051112492232</t>
  </si>
  <si>
    <t>-609.934005161804 246.504063285792 675.191422442657</t>
  </si>
  <si>
    <t>-450.953538505815 257.246177537981 749.712087515668</t>
  </si>
  <si>
    <t>-570.677738674174 102.676668032812 -224.139871736603</t>
  </si>
  <si>
    <t>-455.469454192582 84.36345889985 216.370396074984</t>
  </si>
  <si>
    <t>-616.520271240616 2.18462445207388 650.406348974905</t>
  </si>
  <si>
    <t>-463.032763398623 -37.0997396561763 726.838222538347</t>
  </si>
  <si>
    <t>9763-20170724T170101.464826500.bin</t>
  </si>
  <si>
    <t>-575.555301519497 201.153689054421 -236.211811258324</t>
  </si>
  <si>
    <t>-600.063788697188 185.679693320532 -353.803000840219</t>
  </si>
  <si>
    <t>-610.359890910755 166.806342587449 -473.085713360812</t>
  </si>
  <si>
    <t>-613.820376006133 148.099825998443 -580.941829582459</t>
  </si>
  <si>
    <t>-611.591489822743 127.578151074531 -688.499875504325</t>
  </si>
  <si>
    <t>-602.631784824419 96.9993856451824 -837.445139605774</t>
  </si>
  <si>
    <t>-566.813109139134 78.7339306536519 -931.0741807395</t>
  </si>
  <si>
    <t>-602.324715067178 141.4410072218 -777.630669491355</t>
  </si>
  <si>
    <t>-555.324600971959 280.768404760654 -778.802460278761</t>
  </si>
  <si>
    <t>-413.523302758004 357.635504635147 -506.460770440121</t>
  </si>
  <si>
    <t>-199.056193999236 319.394296862292 -364.392004781878</t>
  </si>
  <si>
    <t>-610.867662121309 79.6180032028215 -765.452185095371</t>
  </si>
  <si>
    <t>-580.687972948925 298.549226875057 -247.477166697891</t>
  </si>
  <si>
    <t>-578.214327685553 285.963279784649 208.037014677698</t>
  </si>
  <si>
    <t>-609.95326906825 246.702989403698 675.089822780713</t>
  </si>
  <si>
    <t>-451.014566661226 257.290504605147 749.721507278563</t>
  </si>
  <si>
    <t>-570.33280999225 103.9192944367 -224.215004201375</t>
  </si>
  <si>
    <t>-455.535224237673 85.0472594573407 216.378971221424</t>
  </si>
  <si>
    <t>-616.550139774461 2.34755151182185 650.322500774109</t>
  </si>
  <si>
    <t>-463.008781513753 -37.2592718873366 726.47934412927</t>
  </si>
  <si>
    <t>9763-20170724T170101.494911800.bin</t>
  </si>
  <si>
    <t>-575.334972393292 201.653872716984 -236.237585386033</t>
  </si>
  <si>
    <t>-599.904960431294 186.2156731182 -353.820657693172</t>
  </si>
  <si>
    <t>-610.22376753891 167.391621164146 -473.109156311424</t>
  </si>
  <si>
    <t>-613.688284020356 148.734596492496 -580.973670742851</t>
  </si>
  <si>
    <t>-611.44682553486 128.266510911152 -688.541650343805</t>
  </si>
  <si>
    <t>-602.452052151706 97.7663987612677 -837.500934044698</t>
  </si>
  <si>
    <t>-566.563842259988 79.510180123953 -931.105017413769</t>
  </si>
  <si>
    <t>-602.168164723079 142.177570802596 -777.663773201457</t>
  </si>
  <si>
    <t>-555.240292294805 281.551616270064 -778.823059979358</t>
  </si>
  <si>
    <t>-414.319350410593 357.368425642065 -505.730857237333</t>
  </si>
  <si>
    <t>-200.775254630317 318.783630350856 -362.37056078397</t>
  </si>
  <si>
    <t>-610.695757207233 80.3458962059005 -765.518358214867</t>
  </si>
  <si>
    <t>-580.333845289936 298.972118364224 -247.483492234549</t>
  </si>
  <si>
    <t>-577.544404522165 286.227863282663 208.02443546946</t>
  </si>
  <si>
    <t>-609.939730806038 246.728432991174 675.020429318348</t>
  </si>
  <si>
    <t>-451.03485640225 257.335654912524 749.721438577511</t>
  </si>
  <si>
    <t>-570.225933363167 104.465379963729 -224.283569246302</t>
  </si>
  <si>
    <t>-455.56388255527 85.2974383547555 216.332873416555</t>
  </si>
  <si>
    <t>-616.511667218046 2.33228822484489 650.235345523164</t>
  </si>
  <si>
    <t>-462.947743472313 -37.2449278810695 726.362087213837</t>
  </si>
  <si>
    <t>9763-20170724T170101.564740900.bin</t>
  </si>
  <si>
    <t>-574.801695326237 202.394531233067 -236.22646659253</t>
  </si>
  <si>
    <t>-599.454186407745 186.993017249387 -353.797105126567</t>
  </si>
  <si>
    <t>-609.702229068681 168.256043835682 -473.105474854046</t>
  </si>
  <si>
    <t>-613.039752196141 149.692583448211 -580.99002860483</t>
  </si>
  <si>
    <t>-610.608297315248 129.330038257474 -688.574065769288</t>
  </si>
  <si>
    <t>-601.284417640109 98.9859634436575 -837.544870859188</t>
  </si>
  <si>
    <t>-565.302271009974 80.7502110486337 -931.116937157232</t>
  </si>
  <si>
    <t>-601.131953867613 143.33435364852 -777.660776597535</t>
  </si>
  <si>
    <t>-554.728994017073 282.863850563976 -778.888721911122</t>
  </si>
  <si>
    <t>-416.956272024121 355.580305288583 -503.358049860906</t>
  </si>
  <si>
    <t>-211.995878582283 308.193434624943 -350.427360727073</t>
  </si>
  <si>
    <t>-609.687945868678 81.4901952144144 -765.59910259006</t>
  </si>
  <si>
    <t>-579.817389629235 299.664148912751 -247.440603068962</t>
  </si>
  <si>
    <t>-576.362671644243 286.685882190059 208.056266542166</t>
  </si>
  <si>
    <t>-609.924137531065 246.779031815866 674.913810151078</t>
  </si>
  <si>
    <t>-451.083429722331 257.531000197643 749.730447702511</t>
  </si>
  <si>
    <t>-569.631701525042 105.255260191754 -224.400712209116</t>
  </si>
  <si>
    <t>-455.503107840085 85.978939056745 216.349484307657</t>
  </si>
  <si>
    <t>-616.401237817846 2.40775423804439 650.114977536774</t>
  </si>
  <si>
    <t>-462.841121972046 -37.158835687809 726.254872441126</t>
  </si>
  <si>
    <t>9763-20170724T170101.597826600.bin</t>
  </si>
  <si>
    <t>-574.641431662801 202.686339203988 -236.213043510252</t>
  </si>
  <si>
    <t>-599.375378727362 187.279713898974 -353.765804890366</t>
  </si>
  <si>
    <t>-609.609215984877 168.600426382472 -473.084509729793</t>
  </si>
  <si>
    <t>-612.893176663889 150.112632520012 -580.98377857633</t>
  </si>
  <si>
    <t>-610.366518744345 129.848016008168 -688.584040605594</t>
  </si>
  <si>
    <t>-600.866273909742 99.6625069332581 -837.575875574943</t>
  </si>
  <si>
    <t>-564.878942504042 81.5157872389918 -931.163247729337</t>
  </si>
  <si>
    <t>-600.79740013792 143.948668504075 -777.645555376956</t>
  </si>
  <si>
    <t>-554.812981080772 283.629441761288 -778.985605254236</t>
  </si>
  <si>
    <t>-418.994688081647 354.118184425854 -501.909946375679</t>
  </si>
  <si>
    <t>-220.836104860076 296.617362103133 -343.578477977653</t>
  </si>
  <si>
    <t>-609.342268807893 82.0886564444127 -765.657558263106</t>
  </si>
  <si>
    <t>-579.663797766102 299.952232703839 -247.4158596377</t>
  </si>
  <si>
    <t>-576.013372252631 286.908922623844 208.077530946013</t>
  </si>
  <si>
    <t>-609.934894170939 246.849338729774 674.870340077028</t>
  </si>
  <si>
    <t>-451.116858915744 257.595693109788 749.73603865413</t>
  </si>
  <si>
    <t>-569.575901437773 105.513663617729 -224.341526200275</t>
  </si>
  <si>
    <t>-455.309735542278 86.1492670143982 216.369175699564</t>
  </si>
  <si>
    <t>-616.347147730512 2.35146522900823 650.062641549909</t>
  </si>
  <si>
    <t>-462.746921661361 -37.0323670205855 726.216417097344</t>
  </si>
  <si>
    <t>9763-20170724T170101.664011000.bin</t>
  </si>
  <si>
    <t>-574.516259122263 203.157266054561 -236.244919443931</t>
  </si>
  <si>
    <t>-599.25031251978 187.714708316886 -353.793134483806</t>
  </si>
  <si>
    <t>-609.432339022104 169.178839439247 -473.138410406366</t>
  </si>
  <si>
    <t>-612.642988680197 150.895324343136 -581.074673476195</t>
  </si>
  <si>
    <t>-610.01296974176 130.91063071808 -688.724845245001</t>
  </si>
  <si>
    <t>-600.334357810852 101.193787186463 -837.799476520023</t>
  </si>
  <si>
    <t>-564.401764000549 83.3786781271285 -931.471471658224</t>
  </si>
  <si>
    <t>-600.402952404684 145.299236884809 -777.735927384973</t>
  </si>
  <si>
    <t>-555.329638923136 285.241754911438 -779.138989901813</t>
  </si>
  <si>
    <t>-423.094954587684 351.820194595104 -499.375814136715</t>
  </si>
  <si>
    <t>-231.233386221349 281.20612259065 -338.612458203784</t>
  </si>
  <si>
    <t>-608.830724612106 83.3860476719208 -765.941081985726</t>
  </si>
  <si>
    <t>-579.552983308274 300.419277377819 -247.443962381763</t>
  </si>
  <si>
    <t>-576.030025567665 287.292573523012 208.04797629246</t>
  </si>
  <si>
    <t>-609.963967074384 246.923305808203 674.822739600277</t>
  </si>
  <si>
    <t>-451.170140071525 257.668729334689 749.739737071245</t>
  </si>
  <si>
    <t>-569.411350064138 106.027128685397 -224.359810847849</t>
  </si>
  <si>
    <t>-455.190626552797 86.4364854597839 216.352565038992</t>
  </si>
  <si>
    <t>-616.2722293752 2.34649814036334 650.000871839779</t>
  </si>
  <si>
    <t>-462.677020806401 -37.0482125457661 726.159116437823</t>
  </si>
  <si>
    <t>9763-20170724T170101.698101700.bin</t>
  </si>
  <si>
    <t>-574.503655175444 203.351718655134 -236.289693569427</t>
  </si>
  <si>
    <t>-599.170558043389 187.937245711003 -353.855602366039</t>
  </si>
  <si>
    <t>-609.293037862106 169.550456332756 -473.229079689921</t>
  </si>
  <si>
    <t>-612.449945905956 151.451433687509 -581.198115622903</t>
  </si>
  <si>
    <t>-609.76413670138 131.701298744532 -688.890173661137</t>
  </si>
  <si>
    <t>-600.003855354574 102.362602126998 -838.034315212851</t>
  </si>
  <si>
    <t>-564.043701566665 84.7980213069766 -931.743079333475</t>
  </si>
  <si>
    <t>-600.156647572208 146.321638129064 -777.863694629113</t>
  </si>
  <si>
    <t>-555.379166014366 286.376350637569 -779.064524374009</t>
  </si>
  <si>
    <t>-424.459655108658 351.957717714916 -498.44848212568</t>
  </si>
  <si>
    <t>-234.026225812449 277.510432009732 -337.716609693162</t>
  </si>
  <si>
    <t>-608.488311588062 84.3665159742409 -766.221466638137</t>
  </si>
  <si>
    <t>-579.564546642228 300.577919673314 -247.475166261632</t>
  </si>
  <si>
    <t>-576.186646094189 287.411011883863 208.016835660297</t>
  </si>
  <si>
    <t>-609.984683820201 246.920484835382 674.820897829643</t>
  </si>
  <si>
    <t>-451.192935722128 257.732589355302 749.732856040464</t>
  </si>
  <si>
    <t>-569.35850940892 106.259684939397 -224.436061344275</t>
  </si>
  <si>
    <t>-455.275318338718 86.5133006930839 216.305082139922</t>
  </si>
  <si>
    <t>-616.245753565614 2.23090480656401 649.98471633138</t>
  </si>
  <si>
    <t>-462.611372863832 -37.000340072497 726.148357357281</t>
  </si>
  <si>
    <t>9763-20170724T170101.766301700.bin</t>
  </si>
  <si>
    <t>-574.578644292436 203.570752053416 -236.305799189104</t>
  </si>
  <si>
    <t>-599.256658648661 188.161564762401 -353.870043673902</t>
  </si>
  <si>
    <t>-609.328760708187 170.083752999538 -473.294976646439</t>
  </si>
  <si>
    <t>-612.40801491191 152.382667837337 -581.332032955998</t>
  </si>
  <si>
    <t>-609.608333266007 133.145160385741 -689.114015223758</t>
  </si>
  <si>
    <t>-599.648207638647 104.63587686947 -838.405736074581</t>
  </si>
  <si>
    <t>-563.590371304588 87.5601395853976 -932.167356830136</t>
  </si>
  <si>
    <t>-599.970658457918 148.270074875159 -777.999987108082</t>
  </si>
  <si>
    <t>-555.630637495605 288.482395400616 -778.74158450751</t>
  </si>
  <si>
    <t>-426.841608643904 352.046529365213 -496.679119600505</t>
  </si>
  <si>
    <t>-238.538739669989 269.400318312348 -337.450626484075</t>
  </si>
  <si>
    <t>-608.139875085245 86.2305405116419 -766.69761729262</t>
  </si>
  <si>
    <t>-579.926255617396 300.739342647536 -247.467689756109</t>
  </si>
  <si>
    <t>-576.394294078537 287.550651922788 208.02245410091</t>
  </si>
  <si>
    <t>-610.010442643475 246.946681280534 674.7966305261</t>
  </si>
  <si>
    <t>-451.234182813027 257.850163933752 749.728118624558</t>
  </si>
  <si>
    <t>-569.089977929679 106.515460799986 -224.511618410966</t>
  </si>
  <si>
    <t>-455.20765133485 86.8562156031073 216.28542715323</t>
  </si>
  <si>
    <t>-616.152911932718 2.08497266669588 649.858882693457</t>
  </si>
  <si>
    <t>-462.438713848483 -36.7349102190838 726.072218656746</t>
  </si>
  <si>
    <t>9763-20170724T170101.795366500.bin</t>
  </si>
  <si>
    <t>-574.590545048375 203.664788552707 -236.316720391316</t>
  </si>
  <si>
    <t>-599.325395980421 188.201261188938 -353.862013115936</t>
  </si>
  <si>
    <t>-609.394260759018 170.307507803792 -473.314889079407</t>
  </si>
  <si>
    <t>-612.440383153631 152.865456155662 -581.395103574293</t>
  </si>
  <si>
    <t>-609.573880594718 133.977326925856 -689.237066649219</t>
  </si>
  <si>
    <t>-599.482627803606 106.045748749924 -838.629089483806</t>
  </si>
  <si>
    <t>-563.389831227151 89.2837894909421 -932.433924756189</t>
  </si>
  <si>
    <t>-599.901137565392 149.451069242844 -778.059104321904</t>
  </si>
  <si>
    <t>-555.771736324531 289.709103912042 -778.425715391734</t>
  </si>
  <si>
    <t>-427.911170164477 351.439404697722 -495.534747838549</t>
  </si>
  <si>
    <t>-240.405283413327 264.516740308507 -337.648490756178</t>
  </si>
  <si>
    <t>-607.994180683261 87.3583356918371 -766.996472929209</t>
  </si>
  <si>
    <t>-580.116004623988 300.821201867537 -247.487616232654</t>
  </si>
  <si>
    <t>-576.433376655057 287.668500648061 208.002432350094</t>
  </si>
  <si>
    <t>-610.027278243887 247.075746980174 674.747196278207</t>
  </si>
  <si>
    <t>-451.277432076632 258.019669931431 749.728670464952</t>
  </si>
  <si>
    <t>-568.917460558867 106.528131522246 -224.512824307021</t>
  </si>
  <si>
    <t>-454.986699515532 87.1676322112685 216.284888103084</t>
  </si>
  <si>
    <t>-616.063567548188 2.089314005284 649.722568970235</t>
  </si>
  <si>
    <t>-462.353252784105 -36.6136539390393 726.003223005963</t>
  </si>
  <si>
    <t>9763-20170724T170101.832314800.bin</t>
  </si>
  <si>
    <t>-574.614257112339 203.701575978111 -236.381729181207</t>
  </si>
  <si>
    <t>-599.41639185411 188.210893410644 -353.909162913551</t>
  </si>
  <si>
    <t>-609.468892447084 170.548242688478 -473.397820248407</t>
  </si>
  <si>
    <t>-612.459534017118 153.416929705799 -581.529345153337</t>
  </si>
  <si>
    <t>-609.492722694328 134.939845362875 -689.439707117702</t>
  </si>
  <si>
    <t>-599.211842286916 107.682563791112 -838.943398418687</t>
  </si>
  <si>
    <t>-563.082960182394 91.2726744464353 -932.796576477044</t>
  </si>
  <si>
    <t>-599.761529755168 150.820301542979 -778.183546262235</t>
  </si>
  <si>
    <t>-555.876021581961 291.16479460076 -778.093874716644</t>
  </si>
  <si>
    <t>-429.007308498718 350.796070750614 -494.307679541269</t>
  </si>
  <si>
    <t>-242.636892065007 258.111215561925 -338.366541966503</t>
  </si>
  <si>
    <t>-607.760101094143 88.6658766314522 -767.401771692439</t>
  </si>
  <si>
    <t>-580.313851464978 300.963548505326 -247.538670766017</t>
  </si>
  <si>
    <t>-576.515371490305 287.847476024462 207.951383809196</t>
  </si>
  <si>
    <t>-610.065680456635 247.350184813434 674.675639234699</t>
  </si>
  <si>
    <t>-451.340010817178 258.022422022759 749.747547846184</t>
  </si>
  <si>
    <t>-568.749289176031 106.454652632459 -224.578363973065</t>
  </si>
  <si>
    <t>-454.823843683661 87.492913860327 216.238084489597</t>
  </si>
  <si>
    <t>-615.983970074279 2.11506094475612 649.584882003995</t>
  </si>
  <si>
    <t>-462.29901763531 -36.5577188397926 725.93186549102</t>
  </si>
  <si>
    <t>9763-20170724T170101.919544500.bin</t>
  </si>
  <si>
    <t>-574.867911258033 203.118067870249 -236.736283119141</t>
  </si>
  <si>
    <t>-599.937502757961 187.528386449283 -354.193796237548</t>
  </si>
  <si>
    <t>-609.872145249181 170.37870997256 -473.767027383662</t>
  </si>
  <si>
    <t>-612.584167588902 153.943955770908 -582.013995992513</t>
  </si>
  <si>
    <t>-609.158654910534 136.386621548371 -690.064249609914</t>
  </si>
  <si>
    <t>-598.04610917053 110.632111235364 -839.774684376936</t>
  </si>
  <si>
    <t>-561.705583931683 94.9282622653579 -933.666788969267</t>
  </si>
  <si>
    <t>-598.991435377217 153.163730605737 -778.593887234635</t>
  </si>
  <si>
    <t>-555.877470511107 293.762594758526 -777.613291599455</t>
  </si>
  <si>
    <t>-432.820230101467 347.210677513804 -490.931590825247</t>
  </si>
  <si>
    <t>-247.228949745673 242.58289843086 -341.763924924249</t>
  </si>
  <si>
    <t>-606.934744052869 90.8914700573773 -768.470945309699</t>
  </si>
  <si>
    <t>-580.97179822655 300.667659114961 -247.964437248214</t>
  </si>
  <si>
    <t>-575.855990707873 288.360125090703 207.535295296726</t>
  </si>
  <si>
    <t>-609.916554516842 248.342313427423 674.119989378213</t>
  </si>
  <si>
    <t>-451.453030155478 258.704117559767 749.78669068701</t>
  </si>
  <si>
    <t>-568.545904648847 105.62697412939 -224.917391374717</t>
  </si>
  <si>
    <t>-454.34900888351 88.1586953523818 215.890500724897</t>
  </si>
  <si>
    <t>-615.771651451964 2.30873888748056 649.104918574505</t>
  </si>
  <si>
    <t>-462.274425144672 -36.6502844326294 725.683687972645</t>
  </si>
  <si>
    <t>9763-20170724T170101.965668200.bin</t>
  </si>
  <si>
    <t>-575.25553577673 202.029147558882 -237.23497452226</t>
  </si>
  <si>
    <t>-600.574383698921 186.409516929404 -354.635151863049</t>
  </si>
  <si>
    <t>-610.352448277125 169.604597221922 -474.270165516897</t>
  </si>
  <si>
    <t>-612.748657542671 153.615849416751 -582.591350953056</t>
  </si>
  <si>
    <t>-608.829180174158 136.628587999914 -690.715789423318</t>
  </si>
  <si>
    <t>-596.8424406234 111.785725292874 -840.512992379416</t>
  </si>
  <si>
    <t>-560.334104398175 96.3844480494249 -934.390123298951</t>
  </si>
  <si>
    <t>-598.089998301304 153.937797022763 -779.075459658336</t>
  </si>
  <si>
    <t>-555.265334182491 294.62123872224 -777.50096120549</t>
  </si>
  <si>
    <t>-436.683842092519 342.969363482532 -488.041104762962</t>
  </si>
  <si>
    <t>-249.756775625862 232.298118281417 -345.029966075193</t>
  </si>
  <si>
    <t>-606.202371989662 91.6181000686759 -769.389336306017</t>
  </si>
  <si>
    <t>-581.429451678398 299.765426918886 -248.50678072956</t>
  </si>
  <si>
    <t>-575.134456876088 288.434584120057 207.003657221064</t>
  </si>
  <si>
    <t>-609.668000781898 249.04055153815 673.560586732866</t>
  </si>
  <si>
    <t>-451.498896410354 259.784641195168 749.787930443921</t>
  </si>
  <si>
    <t>-568.875493581307 104.379283180343 -225.342270040973</t>
  </si>
  <si>
    <t>-453.930107016731 88.153308955719 215.318482121186</t>
  </si>
  <si>
    <t>-615.495142192235 2.26894451277735 648.516432707123</t>
  </si>
  <si>
    <t>-462.188159940083 -36.7079208882838 725.466335486076</t>
  </si>
  <si>
    <t>9763-20170724T170101.997753900.bin</t>
  </si>
  <si>
    <t>-575.665372977536 200.752332656264 -237.604227870927</t>
  </si>
  <si>
    <t>-601.12412907841 185.107805572112 -354.97074593874</t>
  </si>
  <si>
    <t>-610.707632346652 168.605582400527 -474.663688391871</t>
  </si>
  <si>
    <t>-612.783579494 153.011894370575 -583.049083171966</t>
  </si>
  <si>
    <t>-608.395642319637 136.534542622799 -691.234472453221</t>
  </si>
  <si>
    <t>-595.600817665381 112.51456806751 -841.098938499746</t>
  </si>
  <si>
    <t>-558.895600966845 97.3462843382629 -934.937198528571</t>
  </si>
  <si>
    <t>-597.144847869801 154.324519048625 -779.434742039329</t>
  </si>
  <si>
    <t>-554.480645695455 295.01938519829 -777.147120090815</t>
  </si>
  <si>
    <t>-439.296193146372 339.510469204868 -485.703754441289</t>
  </si>
  <si>
    <t>-250.88836340893 225.966547326899 -346.951058205409</t>
  </si>
  <si>
    <t>-605.379403680174 91.9608402782287 -770.142197131666</t>
  </si>
  <si>
    <t>-581.942337553577 298.608619945879 -248.846344935184</t>
  </si>
  <si>
    <t>-574.953378710864 288.203116300715 206.675901578765</t>
  </si>
  <si>
    <t>-609.588165764079 249.176093799407 673.392857813327</t>
  </si>
  <si>
    <t>-451.49986580943 260.012433484092 749.774570447199</t>
  </si>
  <si>
    <t>-569.178332658936 102.825118346311 -225.711362702903</t>
  </si>
  <si>
    <t>-453.722800737478 87.9461170609322 214.863676233919</t>
  </si>
  <si>
    <t>-615.264242579328 2.17542029167157 648.09313934224</t>
  </si>
  <si>
    <t>-462.094972389656 -36.6582825579753 725.388894803836</t>
  </si>
  <si>
    <t>9763-20170724T170102.065481700.bin</t>
  </si>
  <si>
    <t>-577.216807158973 196.687189157871 -238.131693395857</t>
  </si>
  <si>
    <t>-603.080354225716 181.132817089936 -355.421756295078</t>
  </si>
  <si>
    <t>-612.169690791691 165.525327807577 -475.273057396173</t>
  </si>
  <si>
    <t>-613.411487510348 151.048042073131 -583.825915975212</t>
  </si>
  <si>
    <t>-607.791893285308 135.984260960061 -692.160448942107</t>
  </si>
  <si>
    <t>-592.864456030011 114.228436950082 -842.173278202554</t>
  </si>
  <si>
    <t>-555.566330656292 99.8155933244796 -935.896871809816</t>
  </si>
  <si>
    <t>-595.273310989967 155.100762564154 -779.911167331114</t>
  </si>
  <si>
    <t>-553.042143261074 295.857476627587 -775.375719257661</t>
  </si>
  <si>
    <t>-444.445043144156 333.10025846882 -480.408264601618</t>
  </si>
  <si>
    <t>-252.861355584215 215.483246805593 -349.626110477125</t>
  </si>
  <si>
    <t>-603.665467100086 92.6085602268085 -771.683217234774</t>
  </si>
  <si>
    <t>-583.614195246849 294.670951141777 -249.17685810486</t>
  </si>
  <si>
    <t>-575.598748476071 285.992446373682 206.364677818558</t>
  </si>
  <si>
    <t>-609.589679466336 248.434677395588 673.512329041569</t>
  </si>
  <si>
    <t>-451.448924975551 260.108045545821 749.661940386977</t>
  </si>
  <si>
    <t>-570.973295893431 98.7118619616981 -226.273801391147</t>
  </si>
  <si>
    <t>-453.991144083976 86.4659757886218 213.979387708994</t>
  </si>
  <si>
    <t>-614.950065603741 2.11307239508051 647.646977262492</t>
  </si>
  <si>
    <t>-462.155924326705 -36.9338888398129 725.575129270264</t>
  </si>
  <si>
    <t>9763-20170724T170102.096563100.bin</t>
  </si>
  <si>
    <t>-578.499339847837 194.145340209016 -238.277802475872</t>
  </si>
  <si>
    <t>-604.457963094964 178.736585705066 -355.56608203453</t>
  </si>
  <si>
    <t>-613.223557673119 163.72762954042 -475.517959684588</t>
  </si>
  <si>
    <t>-613.990908403782 149.970362397938 -584.168752389047</t>
  </si>
  <si>
    <t>-607.709477953841 135.803059517824 -692.587761079023</t>
  </si>
  <si>
    <t>-591.662836026723 115.474729208118 -842.685298335913</t>
  </si>
  <si>
    <t>-554.017759335285 101.629076857881 -936.355688281041</t>
  </si>
  <si>
    <t>-594.566881162379 155.756609149479 -780.06060363304</t>
  </si>
  <si>
    <t>-552.536429303365 296.528222723944 -774.099860343226</t>
  </si>
  <si>
    <t>-446.825699028387 330.362448093145 -477.67667688855</t>
  </si>
  <si>
    <t>-253.792274850788 212.272333100587 -349.478053293172</t>
  </si>
  <si>
    <t>-602.959047918448 93.1821742282875 -772.483093074675</t>
  </si>
  <si>
    <t>-584.699644073287 291.987191253778 -249.164927022867</t>
  </si>
  <si>
    <t>-576.303565357021 284.144078860317 206.384945225391</t>
  </si>
  <si>
    <t>-609.617002097082 247.532787396894 673.79295040498</t>
  </si>
  <si>
    <t>-451.352918581939 259.876549371003 749.57968192866</t>
  </si>
  <si>
    <t>-572.347467135599 96.3384091055777 -226.599387076841</t>
  </si>
  <si>
    <t>-454.982733135006 85.0125352763716 213.576615800664</t>
  </si>
  <si>
    <t>-614.939012619207 1.86664312199605 647.760553979822</t>
  </si>
  <si>
    <t>-462.216025330725 -37.056190178753 725.890009140355</t>
  </si>
  <si>
    <t>9763-20170724T170102.162244100.bin</t>
  </si>
  <si>
    <t>-581.081716811279 188.79501285893 -238.532055970555</t>
  </si>
  <si>
    <t>-607.276690807588 173.882762283724 -355.831956107915</t>
  </si>
  <si>
    <t>-615.450631135339 160.092222515666 -475.971705659054</t>
  </si>
  <si>
    <t>-615.328992838354 147.727565591646 -584.792512145658</t>
  </si>
  <si>
    <t>-607.79680580191 135.243277480153 -693.338708334998</t>
  </si>
  <si>
    <t>-589.629818696065 117.556327042087 -843.528999680789</t>
  </si>
  <si>
    <t>-551.223113226454 104.882958170036 -937.055954283695</t>
  </si>
  <si>
    <t>-593.520170795454 156.742450304231 -780.265785155109</t>
  </si>
  <si>
    <t>-551.950071461297 297.505371560555 -771.340634624662</t>
  </si>
  <si>
    <t>-450.675448947362 325.727004801329 -472.788799637517</t>
  </si>
  <si>
    <t>-255.16988855568 207.4575187972 -348.563405315453</t>
  </si>
  <si>
    <t>-601.816110228081 94.0220972401637 -773.883128749729</t>
  </si>
  <si>
    <t>-586.462233203375 286.413010360121 -249.101048109758</t>
  </si>
  <si>
    <t>-577.125876438485 280.467320844055 206.459145914888</t>
  </si>
  <si>
    <t>-609.764389454876 246.705889339686 674.098135198108</t>
  </si>
  <si>
    <t>-451.294033916066 259.628688838202 749.355429315424</t>
  </si>
  <si>
    <t>-575.741359329831 91.3649149547716 -227.193207430506</t>
  </si>
  <si>
    <t>-457.604903677684 80.9812078505634 212.799651749038</t>
  </si>
  <si>
    <t>-615.179881577751 1.2785974170979 648.477299740894</t>
  </si>
  <si>
    <t>-462.364487384374 -37.3909821129621 726.551766101611</t>
  </si>
  <si>
    <t>9763-20170724T170102.196334700.bin</t>
  </si>
  <si>
    <t>-582.138925948396 186.139789556299 -238.572757837553</t>
  </si>
  <si>
    <t>-608.449395585134 171.544276542689 -355.886739932012</t>
  </si>
  <si>
    <t>-616.370064515235 158.318597597447 -476.106920600139</t>
  </si>
  <si>
    <t>-615.864202224101 146.566422482973 -584.994347559858</t>
  </si>
  <si>
    <t>-607.790584773649 134.797596439298 -693.58157156073</t>
  </si>
  <si>
    <t>-588.706541093358 118.213586340495 -843.783914777101</t>
  </si>
  <si>
    <t>-549.971257680924 106.091137065485 -937.248440341417</t>
  </si>
  <si>
    <t>-593.032608473945 156.939916462435 -780.266505034815</t>
  </si>
  <si>
    <t>-551.577678359727 297.664721940036 -770.089174445782</t>
  </si>
  <si>
    <t>-452.363842672996 324.124849562347 -470.685331472004</t>
  </si>
  <si>
    <t>-255.923051518224 207.59587220996 -346.290621586441</t>
  </si>
  <si>
    <t>-601.268675478295 94.1630954359357 -774.38159516749</t>
  </si>
  <si>
    <t>-587.043982009985 283.686162211335 -248.993136827823</t>
  </si>
  <si>
    <t>-577.404179681367 278.542565246982 206.570534117855</t>
  </si>
  <si>
    <t>-609.853426355632 246.283499072023 674.311866219875</t>
  </si>
  <si>
    <t>-451.27406517114 259.397176986232 749.306073747774</t>
  </si>
  <si>
    <t>-577.243197102851 88.8249260959376 -227.484975120202</t>
  </si>
  <si>
    <t>-459.349684087894 78.780854242214 212.580840711706</t>
  </si>
  <si>
    <t>-615.484386203644 1.05822043478065 649.113541883368</t>
  </si>
  <si>
    <t>-462.40726033064 -37.3344445992873 726.811110726591</t>
  </si>
  <si>
    <t>9763-20170724T170102.264147900.bin</t>
  </si>
  <si>
    <t>-583.668560340821 181.182830508592 -238.742421551979</t>
  </si>
  <si>
    <t>-609.966149891361 167.247122603487 -356.139366466415</t>
  </si>
  <si>
    <t>-617.494301065402 154.923902232671 -476.480698312006</t>
  </si>
  <si>
    <t>-616.47610379963 144.091708533695 -585.459924568741</t>
  </si>
  <si>
    <t>-607.731539873703 133.352061993042 -694.101704520564</t>
  </si>
  <si>
    <t>-587.549769457105 118.315484963637 -844.323489225894</t>
  </si>
  <si>
    <t>-548.317240801104 107.09289313052 -937.692958001306</t>
  </si>
  <si>
    <t>-592.409733741697 156.393803239356 -780.453811209912</t>
  </si>
  <si>
    <t>-551.118665996156 297.003614233946 -768.247071225893</t>
  </si>
  <si>
    <t>-454.932258486059 320.834791313403 -467.636923338053</t>
  </si>
  <si>
    <t>-258.254238461604 221.175950866874 -329.694956521753</t>
  </si>
  <si>
    <t>-600.54939732862 93.5436895570515 -775.256283526612</t>
  </si>
  <si>
    <t>-587.788463775255 278.58205285394 -248.75674904941</t>
  </si>
  <si>
    <t>-578.023974284948 274.911879720984 206.818583575465</t>
  </si>
  <si>
    <t>-610.09098506987 245.660704342872 674.772122728283</t>
  </si>
  <si>
    <t>-451.271539172127 258.620652515318 749.2834311094</t>
  </si>
  <si>
    <t>-579.46694190727 83.9803230975874 -228.033820866455</t>
  </si>
  <si>
    <t>-462.774727123812 74.748928001231 212.369848185215</t>
  </si>
  <si>
    <t>-616.15896961214 0.854557234352342 650.470500017803</t>
  </si>
  <si>
    <t>-462.591645540829 -37.3771065126177 727.274972248075</t>
  </si>
  <si>
    <t>9763-20170724T170102.300243900.bin</t>
  </si>
  <si>
    <t>-584.033710641501 178.760375325537 -238.690562531663</t>
  </si>
  <si>
    <t>-610.353042880518 165.084782219483 -356.113135388703</t>
  </si>
  <si>
    <t>-617.825345830538 153.083489617428 -476.49054662569</t>
  </si>
  <si>
    <t>-616.724227363382 142.572258016417 -585.500299095163</t>
  </si>
  <si>
    <t>-607.86401971172 132.18563568237 -694.167200503068</t>
  </si>
  <si>
    <t>-587.486868582239 117.676432998123 -844.414429180096</t>
  </si>
  <si>
    <t>-548.123445987601 106.786551134589 -937.768125688245</t>
  </si>
  <si>
    <t>-592.487823993244 155.53700123197 -780.426256319155</t>
  </si>
  <si>
    <t>-551.316591651321 296.112603503847 -767.411152758797</t>
  </si>
  <si>
    <t>-454.899920784075 320.29542058669 -466.902917600271</t>
  </si>
  <si>
    <t>-256.49129209871 235.249346512341 -321.840063614653</t>
  </si>
  <si>
    <t>-600.51843707634 92.655614712146 -775.443149096717</t>
  </si>
  <si>
    <t>-587.917389488852 276.04140369996 -248.563152810681</t>
  </si>
  <si>
    <t>-578.392197172585 273.171046482544 207.022947697915</t>
  </si>
  <si>
    <t>-610.207839811619 245.260034507684 675.055228613294</t>
  </si>
  <si>
    <t>-451.278180930464 258.395213828201 749.300336675116</t>
  </si>
  <si>
    <t>-580.07703493787 81.6918546996656 -228.121519617024</t>
  </si>
  <si>
    <t>-463.810634558824 72.8909991797436 212.403567574753</t>
  </si>
  <si>
    <t>-616.443338939235 0.856387052782338 651.045067415552</t>
  </si>
  <si>
    <t>-462.70528924571 -37.5001864123067 727.444635923846</t>
  </si>
  <si>
    <t>9763-20170724T170102.363924100.bin</t>
  </si>
  <si>
    <t>-584.1843626815 174.483910549553 -238.25479892549</t>
  </si>
  <si>
    <t>-610.537246987979 161.055383788177 -355.69835873753</t>
  </si>
  <si>
    <t>-617.993753244283 149.357500563264 -476.10657671896</t>
  </si>
  <si>
    <t>-616.857650913222 139.150270975833 -585.145010681056</t>
  </si>
  <si>
    <t>-607.941028375729 129.101697747883 -693.83887470793</t>
  </si>
  <si>
    <t>-587.462261030725 115.10203683566 -844.120664682005</t>
  </si>
  <si>
    <t>-548.002784596024 104.656767243837 -937.484783899622</t>
  </si>
  <si>
    <t>-592.639485270346 152.760617064796 -780.027566448615</t>
  </si>
  <si>
    <t>-552.414135874769 293.543050357135 -766.321627808278</t>
  </si>
  <si>
    <t>-453.76641897235 321.973241526534 -466.911153026177</t>
  </si>
  <si>
    <t>-252.063391819472 247.921784746056 -320.37014202611</t>
  </si>
  <si>
    <t>-600.407524633791 89.8321410000642 -775.223904808964</t>
  </si>
  <si>
    <t>-588.018361967653 271.66325026223 -248.060298317668</t>
  </si>
  <si>
    <t>-578.779397735402 270.108082935466 207.537968838554</t>
  </si>
  <si>
    <t>-610.44712556238 244.70666495758 675.623569327617</t>
  </si>
  <si>
    <t>-451.305528986852 257.807554270027 749.419421699049</t>
  </si>
  <si>
    <t>-580.201562838153 77.4808518526365 -227.795053256009</t>
  </si>
  <si>
    <t>-464.347122620764 69.8976735284054 212.861136777625</t>
  </si>
  <si>
    <t>-616.924502079742 0.873187777944622 651.95220149923</t>
  </si>
  <si>
    <t>-462.764958077654 -37.463271360929 727.507895387938</t>
  </si>
  <si>
    <t>9763-20170724T170102.396010400.bin</t>
  </si>
  <si>
    <t>-583.735395834188 172.82649543984 -238.011077144486</t>
  </si>
  <si>
    <t>-610.066059940482 159.257737745849 -355.443681720219</t>
  </si>
  <si>
    <t>-617.538456297141 147.479647405976 -475.843033009319</t>
  </si>
  <si>
    <t>-616.430975870396 137.227246993211 -584.877531414291</t>
  </si>
  <si>
    <t>-607.5561480993 127.162297397705 -693.573200679971</t>
  </si>
  <si>
    <t>-587.148076792888 113.171319897016 -843.86556136218</t>
  </si>
  <si>
    <t>-547.726403160094 102.828595695676 -937.257009783387</t>
  </si>
  <si>
    <t>-592.360754298834 150.833589205851 -779.777301239168</t>
  </si>
  <si>
    <t>-552.560653917649 291.728484193649 -766.168356557414</t>
  </si>
  <si>
    <t>-452.790567038709 323.668707851079 -467.484530006179</t>
  </si>
  <si>
    <t>-248.670867808432 256.795694315062 -320.838127846776</t>
  </si>
  <si>
    <t>-599.995258348852 87.8902328298575 -774.95448361055</t>
  </si>
  <si>
    <t>-587.660221167419 269.926106748692 -247.896372408776</t>
  </si>
  <si>
    <t>-578.63106354442 269.176133678239 207.708324150459</t>
  </si>
  <si>
    <t>-610.530682091606 244.772622961245 675.735246587595</t>
  </si>
  <si>
    <t>-451.361926748471 257.903355855703 749.467137661876</t>
  </si>
  <si>
    <t>-579.530715395218 75.7866877796373 -227.47143878677</t>
  </si>
  <si>
    <t>-463.827944372914 68.982277199955 213.237322784819</t>
  </si>
  <si>
    <t>-617.049141915645 0.946360622593147 652.172558329242</t>
  </si>
  <si>
    <t>-462.758941542954 -37.4110096397574 727.450400724535</t>
  </si>
  <si>
    <t>9763-20170724T170102.460712100.bin</t>
  </si>
  <si>
    <t>-582.029380202382 170.455752167499 -237.656412045552</t>
  </si>
  <si>
    <t>-608.212585256864 156.488913422 -355.075287582579</t>
  </si>
  <si>
    <t>-615.751234541242 144.34693398703 -475.43423919781</t>
  </si>
  <si>
    <t>-614.790097578301 133.78697993495 -584.440721110799</t>
  </si>
  <si>
    <t>-606.146467358732 123.439289692803 -693.128740307833</t>
  </si>
  <si>
    <t>-586.145837148441 109.084250476091 -843.441472931576</t>
  </si>
  <si>
    <t>-546.915269085658 98.8060012052097 -936.920308763158</t>
  </si>
  <si>
    <t>-591.361960546411 146.920496858419 -779.456061941065</t>
  </si>
  <si>
    <t>-552.608215196009 288.105503553227 -766.097798685627</t>
  </si>
  <si>
    <t>-449.769974864039 326.728478102451 -469.249706716315</t>
  </si>
  <si>
    <t>-243.8681559973 266.30560985716 -322.295582443185</t>
  </si>
  <si>
    <t>-598.62903284885 83.9512778166898 -774.409397924469</t>
  </si>
  <si>
    <t>-586.588473728854 267.62157906445 -247.770043896683</t>
  </si>
  <si>
    <t>-578.014506170691 267.939954606953 207.843965280285</t>
  </si>
  <si>
    <t>-610.591207068599 244.78257953022 675.87807729427</t>
  </si>
  <si>
    <t>-451.407322648564 257.974800886901 749.566253877046</t>
  </si>
  <si>
    <t>-577.250936156984 73.4364382314741 -226.966085812856</t>
  </si>
  <si>
    <t>-462.087970191807 68.071380485748 213.903929331743</t>
  </si>
  <si>
    <t>-617.111632731762 1.09435678266368 652.367397759713</t>
  </si>
  <si>
    <t>-462.679701477524 -37.3371451091334 727.316129565804</t>
  </si>
  <si>
    <t>9763-20170724T170102.493800000.bin</t>
  </si>
  <si>
    <t>-581.044473622794 169.875907681351 -237.593405379525</t>
  </si>
  <si>
    <t>-607.046156308311 155.685656803174 -355.025693343831</t>
  </si>
  <si>
    <t>-614.574610109155 143.343577348477 -475.36508804915</t>
  </si>
  <si>
    <t>-613.674090878993 132.615791148568 -584.355702363883</t>
  </si>
  <si>
    <t>-605.160082750928 122.11454358159 -693.039109005604</t>
  </si>
  <si>
    <t>-585.410089385889 107.561870362433 -843.365994198043</t>
  </si>
  <si>
    <t>-546.349539630718 97.3213805391788 -936.920206162612</t>
  </si>
  <si>
    <t>-590.640045353912 145.494498239489 -779.438778262391</t>
  </si>
  <si>
    <t>-552.294588672532 286.806348022466 -766.205332538515</t>
  </si>
  <si>
    <t>-448.422976976027 330.164745701968 -470.372772042236</t>
  </si>
  <si>
    <t>-239.685664025849 278.898499798049 -323.940049051869</t>
  </si>
  <si>
    <t>-597.657623018993 82.5075253195891 -774.263189353892</t>
  </si>
  <si>
    <t>-586.054336466867 266.990301168101 -247.774396720902</t>
  </si>
  <si>
    <t>-577.653729622519 267.660122661413 207.842405418619</t>
  </si>
  <si>
    <t>-610.606272730695 244.84116866479 675.887131200292</t>
  </si>
  <si>
    <t>-451.429919350687 258.013597616743 749.595286190572</t>
  </si>
  <si>
    <t>-575.85870670296 72.9275604416528 -226.79008225778</t>
  </si>
  <si>
    <t>-461.117050401015 67.9294500561232 214.194010093499</t>
  </si>
  <si>
    <t>-617.120880932401 1.18904598409222 652.419474505337</t>
  </si>
  <si>
    <t>-462.600718182713 -37.1679847822104 727.224339484258</t>
  </si>
  <si>
    <t>9763-20170724T170102.565530000.bin</t>
  </si>
  <si>
    <t>-579.10631351016 169.708217436359 -237.527584870211</t>
  </si>
  <si>
    <t>-604.716498359123 155.085236090486 -354.992862127314</t>
  </si>
  <si>
    <t>-612.181164610336 142.356957410979 -475.295978636984</t>
  </si>
  <si>
    <t>-611.357039380793 131.307582092322 -584.254935515839</t>
  </si>
  <si>
    <t>-603.051925258157 120.515423183839 -692.926140356728</t>
  </si>
  <si>
    <t>-583.727613445996 105.594146471788 -843.272160524513</t>
  </si>
  <si>
    <t>-545.090046708926 95.331361264052 -936.999329300638</t>
  </si>
  <si>
    <t>-589.091074591972 143.713024662561 -779.466885345831</t>
  </si>
  <si>
    <t>-551.722746148985 285.390393220549 -766.739951863044</t>
  </si>
  <si>
    <t>-447.702560642142 337.975566735336 -472.459828992303</t>
  </si>
  <si>
    <t>-236.665133219169 292.411503279941 -327.445399902193</t>
  </si>
  <si>
    <t>-595.465005029797 80.6795175179825 -774.030290405122</t>
  </si>
  <si>
    <t>-585.195124490064 266.738374041724 -247.874388481807</t>
  </si>
  <si>
    <t>-577.434767655539 267.734879319018 207.753206163779</t>
  </si>
  <si>
    <t>-610.613972520122 245.224201480814 675.778273385242</t>
  </si>
  <si>
    <t>-451.501071065954 258.329662232287 749.635173875464</t>
  </si>
  <si>
    <t>-572.947747458688 72.8510937587901 -226.534812128633</t>
  </si>
  <si>
    <t>-459.435502178711 68.4680741070244 214.773940113392</t>
  </si>
  <si>
    <t>-617.094279067528 1.45733257597408 652.382855296408</t>
  </si>
  <si>
    <t>-462.427028116519 -36.718876675845 726.975922215596</t>
  </si>
  <si>
    <t>9763-20170724T170102.593607500.bin</t>
  </si>
  <si>
    <t>-578.226690208949 170.008115066566 -237.504673852461</t>
  </si>
  <si>
    <t>-603.657988040493 155.1186203915 -354.975438201537</t>
  </si>
  <si>
    <t>-611.089736275961 142.0758908429 -475.246859190243</t>
  </si>
  <si>
    <t>-610.297209027316 130.73087073923 -584.175868550933</t>
  </si>
  <si>
    <t>-602.085320954278 119.635070137931 -692.823329895184</t>
  </si>
  <si>
    <t>-582.954165075698 104.287315148047 -843.151211991313</t>
  </si>
  <si>
    <t>-544.58062337776 93.8654925903716 -936.969370973214</t>
  </si>
  <si>
    <t>-588.415496494603 142.602590206123 -779.472058426738</t>
  </si>
  <si>
    <t>-552.124862599763 284.611623392912 -767.436555309776</t>
  </si>
  <si>
    <t>-448.639916481892 341.957131957031 -473.857637232662</t>
  </si>
  <si>
    <t>-235.536872571258 300.696546928331 -330.58607267222</t>
  </si>
  <si>
    <t>-594.422694914376 79.5539645259892 -773.799514638629</t>
  </si>
  <si>
    <t>-584.826998115064 267.055624842664 -248.029640158535</t>
  </si>
  <si>
    <t>-577.455068758285 268.199228266345 207.604026318411</t>
  </si>
  <si>
    <t>-610.619338285139 245.793774305594 675.591685282216</t>
  </si>
  <si>
    <t>-451.556533236288 258.306535959097 749.659000854869</t>
  </si>
  <si>
    <t>-571.49304106219 73.096196432386 -226.365774799624</t>
  </si>
  <si>
    <t>-458.476202921234 68.9634032946387 215.072512066835</t>
  </si>
  <si>
    <t>-617.066038167701 1.60673070760163 652.295749069197</t>
  </si>
  <si>
    <t>-462.362059912862 -36.5626015911398 726.816159875251</t>
  </si>
  <si>
    <t>9763-20170724T170102.662055800.bin</t>
  </si>
  <si>
    <t>-576.487131935916 171.124675782402 -237.667674180114</t>
  </si>
  <si>
    <t>-601.503221573532 155.58660709956 -355.143406140077</t>
  </si>
  <si>
    <t>-608.884044413977 141.698794208509 -475.323400631569</t>
  </si>
  <si>
    <t>-608.199629486377 129.522207174645 -584.163209339262</t>
  </si>
  <si>
    <t>-600.251345857114 117.532967672756 -692.735419297337</t>
  </si>
  <si>
    <t>-581.648677894419 100.883661436929 -842.991068370805</t>
  </si>
  <si>
    <t>-543.791827617104 89.9197534841617 -936.957301315248</t>
  </si>
  <si>
    <t>-587.213013288623 139.773952235282 -779.670447116361</t>
  </si>
  <si>
    <t>-553.046730334993 282.412417647282 -769.135722235835</t>
  </si>
  <si>
    <t>-450.176319388809 349.788661243068 -477.477910346281</t>
  </si>
  <si>
    <t>-235.424088923939 312.603711896797 -335.559499071974</t>
  </si>
  <si>
    <t>-592.546542918811 76.7269376837085 -773.344720877047</t>
  </si>
  <si>
    <t>-584.17420401417 268.17138553194 -248.509644079762</t>
  </si>
  <si>
    <t>-577.504647444622 269.490556027149 207.134382389609</t>
  </si>
  <si>
    <t>-610.481921811951 246.828932765806 675.095469078641</t>
  </si>
  <si>
    <t>-451.655793008051 259.129479867367 749.704256482062</t>
  </si>
  <si>
    <t>-568.689732050367 74.1622480062811 -226.178802984129</t>
  </si>
  <si>
    <t>-456.647670515361 70.1563782367341 215.509150787682</t>
  </si>
  <si>
    <t>-616.96696890953 1.69624073469936 651.978372252248</t>
  </si>
  <si>
    <t>-462.143231922983 -36.1280263471378 726.42599273132</t>
  </si>
  <si>
    <t>9763-20170724T170102.702158500.bin</t>
  </si>
  <si>
    <t>-575.696164150965 171.872660164122 -237.844428524362</t>
  </si>
  <si>
    <t>-600.46634995808 156.102344415951 -355.34153266543</t>
  </si>
  <si>
    <t>-607.79853329874 141.813533404371 -475.477271869969</t>
  </si>
  <si>
    <t>-607.155106519389 129.211330271691 -584.268970318274</t>
  </si>
  <si>
    <t>-599.334576599202 116.735358684677 -692.795754925603</t>
  </si>
  <si>
    <t>-581.000649158157 99.3485646356994 -843.000673233794</t>
  </si>
  <si>
    <t>-543.385722765888 88.0885654667804 -937.029053916775</t>
  </si>
  <si>
    <t>-586.583242018787 138.558375124354 -779.879038618131</t>
  </si>
  <si>
    <t>-553.02275063975 281.388984955996 -770.242362522478</t>
  </si>
  <si>
    <t>-451.320186495492 354.048508324142 -479.444538064661</t>
  </si>
  <si>
    <t>-235.924910606721 318.968438463452 -337.96554716931</t>
  </si>
  <si>
    <t>-591.642459650948 75.5250466720752 -773.200231404478</t>
  </si>
  <si>
    <t>-583.939514802792 269.014565101942 -248.821888864147</t>
  </si>
  <si>
    <t>-577.821143482757 270.291235851981 206.830033508627</t>
  </si>
  <si>
    <t>-610.467504570889 247.499611021177 674.808579844123</t>
  </si>
  <si>
    <t>-451.733830333127 259.33947286171 749.688172617631</t>
  </si>
  <si>
    <t>-567.384455252435 74.8957738537072 -226.214645541377</t>
  </si>
  <si>
    <t>-455.900483893085 70.8538441475339 215.614099118901</t>
  </si>
  <si>
    <t>-616.921804809038 1.86976358106904 651.784628136165</t>
  </si>
  <si>
    <t>-462.065364497998 -35.8734794062302 726.205378940415</t>
  </si>
  <si>
    <t>9763-20170724T170102.765339800.bin</t>
  </si>
  <si>
    <t>-574.722261037748 173.556525118159 -238.130756103265</t>
  </si>
  <si>
    <t>-599.013169926187 157.342905049371 -355.667446240642</t>
  </si>
  <si>
    <t>-606.200587593916 142.439803610329 -475.73741094269</t>
  </si>
  <si>
    <t>-605.567948094276 129.219465359 -584.455850726927</t>
  </si>
  <si>
    <t>-597.901847546486 116.063719671568 -692.91323811452</t>
  </si>
  <si>
    <t>-579.932627533663 97.6703047138392 -843.04247392089</t>
  </si>
  <si>
    <t>-542.703921509982 85.8656373986162 -937.157568852972</t>
  </si>
  <si>
    <t>-585.615904801342 137.318043359634 -780.203896991624</t>
  </si>
  <si>
    <t>-553.157364152434 280.543948871134 -772.180236459885</t>
  </si>
  <si>
    <t>-455.12572984688 360.484058121697 -482.032640534478</t>
  </si>
  <si>
    <t>-239.19826979112 328.296469406144 -340.677190222813</t>
  </si>
  <si>
    <t>-590.150941417221 74.2997596401985 -773.025847304044</t>
  </si>
  <si>
    <t>-583.981779789611 270.65623201978 -249.297042011975</t>
  </si>
  <si>
    <t>-578.672338022206 271.682004899402 206.365507098971</t>
  </si>
  <si>
    <t>-610.424053889535 248.189190059806 674.467928799744</t>
  </si>
  <si>
    <t>-451.809996717878 259.695023300734 749.652338268502</t>
  </si>
  <si>
    <t>-565.423908225813 76.4903834579695 -226.300148332431</t>
  </si>
  <si>
    <t>-454.769339347547 72.3126967081603 215.735855254346</t>
  </si>
  <si>
    <t>-616.847284600213 2.08648592673876 651.371458640749</t>
  </si>
  <si>
    <t>-461.928261276012 -35.4957886403993 725.743356366764</t>
  </si>
  <si>
    <t>9763-20170724T170102.795417600.bin</t>
  </si>
  <si>
    <t>-574.511702299897 174.31191037149 -238.251427837381</t>
  </si>
  <si>
    <t>-598.662185618666 157.892652328137 -355.788432349694</t>
  </si>
  <si>
    <t>-605.801848135466 142.7433529827 -475.830474537474</t>
  </si>
  <si>
    <t>-605.165333065573 129.289747851013 -584.520140764498</t>
  </si>
  <si>
    <t>-597.534961107835 115.892753183375 -692.950474758003</t>
  </si>
  <si>
    <t>-579.656488398113 97.1585130690664 -843.048548168334</t>
  </si>
  <si>
    <t>-542.582239183386 85.1243051413821 -937.195527990911</t>
  </si>
  <si>
    <t>-585.44983036754 136.956799366121 -780.315365027173</t>
  </si>
  <si>
    <t>-553.902646867034 280.361923799597 -772.907884892665</t>
  </si>
  <si>
    <t>-458.049972434833 362.987246043624 -482.784646492712</t>
  </si>
  <si>
    <t>-241.125048992398 332.693535424352 -342.542225833445</t>
  </si>
  <si>
    <t>-589.684526776597 73.9386974303529 -772.954279452682</t>
  </si>
  <si>
    <t>-584.195738949059 271.326049486226 -249.481491795827</t>
  </si>
  <si>
    <t>-579.084483141848 272.235546210722 206.183734473884</t>
  </si>
  <si>
    <t>-610.414711723124 248.419083282375 674.335929749951</t>
  </si>
  <si>
    <t>-451.838979846413 259.872526430679 749.609221073571</t>
  </si>
  <si>
    <t>-564.791747090903 77.2936888369636 -226.299206840657</t>
  </si>
  <si>
    <t>-454.407444029244 72.9939595986286 215.803101720914</t>
  </si>
  <si>
    <t>-616.822672214014 2.21858889869122 651.189905564717</t>
  </si>
  <si>
    <t>-461.898954420654 -35.3895885659101 725.538931181687</t>
  </si>
  <si>
    <t>9763-20170724T170102.862449400.bin</t>
  </si>
  <si>
    <t>-574.612665165498 175.469260423924 -238.269005814296</t>
  </si>
  <si>
    <t>-598.723116689453 158.643695716162 -355.756865059547</t>
  </si>
  <si>
    <t>-605.857923407402 143.018130294518 -475.73808902739</t>
  </si>
  <si>
    <t>-605.23305877103 129.115235061882 -584.371295149428</t>
  </si>
  <si>
    <t>-597.630879391624 115.254006487902 -692.745325833596</t>
  </si>
  <si>
    <t>-579.809209399147 95.8627803091802 -842.766606799892</t>
  </si>
  <si>
    <t>-542.996183023336 83.3865938998915 -936.958425193808</t>
  </si>
  <si>
    <t>-585.903200940388 135.950655416438 -780.246492732856</t>
  </si>
  <si>
    <t>-555.616056647515 279.715845502832 -773.474792627536</t>
  </si>
  <si>
    <t>-462.432510721716 366.10768050348 -483.57920463883</t>
  </si>
  <si>
    <t>-244.295181073238 338.407718158363 -344.687615763743</t>
  </si>
  <si>
    <t>-589.486259520099 72.9350330874556 -772.526910134589</t>
  </si>
  <si>
    <t>-585.207579491888 272.331531341258 -249.574535594674</t>
  </si>
  <si>
    <t>-579.701501931406 272.852715262239 206.0865574683</t>
  </si>
  <si>
    <t>-610.495534240328 248.12117886631 674.446520396069</t>
  </si>
  <si>
    <t>-451.841944731309 259.910554604506 749.50365270574</t>
  </si>
  <si>
    <t>-563.973084802174 78.5875221862241 -226.231291310358</t>
  </si>
  <si>
    <t>-453.892436150917 73.9133655618928 215.942939641999</t>
  </si>
  <si>
    <t>-616.775244832987 2.26389952565296 650.952325287324</t>
  </si>
  <si>
    <t>-461.78656016362 -35.124467976058 725.276769755163</t>
  </si>
  <si>
    <t>9763-20170724T170102.896540100.bin</t>
  </si>
  <si>
    <t>-574.96293790351 175.398265659699 -238.165046854477</t>
  </si>
  <si>
    <t>-599.167499042399 158.401786420088 -355.608974199935</t>
  </si>
  <si>
    <t>-606.299956353932 142.633890009309 -475.57165518478</t>
  </si>
  <si>
    <t>-605.632607981286 128.612049809859 -584.189391251581</t>
  </si>
  <si>
    <t>-597.947529717798 114.63910410012 -692.543187112962</t>
  </si>
  <si>
    <t>-579.968740817996 95.0986221842804 -842.526239121366</t>
  </si>
  <si>
    <t>-543.13968842281 82.5108686495437 -936.697200187191</t>
  </si>
  <si>
    <t>-586.266073913004 135.254024805712 -780.069822828055</t>
  </si>
  <si>
    <t>-556.262113436437 279.048122915664 -773.395597438797</t>
  </si>
  <si>
    <t>-463.042733035367 364.77850539513 -483.315282269595</t>
  </si>
  <si>
    <t>-245.085671728257 337.981484329616 -343.964274633001</t>
  </si>
  <si>
    <t>-589.581532026468 72.2353319958418 -772.257005903666</t>
  </si>
  <si>
    <t>-586.118238139172 271.915117580178 -249.363939347141</t>
  </si>
  <si>
    <t>-579.901820016898 272.330305629954 206.288237995625</t>
  </si>
  <si>
    <t>-610.505697988916 247.028620866829 674.767644979027</t>
  </si>
  <si>
    <t>-451.735344930902 259.813615167493 749.413684373578</t>
  </si>
  <si>
    <t>-563.764369075126 78.7769130565907 -226.182117224481</t>
  </si>
  <si>
    <t>-453.812191475518 74.0638550056974 216.023760353001</t>
  </si>
  <si>
    <t>-616.596142077819 2.31125269367544 650.813764796475</t>
  </si>
  <si>
    <t>-461.668754868169 -34.7099290177418 725.449230164939</t>
  </si>
  <si>
    <t>9763-20170724T170102.963727700.bin</t>
  </si>
  <si>
    <t>-576.021977598867 175.197570083563 -237.953493422251</t>
  </si>
  <si>
    <t>-600.27481765862 157.967570708976 -355.353317602765</t>
  </si>
  <si>
    <t>-607.411917987678 142.141537543474 -475.308185863558</t>
  </si>
  <si>
    <t>-606.726391171803 128.128953771341 -583.926905281179</t>
  </si>
  <si>
    <t>-598.998554880995 114.220159578388 -692.285960554872</t>
  </si>
  <si>
    <t>-580.933610730358 94.8193030526538 -842.276775597721</t>
  </si>
  <si>
    <t>-544.056847864357 82.276691725298 -936.435110980451</t>
  </si>
  <si>
    <t>-587.48564243175 134.923995153942 -779.814009164214</t>
  </si>
  <si>
    <t>-558.035434282929 278.849097620167 -773.048124445422</t>
  </si>
  <si>
    <t>-460.677059026465 359.022338627675 -482.738398492107</t>
  </si>
  <si>
    <t>-242.426318177884 335.219246637139 -343.303597333178</t>
  </si>
  <si>
    <t>-590.367962225039 71.8830857688349 -772.006987767052</t>
  </si>
  <si>
    <t>-588.264657664102 271.118852187979 -248.951461978691</t>
  </si>
  <si>
    <t>-580.289017805637 271.266575830987 206.673447225649</t>
  </si>
  <si>
    <t>-610.47760731142 245.561295862499 675.137917160048</t>
  </si>
  <si>
    <t>-451.546991277933 259.921311523013 749.153798077165</t>
  </si>
  <si>
    <t>-563.669553480418 79.384319611122 -226.241189138261</t>
  </si>
  <si>
    <t>-454.25863372615 74.6268803096045 216.09837434224</t>
  </si>
  <si>
    <t>-616.209292889083 2.31018889109077 650.852017017741</t>
  </si>
  <si>
    <t>-461.558333643774 -34.1601920862863 726.327188106888</t>
  </si>
  <si>
    <t>9763-20170724T170102.998822300.bin</t>
  </si>
  <si>
    <t>-576.573926133119 175.449492581696 -237.80192570342</t>
  </si>
  <si>
    <t>-600.733091790419 158.136933298254 -355.20899450701</t>
  </si>
  <si>
    <t>-607.845742238035 142.331998662097 -475.168042335541</t>
  </si>
  <si>
    <t>-607.164001063301 128.377232955446 -583.794272179087</t>
  </si>
  <si>
    <t>-599.464535173788 114.561482963408 -692.167192194187</t>
  </si>
  <si>
    <t>-581.463225488579 95.3246311632849 -842.186911625486</t>
  </si>
  <si>
    <t>-544.584738478443 82.8575168663797 -936.35448117265</t>
  </si>
  <si>
    <t>-588.071243345934 135.363308939039 -779.68758842875</t>
  </si>
  <si>
    <t>-558.8314458405 279.306828864517 -772.806792906959</t>
  </si>
  <si>
    <t>-458.667456373073 355.957126635023 -482.499813484098</t>
  </si>
  <si>
    <t>-240.234469856704 333.04994118022 -343.200404371364</t>
  </si>
  <si>
    <t>-590.785265387225 72.3093201948902 -771.927914432457</t>
  </si>
  <si>
    <t>-589.267817796612 271.248318892274 -248.798121573539</t>
  </si>
  <si>
    <t>-580.776259308018 271.247140642897 206.817526787647</t>
  </si>
  <si>
    <t>-610.515202345203 245.297767956237 675.262095129265</t>
  </si>
  <si>
    <t>-451.506271462753 259.83134792337 749.075722588519</t>
  </si>
  <si>
    <t>-563.756929489511 79.8514287257678 -226.154909860126</t>
  </si>
  <si>
    <t>-454.728744564854 74.9179139296748 216.277161674805</t>
  </si>
  <si>
    <t>-616.214405568168 2.26600418273074 651.191028854835</t>
  </si>
  <si>
    <t>-461.494492128288 -33.9225485982111 726.660568264117</t>
  </si>
  <si>
    <t>9763-20170724T170103.062634700.bin</t>
  </si>
  <si>
    <t>-577.627540900129 176.061934691518 -237.522075338096</t>
  </si>
  <si>
    <t>-601.626304721076 158.642946193811 -354.946262731338</t>
  </si>
  <si>
    <t>-608.703624994866 142.872993726439 -474.912041959632</t>
  </si>
  <si>
    <t>-608.037911158184 129.004905962374 -583.549480079581</t>
  </si>
  <si>
    <t>-600.400370306795 115.328333908081 -691.944526899001</t>
  </si>
  <si>
    <t>-582.530782157431 96.3379562361142 -842.01135638395</t>
  </si>
  <si>
    <t>-545.639254403341 84.0450613011028 -936.196585888754</t>
  </si>
  <si>
    <t>-589.188772775629 136.276756816327 -779.453478176753</t>
  </si>
  <si>
    <t>-560.02716269169 280.232156534542 -772.449892163089</t>
  </si>
  <si>
    <t>-453.673440143049 349.743478964745 -482.547797261186</t>
  </si>
  <si>
    <t>-234.513890711412 328.980421369683 -344.05566264737</t>
  </si>
  <si>
    <t>-591.68624368078 73.204500129523 -771.769346502027</t>
  </si>
  <si>
    <t>-590.854246343722 271.902306779322 -248.62816363777</t>
  </si>
  <si>
    <t>-582.290172471006 271.676347940454 206.985917543278</t>
  </si>
  <si>
    <t>-610.625845104108 245.460249107916 675.357143315686</t>
  </si>
  <si>
    <t>-451.540304365213 260.054537086016 748.99350784518</t>
  </si>
  <si>
    <t>-564.398789988537 80.2646148929891 -225.768266468954</t>
  </si>
  <si>
    <t>-455.148208392761 75.3891175517201 216.60959388406</t>
  </si>
  <si>
    <t>-616.151580538173 2.11290759499047 651.59663938322</t>
  </si>
  <si>
    <t>-461.438211851937 -33.8851290444134 727.170608521324</t>
  </si>
  <si>
    <t>9763-20170724T170103.100736400.bin</t>
  </si>
  <si>
    <t>-578.098697062912 176.366484756914 -237.405099659083</t>
  </si>
  <si>
    <t>-602.031511827679 158.874791667608 -354.831954766621</t>
  </si>
  <si>
    <t>-609.066702553239 143.149291804985 -474.806033806328</t>
  </si>
  <si>
    <t>-608.370169497879 129.366345088712 -583.45408035761</t>
  </si>
  <si>
    <t>-600.707396123523 115.818909861771 -691.863546777201</t>
  </si>
  <si>
    <t>-582.807323064927 97.0519349818089 -841.95473368452</t>
  </si>
  <si>
    <t>-545.868699850526 84.8969511258786 -936.139599564039</t>
  </si>
  <si>
    <t>-589.492594509684 136.8978028306 -779.340729082872</t>
  </si>
  <si>
    <t>-559.98284787103 280.766607507059 -772.200209912989</t>
  </si>
  <si>
    <t>-450.464739580747 347.062802733146 -482.723377113714</t>
  </si>
  <si>
    <t>-231.826738572972 326.060505281683 -343.445378406987</t>
  </si>
  <si>
    <t>-591.96258679145 73.8134529791992 -771.747432053816</t>
  </si>
  <si>
    <t>-591.486706777307 272.256257251626 -248.594422542232</t>
  </si>
  <si>
    <t>-582.996930055324 271.920627217485 207.020961193483</t>
  </si>
  <si>
    <t>-610.675381350799 245.568023656659 675.414011999669</t>
  </si>
  <si>
    <t>-451.565242154619 260.146954247506 749.000269173549</t>
  </si>
  <si>
    <t>-564.609531055821 80.5645295270406 -225.587945931524</t>
  </si>
  <si>
    <t>-455.153492307275 75.4406465945424 216.736322071786</t>
  </si>
  <si>
    <t>-616.1450210418 1.9620555024967 651.763739200209</t>
  </si>
  <si>
    <t>-461.416522950791 -33.9398035375248 727.352502222197</t>
  </si>
  <si>
    <t>9763-20170724T170103.164925400.bin</t>
  </si>
  <si>
    <t>-578.869209211633 176.839912803 -237.332797057926</t>
  </si>
  <si>
    <t>-602.773560541442 159.286349439922 -354.756204010758</t>
  </si>
  <si>
    <t>-609.798031625675 143.755698069597 -474.75642946209</t>
  </si>
  <si>
    <t>-609.092319823598 130.242917965519 -583.438149778219</t>
  </si>
  <si>
    <t>-601.417388713166 117.053459982059 -691.890868576648</t>
  </si>
  <si>
    <t>-583.494393305639 98.8699737393772 -842.051226945631</t>
  </si>
  <si>
    <t>-546.479686739339 87.0072060085115 -936.243441382956</t>
  </si>
  <si>
    <t>-590.109535278495 138.470214412967 -779.274107946848</t>
  </si>
  <si>
    <t>-559.327475748776 282.055122914304 -771.476027397335</t>
  </si>
  <si>
    <t>-443.199977593479 341.973083954359 -483.187262290013</t>
  </si>
  <si>
    <t>-225.262448993483 319.266093507858 -343.081250318504</t>
  </si>
  <si>
    <t>-592.740016900736 75.3609147876145 -771.945958297509</t>
  </si>
  <si>
    <t>-592.382732831088 272.796275807356 -248.580083831397</t>
  </si>
  <si>
    <t>-583.672021657824 272.210797712739 207.030991263814</t>
  </si>
  <si>
    <t>-610.702414836014 245.716874403906 675.445854291632</t>
  </si>
  <si>
    <t>-451.567688281543 260.103962140507 749.016650097179</t>
  </si>
  <si>
    <t>-565.253352028337 80.9147988669627 -225.471856629555</t>
  </si>
  <si>
    <t>-455.443073828003 75.6041651275482 216.762486629754</t>
  </si>
  <si>
    <t>-615.984912486233 1.84885813310552 651.828245099184</t>
  </si>
  <si>
    <t>-461.381875651897 -33.8298172761258 727.778481869395</t>
  </si>
  <si>
    <t>9763-20170724T170103.195001500.bin</t>
  </si>
  <si>
    <t>-579.160083134772 176.952165867392 -237.397216068574</t>
  </si>
  <si>
    <t>-603.063604008447 159.449175210947 -354.828484413496</t>
  </si>
  <si>
    <t>-610.118671654953 144.064426247849 -474.84537555912</t>
  </si>
  <si>
    <t>-609.45023694321 130.714342327275 -583.547725724382</t>
  </si>
  <si>
    <t>-601.820899020005 117.713274554789 -692.02629828115</t>
  </si>
  <si>
    <t>-583.968690082494 99.8142967070382 -842.229371375633</t>
  </si>
  <si>
    <t>-546.964862656965 88.0885229756198 -936.44287716834</t>
  </si>
  <si>
    <t>-590.437243302023 139.292093037402 -779.359817197657</t>
  </si>
  <si>
    <t>-558.997078639731 282.714073436873 -771.281777742099</t>
  </si>
  <si>
    <t>-439.577487059572 338.880454163986 -483.583138402431</t>
  </si>
  <si>
    <t>-222.324798770961 314.482987811846 -342.699978554838</t>
  </si>
  <si>
    <t>-593.298227378143 76.1760532173892 -772.178496569039</t>
  </si>
  <si>
    <t>-592.651868261822 272.896891490463 -248.575212902944</t>
  </si>
  <si>
    <t>-583.782473474696 272.168293994006 207.032589442237</t>
  </si>
  <si>
    <t>-610.66666003195 245.547520677055 675.489318645585</t>
  </si>
  <si>
    <t>-451.524788546435 260.098916372917 749.012391540721</t>
  </si>
  <si>
    <t>-565.559181075071 81.0787194795262 -225.602992215759</t>
  </si>
  <si>
    <t>-455.655079988067 75.6064243230753 216.605994564284</t>
  </si>
  <si>
    <t>-615.787464184915 1.7002385364035 651.751497203933</t>
  </si>
  <si>
    <t>-461.355199948619 -33.6848331696394 728.184993427608</t>
  </si>
  <si>
    <t>9763-20170724T170103.263197600.bin</t>
  </si>
  <si>
    <t>-579.554729687873 176.865638426869 -237.421389234492</t>
  </si>
  <si>
    <t>-603.575983275195 159.457031671365 -354.842539507032</t>
  </si>
  <si>
    <t>-610.773871776393 144.314174797282 -474.881971322609</t>
  </si>
  <si>
    <t>-610.239278993811 131.229379869409 -583.617155022994</t>
  </si>
  <si>
    <t>-602.745835316715 118.53390183048 -692.141446985392</t>
  </si>
  <si>
    <t>-585.082843446921 101.09488614595 -842.42097957898</t>
  </si>
  <si>
    <t>-548.193745025423 89.494600689233 -936.694997024482</t>
  </si>
  <si>
    <t>-591.182830003134 140.369453632362 -779.387556059784</t>
  </si>
  <si>
    <t>-558.006267379458 283.397031339561 -770.866461805639</t>
  </si>
  <si>
    <t>-433.276298158873 332.140896335571 -484.069112128075</t>
  </si>
  <si>
    <t>-215.639572495474 307.319750065029 -343.85430494717</t>
  </si>
  <si>
    <t>-594.613514179455 77.2527777468144 -772.466352386401</t>
  </si>
  <si>
    <t>-592.707645848446 273.002573604581 -248.582075068448</t>
  </si>
  <si>
    <t>-583.862476738373 272.12012505491 207.025931103744</t>
  </si>
  <si>
    <t>-610.649667349875 245.578646526603 675.469683672619</t>
  </si>
  <si>
    <t>-451.498877764114 259.972353826265 749.004444333899</t>
  </si>
  <si>
    <t>-566.274155044411 80.6720861482022 -225.628684291826</t>
  </si>
  <si>
    <t>-455.833261758382 75.3865298523224 216.448856605435</t>
  </si>
  <si>
    <t>-615.549696896594 1.33146227771954 651.870951753998</t>
  </si>
  <si>
    <t>-461.378302766687 -33.8781733567716 728.909686495538</t>
  </si>
  <si>
    <t>9763-20170724T170103.296280100.bin</t>
  </si>
  <si>
    <t>-579.652377214271 176.88402677605 -237.369736896263</t>
  </si>
  <si>
    <t>-603.790890316578 159.554162727863 -354.778509987157</t>
  </si>
  <si>
    <t>-611.092811414445 144.467817798754 -474.818740756195</t>
  </si>
  <si>
    <t>-610.646430079678 131.421578642196 -583.558992049789</t>
  </si>
  <si>
    <t>-603.235487096044 118.750663719683 -692.091874996505</t>
  </si>
  <si>
    <t>-585.681384344682 101.329875209015 -842.386008330334</t>
  </si>
  <si>
    <t>-548.871749148001 89.7352819628445 -936.691965361236</t>
  </si>
  <si>
    <t>-591.580768984137 140.590185425843 -779.32466901985</t>
  </si>
  <si>
    <t>-557.612336805037 283.400693031005 -770.751048439925</t>
  </si>
  <si>
    <t>-430.620521413012 329.802744237753 -484.558612923435</t>
  </si>
  <si>
    <t>-213.254050980307 304.850113736758 -343.948358964035</t>
  </si>
  <si>
    <t>-595.316258288881 77.48605473318 -772.446391941062</t>
  </si>
  <si>
    <t>-592.493886840114 273.153887805449 -248.560615881864</t>
  </si>
  <si>
    <t>-583.843384983861 272.144201803877 207.050761901417</t>
  </si>
  <si>
    <t>-610.643651298095 245.584547940189 675.494613253917</t>
  </si>
  <si>
    <t>-451.485449093326 259.923559166584 749.024075731554</t>
  </si>
  <si>
    <t>-566.716696611254 80.7233458290023 -225.516360684054</t>
  </si>
  <si>
    <t>-455.835084053732 75.2611916611011 216.448742261932</t>
  </si>
  <si>
    <t>-615.513988187623 1.41425450800557 651.957547104665</t>
  </si>
  <si>
    <t>-461.497105541451 -34.1821894910884 729.127524168523</t>
  </si>
  <si>
    <t>9763-20170724T170103.365469600.bin</t>
  </si>
  <si>
    <t>-579.889137319792 176.917023247234 -237.17484353029</t>
  </si>
  <si>
    <t>-604.155891474447 159.700031020695 -354.573704873487</t>
  </si>
  <si>
    <t>-611.697159212959 144.684550817433 -474.608035328983</t>
  </si>
  <si>
    <t>-611.511781420489 131.681439259061 -583.354148003926</t>
  </si>
  <si>
    <t>-604.406020078959 119.032470748569 -691.910014002186</t>
  </si>
  <si>
    <t>-587.321754582293 101.618533822047 -842.259251117125</t>
  </si>
  <si>
    <t>-550.724587721075 90.0380386083091 -936.649519648815</t>
  </si>
  <si>
    <t>-592.680835890233 140.858272442157 -779.13687139262</t>
  </si>
  <si>
    <t>-556.691913949718 283.187720487389 -770.505058456818</t>
  </si>
  <si>
    <t>-426.526707412159 325.452507805703 -485.098481894698</t>
  </si>
  <si>
    <t>-210.279340692794 299.50672850304 -342.950885224152</t>
  </si>
  <si>
    <t>-597.081200247064 77.7889963271984 -772.33188065644</t>
  </si>
  <si>
    <t>-591.801257422253 273.37406554832 -248.472166094935</t>
  </si>
  <si>
    <t>-583.567223080345 272.237700990267 207.146715562126</t>
  </si>
  <si>
    <t>-610.652576848781 245.618280859014 675.538117402333</t>
  </si>
  <si>
    <t>-451.45968674633 259.453938890942 749.08895334134</t>
  </si>
  <si>
    <t>-567.940466618375 80.5007496409069 -225.161673626265</t>
  </si>
  <si>
    <t>-455.646434594758 74.6550885458134 216.44173514192</t>
  </si>
  <si>
    <t>-615.507385452556 1.38044567582097 652.101185328726</t>
  </si>
  <si>
    <t>-461.667669172764 -34.486674644352 729.498854580065</t>
  </si>
  <si>
    <t>9763-20170724T170103.396551700.bin</t>
  </si>
  <si>
    <t>-579.850716979539 176.920184234605 -237.060191097873</t>
  </si>
  <si>
    <t>-604.166022571019 159.820550989125 -354.466207801914</t>
  </si>
  <si>
    <t>-611.818287600949 144.819741608274 -474.495307347893</t>
  </si>
  <si>
    <t>-611.760474801679 131.784001105391 -583.237754396416</t>
  </si>
  <si>
    <t>-604.810545498957 119.055585170959 -691.794299706713</t>
  </si>
  <si>
    <t>-587.973257300121 101.480812364529 -842.152606529392</t>
  </si>
  <si>
    <t>-551.503662417326 89.8344706991945 -936.584338393729</t>
  </si>
  <si>
    <t>-593.03808816621 140.776644319 -779.04090055725</t>
  </si>
  <si>
    <t>-556.043107496301 282.825827412135 -770.423471268829</t>
  </si>
  <si>
    <t>-424.555208229034 323.40914865856 -485.379322281734</t>
  </si>
  <si>
    <t>-209.580074907029 295.387185716571 -341.704256675473</t>
  </si>
  <si>
    <t>-597.808408602344 77.7374877120301 -772.206612560237</t>
  </si>
  <si>
    <t>-591.354564677579 273.532537287551 -248.379725349485</t>
  </si>
  <si>
    <t>-583.299146480357 272.221134804391 207.241973247105</t>
  </si>
  <si>
    <t>-610.634360075027 245.539049472191 675.588524265589</t>
  </si>
  <si>
    <t>-451.440490827567 259.388592509108 749.134546505752</t>
  </si>
  <si>
    <t>-568.27534276814 80.4301314612389 -225.059239303925</t>
  </si>
  <si>
    <t>-455.546894645571 74.2886417815462 216.429425384551</t>
  </si>
  <si>
    <t>-615.528563341705 1.3566064210886 652.163063342339</t>
  </si>
  <si>
    <t>-461.760611207347 -34.7227122403835 729.604731153467</t>
  </si>
  <si>
    <t>9763-20170724T170103.461570100.bin</t>
  </si>
  <si>
    <t>-579.579936938705 177.194088473754 -236.767770913234</t>
  </si>
  <si>
    <t>-603.924853808406 160.26977949088 -354.192977619021</t>
  </si>
  <si>
    <t>-611.825583809239 145.40321873105 -474.222659364918</t>
  </si>
  <si>
    <t>-612.080478842568 132.46186644351 -582.976155017953</t>
  </si>
  <si>
    <t>-605.531085493688 119.795283908013 -691.564810222108</t>
  </si>
  <si>
    <t>-589.341248108939 102.268162897141 -842.000012627259</t>
  </si>
  <si>
    <t>-553.227911004998 90.5506671969426 -936.55953344171</t>
  </si>
  <si>
    <t>-593.759828044703 141.518330605352 -778.811173303877</t>
  </si>
  <si>
    <t>-554.651783289107 283.00144635518 -770.071099926044</t>
  </si>
  <si>
    <t>-420.814848972922 319.165559849607 -485.52579533296</t>
  </si>
  <si>
    <t>-206.550261639657 289.755915614993 -341.068957029433</t>
  </si>
  <si>
    <t>-599.249662236531 78.5284555951637 -772.063032009877</t>
  </si>
  <si>
    <t>-590.398005725584 273.886633340797 -248.116341258046</t>
  </si>
  <si>
    <t>-582.702926024744 272.264904472711 207.510557018111</t>
  </si>
  <si>
    <t>-610.626797119586 245.285541417292 675.748656583164</t>
  </si>
  <si>
    <t>-451.404964125378 259.113505829867 749.238086240001</t>
  </si>
  <si>
    <t>-568.673231574303 80.6643716372771 -224.733444479709</t>
  </si>
  <si>
    <t>-455.089946763617 74.0023547984149 216.528455534379</t>
  </si>
  <si>
    <t>-615.50473266723 1.37948511687614 652.131722463508</t>
  </si>
  <si>
    <t>-461.946075306641 -35.1412254008612 729.781451512773</t>
  </si>
  <si>
    <t>9763-20170724T170103.498680900.bin</t>
  </si>
  <si>
    <t>-579.267720717156 177.421627675507 -236.666452618284</t>
  </si>
  <si>
    <t>-603.562842512342 160.541136779944 -354.108397635648</t>
  </si>
  <si>
    <t>-611.542389531876 145.751618990692 -474.142337717107</t>
  </si>
  <si>
    <t>-611.919496380971 132.88902120248 -582.904726224096</t>
  </si>
  <si>
    <t>-605.542271507644 120.308668004295 -691.513784534002</t>
  </si>
  <si>
    <t>-589.642739302676 102.907092318141 -841.994323512225</t>
  </si>
  <si>
    <t>-553.725576645121 91.1532850697129 -936.624054639796</t>
  </si>
  <si>
    <t>-593.773699737287 142.091634797825 -778.745388640233</t>
  </si>
  <si>
    <t>-553.807658869245 283.309403257642 -769.850800111612</t>
  </si>
  <si>
    <t>-418.608386748571 316.909808989171 -485.635430628105</t>
  </si>
  <si>
    <t>-204.659926916425 286.650979832161 -340.885714432725</t>
  </si>
  <si>
    <t>-599.581892395365 79.1218599273734 -772.077272221168</t>
  </si>
  <si>
    <t>-589.863919260809 274.137731394321 -248.013698471192</t>
  </si>
  <si>
    <t>-582.465377612904 272.313064224139 207.617336174903</t>
  </si>
  <si>
    <t>-610.620865987231 245.153863159321 675.822536599913</t>
  </si>
  <si>
    <t>-451.382491142502 258.970019970079 749.278294309586</t>
  </si>
  <si>
    <t>-568.520978708735 80.8296383301486 -224.61976266957</t>
  </si>
  <si>
    <t>-454.877157706213 73.9562144730423 216.623373634685</t>
  </si>
  <si>
    <t>-615.4940641709 1.23464776382116 652.118238296145</t>
  </si>
  <si>
    <t>-461.920403422408 -35.1380523417115 729.807826500943</t>
  </si>
  <si>
    <t>9763-20170724T170103.562849800.bin</t>
  </si>
  <si>
    <t>-578.545507737066 177.915277673128 -236.445693007101</t>
  </si>
  <si>
    <t>-602.794014562988 161.102841884863 -353.9069339741</t>
  </si>
  <si>
    <t>-611.02285730857 146.465247859814 -473.942713984176</t>
  </si>
  <si>
    <t>-611.742162096599 133.768206274848 -582.722844882622</t>
  </si>
  <si>
    <t>-605.821214343792 121.379897289533 -691.379661461806</t>
  </si>
  <si>
    <t>-590.671925747346 104.27021157145 -841.971111500179</t>
  </si>
  <si>
    <t>-555.26288944917 92.4931907130654 -936.789251259059</t>
  </si>
  <si>
    <t>-594.204397484134 143.308041861491 -778.595456151889</t>
  </si>
  <si>
    <t>-552.696594444157 284.095133862928 -769.355324223076</t>
  </si>
  <si>
    <t>-414.760382595033 312.585844645994 -485.897942298341</t>
  </si>
  <si>
    <t>-201.274560036976 281.330928508484 -340.677299507041</t>
  </si>
  <si>
    <t>-600.545638018406 80.3733814382208 -772.082823823551</t>
  </si>
  <si>
    <t>-588.810582739114 274.717699811566 -247.848157954159</t>
  </si>
  <si>
    <t>-581.91321685534 272.485221180881 207.788901798933</t>
  </si>
  <si>
    <t>-610.56925688847 244.815806502997 675.941751532084</t>
  </si>
  <si>
    <t>-451.300299759413 258.629367825328 749.331675423254</t>
  </si>
  <si>
    <t>-568.208185152325 81.1956483969011 -224.373639181569</t>
  </si>
  <si>
    <t>-454.316079275443 74.1578561807319 216.802888180494</t>
  </si>
  <si>
    <t>-615.479833800577 1.35171925728423 652.069492777829</t>
  </si>
  <si>
    <t>-461.970445610922 -35.3360647234013 729.737938885145</t>
  </si>
  <si>
    <t>9763-20170724T170103.631670000.bin</t>
  </si>
  <si>
    <t>-577.72654887395 178.743240438563 -236.283209542133</t>
  </si>
  <si>
    <t>-601.939111904667 161.999350683249 -353.761613939275</t>
  </si>
  <si>
    <t>-610.311361987343 147.406530566356 -473.792987246829</t>
  </si>
  <si>
    <t>-611.232616998971 134.733013033198 -582.57433319101</t>
  </si>
  <si>
    <t>-605.585741513426 122.347287780126 -691.246194493542</t>
  </si>
  <si>
    <t>-590.892181611717 105.215885612064 -841.880203595298</t>
  </si>
  <si>
    <t>-555.936998805663 93.3845671735987 -936.859910100296</t>
  </si>
  <si>
    <t>-593.97064737145 144.238334842206 -778.471286572913</t>
  </si>
  <si>
    <t>-551.072758958655 284.57970712731 -769.253329663274</t>
  </si>
  <si>
    <t>-410.841078377075 309.552751479519 -486.591669329789</t>
  </si>
  <si>
    <t>-198.104171091323 277.48250225803 -340.452946572774</t>
  </si>
  <si>
    <t>-600.816626620001 81.3536528209486 -771.98732235377</t>
  </si>
  <si>
    <t>-587.629993015478 275.552401490426 -247.712465022058</t>
  </si>
  <si>
    <t>-581.238763191031 272.90141400386 207.929710317303</t>
  </si>
  <si>
    <t>-610.515016950296 244.680018608788 675.986079631977</t>
  </si>
  <si>
    <t>-451.262148356748 258.582417604963 749.394203684199</t>
  </si>
  <si>
    <t>-567.749707032759 82.1006584370814 -224.178142458516</t>
  </si>
  <si>
    <t>-453.709620037411 74.3055749548328 216.947372846463</t>
  </si>
  <si>
    <t>-615.545613723069 1.55281192453435 652.062819652258</t>
  </si>
  <si>
    <t>-462.108740383736 -35.6201007161358 729.643819945408</t>
  </si>
  <si>
    <t>9763-20170724T170103.660750400.bin</t>
  </si>
  <si>
    <t>-577.32065155154 179.218627136067 -236.240148755178</t>
  </si>
  <si>
    <t>-601.519171491258 162.534458905523 -353.729970826679</t>
  </si>
  <si>
    <t>-609.982797001714 147.972463461095 -473.758659386272</t>
  </si>
  <si>
    <t>-611.03008015087 135.313648698671 -582.540603406116</t>
  </si>
  <si>
    <t>-605.552572111994 122.930007729768 -691.221259211396</t>
  </si>
  <si>
    <t>-591.139509990686 105.787645302855 -841.881120722234</t>
  </si>
  <si>
    <t>-556.405242351384 93.9205616798188 -936.937395064592</t>
  </si>
  <si>
    <t>-594.003595923526 144.805203992156 -778.459171019827</t>
  </si>
  <si>
    <t>-550.501122204177 284.984468404683 -769.237855973614</t>
  </si>
  <si>
    <t>-409.131885065337 308.37737263819 -487.008058565022</t>
  </si>
  <si>
    <t>-196.985309422085 275.752098081141 -340.135793811158</t>
  </si>
  <si>
    <t>-601.030078874186 81.9400712504309 -771.978418200817</t>
  </si>
  <si>
    <t>-587.030825153547 276.073781387865 -247.662191009025</t>
  </si>
  <si>
    <t>-580.857050428361 273.199914701593 207.981599784871</t>
  </si>
  <si>
    <t>-610.533381634514 244.803848902498 675.986279445946</t>
  </si>
  <si>
    <t>-451.282855135226 258.504837608185 749.437329910614</t>
  </si>
  <si>
    <t>-567.555233651947 82.4864726642597 -224.081033391695</t>
  </si>
  <si>
    <t>-453.475602850215 74.2322212576607 217.025963427598</t>
  </si>
  <si>
    <t>-615.64641340144 1.44773330388466 652.102690134151</t>
  </si>
  <si>
    <t>-462.139002217051 -35.860148009923 729.479076742604</t>
  </si>
  <si>
    <t>9763-20170724T170103.697845700.bin</t>
  </si>
  <si>
    <t>-576.966689922277 179.739415153752 -236.138101139953</t>
  </si>
  <si>
    <t>-601.094033390771 163.124311557849 -353.652439476765</t>
  </si>
  <si>
    <t>-609.645310919007 148.564342003361 -473.675182366272</t>
  </si>
  <si>
    <t>-610.838089656199 135.881683908779 -582.452804334138</t>
  </si>
  <si>
    <t>-605.572988693852 123.449311580581 -691.138410578474</t>
  </si>
  <si>
    <t>-591.524907571695 106.214501262523 -841.822237681511</t>
  </si>
  <si>
    <t>-557.060379926114 94.2870497823469 -936.969023289418</t>
  </si>
  <si>
    <t>-594.152421987728 145.262493946477 -778.408808610452</t>
  </si>
  <si>
    <t>-550.247233783106 285.318929670403 -769.332233075002</t>
  </si>
  <si>
    <t>-407.718766429945 307.361975547316 -487.577087593677</t>
  </si>
  <si>
    <t>-195.866358930462 274.704953202056 -340.287760851211</t>
  </si>
  <si>
    <t>-601.32909560541 82.4181676821822 -771.889960232962</t>
  </si>
  <si>
    <t>-586.471658463372 276.655222512524 -247.583639454077</t>
  </si>
  <si>
    <t>-580.506296231812 273.563569275887 208.061509772238</t>
  </si>
  <si>
    <t>-610.558143792444 244.935010524979 676.000918297382</t>
  </si>
  <si>
    <t>-451.300350059334 258.33324034028 749.492045115988</t>
  </si>
  <si>
    <t>-567.387656389589 82.9721617015205 -223.945286161531</t>
  </si>
  <si>
    <t>-453.239358643619 74.2393695183312 217.134705696189</t>
  </si>
  <si>
    <t>-615.803540549893 1.55967933975489 652.155816879224</t>
  </si>
  <si>
    <t>-462.18171473825 -36.0264065162191 729.169637296722</t>
  </si>
  <si>
    <t>9763-20170724T170103.762665900.bin</t>
  </si>
  <si>
    <t>-576.115245509388 180.795503179296 -235.952998363206</t>
  </si>
  <si>
    <t>-600.276795490604 164.274180556925 -353.473501358199</t>
  </si>
  <si>
    <t>-609.190762657827 149.744755555502 -473.473564690857</t>
  </si>
  <si>
    <t>-610.845080738944 137.060887331722 -582.24492646225</t>
  </si>
  <si>
    <t>-606.174707459116 124.597870494385 -690.954332557464</t>
  </si>
  <si>
    <t>-593.091154579484 107.288414833378 -841.716507236165</t>
  </si>
  <si>
    <t>-559.324820671419 95.2380925603811 -937.09785308238</t>
  </si>
  <si>
    <t>-595.126654677182 146.348103843708 -778.288373247183</t>
  </si>
  <si>
    <t>-550.119189311082 286.076609812124 -769.534932394358</t>
  </si>
  <si>
    <t>-405.42723547559 305.894293500006 -488.718761177555</t>
  </si>
  <si>
    <t>-194.667567247701 272.130944978471 -340.117140465676</t>
  </si>
  <si>
    <t>-602.633735621686 83.5466383252715 -771.729458103784</t>
  </si>
  <si>
    <t>-585.401537645915 277.67181685415 -247.399165677512</t>
  </si>
  <si>
    <t>-579.713312525688 274.176327806133 208.246648940052</t>
  </si>
  <si>
    <t>-610.53491875152 244.943693755521 676.046399983708</t>
  </si>
  <si>
    <t>-451.306876859497 258.368913749466 749.597089014439</t>
  </si>
  <si>
    <t>-566.730867610072 84.0484664574633 -223.776906318013</t>
  </si>
  <si>
    <t>-452.835937953816 74.6614212889219 217.355218096052</t>
  </si>
  <si>
    <t>-616.073558071308 1.6876461783063 652.078525549781</t>
  </si>
  <si>
    <t>-462.247979124754 -36.3643447002416 728.454297562663</t>
  </si>
  <si>
    <t>9763-20170724T170103.795751200.bin</t>
  </si>
  <si>
    <t>-575.670408787415 181.349940606807 -235.888303061619</t>
  </si>
  <si>
    <t>-599.891663110418 164.84900946465 -353.399336955212</t>
  </si>
  <si>
    <t>-608.978983549727 150.29497892428 -473.38333427024</t>
  </si>
  <si>
    <t>-610.836521887591 137.569276194044 -582.146695930846</t>
  </si>
  <si>
    <t>-606.416111755217 125.043902282211 -690.85928534801</t>
  </si>
  <si>
    <t>-593.728644369725 107.62623922804 -841.642732214983</t>
  </si>
  <si>
    <t>-560.288668302454 95.4857829346527 -937.12764567067</t>
  </si>
  <si>
    <t>-595.521439822932 146.723036468422 -778.230338241735</t>
  </si>
  <si>
    <t>-550.087577949448 286.31471770493 -769.672705733724</t>
  </si>
  <si>
    <t>-404.248125065301 305.245716913292 -489.389489913772</t>
  </si>
  <si>
    <t>-194.001456927834 270.581033974424 -340.269600909117</t>
  </si>
  <si>
    <t>-603.163461114732 83.9430073707199 -771.621168961596</t>
  </si>
  <si>
    <t>-584.891625538344 278.201366408819 -247.335586888078</t>
  </si>
  <si>
    <t>-579.259138597707 274.533849492014 208.309532794409</t>
  </si>
  <si>
    <t>-610.539146745574 245.035901966584 676.044128715397</t>
  </si>
  <si>
    <t>-451.320944377335 258.324999524713 749.640793656806</t>
  </si>
  <si>
    <t>-566.343704552903 84.6181863633581 -223.720893142591</t>
  </si>
  <si>
    <t>-452.628554075823 75.0324168954794 217.453276333173</t>
  </si>
  <si>
    <t>-616.190995822834 1.76890822710607 652.003487928133</t>
  </si>
  <si>
    <t>-462.26634067284 -36.4766156278247 728.082350875856</t>
  </si>
  <si>
    <t>9763-20170724T170103.864559500.bin</t>
  </si>
  <si>
    <t>-574.888519461794 182.498439889194 -235.772546899794</t>
  </si>
  <si>
    <t>-599.294467792924 165.947884317963 -353.238467160071</t>
  </si>
  <si>
    <t>-608.794850273358 151.411589569102 -473.192580482895</t>
  </si>
  <si>
    <t>-611.114458871755 138.725938266555 -581.951770311527</t>
  </si>
  <si>
    <t>-607.242138047993 126.263065340531 -690.692429670378</t>
  </si>
  <si>
    <t>-595.40382726986 108.953400169416 -841.557338236844</t>
  </si>
  <si>
    <t>-562.586048921193 96.7646863722989 -937.251843235718</t>
  </si>
  <si>
    <t>-596.707538083555 147.989791926005 -778.095681266423</t>
  </si>
  <si>
    <t>-550.522573256273 287.36168231343 -769.788506975179</t>
  </si>
  <si>
    <t>-402.844862898512 304.608269590716 -490.360457908735</t>
  </si>
  <si>
    <t>-195.317907101235 264.881367502436 -338.714930837458</t>
  </si>
  <si>
    <t>-604.576304117844 85.234980134974 -771.512926573024</t>
  </si>
  <si>
    <t>-584.076654490662 279.315284049055 -247.266876762737</t>
  </si>
  <si>
    <t>-578.412282429693 275.251035551728 208.374473570491</t>
  </si>
  <si>
    <t>-610.509464957757 245.147311170678 676.00303019908</t>
  </si>
  <si>
    <t>-451.333847428373 258.31949230858 749.712812942881</t>
  </si>
  <si>
    <t>-565.617391696513 85.781443641891 -223.589870986641</t>
  </si>
  <si>
    <t>-451.973428961406 75.9301569600691 217.596749989086</t>
  </si>
  <si>
    <t>-616.301096236108 1.87650513873655 651.682409806859</t>
  </si>
  <si>
    <t>-462.235503881036 -36.6037900819447 727.356487534659</t>
  </si>
  <si>
    <t>9763-20170724T170103.898645900.bin</t>
  </si>
  <si>
    <t>-574.623264244282 183.090545864178 -235.755706042459</t>
  </si>
  <si>
    <t>-599.082507300962 166.504851126977 -353.205466300928</t>
  </si>
  <si>
    <t>-608.741362816651 151.927844293534 -473.142052007103</t>
  </si>
  <si>
    <t>-611.246221873936 139.201880637062 -581.89231843825</t>
  </si>
  <si>
    <t>-607.600718859641 126.694589184318 -690.635819438968</t>
  </si>
  <si>
    <t>-596.120540310362 109.318217484796 -841.520674067722</t>
  </si>
  <si>
    <t>-563.52404306497 97.0682924967068 -937.282804605279</t>
  </si>
  <si>
    <t>-597.213219961888 148.37549353459 -778.068000511156</t>
  </si>
  <si>
    <t>-550.794659717395 287.668859225052 -769.89316261764</t>
  </si>
  <si>
    <t>-402.424405549532 303.987319799359 -490.776506547284</t>
  </si>
  <si>
    <t>-196.422747353823 261.027458597641 -337.937248226536</t>
  </si>
  <si>
    <t>-605.18710259857 85.6379295234258 -771.449615832409</t>
  </si>
  <si>
    <t>-583.776888874985 279.899045494478 -247.270464880134</t>
  </si>
  <si>
    <t>-578.077066496181 275.648259921421 208.368763451011</t>
  </si>
  <si>
    <t>-610.519633106998 245.317926646817 675.947759222451</t>
  </si>
  <si>
    <t>-451.374658948915 258.42620525368 749.735001046834</t>
  </si>
  <si>
    <t>-565.392295864266 86.3676100302941 -223.582539257341</t>
  </si>
  <si>
    <t>-451.720886289434 76.4076585419398 217.594595829346</t>
  </si>
  <si>
    <t>-616.305070437317 1.85592892041313 651.500038882729</t>
  </si>
  <si>
    <t>-462.172469907222 -36.558471190925 727.071096704792</t>
  </si>
  <si>
    <t>9763-20170724T170103.962366600.bin</t>
  </si>
  <si>
    <t>-574.198376393503 184.228114636548 -235.865889420536</t>
  </si>
  <si>
    <t>-598.730203191883 167.606671164736 -353.295501898966</t>
  </si>
  <si>
    <t>-608.707225307935 153.068122317464 -473.210668253314</t>
  </si>
  <si>
    <t>-611.595855490861 140.405456865257 -581.958966692953</t>
  </si>
  <si>
    <t>-608.42788046009 127.989140376778 -690.727711458745</t>
  </si>
  <si>
    <t>-597.706755530266 110.767194057278 -841.686213671541</t>
  </si>
  <si>
    <t>-565.475373528022 98.5311498467108 -937.57362320422</t>
  </si>
  <si>
    <t>-598.393687724263 149.74920164917 -778.181490996801</t>
  </si>
  <si>
    <t>-551.437396211349 288.877540665577 -770.166931861557</t>
  </si>
  <si>
    <t>-402.042749831779 303.677953611761 -491.512322657509</t>
  </si>
  <si>
    <t>-199.905016290902 251.951314362728 -336.248908042555</t>
  </si>
  <si>
    <t>-606.507394549512 87.0254334242304 -771.601931611397</t>
  </si>
  <si>
    <t>-583.401174684332 280.980838381986 -247.352765621035</t>
  </si>
  <si>
    <t>-577.598424148355 276.313991627518 208.281171543918</t>
  </si>
  <si>
    <t>-610.452216090387 245.303608463437 675.85189500423</t>
  </si>
  <si>
    <t>-451.356986096337 258.411564160932 749.746359599519</t>
  </si>
  <si>
    <t>-564.859413982845 87.5504444130331 -223.755942751248</t>
  </si>
  <si>
    <t>-451.371795929813 77.3391333084553 217.462829825125</t>
  </si>
  <si>
    <t>-616.24139899573 1.96821682116774 651.095097553036</t>
  </si>
  <si>
    <t>-462.135683823805 -36.5598717145479 726.663081510685</t>
  </si>
  <si>
    <t>9763-20170724T170103.998462300.bin</t>
  </si>
  <si>
    <t>-574.059854145256 184.680516990255 -235.912746794227</t>
  </si>
  <si>
    <t>-598.573561596514 168.052057829442 -353.345325852863</t>
  </si>
  <si>
    <t>-608.665228121446 153.521952517718 -473.251927307591</t>
  </si>
  <si>
    <t>-611.710469381344 140.872688453135 -581.997279786391</t>
  </si>
  <si>
    <t>-608.751570726696 128.474665104373 -690.774071582764</t>
  </si>
  <si>
    <t>-598.374639628608 111.283655872124 -841.760155661204</t>
  </si>
  <si>
    <t>-566.27074958681 99.0219773088977 -937.687202821929</t>
  </si>
  <si>
    <t>-598.871870075166 150.247324292942 -778.242431494054</t>
  </si>
  <si>
    <t>-551.686920309326 289.306626775079 -770.344995221895</t>
  </si>
  <si>
    <t>-401.798356734562 303.473164760451 -491.922726269671</t>
  </si>
  <si>
    <t>-199.704476744438 251.637712456856 -336.638506298704</t>
  </si>
  <si>
    <t>-607.060321734274 87.5330259851737 -771.664645679898</t>
  </si>
  <si>
    <t>-583.292693980038 281.419422679431 -247.383390928693</t>
  </si>
  <si>
    <t>-577.422965712657 276.612808981477 208.248074634098</t>
  </si>
  <si>
    <t>-610.485002166166 245.459860638415 675.805072954434</t>
  </si>
  <si>
    <t>-451.388508953503 258.348316864311 749.735507892373</t>
  </si>
  <si>
    <t>-564.711587433646 88.0040919977223 -223.817145381805</t>
  </si>
  <si>
    <t>-451.217463715942 77.5627581889621 217.39449166328</t>
  </si>
  <si>
    <t>-616.199535989792 1.88665931989567 650.930864461532</t>
  </si>
  <si>
    <t>-462.07909149736 -36.5362255864559 726.522385707595</t>
  </si>
  <si>
    <t>9763-20170724T170104.062145600.bin</t>
  </si>
  <si>
    <t>-574.006665956401 185.459591426984 -236.069428604838</t>
  </si>
  <si>
    <t>-598.621588277776 168.849890100754 -353.48335078744</t>
  </si>
  <si>
    <t>-608.964657777414 154.368457833879 -473.374536221433</t>
  </si>
  <si>
    <t>-612.296052043776 141.772597154063 -582.1176691009</t>
  </si>
  <si>
    <t>-609.680754690438 129.436412851767 -690.910355374169</t>
  </si>
  <si>
    <t>-599.840192172001 112.338630868334 -841.942896584872</t>
  </si>
  <si>
    <t>-567.981932715128 100.057944531531 -937.949233760492</t>
  </si>
  <si>
    <t>-600.027898343438 151.252725609713 -778.39299180372</t>
  </si>
  <si>
    <t>-552.135061227252 290.079229518379 -770.641920510778</t>
  </si>
  <si>
    <t>-402.022431365849 303.352107088858 -492.296567550331</t>
  </si>
  <si>
    <t>-201.086966364972 248.872139606371 -336.415287713657</t>
  </si>
  <si>
    <t>-608.360758005292 88.5550455268501 -771.838178645531</t>
  </si>
  <si>
    <t>-583.26632720149 282.174767173668 -247.450158164036</t>
  </si>
  <si>
    <t>-577.26901452882 277.004184889352 208.175654613816</t>
  </si>
  <si>
    <t>-610.476452794296 245.471320267965 675.727344697817</t>
  </si>
  <si>
    <t>-451.412030551371 258.535078029688 749.696038281577</t>
  </si>
  <si>
    <t>-564.663992800841 88.8020299241191 -224.019787992536</t>
  </si>
  <si>
    <t>-451.268098993252 78.0124572209966 217.208731065458</t>
  </si>
  <si>
    <t>-616.164895059064 1.95184767952696 650.722798282919</t>
  </si>
  <si>
    <t>-462.074109846658 -36.575622625764 726.321566856432</t>
  </si>
  <si>
    <t>9763-20170724T170104.096234900.bin</t>
  </si>
  <si>
    <t>-574.189680814134 185.772323140154 -236.154301086349</t>
  </si>
  <si>
    <t>-598.838018180471 169.175086560954 -353.563022525299</t>
  </si>
  <si>
    <t>-609.296140343503 154.74375275755 -473.450066755361</t>
  </si>
  <si>
    <t>-612.763082347553 142.207855041297 -582.196158328272</t>
  </si>
  <si>
    <t>-610.31384099745 129.946098759637 -691.000987058404</t>
  </si>
  <si>
    <t>-600.734906628724 112.966571175078 -842.063683169273</t>
  </si>
  <si>
    <t>-568.991171182159 100.695204719775 -938.109131697819</t>
  </si>
  <si>
    <t>-600.776806843029 151.826377837249 -778.480404845519</t>
  </si>
  <si>
    <t>-552.668186540077 290.572573692584 -770.772300489783</t>
  </si>
  <si>
    <t>-402.42560949216 302.825315174289 -492.450080926696</t>
  </si>
  <si>
    <t>-202.386134401828 246.392150687452 -336.112149173061</t>
  </si>
  <si>
    <t>-609.169781881152 89.1325584126323 -771.965737854126</t>
  </si>
  <si>
    <t>-583.467815220796 282.570023578007 -247.490887275528</t>
  </si>
  <si>
    <t>-577.285646988732 277.289621212092 208.131330413136</t>
  </si>
  <si>
    <t>-610.528973614236 245.664034530398 675.682880276926</t>
  </si>
  <si>
    <t>-451.446056893148 258.315574102019 749.683336561519</t>
  </si>
  <si>
    <t>-564.824150059796 89.0627891679985 -224.116591800218</t>
  </si>
  <si>
    <t>-451.454612711137 78.1553093480939 217.115787681122</t>
  </si>
  <si>
    <t>-616.163019118052 1.93634295681136 650.666083181437</t>
  </si>
  <si>
    <t>-462.007061710339 -36.3716450407776 726.243478685663</t>
  </si>
  <si>
    <t>9763-20170724T170104.163029700.bin</t>
  </si>
  <si>
    <t>-574.616528940605 186.08660804787 -236.26948386407</t>
  </si>
  <si>
    <t>-599.378489135383 169.541527382926 -353.661579628608</t>
  </si>
  <si>
    <t>-610.045389276942 155.243313766026 -473.546411113472</t>
  </si>
  <si>
    <t>-613.736162999398 142.859372033324 -582.302319684292</t>
  </si>
  <si>
    <t>-611.543863153342 130.780484462061 -691.133179759833</t>
  </si>
  <si>
    <t>-602.354674813194 114.086466067916 -842.251783841062</t>
  </si>
  <si>
    <t>-570.816374982592 101.926685781727 -938.379160083963</t>
  </si>
  <si>
    <t>-602.17767225309 152.819140047391 -778.591311738195</t>
  </si>
  <si>
    <t>-553.704484552376 291.44025268745 -770.857215815198</t>
  </si>
  <si>
    <t>-403.015339977276 302.215045389446 -492.715386263965</t>
  </si>
  <si>
    <t>-204.479731439552 242.053369240187 -335.851701827785</t>
  </si>
  <si>
    <t>-610.663508591504 90.1270327336763 -772.181694246069</t>
  </si>
  <si>
    <t>-583.895255217148 282.794623203628 -247.535438507299</t>
  </si>
  <si>
    <t>-577.457367513779 277.291307480598 208.080597530545</t>
  </si>
  <si>
    <t>-610.468433153898 245.324676257361 675.687682425434</t>
  </si>
  <si>
    <t>-451.397870480433 258.40947413716 749.639407262912</t>
  </si>
  <si>
    <t>-565.225197984476 89.4590348592249 -224.283488317418</t>
  </si>
  <si>
    <t>-451.908611573986 78.3755469739945 216.95815376555</t>
  </si>
  <si>
    <t>-616.160147427493 1.96139512132595 650.61387190037</t>
  </si>
  <si>
    <t>-462.030209900652 -36.4739896823348 726.17970090665</t>
  </si>
  <si>
    <t>9763-20170724T170104.200123900.bin</t>
  </si>
  <si>
    <t>-574.896560553368 186.223174083871 -236.272440692957</t>
  </si>
  <si>
    <t>-599.693506745236 169.686585537039 -353.658511843875</t>
  </si>
  <si>
    <t>-610.417082167464 155.4223419314 -473.542192236883</t>
  </si>
  <si>
    <t>-614.166751579608 143.07855983218 -582.300688666353</t>
  </si>
  <si>
    <t>-612.040462299289 131.048630094905 -691.138256932027</t>
  </si>
  <si>
    <t>-602.94989228047 114.431333658917 -842.271415909916</t>
  </si>
  <si>
    <t>-571.508538995782 102.304129642593 -938.434564742763</t>
  </si>
  <si>
    <t>-602.6922132209 153.126611251672 -778.588413683799</t>
  </si>
  <si>
    <t>-554.105409763459 291.706209374879 -770.826484663922</t>
  </si>
  <si>
    <t>-403.159805888913 302.233907539025 -492.814286175302</t>
  </si>
  <si>
    <t>-204.348364730409 243.097906632652 -335.909893234284</t>
  </si>
  <si>
    <t>-611.252155826997 90.4413677391215 -772.21095156354</t>
  </si>
  <si>
    <t>-584.072279809681 282.903594327096 -247.545230801144</t>
  </si>
  <si>
    <t>-577.572598361035 277.371473712709 208.069410291618</t>
  </si>
  <si>
    <t>-610.476513109153 245.366692695166 675.657607930708</t>
  </si>
  <si>
    <t>-451.404884568715 258.38423262553 749.618965123001</t>
  </si>
  <si>
    <t>-565.600630252702 89.6289646208165 -224.290279513383</t>
  </si>
  <si>
    <t>-452.096506578666 78.4831447887445 216.90161290899</t>
  </si>
  <si>
    <t>-616.149516862872 2.0292107369371 650.585423237727</t>
  </si>
  <si>
    <t>-462.042416691539 -36.480146568992 726.160224762646</t>
  </si>
  <si>
    <t>9763-20170724T170104.261840700.bin</t>
  </si>
  <si>
    <t>-575.319763274796 186.326469349737 -236.320593189488</t>
  </si>
  <si>
    <t>-600.23379441582 169.84503851022 -353.689563337248</t>
  </si>
  <si>
    <t>-611.084848678479 155.645220532772 -473.569384626075</t>
  </si>
  <si>
    <t>-614.952708062206 143.358645137345 -582.33027935554</t>
  </si>
  <si>
    <t>-612.946958891896 131.382829577479 -691.175953001787</t>
  </si>
  <si>
    <t>-604.026390624202 114.83477511342 -842.326976836231</t>
  </si>
  <si>
    <t>-572.717992448816 102.737937268331 -938.537292917732</t>
  </si>
  <si>
    <t>-603.595950591737 153.487660851802 -778.619042044024</t>
  </si>
  <si>
    <t>-554.667192376661 291.918574744591 -770.654913923933</t>
  </si>
  <si>
    <t>-403.614448011006 301.557047118548 -492.668736443978</t>
  </si>
  <si>
    <t>-202.574240366345 250.220654362841 -335.858397432275</t>
  </si>
  <si>
    <t>-612.350982969776 90.8258420395264 -772.275532453568</t>
  </si>
  <si>
    <t>-584.476527620688 283.137375483867 -247.574566472631</t>
  </si>
  <si>
    <t>-577.804595771326 277.471534884499 208.036037261871</t>
  </si>
  <si>
    <t>-610.53023470122 245.470868929398 675.641844915163</t>
  </si>
  <si>
    <t>-451.431558413134 258.164676609441 749.601217876811</t>
  </si>
  <si>
    <t>-566.041755399211 89.6041252525395 -224.417455442113</t>
  </si>
  <si>
    <t>-452.439451504239 78.5153574387291 216.750553293645</t>
  </si>
  <si>
    <t>-616.1302110428 1.9353724548746 650.569323175921</t>
  </si>
  <si>
    <t>-462.017146057608 -36.5367544378589 726.150861356584</t>
  </si>
  <si>
    <t>9763-20170724T170104.300961100.bin</t>
  </si>
  <si>
    <t>-575.563396761731 186.286887604562 -236.329196565524</t>
  </si>
  <si>
    <t>-600.459014265764 169.850325122425 -353.708335966924</t>
  </si>
  <si>
    <t>-611.244735116994 155.6994496201 -473.599821098464</t>
  </si>
  <si>
    <t>-615.034253659059 143.453800615044 -582.368117789299</t>
  </si>
  <si>
    <t>-612.93110996444 131.512934287398 -691.215848568561</t>
  </si>
  <si>
    <t>-603.855638038554 115.00518767831 -842.362028457713</t>
  </si>
  <si>
    <t>-572.505158233415 102.939617419607 -938.562604532811</t>
  </si>
  <si>
    <t>-603.429590938314 153.633067250116 -778.638912333132</t>
  </si>
  <si>
    <t>-554.281693989552 291.977250405671 -770.391854458611</t>
  </si>
  <si>
    <t>-402.896547648269 301.451749186755 -492.580921520411</t>
  </si>
  <si>
    <t>-199.808156986017 256.131288381226 -336.557766561476</t>
  </si>
  <si>
    <t>-612.31286406604 90.9857804680498 -772.330130060538</t>
  </si>
  <si>
    <t>-584.648375891662 283.085298176905 -247.567779070895</t>
  </si>
  <si>
    <t>-577.942062144587 277.414108148672 208.042303681471</t>
  </si>
  <si>
    <t>-610.533621315664 245.435246734163 675.651171732316</t>
  </si>
  <si>
    <t>-451.43349520294 258.189398774256 749.59696123237</t>
  </si>
  <si>
    <t>-566.372419924055 89.59532061799 -224.445272959137</t>
  </si>
  <si>
    <t>-452.64815026064 78.4539494239041 216.69006813334</t>
  </si>
  <si>
    <t>-616.123231554844 1.88663673349288 650.568069780906</t>
  </si>
  <si>
    <t>-461.990226535909 -36.5044346360203 726.150177900312</t>
  </si>
  <si>
    <t>9763-20170724T170104.364085900.bin</t>
  </si>
  <si>
    <t>-575.855597106318 186.128817591506 -236.360273461947</t>
  </si>
  <si>
    <t>-600.851175288272 169.786721317011 -353.73132288255</t>
  </si>
  <si>
    <t>-611.535108921022 155.682707662735 -473.637527567846</t>
  </si>
  <si>
    <t>-615.151982508157 143.455424595679 -582.413649247043</t>
  </si>
  <si>
    <t>-612.796971054752 131.506529560035 -691.25544535357</t>
  </si>
  <si>
    <t>-603.290649622247 114.95779848856 -842.370594823407</t>
  </si>
  <si>
    <t>-571.793631120903 102.939664760102 -938.529187796241</t>
  </si>
  <si>
    <t>-602.964260724607 153.591726073657 -778.650741822191</t>
  </si>
  <si>
    <t>-553.786912737898 291.871574518606 -769.679952207997</t>
  </si>
  <si>
    <t>-400.103446698288 303.673826600309 -493.223200371876</t>
  </si>
  <si>
    <t>-193.439297935147 268.019997373685 -339.402611668343</t>
  </si>
  <si>
    <t>-612.029553319898 90.9684911094703 -772.362944170065</t>
  </si>
  <si>
    <t>-584.699545596246 283.012338587525 -247.576916810645</t>
  </si>
  <si>
    <t>-578.010697211358 277.311250024283 208.032917758875</t>
  </si>
  <si>
    <t>-610.562148188951 245.505479840624 675.643459115577</t>
  </si>
  <si>
    <t>-451.461703995208 258.251211782177 749.590181868465</t>
  </si>
  <si>
    <t>-566.876490183784 89.2700934543043 -224.489974149119</t>
  </si>
  <si>
    <t>-452.891873934737 78.4114898780695 216.585137227729</t>
  </si>
  <si>
    <t>-616.110379659359 1.87274565461962 650.562293664457</t>
  </si>
  <si>
    <t>-461.984514836743 -36.5315431256026 726.152247543282</t>
  </si>
  <si>
    <t>9763-20170724T170104.395169100.bin</t>
  </si>
  <si>
    <t>-575.996729603364 185.955046521312 -236.376635669882</t>
  </si>
  <si>
    <t>-601.046294829682 169.656334934377 -353.742214881242</t>
  </si>
  <si>
    <t>-611.659653455995 155.559034824706 -473.655570227468</t>
  </si>
  <si>
    <t>-615.163578376095 143.324730177396 -582.434611932617</t>
  </si>
  <si>
    <t>-612.647504226945 131.356934771404 -691.270700445993</t>
  </si>
  <si>
    <t>-602.868134391883 114.770392891464 -842.364166931015</t>
  </si>
  <si>
    <t>-571.271806067669 102.819124520862 -938.498661069038</t>
  </si>
  <si>
    <t>-602.651342200245 153.419520922595 -778.653073541604</t>
  </si>
  <si>
    <t>-553.372078737768 291.642946306603 -769.301918486701</t>
  </si>
  <si>
    <t>-397.772176884151 305.550137418441 -494.017452548428</t>
  </si>
  <si>
    <t>-190.506638954146 272.629531988764 -340.397008560206</t>
  </si>
  <si>
    <t>-611.739046906468 90.7993868999426 -772.367012078784</t>
  </si>
  <si>
    <t>-584.60481888334 282.90099346198 -247.602189210745</t>
  </si>
  <si>
    <t>-577.973570925651 277.215881829714 208.008779303682</t>
  </si>
  <si>
    <t>-610.555113753623 245.492905279689 675.62908000202</t>
  </si>
  <si>
    <t>-451.454035152953 258.102096464078 749.59786483793</t>
  </si>
  <si>
    <t>-567.296814764429 89.0267578681667 -224.482358901727</t>
  </si>
  <si>
    <t>-453.002608665301 78.3252301052883 216.516459676827</t>
  </si>
  <si>
    <t>-616.100275431331 1.95030021879552 650.551326639505</t>
  </si>
  <si>
    <t>-462.01659076802 -36.60510482419 726.150322730697</t>
  </si>
  <si>
    <t>9763-20170724T170104.466927400.bin</t>
  </si>
  <si>
    <t>-576.313640573128 185.4451375326 -236.420130377862</t>
  </si>
  <si>
    <t>-601.571513737921 169.224736608806 -353.751813229039</t>
  </si>
  <si>
    <t>-612.098507326275 155.067786555731 -473.665630566601</t>
  </si>
  <si>
    <t>-615.409063230281 142.72556226117 -582.438653471553</t>
  </si>
  <si>
    <t>-612.587265969231 130.597485782963 -691.249622611105</t>
  </si>
  <si>
    <t>-602.268843995689 113.735546601922 -842.276761554104</t>
  </si>
  <si>
    <t>-570.493452185727 101.926114104062 -938.369536872635</t>
  </si>
  <si>
    <t>-602.273011923345 152.499966175521 -778.635170117192</t>
  </si>
  <si>
    <t>-552.926452298045 290.709475808374 -769.06414585818</t>
  </si>
  <si>
    <t>-392.602494733251 311.416024703458 -496.936176753753</t>
  </si>
  <si>
    <t>-183.222107498426 283.574843949851 -345.190445025842</t>
  </si>
  <si>
    <t>-611.395826289946 89.8929266507535 -772.268539385781</t>
  </si>
  <si>
    <t>-584.522825562422 282.554885990921 -247.658428680244</t>
  </si>
  <si>
    <t>-577.630314812882 276.884798739196 207.948908582159</t>
  </si>
  <si>
    <t>-610.537653227646 245.426513843144 675.607609316128</t>
  </si>
  <si>
    <t>-451.461722131834 258.249308365426 749.593678677464</t>
  </si>
  <si>
    <t>-568.031837032734 88.457091565379 -224.497933384554</t>
  </si>
  <si>
    <t>-453.293583772797 77.8983004618281 216.389026888336</t>
  </si>
  <si>
    <t>-616.138181963443 1.94833476146869 650.650688458288</t>
  </si>
  <si>
    <t>-462.036727783273 -36.666465701479 726.183149793383</t>
  </si>
  <si>
    <t>9763-20170724T170104.496002400.bin</t>
  </si>
  <si>
    <t>-576.577147031986 185.119304795625 -236.373767216438</t>
  </si>
  <si>
    <t>-601.924571595371 168.925737870848 -353.689780431766</t>
  </si>
  <si>
    <t>-612.439217813015 154.736189165918 -473.600911970047</t>
  </si>
  <si>
    <t>-615.698722512594 142.339319422414 -582.369253105983</t>
  </si>
  <si>
    <t>-612.787160316563 130.131540545898 -691.168828484105</t>
  </si>
  <si>
    <t>-602.30514750842 113.131469280432 -842.16923247159</t>
  </si>
  <si>
    <t>-570.612800442264 101.410488660757 -938.300485458432</t>
  </si>
  <si>
    <t>-602.354211816974 151.95075985727 -778.561255947109</t>
  </si>
  <si>
    <t>-552.667549935908 289.993577295134 -768.766268721089</t>
  </si>
  <si>
    <t>-389.875900271335 314.110411331688 -498.389781121782</t>
  </si>
  <si>
    <t>-179.155289779181 287.863300417018 -348.223337363186</t>
  </si>
  <si>
    <t>-611.532043344655 89.3561102966758 -772.151341470907</t>
  </si>
  <si>
    <t>-584.604715306809 282.200770313431 -247.625540802103</t>
  </si>
  <si>
    <t>-577.529841260487 276.667356683384 207.980640411366</t>
  </si>
  <si>
    <t>-610.543749736339 245.379202850773 675.627518299791</t>
  </si>
  <si>
    <t>-451.459156168912 258.155014448661 749.603061445609</t>
  </si>
  <si>
    <t>-568.49418719038 88.1592519530579 -224.437730273598</t>
  </si>
  <si>
    <t>-453.375960944562 77.6316207009625 216.350887121184</t>
  </si>
  <si>
    <t>-616.154622167372 1.98197536905286 650.682529505191</t>
  </si>
  <si>
    <t>-462.090538312122 -36.8267956082921 726.191819148655</t>
  </si>
  <si>
    <t>9763-20170724T170104.565742700.bin</t>
  </si>
  <si>
    <t>-577.080541666356 184.405881720363 -236.440049310406</t>
  </si>
  <si>
    <t>-602.467898385367 168.305082717246 -353.760352939287</t>
  </si>
  <si>
    <t>-612.971245881829 154.124004220947 -473.67330787095</t>
  </si>
  <si>
    <t>-616.202559484179 141.703934038966 -582.439868438949</t>
  </si>
  <si>
    <t>-613.24647680234 129.443651190997 -691.23238686589</t>
  </si>
  <si>
    <t>-602.68656437492 112.343014951065 -842.215952484032</t>
  </si>
  <si>
    <t>-571.060957453637 100.767023258811 -938.386655607076</t>
  </si>
  <si>
    <t>-602.802860939814 151.209452531823 -778.636834225357</t>
  </si>
  <si>
    <t>-552.925329041264 289.166420874502 -768.353541909838</t>
  </si>
  <si>
    <t>-383.997415594184 318.756361569425 -502.319671988712</t>
  </si>
  <si>
    <t>-171.438969059647 296.091500996366 -354.173536052421</t>
  </si>
  <si>
    <t>-611.915089377019 88.6097716661291 -772.184004410806</t>
  </si>
  <si>
    <t>-584.952668917981 281.501740263996 -247.59521794494</t>
  </si>
  <si>
    <t>-577.612728993201 276.10031787877 208.008436776919</t>
  </si>
  <si>
    <t>-610.554461407062 245.180223779722 675.692420333599</t>
  </si>
  <si>
    <t>-451.446041738827 258.069694875293 749.597011529844</t>
  </si>
  <si>
    <t>-569.12902893638 87.4393568468618 -224.586132087198</t>
  </si>
  <si>
    <t>-453.920579079922 77.1350251641463 216.184168033909</t>
  </si>
  <si>
    <t>-616.184888894598 2.0525922798422 650.790940414739</t>
  </si>
  <si>
    <t>-462.142839295056 -36.8923677198625 726.274989731487</t>
  </si>
  <si>
    <t>9763-20170724T170104.597827600.bin</t>
  </si>
  <si>
    <t>-577.334122568134 183.908275340599 -236.478482029866</t>
  </si>
  <si>
    <t>-602.551905158504 167.862210320321 -353.842762614528</t>
  </si>
  <si>
    <t>-612.952428986471 153.6647262443 -473.762941941837</t>
  </si>
  <si>
    <t>-616.120945447821 141.201661254943 -582.52637085892</t>
  </si>
  <si>
    <t>-613.133607903116 128.871318903777 -691.309962782419</t>
  </si>
  <si>
    <t>-602.564411645759 111.645315258799 -842.278696370983</t>
  </si>
  <si>
    <t>-570.950842184956 100.084241914042 -938.455207760723</t>
  </si>
  <si>
    <t>-602.683015517282 150.56426813753 -778.731691336758</t>
  </si>
  <si>
    <t>-552.596482072996 288.402981968843 -768.269176917852</t>
  </si>
  <si>
    <t>-380.510660601572 321.447970253978 -504.677275517189</t>
  </si>
  <si>
    <t>-167.241154428649 299.973644829347 -357.378249439378</t>
  </si>
  <si>
    <t>-611.798864973961 87.9703748714148 -772.227682377291</t>
  </si>
  <si>
    <t>-585.138878283559 280.995346462127 -247.589911247294</t>
  </si>
  <si>
    <t>-577.880200306066 275.729165356131 208.016580321757</t>
  </si>
  <si>
    <t>-610.537908838086 244.955022949932 675.744730611801</t>
  </si>
  <si>
    <t>-451.411189498857 258.026326438337 749.577960163711</t>
  </si>
  <si>
    <t>-569.369346177219 86.8731212669186 -224.7420518776</t>
  </si>
  <si>
    <t>-454.16572938416 76.6493111008708 216.031399751835</t>
  </si>
  <si>
    <t>-616.074514566362 2.00343667362313 650.74301553957</t>
  </si>
  <si>
    <t>-462.13815011598 -36.8377334683139 726.495716756505</t>
  </si>
  <si>
    <t>9763-20170724T170104.664056900.bin</t>
  </si>
  <si>
    <t>-577.688690580208 183.065249422863 -236.766909961411</t>
  </si>
  <si>
    <t>-602.632576834932 167.163262881197 -354.209339903363</t>
  </si>
  <si>
    <t>-612.969873373973 152.87799257162 -474.124576065732</t>
  </si>
  <si>
    <t>-616.17490577261 140.24490386657 -582.867183545546</t>
  </si>
  <si>
    <t>-613.322108838873 127.655375072252 -691.624840872561</t>
  </si>
  <si>
    <t>-603.045308247441 109.978360522633 -842.561595319048</t>
  </si>
  <si>
    <t>-571.611267499839 98.3971205401813 -938.794386696561</t>
  </si>
  <si>
    <t>-603.004337577951 149.081964380878 -779.127917031707</t>
  </si>
  <si>
    <t>-552.465515883619 286.824369031367 -769.057372795937</t>
  </si>
  <si>
    <t>-376.646038500162 322.452460286474 -508.280879315653</t>
  </si>
  <si>
    <t>-162.762582426505 302.371670335398 -361.677065991493</t>
  </si>
  <si>
    <t>-612.180637966464 86.5177674302745 -772.425564691233</t>
  </si>
  <si>
    <t>-585.492666402768 280.195299271023 -247.696693712552</t>
  </si>
  <si>
    <t>-578.595682674134 275.061250324109 207.916889270419</t>
  </si>
  <si>
    <t>-610.600998403996 244.809897176131 675.77465455463</t>
  </si>
  <si>
    <t>-451.428202768472 258.041633790319 749.479954947827</t>
  </si>
  <si>
    <t>-569.797887518807 86.025530144447 -225.263043372512</t>
  </si>
  <si>
    <t>-454.799352959726 75.5425143846269 215.557990661987</t>
  </si>
  <si>
    <t>-615.665003215029 1.74573465658909 650.663521294786</t>
  </si>
  <si>
    <t>-462.114275427898 -36.5731834401147 727.457702672537</t>
  </si>
  <si>
    <t>9763-20170724T170104.703162400.bin</t>
  </si>
  <si>
    <t>-577.94286945129 182.77050828249 -236.881505789935</t>
  </si>
  <si>
    <t>-602.769981064967 166.929622274895 -354.356937396207</t>
  </si>
  <si>
    <t>-613.104446650107 152.566957046151 -474.263052228905</t>
  </si>
  <si>
    <t>-616.357874842031 139.809542023474 -582.98981507468</t>
  </si>
  <si>
    <t>-613.606784278321 127.04296746201 -691.729455415226</t>
  </si>
  <si>
    <t>-603.52888450137 109.065766333392 -842.644234144858</t>
  </si>
  <si>
    <t>-572.172963458631 97.4106590329475 -938.893629902635</t>
  </si>
  <si>
    <t>-603.365754647086 148.290159288339 -779.285339311313</t>
  </si>
  <si>
    <t>-552.637477003217 285.963879682873 -769.532033443974</t>
  </si>
  <si>
    <t>-375.895779124273 321.968920046887 -509.431575731828</t>
  </si>
  <si>
    <t>-162.100780973128 302.015933397007 -362.681418400707</t>
  </si>
  <si>
    <t>-612.610309217463 85.7501690349895 -772.452902722571</t>
  </si>
  <si>
    <t>-585.69876728091 279.937994004733 -247.754075720248</t>
  </si>
  <si>
    <t>-578.835784725262 274.817680651913 207.860054578922</t>
  </si>
  <si>
    <t>-610.629016464073 244.712643129464 675.790958963711</t>
  </si>
  <si>
    <t>-451.420174946699 257.862042800995 749.432971650916</t>
  </si>
  <si>
    <t>-570.126451200537 85.6962043857718 -225.41604277154</t>
  </si>
  <si>
    <t>-455.097517318966 75.0388596061659 215.392851055726</t>
  </si>
  <si>
    <t>-615.458082810137 1.43012583746554 650.739076012615</t>
  </si>
  <si>
    <t>-462.081561197753 -36.5067767138335 728.069192743675</t>
  </si>
  <si>
    <t>9763-20170724T170104.763399300.bin</t>
  </si>
  <si>
    <t>-578.225940543524 182.451943308796 -236.884852870191</t>
  </si>
  <si>
    <t>-602.956671551735 166.642352847132 -354.384820500504</t>
  </si>
  <si>
    <t>-613.321803676447 152.131223724681 -474.270478067714</t>
  </si>
  <si>
    <t>-616.660226889842 139.167482323491 -582.970173834044</t>
  </si>
  <si>
    <t>-614.054609103478 126.123571957543 -691.680488710844</t>
  </si>
  <si>
    <t>-604.244619327719 107.687388821354 -842.557473694576</t>
  </si>
  <si>
    <t>-572.998974679734 95.8522076978122 -938.820857093576</t>
  </si>
  <si>
    <t>-603.870502200958 147.090491615541 -779.310502530847</t>
  </si>
  <si>
    <t>-552.865538372531 284.69703589836 -770.211440997015</t>
  </si>
  <si>
    <t>-376.39087508916 319.338070512597 -509.74481833669</t>
  </si>
  <si>
    <t>-162.559970857882 299.442694993999 -363.039230205285</t>
  </si>
  <si>
    <t>-613.299974553486 84.5991596506044 -772.287687856904</t>
  </si>
  <si>
    <t>-585.807112857329 279.687740004422 -247.777658242755</t>
  </si>
  <si>
    <t>-579.024432709784 274.562568766398 207.83768607702</t>
  </si>
  <si>
    <t>-610.619148810546 244.521393972198 675.788677558287</t>
  </si>
  <si>
    <t>-451.394165609783 257.767952479877 749.378379801815</t>
  </si>
  <si>
    <t>-570.507974517242 85.3324594109338 -225.339399877978</t>
  </si>
  <si>
    <t>-455.271655363972 74.5652289609061 215.412636409525</t>
  </si>
  <si>
    <t>-615.240537257294 1.16185395522348 651.073945364091</t>
  </si>
  <si>
    <t>-462.122472281502 -36.583611949846 729.007558041558</t>
  </si>
  <si>
    <t>9763-20170724T170104.800497800.bin</t>
  </si>
  <si>
    <t>-578.242050062333 182.444531800767 -236.757162808291</t>
  </si>
  <si>
    <t>-602.940566762513 166.565036343762 -354.254472471537</t>
  </si>
  <si>
    <t>-613.280751117819 151.941458426875 -474.128482159828</t>
  </si>
  <si>
    <t>-616.601061808323 138.86011700523 -582.814943642411</t>
  </si>
  <si>
    <t>-613.982458489785 125.683407858441 -691.508786064942</t>
  </si>
  <si>
    <t>-604.16049304426 107.047712298076 -842.360548172915</t>
  </si>
  <si>
    <t>-572.922823487154 95.1009477943317 -938.612498406091</t>
  </si>
  <si>
    <t>-603.777361567572 146.532378135305 -779.164511227943</t>
  </si>
  <si>
    <t>-552.847142039269 284.188098238321 -770.218475418167</t>
  </si>
  <si>
    <t>-376.709812262372 317.912433496291 -509.403436895233</t>
  </si>
  <si>
    <t>-162.777072129449 298.420081754159 -362.792129789101</t>
  </si>
  <si>
    <t>-613.235463688117 84.0544690154425 -772.062094811539</t>
  </si>
  <si>
    <t>-585.774330738803 279.706019462998 -247.741129451527</t>
  </si>
  <si>
    <t>-579.006371447221 274.54410986634 207.874037760733</t>
  </si>
  <si>
    <t>-610.622303468194 244.516781307584 675.791328745693</t>
  </si>
  <si>
    <t>-451.401698326925 257.811215346386 749.381884212076</t>
  </si>
  <si>
    <t>-570.620196667613 85.2746958755199 -225.067408043265</t>
  </si>
  <si>
    <t>-455.072198649007 74.574876141291 215.604647768321</t>
  </si>
  <si>
    <t>-615.198504155037 1.15401421929573 651.233519504319</t>
  </si>
  <si>
    <t>-462.104730397034 -36.4814327543884 729.267999890927</t>
  </si>
  <si>
    <t>9763-20170724T170104.864683600.bin</t>
  </si>
  <si>
    <t>-578.014147738635 182.641456718287 -236.427826406805</t>
  </si>
  <si>
    <t>-602.59962922191 166.549894836897 -353.919998994404</t>
  </si>
  <si>
    <t>-612.880091318505 151.730989094405 -473.775199230395</t>
  </si>
  <si>
    <t>-616.167980504183 138.48103658977 -582.442060794661</t>
  </si>
  <si>
    <t>-613.538270091059 125.144530231184 -691.116262411232</t>
  </si>
  <si>
    <t>-603.722687957934 106.296304858847 -841.942086714284</t>
  </si>
  <si>
    <t>-572.528186255397 94.1771032052566 -938.186486267106</t>
  </si>
  <si>
    <t>-603.3293886935 145.869044446503 -778.801093029859</t>
  </si>
  <si>
    <t>-552.595853861385 283.60583005887 -770.017796107332</t>
  </si>
  <si>
    <t>-376.977284432628 316.367641779096 -508.730689266856</t>
  </si>
  <si>
    <t>-162.530123086844 296.963531756724 -362.860991231215</t>
  </si>
  <si>
    <t>-612.802129117512 83.4032270071764 -771.611467314286</t>
  </si>
  <si>
    <t>-585.639697795011 280.064200372859 -247.672716469747</t>
  </si>
  <si>
    <t>-579.11431880849 274.876254406828 207.945698009087</t>
  </si>
  <si>
    <t>-610.628351831231 244.690545874891 675.76522914231</t>
  </si>
  <si>
    <t>-451.42673414942 257.806188694961 749.428991761338</t>
  </si>
  <si>
    <t>-570.251164906245 85.3837567084458 -224.508225171355</t>
  </si>
  <si>
    <t>-454.237268397498 74.9174021548449 216.046977922533</t>
  </si>
  <si>
    <t>-615.1346435525 1.26187988715674 651.403129512711</t>
  </si>
  <si>
    <t>-462.109402480575 -36.4907175070507 729.515390473666</t>
  </si>
  <si>
    <t>9763-20170724T170104.896767500.bin</t>
  </si>
  <si>
    <t>-577.757836994658 182.830030547413 -236.32482521683</t>
  </si>
  <si>
    <t>-602.281684798708 166.624688051824 -353.814296722467</t>
  </si>
  <si>
    <t>-612.530407774179 151.70924300898 -473.660185308265</t>
  </si>
  <si>
    <t>-615.801333523461 138.380014068087 -582.317884710202</t>
  </si>
  <si>
    <t>-613.166211023378 124.972111136789 -690.983079439997</t>
  </si>
  <si>
    <t>-603.354705046581 106.033390817814 -841.797755087358</t>
  </si>
  <si>
    <t>-572.193631395807 93.8463069101042 -938.044583215504</t>
  </si>
  <si>
    <t>-602.96862382287 145.645051960056 -778.681406854847</t>
  </si>
  <si>
    <t>-552.58674210956 283.527982627084 -770.060199284227</t>
  </si>
  <si>
    <t>-377.086017659752 316.27611815803 -508.692155376716</t>
  </si>
  <si>
    <t>-162.622183118033 296.550046011242 -362.890199369867</t>
  </si>
  <si>
    <t>-612.423415751623 83.1811826707201 -771.452502623843</t>
  </si>
  <si>
    <t>-585.531880212398 280.339984526423 -247.659146694416</t>
  </si>
  <si>
    <t>-579.241332358799 275.135769470895 207.962494559505</t>
  </si>
  <si>
    <t>-610.67637471042 244.936937807123 675.755699510952</t>
  </si>
  <si>
    <t>-451.472555820045 257.767497885479 749.464826050625</t>
  </si>
  <si>
    <t>-569.878351216365 85.4610881397623 -224.28042716413</t>
  </si>
  <si>
    <t>-453.82060144748 75.2055395529799 216.26821953073</t>
  </si>
  <si>
    <t>-615.145588264791 1.39484507056932 651.467603065903</t>
  </si>
  <si>
    <t>-462.126635340857 -36.5122417505484 729.517335173268</t>
  </si>
  <si>
    <t>9763-20170724T170104.962479100.bin</t>
  </si>
  <si>
    <t>-577.227051120606 183.037356432841 -236.109202763563</t>
  </si>
  <si>
    <t>-601.599109338618 166.669442664616 -353.607706863168</t>
  </si>
  <si>
    <t>-611.784961534837 151.56765114253 -473.435726174045</t>
  </si>
  <si>
    <t>-615.036521977286 138.062837699831 -582.072099574788</t>
  </si>
  <si>
    <t>-612.419919787977 124.47401308726 -690.715369461814</t>
  </si>
  <si>
    <t>-602.673752912143 105.279841296835 -841.501976879798</t>
  </si>
  <si>
    <t>-571.541139363202 92.9344887419427 -937.737837796756</t>
  </si>
  <si>
    <t>-602.241114704955 144.995623805674 -778.451498781136</t>
  </si>
  <si>
    <t>-552.251886684771 283.062243249458 -770.342890895434</t>
  </si>
  <si>
    <t>-378.809963044391 315.5586255181 -507.572928676235</t>
  </si>
  <si>
    <t>-165.345390438393 294.578560829952 -360.485220023036</t>
  </si>
  <si>
    <t>-611.73119199459 82.5495950946645 -771.115743874091</t>
  </si>
  <si>
    <t>-585.081184598511 280.639989259016 -247.661203733917</t>
  </si>
  <si>
    <t>-579.667633506974 275.471771481312 207.972120375698</t>
  </si>
  <si>
    <t>-610.690449535583 245.213888488649 675.73228679938</t>
  </si>
  <si>
    <t>-451.523467148856 257.949812071821 749.5372919218</t>
  </si>
  <si>
    <t>-569.274348591735 85.4937672806975 -223.842745853193</t>
  </si>
  <si>
    <t>-452.9882208399 75.5635402312828 216.65308022274</t>
  </si>
  <si>
    <t>-615.254946403423 1.59359475234533 651.558941348329</t>
  </si>
  <si>
    <t>-462.189560397093 -36.7810432690999 729.288556704829</t>
  </si>
  <si>
    <t>9763-20170724T170104.996569800.bin</t>
  </si>
  <si>
    <t>-577.021571601832 183.030725024638 -236.01872027502</t>
  </si>
  <si>
    <t>-601.376773663423 166.578213272189 -353.508906002217</t>
  </si>
  <si>
    <t>-611.551084459069 151.394721430023 -473.327636700207</t>
  </si>
  <si>
    <t>-614.794293707819 137.818944890343 -581.955605220579</t>
  </si>
  <si>
    <t>-612.171335976369 124.162889290023 -690.590125059766</t>
  </si>
  <si>
    <t>-602.418189624462 104.8798710347 -841.365032927057</t>
  </si>
  <si>
    <t>-571.278608908417 92.4528119338875 -937.588024171637</t>
  </si>
  <si>
    <t>-601.978265210813 144.631525663503 -778.336944665726</t>
  </si>
  <si>
    <t>-552.147196619684 282.752863937917 -770.315904155341</t>
  </si>
  <si>
    <t>-380.244580455121 314.308216667099 -506.422211760845</t>
  </si>
  <si>
    <t>-167.2165893547 292.865378122361 -358.76949816998</t>
  </si>
  <si>
    <t>-611.489038678138 82.1925268024265 -770.966671834904</t>
  </si>
  <si>
    <t>-584.814703545125 280.736295453469 -247.695347622157</t>
  </si>
  <si>
    <t>-579.809292358531 275.67335540896 207.943864240437</t>
  </si>
  <si>
    <t>-610.711735046048 245.545730412501 675.662044459351</t>
  </si>
  <si>
    <t>-451.564486872799 257.876891126443 749.57823075562</t>
  </si>
  <si>
    <t>-569.150581357747 85.3850936463798 -223.628218063217</t>
  </si>
  <si>
    <t>-452.675284133202 75.6700262374256 216.822573256525</t>
  </si>
  <si>
    <t>-615.364399134951 1.70479343654029 651.601653977481</t>
  </si>
  <si>
    <t>-462.120797896035 -36.554709015817 729.036304518056</t>
  </si>
  <si>
    <t>9763-20170724T170105.064779700.bin</t>
  </si>
  <si>
    <t>-576.869091075805 183.008331494118 -235.980677150785</t>
  </si>
  <si>
    <t>-601.206601465293 166.49860518628 -353.466602172329</t>
  </si>
  <si>
    <t>-611.257580496138 151.291383980305 -473.292606355311</t>
  </si>
  <si>
    <t>-614.3458318606 137.710490578153 -581.924398400358</t>
  </si>
  <si>
    <t>-611.523952083395 124.067554350269 -690.555681761924</t>
  </si>
  <si>
    <t>-601.448213955335 104.822937627242 -841.314208860203</t>
  </si>
  <si>
    <t>-570.005843503616 92.3513809338956 -937.433065566308</t>
  </si>
  <si>
    <t>-601.180444612939 144.563818291579 -778.27837588392</t>
  </si>
  <si>
    <t>-551.583504089866 282.772708376753 -770.303218683995</t>
  </si>
  <si>
    <t>-382.806764196704 313.420133345543 -504.293180799076</t>
  </si>
  <si>
    <t>-171.716681525698 289.128413885563 -354.316894760701</t>
  </si>
  <si>
    <t>-610.632398024546 82.1123376844746 -770.938077512371</t>
  </si>
  <si>
    <t>-584.540696404806 280.892097906334 -247.804149077301</t>
  </si>
  <si>
    <t>-580.002286553766 276.054305029992 207.842341376669</t>
  </si>
  <si>
    <t>-610.807100478538 246.265262859951 675.564056205394</t>
  </si>
  <si>
    <t>-451.681847984139 257.642288589952 749.680408674389</t>
  </si>
  <si>
    <t>-569.141397432755 85.2799384818807 -223.474772718637</t>
  </si>
  <si>
    <t>-452.597803542056 75.7963142945505 216.962850498156</t>
  </si>
  <si>
    <t>-615.722450513275 2.03534698756107 651.71178234116</t>
  </si>
  <si>
    <t>-462.166389830689 -36.6726261993367 728.299911683752</t>
  </si>
  <si>
    <t>9763-20170724T170105.098872400.bin</t>
  </si>
  <si>
    <t>-576.895200943985 182.816103033877 -236.050946586292</t>
  </si>
  <si>
    <t>-601.235484540247 166.315107180383 -353.537476559401</t>
  </si>
  <si>
    <t>-611.192184811307 151.103851849686 -473.370830753405</t>
  </si>
  <si>
    <t>-614.156422256211 137.513400048573 -582.005012274297</t>
  </si>
  <si>
    <t>-611.17223769264 123.85466227695 -690.629974006674</t>
  </si>
  <si>
    <t>-600.831604319486 104.581331918594 -841.366877491831</t>
  </si>
  <si>
    <t>-569.080346808862 92.0990382984828 -937.382636887358</t>
  </si>
  <si>
    <t>-600.708228016569 144.339010274188 -778.341193053851</t>
  </si>
  <si>
    <t>-551.401249651125 282.64326349607 -770.398062939891</t>
  </si>
  <si>
    <t>-383.965728334697 313.414157786199 -503.555983056376</t>
  </si>
  <si>
    <t>-172.758762433848 289.586072523549 -353.669752229161</t>
  </si>
  <si>
    <t>-610.105766335436 81.8794803549254 -770.99978941237</t>
  </si>
  <si>
    <t>-584.547820569339 280.620952791121 -247.841999195208</t>
  </si>
  <si>
    <t>-579.999085236994 275.899714807696 207.805561439411</t>
  </si>
  <si>
    <t>-610.791724461473 246.203729235702 675.582676278207</t>
  </si>
  <si>
    <t>-451.674687054143 257.662024197284 749.704097623187</t>
  </si>
  <si>
    <t>-569.186627379858 85.1384178228436 -223.569620538205</t>
  </si>
  <si>
    <t>-452.834943494142 75.7652144745562 216.921190789983</t>
  </si>
  <si>
    <t>-615.841618158787 2.12840877807912 651.697485506883</t>
  </si>
  <si>
    <t>-462.166550716462 -36.6543784464375 728.008550861857</t>
  </si>
  <si>
    <t>9763-20170724T170105.161151600.bin</t>
  </si>
  <si>
    <t>-577.159587789413 181.840119697222 -236.165599370006</t>
  </si>
  <si>
    <t>-601.497828649651 165.420653593809 -353.66396553511</t>
  </si>
  <si>
    <t>-611.293868315168 150.306261545361 -473.522770160897</t>
  </si>
  <si>
    <t>-614.048394148474 136.809270869578 -582.174014168089</t>
  </si>
  <si>
    <t>-610.790247300036 123.24932673388 -690.803507541467</t>
  </si>
  <si>
    <t>-600.002417312122 104.118193757396 -841.527252710311</t>
  </si>
  <si>
    <t>-567.70066902627 91.7394108102039 -937.372705759686</t>
  </si>
  <si>
    <t>-600.160762491418 143.829361933773 -778.472383816865</t>
  </si>
  <si>
    <t>-551.647332255833 282.417701182571 -770.451035186544</t>
  </si>
  <si>
    <t>-386.913498008981 314.616146491905 -502.100088423429</t>
  </si>
  <si>
    <t>-176.884330925056 288.918751071431 -350.873611893405</t>
  </si>
  <si>
    <t>-609.390690943475 81.3367802446505 -771.201030389439</t>
  </si>
  <si>
    <t>-584.872167157159 279.389556816307 -247.809401673389</t>
  </si>
  <si>
    <t>-579.962454586597 275.026540431386 207.837937883165</t>
  </si>
  <si>
    <t>-610.77601280631 245.757213140669 675.704708932346</t>
  </si>
  <si>
    <t>-451.614732748407 257.401169093627 749.702183389343</t>
  </si>
  <si>
    <t>-569.368477029182 84.2952595007198 -223.86145355016</t>
  </si>
  <si>
    <t>-453.408456158699 75.1637594605902 216.737575856157</t>
  </si>
  <si>
    <t>-615.936195549909 2.11916068761411 651.636183664128</t>
  </si>
  <si>
    <t>-462.143547457653 -36.5199059214735 727.783064403749</t>
  </si>
  <si>
    <t>9763-20170724T170105.198250100.bin</t>
  </si>
  <si>
    <t>-577.269623526296 181.18647875375 -236.288993949848</t>
  </si>
  <si>
    <t>-601.654700997362 164.818584948498 -353.784783260389</t>
  </si>
  <si>
    <t>-611.372658788309 149.799684923467 -473.662087358761</t>
  </si>
  <si>
    <t>-614.004733229352 136.407790752825 -582.329339345459</t>
  </si>
  <si>
    <t>-610.571686953394 122.972344093477 -690.968838664357</t>
  </si>
  <si>
    <t>-599.485705336919 104.034877494119 -841.695389516321</t>
  </si>
  <si>
    <t>-566.874789457058 91.7729474833843 -937.451010843875</t>
  </si>
  <si>
    <t>-599.845605203252 143.675562721799 -778.596935528103</t>
  </si>
  <si>
    <t>-551.75706580191 282.390573573661 -770.349404558392</t>
  </si>
  <si>
    <t>-388.913867991704 314.497367686557 -500.83614676801</t>
  </si>
  <si>
    <t>-179.224963436014 288.251692559272 -349.2321476239</t>
  </si>
  <si>
    <t>-608.93622344389 81.1527003383669 -771.410228109894</t>
  </si>
  <si>
    <t>-585.009976238041 278.674879258102 -247.814874550185</t>
  </si>
  <si>
    <t>-579.984161640166 274.522189155216 207.833231349834</t>
  </si>
  <si>
    <t>-610.760664222407 245.552831947619 675.733445515834</t>
  </si>
  <si>
    <t>-451.593190492018 257.517541603126 749.666265187031</t>
  </si>
  <si>
    <t>-569.477083522533 83.7141307039158 -224.061748574912</t>
  </si>
  <si>
    <t>-453.81178869474 74.7528644967867 216.618320556797</t>
  </si>
  <si>
    <t>-615.966464374375 2.02149096992594 651.685229782666</t>
  </si>
  <si>
    <t>-462.131099897597 -36.504285693261 727.803290017397</t>
  </si>
  <si>
    <t>9763-20170724T170105.265434600.bin</t>
  </si>
  <si>
    <t>-577.538505688788 180.030671779896 -236.324874710387</t>
  </si>
  <si>
    <t>-601.905279753525 163.726727949242 -353.83331123632</t>
  </si>
  <si>
    <t>-611.362798668875 148.992737300625 -473.766746400808</t>
  </si>
  <si>
    <t>-613.655653971915 135.949442978964 -582.484173838778</t>
  </si>
  <si>
    <t>-609.776560176633 122.953695512203 -691.162211306344</t>
  </si>
  <si>
    <t>-597.956513355214 104.723575977094 -841.920195088691</t>
  </si>
  <si>
    <t>-564.74348901878 92.8404440507238 -937.516599897019</t>
  </si>
  <si>
    <t>-598.78339549551 144.088859320403 -778.653915741823</t>
  </si>
  <si>
    <t>-551.379693867589 282.965445286319 -769.507794534203</t>
  </si>
  <si>
    <t>-392.507248452596 317.169664361307 -497.890635918658</t>
  </si>
  <si>
    <t>-184.897215711358 287.110449652308 -344.14889502411</t>
  </si>
  <si>
    <t>-607.589660322833 81.4907686593317 -771.774896050063</t>
  </si>
  <si>
    <t>-585.305912060672 277.427520196526 -247.808049395492</t>
  </si>
  <si>
    <t>-580.15816023776 273.764307917783 207.842845652644</t>
  </si>
  <si>
    <t>-610.801509435096 245.380730155348 675.810595929033</t>
  </si>
  <si>
    <t>-451.581884731014 257.363577643285 749.628138686706</t>
  </si>
  <si>
    <t>-569.675478809616 82.7149174470935 -224.169770764235</t>
  </si>
  <si>
    <t>-454.245737356989 73.9406949127624 216.575908885113</t>
  </si>
  <si>
    <t>-616.102315931514 2.05717562591008 651.882151862687</t>
  </si>
  <si>
    <t>-462.153298349895 -36.4383034750176 727.78544118847</t>
  </si>
  <si>
    <t>9763-20170724T170105.298523100.bin</t>
  </si>
  <si>
    <t>-577.537976548046 179.412653476004 -236.279016357924</t>
  </si>
  <si>
    <t>-601.896113100796 163.13906200244 -353.793505095428</t>
  </si>
  <si>
    <t>-611.171298510429 148.550462860943 -473.758853380422</t>
  </si>
  <si>
    <t>-613.226080588719 135.683978944286 -582.502111583962</t>
  </si>
  <si>
    <t>-609.034292245429 122.909912623774 -691.194776563424</t>
  </si>
  <si>
    <t>-596.701048832758 105.033753910136 -841.953919989719</t>
  </si>
  <si>
    <t>-563.133924551009 93.3514096782044 -937.451405315967</t>
  </si>
  <si>
    <t>-597.776551671064 144.254683270196 -778.601998343913</t>
  </si>
  <si>
    <t>-550.884355921906 283.355128572143 -769.130074080787</t>
  </si>
  <si>
    <t>-396.050984500137 319.379522517251 -495.423806535038</t>
  </si>
  <si>
    <t>-190.413950378165 285.179508004029 -339.905966789033</t>
  </si>
  <si>
    <t>-606.539724621391 81.632015150903 -771.893471847761</t>
  </si>
  <si>
    <t>-585.148288740431 276.794885167409 -247.789438266223</t>
  </si>
  <si>
    <t>-580.033364743019 273.417866975451 207.864047738564</t>
  </si>
  <si>
    <t>-610.814600484879 245.425335913043 675.80093830471</t>
  </si>
  <si>
    <t>-451.60249585956 257.492970369182 749.620858700363</t>
  </si>
  <si>
    <t>-569.798805611194 82.0891110796867 -224.138393624624</t>
  </si>
  <si>
    <t>-454.378873432216 73.6636251916536 216.616526169492</t>
  </si>
  <si>
    <t>-616.171664974561 2.03150004254758 651.971278514196</t>
  </si>
  <si>
    <t>-462.108981874593 -36.3290005351914 727.712119435301</t>
  </si>
  <si>
    <t>9763-20170724T170105.363280200.bin</t>
  </si>
  <si>
    <t>-576.993333736829 178.466859129634 -236.324014336705</t>
  </si>
  <si>
    <t>-601.419316022683 162.260234443057 -353.833674114314</t>
  </si>
  <si>
    <t>-610.412941261615 147.893811466228 -473.847395713694</t>
  </si>
  <si>
    <t>-612.067816700884 135.29024807239 -582.628151478326</t>
  </si>
  <si>
    <t>-607.329281060134 122.841743420137 -691.336261631546</t>
  </si>
  <si>
    <t>-594.08237560873 105.483208555595 -842.078387709358</t>
  </si>
  <si>
    <t>-559.964163754372 94.1012756286661 -937.416503379695</t>
  </si>
  <si>
    <t>-595.498260312276 144.480789492921 -778.595124828772</t>
  </si>
  <si>
    <t>-550.550982757749 284.170286857446 -768.715905909143</t>
  </si>
  <si>
    <t>-408.886141912618 325.113356492806 -488.642987329689</t>
  </si>
  <si>
    <t>-204.210383224226 287.482335555712 -332.650053370279</t>
  </si>
  <si>
    <t>-604.389121191955 81.8469958207666 -772.163981296641</t>
  </si>
  <si>
    <t>-583.963024596218 275.824720692483 -247.854943311154</t>
  </si>
  <si>
    <t>-579.282420452575 272.993329046487 207.806874559619</t>
  </si>
  <si>
    <t>-610.865550741067 245.755781321246 675.716593243761</t>
  </si>
  <si>
    <t>-451.667356033603 257.322720563511 749.646612599075</t>
  </si>
  <si>
    <t>-569.903555283689 81.1021499648489 -224.078505869028</t>
  </si>
  <si>
    <t>-454.339035705345 73.1912544442168 216.648047455213</t>
  </si>
  <si>
    <t>-616.301254208847 2.29154434594034 652.090524684039</t>
  </si>
  <si>
    <t>-462.228139203773 -36.6617843187828 727.506874974813</t>
  </si>
  <si>
    <t>9763-20170724T170105.395365200.bin</t>
  </si>
  <si>
    <t>-576.563437506696 177.878609481195 -236.321193341925</t>
  </si>
  <si>
    <t>-601.01653453856 161.776265475517 -353.839476801176</t>
  </si>
  <si>
    <t>-609.843026356182 147.536272892175 -473.88069643739</t>
  </si>
  <si>
    <t>-611.268239513153 135.058388839831 -582.679265244961</t>
  </si>
  <si>
    <t>-606.221672884869 122.749399593934 -691.389204345953</t>
  </si>
  <si>
    <t>-592.465573707791 105.600715350449 -842.109894070194</t>
  </si>
  <si>
    <t>-558.079324112295 94.3073379331961 -937.362281276231</t>
  </si>
  <si>
    <t>-594.066201506119 144.505840547744 -778.574422266946</t>
  </si>
  <si>
    <t>-550.058529667464 284.459174545994 -768.522927725534</t>
  </si>
  <si>
    <t>-418.119482526665 328.835085585505 -484.253504485764</t>
  </si>
  <si>
    <t>-213.840881699799 291.668868637727 -327.629906398936</t>
  </si>
  <si>
    <t>-603.038258270377 81.8710395737216 -772.266874458433</t>
  </si>
  <si>
    <t>-583.084306249233 275.332813243864 -247.880970231525</t>
  </si>
  <si>
    <t>-578.815389331956 272.748461342261 207.786392059458</t>
  </si>
  <si>
    <t>-610.857540175569 245.823976227542 675.67800183532</t>
  </si>
  <si>
    <t>-451.678016596211 257.243500403534 749.67112165186</t>
  </si>
  <si>
    <t>-569.969234497419 80.4462149553619 -224.057815521627</t>
  </si>
  <si>
    <t>-454.209515036038 72.6735336840356 216.619933674079</t>
  </si>
  <si>
    <t>-616.356762927976 2.26582447516967 652.138268658532</t>
  </si>
  <si>
    <t>-462.211473410318 -36.687156037525 727.407147275872</t>
  </si>
  <si>
    <t>9763-20170724T170105.462556300.bin</t>
  </si>
  <si>
    <t>-575.668847330194 176.7921284843 -236.3589791456</t>
  </si>
  <si>
    <t>-600.227943702144 160.985630859577 -353.89550381756</t>
  </si>
  <si>
    <t>-608.589169023156 146.953417482312 -473.994341171052</t>
  </si>
  <si>
    <t>-609.36616615389 134.633942995481 -582.817472481273</t>
  </si>
  <si>
    <t>-603.447613692772 122.457988066652 -691.498571835869</t>
  </si>
  <si>
    <t>-588.250327907876 105.472335075436 -842.099125449101</t>
  </si>
  <si>
    <t>-553.268715536502 94.2359324659562 -937.141196241172</t>
  </si>
  <si>
    <t>-590.504300971573 144.3146738706 -778.545156084289</t>
  </si>
  <si>
    <t>-549.310417788079 285.138080874225 -768.568330194872</t>
  </si>
  <si>
    <t>-441.18538808076 340.099706801003 -476.208255379237</t>
  </si>
  <si>
    <t>-233.597268673693 310.314874998781 -322.383499186719</t>
  </si>
  <si>
    <t>-599.445029881215 81.6611232781418 -772.380952822747</t>
  </si>
  <si>
    <t>-581.401664879889 274.387016780152 -247.889552695732</t>
  </si>
  <si>
    <t>-577.606039289208 272.147869724637 207.783782185112</t>
  </si>
  <si>
    <t>-610.905012918716 245.934432510475 675.681576507869</t>
  </si>
  <si>
    <t>-451.728683278672 257.027659792041 749.73120120323</t>
  </si>
  <si>
    <t>-569.873265040361 79.3706619080619 -224.175726095825</t>
  </si>
  <si>
    <t>-454.017007959106 71.3656042030921 216.472616646742</t>
  </si>
  <si>
    <t>-616.45752282617 2.39249860624432 652.192502592003</t>
  </si>
  <si>
    <t>-462.395727293922 -37.1665798719641 727.316116672715</t>
  </si>
  <si>
    <t>9763-20170724T170105.496646600.bin</t>
  </si>
  <si>
    <t>-575.254761834832 176.205511144983 -236.287896080202</t>
  </si>
  <si>
    <t>-599.876808587353 160.499302236196 -353.82466937862</t>
  </si>
  <si>
    <t>-608.037220424396 146.55327452026 -473.947411555196</t>
  </si>
  <si>
    <t>-608.526695717606 134.307871557538 -582.780565122823</t>
  </si>
  <si>
    <t>-602.215969264375 122.203198507854 -691.447540315983</t>
  </si>
  <si>
    <t>-586.366123382711 105.315160262015 -841.991784154338</t>
  </si>
  <si>
    <t>-551.123956500115 94.0993247699037 -936.940096194953</t>
  </si>
  <si>
    <t>-588.98048103189 144.127483762834 -778.433164181783</t>
  </si>
  <si>
    <t>-549.752594410657 285.456582450313 -768.405362520869</t>
  </si>
  <si>
    <t>-452.337947219977 346.422132576525 -473.482116577489</t>
  </si>
  <si>
    <t>-244.012787090619 320.548942888892 -319.946116594724</t>
  </si>
  <si>
    <t>-597.777858687286 81.4478441770493 -772.32794805648</t>
  </si>
  <si>
    <t>-580.841267080024 273.753136947729 -247.775632979261</t>
  </si>
  <si>
    <t>-576.937348867404 271.665748167815 207.897666185481</t>
  </si>
  <si>
    <t>-610.863225105534 245.600201678394 675.755223288687</t>
  </si>
  <si>
    <t>-451.689231699611 257.037666034435 749.757609423418</t>
  </si>
  <si>
    <t>-569.574807891968 78.8332704980285 -224.138214388314</t>
  </si>
  <si>
    <t>-453.668504883435 70.6929344592509 216.494454524624</t>
  </si>
  <si>
    <t>-616.479116478251 2.29686363027372 652.156020365564</t>
  </si>
  <si>
    <t>-462.391852271638 -37.1812635645226 727.2699757995</t>
  </si>
  <si>
    <t>9763-20170724T170105.565346700.bin</t>
  </si>
  <si>
    <t>-574.604444877485 175.410059171277 -236.120575040669</t>
  </si>
  <si>
    <t>-599.252510396157 159.677645466329 -353.648407501932</t>
  </si>
  <si>
    <t>-606.996026520747 145.993076390331 -473.82887635873</t>
  </si>
  <si>
    <t>-606.923463243038 134.109692747141 -582.703213477411</t>
  </si>
  <si>
    <t>-599.863220974367 122.496391871883 -691.377584437045</t>
  </si>
  <si>
    <t>-582.775140452502 106.429604244458 -841.876402569711</t>
  </si>
  <si>
    <t>-546.969724382821 95.6210900179422 -936.660926768605</t>
  </si>
  <si>
    <t>-586.342651576874 144.947151701374 -778.185034144323</t>
  </si>
  <si>
    <t>-550.060626163995 287.002552511163 -767.450614055005</t>
  </si>
  <si>
    <t>-468.881428380585 357.28331443622 -469.697780666088</t>
  </si>
  <si>
    <t>-260.916950960225 336.020413228588 -314.969903452496</t>
  </si>
  <si>
    <t>-594.329517657897 82.1301412857033 -772.385680261418</t>
  </si>
  <si>
    <t>-580.64419098472 272.611142916484 -247.467881533298</t>
  </si>
  <si>
    <t>-576.15362986514 270.758306306172 208.200941185008</t>
  </si>
  <si>
    <t>-610.813033784343 244.775428082594 676.0275957426</t>
  </si>
  <si>
    <t>-451.608095021212 257.294407240498 749.787812748345</t>
  </si>
  <si>
    <t>-568.379140360284 78.4129030484271 -224.069115693879</t>
  </si>
  <si>
    <t>-452.864439000578 70.2393057657491 216.665713712963</t>
  </si>
  <si>
    <t>-616.423227134527 2.27396137285336 651.982412204492</t>
  </si>
  <si>
    <t>-462.382632541851 -37.2309246507918 727.177954840895</t>
  </si>
  <si>
    <t>9763-20170724T170105.597431600.bin</t>
  </si>
  <si>
    <t>-574.366306365779 175.326331028705 -236.004304499359</t>
  </si>
  <si>
    <t>-599.048719586275 159.453128737852 -353.505995922925</t>
  </si>
  <si>
    <t>-606.630085034735 145.851774683406 -473.706135941966</t>
  </si>
  <si>
    <t>-606.326024276491 134.137151468335 -582.598424485032</t>
  </si>
  <si>
    <t>-598.947108583372 122.786099131579 -691.279336444762</t>
  </si>
  <si>
    <t>-581.32369275164 107.181437639681 -841.764889907748</t>
  </si>
  <si>
    <t>-545.279142002977 96.6739069543764 -936.49278649093</t>
  </si>
  <si>
    <t>-585.380442693465 145.532511440805 -778.002512363731</t>
  </si>
  <si>
    <t>-550.88590288838 288.073542183269 -767.003427004993</t>
  </si>
  <si>
    <t>-473.6153984429 359.885754847367 -468.57690446566</t>
  </si>
  <si>
    <t>-266.701469160086 339.970293367828 -312.269197703337</t>
  </si>
  <si>
    <t>-592.86258478655 82.6395372309748 -772.357005053563</t>
  </si>
  <si>
    <t>-581.005606884371 272.416437909555 -247.3510441241</t>
  </si>
  <si>
    <t>-575.97346013452 270.641283236334 208.312352688779</t>
  </si>
  <si>
    <t>-610.807094759087 244.630010667822 676.081398996808</t>
  </si>
  <si>
    <t>-451.581166226443 257.224082010134 749.783565792426</t>
  </si>
  <si>
    <t>-567.544402699591 78.3931770016113 -223.998529748373</t>
  </si>
  <si>
    <t>-452.31538735706 70.4911861647604 216.816137128967</t>
  </si>
  <si>
    <t>-616.363197593778 2.32639080999274 651.870110202188</t>
  </si>
  <si>
    <t>-462.337588959258 -37.1293367561332 727.122138110309</t>
  </si>
  <si>
    <t>9763-20170724T170105.663733200.bin</t>
  </si>
  <si>
    <t>-574.115775069709 175.526160064778 -235.896855422697</t>
  </si>
  <si>
    <t>-598.889167140947 159.243370547828 -353.323178682289</t>
  </si>
  <si>
    <t>-606.308399648259 145.8702945817 -473.55911521265</t>
  </si>
  <si>
    <t>-605.740364761628 134.630946064539 -582.500454017277</t>
  </si>
  <si>
    <t>-597.97214885132 124.026434757746 -691.229566079738</t>
  </si>
  <si>
    <t>-579.670204210364 109.745905638841 -841.76577804153</t>
  </si>
  <si>
    <t>-543.275830386995 100.186428530301 -936.460254396202</t>
  </si>
  <si>
    <t>-584.609456055505 147.593626401472 -777.765152425385</t>
  </si>
  <si>
    <t>-553.219005164917 290.729328717793 -765.472667315149</t>
  </si>
  <si>
    <t>-476.530043236036 362.144234964155 -466.800597548839</t>
  </si>
  <si>
    <t>-273.871224287422 339.850500490698 -305.324737476597</t>
  </si>
  <si>
    <t>-590.926997314707 84.5356609780656 -772.551200860617</t>
  </si>
  <si>
    <t>-582.124822944954 272.569766411885 -247.328263687693</t>
  </si>
  <si>
    <t>-576.344652784942 270.903524834326 208.326740778207</t>
  </si>
  <si>
    <t>-610.753780943567 244.649298171972 676.042762152611</t>
  </si>
  <si>
    <t>-451.594362751071 257.996020142941 749.756047248577</t>
  </si>
  <si>
    <t>-565.931523095581 78.6246439704814 -223.830349074435</t>
  </si>
  <si>
    <t>-451.337433658314 71.6387510087122 217.165151104736</t>
  </si>
  <si>
    <t>-616.258235771027 2.28763440544481 651.637168856586</t>
  </si>
  <si>
    <t>-462.176502016339 -36.8034122443116 726.964566119495</t>
  </si>
  <si>
    <t>9763-20170724T170105.696809700.bin</t>
  </si>
  <si>
    <t>-574.08197015743 176.003487939202 -235.902663859676</t>
  </si>
  <si>
    <t>-598.924083698282 159.462766951739 -353.278442097795</t>
  </si>
  <si>
    <t>-606.286116874357 146.217727342277 -473.53208762377</t>
  </si>
  <si>
    <t>-605.605926486227 135.252585980762 -582.50065605863</t>
  </si>
  <si>
    <t>-597.66028209355 125.08031813194 -691.258493681694</t>
  </si>
  <si>
    <t>-579.039828850232 111.564843703753 -841.826100150827</t>
  </si>
  <si>
    <t>-542.474794748166 102.555929227233 -936.508824051193</t>
  </si>
  <si>
    <t>-584.371925125552 149.108845695896 -777.678364356846</t>
  </si>
  <si>
    <t>-554.074314348735 292.405279696428 -764.619384834274</t>
  </si>
  <si>
    <t>-476.433369216733 364.000326674581 -466.236792721352</t>
  </si>
  <si>
    <t>-275.345880015039 336.454606866012 -303.610994437341</t>
  </si>
  <si>
    <t>-590.185702114553 85.9811049777356 -772.730783571039</t>
  </si>
  <si>
    <t>-582.895172051664 273.094806359532 -247.420949496953</t>
  </si>
  <si>
    <t>-576.837802199491 271.446659615802 208.230524972549</t>
  </si>
  <si>
    <t>-610.786077180516 245.050825571666 675.95709145463</t>
  </si>
  <si>
    <t>-451.623426979864 257.801611599072 749.768868546189</t>
  </si>
  <si>
    <t>-565.150587886215 79.1266783288759 -223.716005482195</t>
  </si>
  <si>
    <t>-450.791887439411 72.5815663246715 217.347396774389</t>
  </si>
  <si>
    <t>-616.217587289277 2.44503771821473 651.472948248094</t>
  </si>
  <si>
    <t>-462.169481022994 -36.7070389471287 726.837465502888</t>
  </si>
  <si>
    <t>9763-20170724T170105.764578100.bin</t>
  </si>
  <si>
    <t>-574.271335118454 176.847674240411 -236.0363318734</t>
  </si>
  <si>
    <t>-599.221417977069 159.732262876834 -353.306765135999</t>
  </si>
  <si>
    <t>-606.42454685829 146.652797572679 -473.588210198484</t>
  </si>
  <si>
    <t>-605.473859237554 136.133614510899 -582.598743367809</t>
  </si>
  <si>
    <t>-597.121453970094 126.698660624528 -691.392459118651</t>
  </si>
  <si>
    <t>-577.787020752808 114.506560647431 -841.983109582085</t>
  </si>
  <si>
    <t>-540.87882816036 106.438164832493 -936.617579056195</t>
  </si>
  <si>
    <t>-583.833093558952 151.516823804953 -777.588954879489</t>
  </si>
  <si>
    <t>-554.776868478818 294.955444747343 -763.26776904725</t>
  </si>
  <si>
    <t>-476.889794118574 365.834152618896 -464.778300592481</t>
  </si>
  <si>
    <t>-277.982617832857 318.923107419224 -303.91401218258</t>
  </si>
  <si>
    <t>-588.850758782953 88.2855016824667 -773.113846602771</t>
  </si>
  <si>
    <t>-584.504767540526 274.006506897027 -247.827181578426</t>
  </si>
  <si>
    <t>-578.066326478342 272.54942396323 207.819691866553</t>
  </si>
  <si>
    <t>-610.686418204947 245.944096126595 675.564655672334</t>
  </si>
  <si>
    <t>-451.685422607641 258.411447861575 749.772179837781</t>
  </si>
  <si>
    <t>-563.868876112068 79.7428476884099 -223.590179449899</t>
  </si>
  <si>
    <t>-449.393787898949 74.6079080850741 217.461671456667</t>
  </si>
  <si>
    <t>-616.02348076094 2.51583793890291 650.831599982726</t>
  </si>
  <si>
    <t>-461.997992071423 -36.3069353756628 726.412410415352</t>
  </si>
  <si>
    <t>9763-20170724T170105.797666300.bin</t>
  </si>
  <si>
    <t>-574.322599960316 176.967700076206 -236.188058926554</t>
  </si>
  <si>
    <t>-599.333263871187 159.593388106255 -353.407474868338</t>
  </si>
  <si>
    <t>-606.457489307586 146.547315717761 -473.697135091479</t>
  </si>
  <si>
    <t>-605.37129628089 136.175472547045 -582.720520750081</t>
  </si>
  <si>
    <t>-596.81580558091 127.002689613975 -691.52076865436</t>
  </si>
  <si>
    <t>-577.126366709081 115.292513374435 -842.103821615151</t>
  </si>
  <si>
    <t>-540.026788000547 107.601228274127 -936.694804655491</t>
  </si>
  <si>
    <t>-583.491232021005 152.107856058502 -777.628646516012</t>
  </si>
  <si>
    <t>-554.863437088605 295.565866890767 -762.632452277486</t>
  </si>
  <si>
    <t>-477.800192633318 366.788922936001 -464.01117424576</t>
  </si>
  <si>
    <t>-279.730535082357 307.110573017896 -306.375709708636</t>
  </si>
  <si>
    <t>-588.185439673617 88.8399544274801 -773.3222944439</t>
  </si>
  <si>
    <t>-585.19239181055 274.216279572634 -248.080372737056</t>
  </si>
  <si>
    <t>-578.705014162613 272.920278653275 207.566356527243</t>
  </si>
  <si>
    <t>-610.661516239711 246.393861479191 675.380599064501</t>
  </si>
  <si>
    <t>-451.735271240466 258.751237551969 749.76644756142</t>
  </si>
  <si>
    <t>-563.295825911993 79.698339338948 -223.675583247456</t>
  </si>
  <si>
    <t>-448.879326061477 75.434451069664 217.40079145233</t>
  </si>
  <si>
    <t>-615.927406515356 2.41360634134571 650.478581963939</t>
  </si>
  <si>
    <t>-461.790988243018 -35.7248982471333 726.181439145468</t>
  </si>
  <si>
    <t>9763-20170724T170105.866391000.bin</t>
  </si>
  <si>
    <t>-574.901709566941 176.78394972198 -236.554195177806</t>
  </si>
  <si>
    <t>-599.842645082522 159.076995402318 -353.738847953256</t>
  </si>
  <si>
    <t>-606.722454815314 146.17264804967 -474.058102574372</t>
  </si>
  <si>
    <t>-605.335067047396 136.126376750829 -583.108391151068</t>
  </si>
  <si>
    <t>-596.393562041581 127.476834085915 -691.920605605191</t>
  </si>
  <si>
    <t>-576.075746682289 116.700965032557 -842.489777140479</t>
  </si>
  <si>
    <t>-538.569202207307 109.719695073237 -936.975226348484</t>
  </si>
  <si>
    <t>-583.06119530688 153.13672173071 -777.863546712154</t>
  </si>
  <si>
    <t>-555.695289137703 296.707779264051 -761.801163111297</t>
  </si>
  <si>
    <t>-480.430494108554 372.551640808145 -463.859690728059</t>
  </si>
  <si>
    <t>-284.674500232402 291.576540897028 -312.980130169776</t>
  </si>
  <si>
    <t>-587.070317120682 89.8012197788598 -773.871618115054</t>
  </si>
  <si>
    <t>-586.752264532611 273.947244171025 -248.396228046382</t>
  </si>
  <si>
    <t>-580.25169415642 272.923616994559 207.25096621934</t>
  </si>
  <si>
    <t>-610.702608446144 246.444359545294 675.383421417447</t>
  </si>
  <si>
    <t>-451.748196833913 258.790430024115 749.710848281721</t>
  </si>
  <si>
    <t>-563.01302423438 79.6130905481753 -224.011012705564</t>
  </si>
  <si>
    <t>-448.827770097662 76.2513774528995 217.133035220847</t>
  </si>
  <si>
    <t>-615.898167459825 2.61475397985942 650.122035713163</t>
  </si>
  <si>
    <t>-461.799214350933 -35.5907592100386 725.867378725661</t>
  </si>
  <si>
    <t>9763-20170724T170105.899475300.bin</t>
  </si>
  <si>
    <t>-575.412228203106 176.450757997651 -236.780831992755</t>
  </si>
  <si>
    <t>-600.26227866 158.758599573967 -353.987043438777</t>
  </si>
  <si>
    <t>-606.997051300526 145.991517762549 -474.329134346684</t>
  </si>
  <si>
    <t>-605.455637461483 136.122901664519 -583.39354045301</t>
  </si>
  <si>
    <t>-596.336811500057 127.705883094091 -692.209319047937</t>
  </si>
  <si>
    <t>-575.747863738591 117.312051622834 -842.768456247747</t>
  </si>
  <si>
    <t>-537.995199060532 110.624691700484 -937.177067179339</t>
  </si>
  <si>
    <t>-583.007988328733 153.591959412919 -778.084838127704</t>
  </si>
  <si>
    <t>-556.122562872437 297.25438256928 -761.70696358197</t>
  </si>
  <si>
    <t>-481.829924471206 373.734353111655 -463.684127163838</t>
  </si>
  <si>
    <t>-286.86529679729 287.135510291664 -314.917571868396</t>
  </si>
  <si>
    <t>-586.707683549555 90.2299857373484 -774.216581726046</t>
  </si>
  <si>
    <t>-587.487657805827 273.533602982018 -248.518169565462</t>
  </si>
  <si>
    <t>-581.125021519029 272.65872339128 207.131251742365</t>
  </si>
  <si>
    <t>-610.699622298416 246.422347211392 675.349284812011</t>
  </si>
  <si>
    <t>-451.734357405551 258.897210228313 749.632122092877</t>
  </si>
  <si>
    <t>-563.374233476672 79.4023890917185 -224.332116916552</t>
  </si>
  <si>
    <t>-449.487964260189 76.0958939353518 216.889635012955</t>
  </si>
  <si>
    <t>-615.980275417631 2.58661376529062 650.154243215156</t>
  </si>
  <si>
    <t>-461.720268197516 -35.2295092885374 725.767074813711</t>
  </si>
  <si>
    <t>9763-20170724T170105.945624000.bin</t>
  </si>
  <si>
    <t>-576.129702866853 175.998382236858 -237.005147300209</t>
  </si>
  <si>
    <t>-600.855900224198 158.430231341319 -354.256040121779</t>
  </si>
  <si>
    <t>-607.411416090902 145.863030597214 -474.629067591041</t>
  </si>
  <si>
    <t>-605.685573654222 136.20729535708 -583.710002227232</t>
  </si>
  <si>
    <t>-596.360152414142 128.035440532447 -692.526888826196</t>
  </si>
  <si>
    <t>-575.46136110045 118.016097291511 -843.068729557747</t>
  </si>
  <si>
    <t>-537.454363979865 111.617760421134 -937.395416077008</t>
  </si>
  <si>
    <t>-582.980232170838 154.141063659453 -778.327935971934</t>
  </si>
  <si>
    <t>-556.343189284853 297.754675988998 -761.580122868351</t>
  </si>
  <si>
    <t>-483.891062622345 375.218573103386 -463.358403082547</t>
  </si>
  <si>
    <t>-289.345528013767 283.139046481093 -317.360238864281</t>
  </si>
  <si>
    <t>-586.436632956108 90.7575335223128 -774.589347074294</t>
  </si>
  <si>
    <t>-588.352342675484 273.031062951752 -248.587360802053</t>
  </si>
  <si>
    <t>-581.962613113295 272.27299982608 207.061927486797</t>
  </si>
  <si>
    <t>-610.733061654188 246.261382201072 675.408035578312</t>
  </si>
  <si>
    <t>-451.717967858989 258.893049674096 749.557588187608</t>
  </si>
  <si>
    <t>-563.927942640238 79.0855236106893 -224.757592573648</t>
  </si>
  <si>
    <t>-450.499855027423 75.6744749017655 216.581383025178</t>
  </si>
  <si>
    <t>-616.054981761062 2.56542423997803 650.231107252392</t>
  </si>
  <si>
    <t>-461.724532713727 -35.1169412016377 725.766965232307</t>
  </si>
  <si>
    <t>9763-20170724T170105.997760200.bin</t>
  </si>
  <si>
    <t>-577.5592621159 174.681529946904 -237.46547094368</t>
  </si>
  <si>
    <t>-602.192433146941 157.436616075233 -354.784014050314</t>
  </si>
  <si>
    <t>-608.505527460413 145.346169053949 -475.218692533335</t>
  </si>
  <si>
    <t>-606.498023674905 136.178577081964 -584.336902776053</t>
  </si>
  <si>
    <t>-596.828070265817 128.54876039134 -693.162932616185</t>
  </si>
  <si>
    <t>-575.385291888927 119.336011462347 -843.679938147321</t>
  </si>
  <si>
    <t>-536.944050874899 113.329041488063 -937.856144571544</t>
  </si>
  <si>
    <t>-583.248776992933 155.118634688215 -778.790088781651</t>
  </si>
  <si>
    <t>-556.766239394705 298.713896738009 -761.143040275494</t>
  </si>
  <si>
    <t>-487.788507695996 376.950250694056 -462.299626150631</t>
  </si>
  <si>
    <t>-293.285090914646 274.902885788761 -323.02733279311</t>
  </si>
  <si>
    <t>-586.49733884869 91.706097968156 -775.371571030418</t>
  </si>
  <si>
    <t>-589.797481406019 271.457415890555 -248.65874955851</t>
  </si>
  <si>
    <t>-582.971551974595 271.175970025867 206.984798887883</t>
  </si>
  <si>
    <t>-610.750245817509 245.907162455019 675.450081325684</t>
  </si>
  <si>
    <t>-451.673944355793 258.9320185183 749.400043054863</t>
  </si>
  <si>
    <t>-565.248370269196 77.9502219755343 -225.612376241673</t>
  </si>
  <si>
    <t>-452.793776292892 74.2418666544775 215.973198984975</t>
  </si>
  <si>
    <t>-616.162806474407 2.44849334853939 650.55407174917</t>
  </si>
  <si>
    <t>-461.682889932572 -34.7082777047112 726.044790010486</t>
  </si>
  <si>
    <t>9763-20170724T170106.066984200.bin</t>
  </si>
  <si>
    <t>-578.894561311329 173.106414527018 -237.751607690715</t>
  </si>
  <si>
    <t>-603.592165964096 156.242498533693 -355.111838684031</t>
  </si>
  <si>
    <t>-609.710976618157 144.434336930645 -475.584633361025</t>
  </si>
  <si>
    <t>-607.425363867417 135.474143817791 -584.714569954791</t>
  </si>
  <si>
    <t>-597.378117293795 127.998864814179 -693.517236176407</t>
  </si>
  <si>
    <t>-575.311293842688 118.941883053045 -843.953308038427</t>
  </si>
  <si>
    <t>-536.375759257064 112.959234752363 -937.927942689206</t>
  </si>
  <si>
    <t>-583.413292092816 154.655950618836 -779.055161373725</t>
  </si>
  <si>
    <t>-556.618318295128 298.153104752823 -761.155167451896</t>
  </si>
  <si>
    <t>-494.091638951175 377.135248321139 -461.091173408459</t>
  </si>
  <si>
    <t>-296.779954457 271.874888696305 -328.311607215574</t>
  </si>
  <si>
    <t>-586.737058384758 91.242713438935 -775.724901475605</t>
  </si>
  <si>
    <t>-590.933094699138 269.747484499752 -248.617034095845</t>
  </si>
  <si>
    <t>-583.564137411345 269.946205548768 207.018054649067</t>
  </si>
  <si>
    <t>-610.824371571718 245.481592432898 675.628364037823</t>
  </si>
  <si>
    <t>-451.643635298378 258.729075277006 749.313558579259</t>
  </si>
  <si>
    <t>-566.786615727427 76.5098776769496 -226.190939823523</t>
  </si>
  <si>
    <t>-454.648894840084 72.6242564807094 215.473813750055</t>
  </si>
  <si>
    <t>-616.131451940504 2.4184115736457 650.870449888424</t>
  </si>
  <si>
    <t>-461.741002838209 -34.5971738132155 726.613102167378</t>
  </si>
  <si>
    <t>9763-20170724T170106.096081800.bin</t>
  </si>
  <si>
    <t>-579.362319880993 172.068149278325 -237.883108495202</t>
  </si>
  <si>
    <t>-604.125352580196 155.33974372953 -355.249065353889</t>
  </si>
  <si>
    <t>-610.222510652546 143.498421514807 -475.719607841215</t>
  </si>
  <si>
    <t>-607.886305474497 134.440396084992 -584.840371276004</t>
  </si>
  <si>
    <t>-597.760171897991 126.800089793425 -693.624415600339</t>
  </si>
  <si>
    <t>-575.557124430169 117.444018752859 -844.02214695853</t>
  </si>
  <si>
    <t>-536.425711197008 111.362007518207 -937.908953651294</t>
  </si>
  <si>
    <t>-583.724175664487 153.28730555932 -779.203444193218</t>
  </si>
  <si>
    <t>-557.053440025446 296.826382372412 -761.561722368592</t>
  </si>
  <si>
    <t>-496.644435104639 377.736586081253 -461.577586066447</t>
  </si>
  <si>
    <t>-298.215571955063 271.266420179701 -331.454088908409</t>
  </si>
  <si>
    <t>-587.038428923903 89.8801315835201 -775.748184669987</t>
  </si>
  <si>
    <t>-591.292041293694 268.652655472075 -248.598901761493</t>
  </si>
  <si>
    <t>-583.59164314938 269.128369487375 207.03048935925</t>
  </si>
  <si>
    <t>-610.794444777165 245.140363770902 675.675540614106</t>
  </si>
  <si>
    <t>-451.584852396219 258.644427928186 749.251812229789</t>
  </si>
  <si>
    <t>-567.254309141146 75.4487811781644 -226.527027709402</t>
  </si>
  <si>
    <t>-455.290089138145 71.7023012868549 215.182849621617</t>
  </si>
  <si>
    <t>-615.963482203576 2.11978833529406 650.901331593408</t>
  </si>
  <si>
    <t>-461.685909879797 -34.3368394290642 727.143381022315</t>
  </si>
  <si>
    <t>9763-20170724T170106.167305200.bin</t>
  </si>
  <si>
    <t>-580.088835932226 170.551593992595 -237.822043757288</t>
  </si>
  <si>
    <t>-605.010960448131 153.964748914615 -355.174290146872</t>
  </si>
  <si>
    <t>-611.123850291233 142.032302922157 -475.635216249844</t>
  </si>
  <si>
    <t>-608.746670511389 132.786726872059 -584.739270805815</t>
  </si>
  <si>
    <t>-598.527448061489 124.847710493879 -693.493128946009</t>
  </si>
  <si>
    <t>-576.144195428505 114.955324964281 -843.829938246257</t>
  </si>
  <si>
    <t>-536.518624340015 108.780734766718 -937.50315103402</t>
  </si>
  <si>
    <t>-584.269552829872 151.024271327138 -779.131218786293</t>
  </si>
  <si>
    <t>-557.353223976215 294.554393705784 -762.048774845338</t>
  </si>
  <si>
    <t>-499.868671869343 375.334741165934 -461.455650100175</t>
  </si>
  <si>
    <t>-300.458535192874 268.438314883495 -333.19522810027</t>
  </si>
  <si>
    <t>-587.826657039651 87.6405794844575 -775.489906569978</t>
  </si>
  <si>
    <t>-591.968963817699 267.18231886776 -248.45602670113</t>
  </si>
  <si>
    <t>-583.591663361346 268.088849232065 207.160759572653</t>
  </si>
  <si>
    <t>-610.816595471772 244.762356259647 675.819636433283</t>
  </si>
  <si>
    <t>-451.54366396464 258.565973664286 749.202904148363</t>
  </si>
  <si>
    <t>-568.088663094958 74.049607733627 -226.541057078436</t>
  </si>
  <si>
    <t>-455.781825248617 70.2237131174925 215.081201988757</t>
  </si>
  <si>
    <t>-615.84591857357 1.85681565760865 651.35707292537</t>
  </si>
  <si>
    <t>-461.770312555456 -34.4592119223239 728.073190476717</t>
  </si>
  <si>
    <t>9763-20170724T170106.198384800.bin</t>
  </si>
  <si>
    <t>-580.312594062039 170.00096918854 -237.62716370096</t>
  </si>
  <si>
    <t>-605.369658140113 153.319957260005 -354.937452335874</t>
  </si>
  <si>
    <t>-611.57456303015 141.239267925753 -475.378715236456</t>
  </si>
  <si>
    <t>-609.262050121602 131.832303882129 -584.470583458024</t>
  </si>
  <si>
    <t>-599.089056743179 123.701250270381 -693.214472752702</t>
  </si>
  <si>
    <t>-576.751418727941 113.50639976997 -843.537783625233</t>
  </si>
  <si>
    <t>-536.82673561003 107.299703870433 -937.081744379831</t>
  </si>
  <si>
    <t>-584.771233813946 149.701205000283 -778.896285386503</t>
  </si>
  <si>
    <t>-557.41264159946 293.217794146211 -762.074548976754</t>
  </si>
  <si>
    <t>-500.186924322777 375.42938674654 -461.820225699866</t>
  </si>
  <si>
    <t>-301.019151245787 267.115928755218 -334.374453781494</t>
  </si>
  <si>
    <t>-588.499047440161 86.3333876540914 -775.152628213735</t>
  </si>
  <si>
    <t>-592.17399556027 266.53755927839 -248.34270832268</t>
  </si>
  <si>
    <t>-583.528851900377 267.71853388439 207.26846554566</t>
  </si>
  <si>
    <t>-610.795344722201 244.558877166919 675.889296899811</t>
  </si>
  <si>
    <t>-451.511861446864 258.57324531209 749.20967742003</t>
  </si>
  <si>
    <t>-568.280050439561 73.4545724027168 -226.204005109649</t>
  </si>
  <si>
    <t>-455.610003474849 70.1028967898787 215.329596328307</t>
  </si>
  <si>
    <t>-615.834983566025 1.92236213947376 651.532238102727</t>
  </si>
  <si>
    <t>-461.840622001288 -34.5655915010968 728.329876319966</t>
  </si>
  <si>
    <t>9763-20170724T170106.262560800.bin</t>
  </si>
  <si>
    <t>-580.382873903339 169.443535055306 -237.248649344492</t>
  </si>
  <si>
    <t>-605.735244735064 152.499570405677 -354.457711702335</t>
  </si>
  <si>
    <t>-612.23906695963 140.052378180051 -474.84610490901</t>
  </si>
  <si>
    <t>-610.195377994437 130.261775319437 -583.909317612269</t>
  </si>
  <si>
    <t>-600.289092288627 121.688678078928 -692.644092524289</t>
  </si>
  <si>
    <t>-578.319771548421 110.812992739233 -842.973834059146</t>
  </si>
  <si>
    <t>-537.946971632511 104.483690586148 -936.31713173258</t>
  </si>
  <si>
    <t>-585.977556032559 147.289600978782 -778.446800260292</t>
  </si>
  <si>
    <t>-557.29600255655 290.626967275557 -762.337446370665</t>
  </si>
  <si>
    <t>-500.536062609547 375.28121134341 -462.673971962658</t>
  </si>
  <si>
    <t>-301.652651676 262.960515315026 -338.28945092676</t>
  </si>
  <si>
    <t>-590.103486585582 83.9607443897269 -774.46830202891</t>
  </si>
  <si>
    <t>-592.304622797411 266.066457674411 -248.222667087835</t>
  </si>
  <si>
    <t>-583.386420109277 267.506985723728 207.382464732658</t>
  </si>
  <si>
    <t>-610.768633008178 244.583599659156 675.928011051312</t>
  </si>
  <si>
    <t>-451.491791190646 258.619796370441 749.258613609394</t>
  </si>
  <si>
    <t>-568.330630273072 72.923273720369 -225.545678297561</t>
  </si>
  <si>
    <t>-454.924047964228 70.3218676988643 215.804401241806</t>
  </si>
  <si>
    <t>-615.908973959016 2.16676849246528 651.826245953124</t>
  </si>
  <si>
    <t>-461.923749646291 -34.7327973171577 728.445367374099</t>
  </si>
  <si>
    <t>9763-20170724T170106.297662000.bin</t>
  </si>
  <si>
    <t>-580.485199793725 169.414779842609 -237.097449002522</t>
  </si>
  <si>
    <t>-605.917769923511 152.368013909619 -354.274258446537</t>
  </si>
  <si>
    <t>-612.556037890056 139.671122616526 -474.629010204121</t>
  </si>
  <si>
    <t>-610.657506101526 129.591619087623 -583.668735205618</t>
  </si>
  <si>
    <t>-600.920913713086 120.664591616205 -692.390162206632</t>
  </si>
  <si>
    <t>-579.213777912327 109.227309680744 -842.716459342691</t>
  </si>
  <si>
    <t>-538.714251643101 102.775504748002 -935.996438571672</t>
  </si>
  <si>
    <t>-586.681784634795 145.940325370944 -778.301405720944</t>
  </si>
  <si>
    <t>-557.639346430032 289.241020578965 -762.658280727134</t>
  </si>
  <si>
    <t>-500.436903444342 374.563382400072 -463.268619575682</t>
  </si>
  <si>
    <t>-301.076739818413 260.548414282367 -341.210406401945</t>
  </si>
  <si>
    <t>-590.95524669501 82.6354819794781 -774.102200118061</t>
  </si>
  <si>
    <t>-592.45253346815 266.082185084986 -248.18122831556</t>
  </si>
  <si>
    <t>-583.348539958512 267.580154330614 207.41998013459</t>
  </si>
  <si>
    <t>-610.783907871171 244.691429459207 675.956045357951</t>
  </si>
  <si>
    <t>-451.490656299201 258.450565723203 749.303487026785</t>
  </si>
  <si>
    <t>-568.359752127491 72.9077606155327 -225.322584285808</t>
  </si>
  <si>
    <t>-454.766520842893 70.4197364093634 215.980084854034</t>
  </si>
  <si>
    <t>-615.969779368825 2.17715159753106 651.916102877408</t>
  </si>
  <si>
    <t>-461.952733860971 -34.8516107860212 728.408735599255</t>
  </si>
  <si>
    <t>9763-20170724T170106.363350000.bin</t>
  </si>
  <si>
    <t>-580.865979489284 169.39579525164 -236.927288277169</t>
  </si>
  <si>
    <t>-606.447913863884 152.295043635361 -354.063716473703</t>
  </si>
  <si>
    <t>-613.472303407982 139.185769959291 -474.352389979685</t>
  </si>
  <si>
    <t>-612.024523060215 128.586134906064 -583.349738398997</t>
  </si>
  <si>
    <t>-602.842420240814 118.990768327256 -692.062354383645</t>
  </si>
  <si>
    <t>-582.015253060447 106.46974488929 -842.426870200195</t>
  </si>
  <si>
    <t>-541.62804162608 99.8375524486539 -935.742872974279</t>
  </si>
  <si>
    <t>-589.072906346139 143.644442227479 -778.230594424021</t>
  </si>
  <si>
    <t>-559.643140800334 286.990971269444 -763.660577892183</t>
  </si>
  <si>
    <t>-500.784776848463 372.33001607721 -464.596884910578</t>
  </si>
  <si>
    <t>-299.493462638089 256.2899783902 -347.726932430695</t>
  </si>
  <si>
    <t>-593.388370088933 80.3753997966628 -773.559908972139</t>
  </si>
  <si>
    <t>-593.187191510466 266.013170432832 -248.031447221865</t>
  </si>
  <si>
    <t>-583.448557699926 267.556853612434 207.556610381698</t>
  </si>
  <si>
    <t>-610.752163834929 244.596220168396 676.05647914882</t>
  </si>
  <si>
    <t>-451.462102758456 258.570018983588 749.370268341768</t>
  </si>
  <si>
    <t>-568.525020292676 72.9457971346656 -225.150471955306</t>
  </si>
  <si>
    <t>-454.860156800182 70.4761047994816 216.13385183025</t>
  </si>
  <si>
    <t>-616.117109806559 2.03281846208415 652.095934989205</t>
  </si>
  <si>
    <t>-461.922737736085 -34.9391777273838 728.258141071838</t>
  </si>
  <si>
    <t>9763-20170724T170106.394429700.bin</t>
  </si>
  <si>
    <t>-581.147499312439 169.413670053445 -236.933404647431</t>
  </si>
  <si>
    <t>-606.739353680335 152.281930019977 -354.063109385894</t>
  </si>
  <si>
    <t>-613.987774934239 138.849046231628 -474.302699175774</t>
  </si>
  <si>
    <t>-612.836179629739 127.843960927237 -583.263427945504</t>
  </si>
  <si>
    <t>-604.046525642666 117.733289220198 -691.961969176573</t>
  </si>
  <si>
    <t>-583.866277494947 104.385505543951 -842.343443584781</t>
  </si>
  <si>
    <t>-543.659381861994 97.5894549097477 -935.725386581185</t>
  </si>
  <si>
    <t>-590.725206953411 141.916932310173 -778.333507342765</t>
  </si>
  <si>
    <t>-561.571593129562 285.439602066645 -764.511021670124</t>
  </si>
  <si>
    <t>-501.049167201762 370.987381290446 -465.839238122709</t>
  </si>
  <si>
    <t>-299.382272807946 255.080531739605 -349.485870426011</t>
  </si>
  <si>
    <t>-594.865580580293 78.6661377584282 -773.274984663359</t>
  </si>
  <si>
    <t>-593.702370014946 265.910836255499 -247.969772354709</t>
  </si>
  <si>
    <t>-583.665404576047 267.450703082118 207.611924855718</t>
  </si>
  <si>
    <t>-610.737868001827 244.468499378939 676.128473552465</t>
  </si>
  <si>
    <t>-451.444352740346 258.681942521308 749.388685057912</t>
  </si>
  <si>
    <t>-568.519662409364 73.0756912083004 -225.185047459966</t>
  </si>
  <si>
    <t>-455.057617809449 70.5159922834562 216.150957441827</t>
  </si>
  <si>
    <t>-616.147114227367 1.95942136609756 652.111940222896</t>
  </si>
  <si>
    <t>-461.843115105848 -34.71056675982 728.198049513716</t>
  </si>
  <si>
    <t>9763-20170724T170106.464120900.bin</t>
  </si>
  <si>
    <t>-581.689498983625 169.976650577844 -237.048435692488</t>
  </si>
  <si>
    <t>-607.155058142299 152.882338192808 -354.211202313062</t>
  </si>
  <si>
    <t>-614.680607311975 138.544730971006 -474.32934130168</t>
  </si>
  <si>
    <t>-613.96573128173 126.336145291226 -583.165401260019</t>
  </si>
  <si>
    <t>-605.810405232395 114.634395342425 -691.753696764787</t>
  </si>
  <si>
    <t>-586.726732742742 98.6702906132325 -842.02333162304</t>
  </si>
  <si>
    <t>-546.770851363282 91.1971501776702 -935.461224774636</t>
  </si>
  <si>
    <t>-593.101822667361 137.309294365713 -778.625360538347</t>
  </si>
  <si>
    <t>-564.094930160272 281.002508510978 -767.355864189215</t>
  </si>
  <si>
    <t>-500.26432308175 368.632677589994 -469.979344145949</t>
  </si>
  <si>
    <t>-298.34044537463 253.345327582898 -353.456300115213</t>
  </si>
  <si>
    <t>-597.239537081838 74.1584525131111 -772.441883109598</t>
  </si>
  <si>
    <t>-594.812061242718 266.307921009967 -247.897560758833</t>
  </si>
  <si>
    <t>-584.507350563855 267.579885609161 207.678877230485</t>
  </si>
  <si>
    <t>-610.731670284884 244.291000400461 676.232129593353</t>
  </si>
  <si>
    <t>-451.415891501961 258.885028865231 749.369023658281</t>
  </si>
  <si>
    <t>-568.49032474702 73.7872278383775 -225.564915727808</t>
  </si>
  <si>
    <t>-455.751300691498 70.8908188444987 215.954367239822</t>
  </si>
  <si>
    <t>-616.090454411257 1.99880924150034 652.087876775748</t>
  </si>
  <si>
    <t>-461.800952697751 -34.4876451449061 728.291567159042</t>
  </si>
  <si>
    <t>9763-20170724T170106.498209800.bin</t>
  </si>
  <si>
    <t>-582.025237015878 170.582504620448 -237.160907634924</t>
  </si>
  <si>
    <t>-607.405450001606 153.508582090383 -354.345053763394</t>
  </si>
  <si>
    <t>-615.027131817614 138.699038388593 -474.399928889803</t>
  </si>
  <si>
    <t>-614.484951208601 125.856503715088 -583.163895349188</t>
  </si>
  <si>
    <t>-606.595107924476 113.309086569466 -691.677429141435</t>
  </si>
  <si>
    <t>-587.983148457787 95.9451489415485 -841.85095677805</t>
  </si>
  <si>
    <t>-548.054794625155 88.0188319630433 -935.26338508252</t>
  </si>
  <si>
    <t>-594.0375681001 135.16694076443 -778.780205312445</t>
  </si>
  <si>
    <t>-564.317722504764 278.871985037733 -769.060975336345</t>
  </si>
  <si>
    <t>-498.327606898906 368.015838432958 -472.607171691335</t>
  </si>
  <si>
    <t>-296.793013327751 252.659611571817 -355.479930486208</t>
  </si>
  <si>
    <t>-598.399144619142 72.0893381615792 -772.02731619478</t>
  </si>
  <si>
    <t>-595.246351486884 266.852578930879 -247.936001665078</t>
  </si>
  <si>
    <t>-585.01569491458 267.940065609934 207.642579134216</t>
  </si>
  <si>
    <t>-610.783288372513 244.412378780227 676.236208660477</t>
  </si>
  <si>
    <t>-451.43691030343 258.840410608621 749.339351325468</t>
  </si>
  <si>
    <t>-568.680907331214 74.3202318413114 -225.792354910432</t>
  </si>
  <si>
    <t>-456.177639403283 71.1668808070449 215.785240427924</t>
  </si>
  <si>
    <t>-615.952551352153 1.78635281284892 651.997158577155</t>
  </si>
  <si>
    <t>-461.656564477645 -34.0539785493368 728.493703943723</t>
  </si>
  <si>
    <t>9763-20170724T170106.566923600.bin</t>
  </si>
  <si>
    <t>-582.775475249018 171.934357810997 -237.304353796184</t>
  </si>
  <si>
    <t>-608.233661998837 154.880077350465 -354.47458653367</t>
  </si>
  <si>
    <t>-616.307340462055 139.072085284681 -474.37236608128</t>
  </si>
  <si>
    <t>-616.351182657396 124.905324778526 -582.973198591841</t>
  </si>
  <si>
    <t>-609.239573402587 110.608718747072 -691.323979719041</t>
  </si>
  <si>
    <t>-591.922429683362 90.3675386938141 -841.291975936948</t>
  </si>
  <si>
    <t>-552.159202463079 81.0692412625244 -934.648402420709</t>
  </si>
  <si>
    <t>-597.036686347917 130.768064131465 -778.885693421158</t>
  </si>
  <si>
    <t>-565.247297172402 274.17401027857 -771.938033814098</t>
  </si>
  <si>
    <t>-493.770489853524 367.005418390149 -477.897909160356</t>
  </si>
  <si>
    <t>-293.6380201181 250.680382056826 -359.333382133612</t>
  </si>
  <si>
    <t>-602.132778053901 67.8791853370838 -770.985968488633</t>
  </si>
  <si>
    <t>-595.733448127638 268.25387633358 -248.076715213359</t>
  </si>
  <si>
    <t>-585.316293552579 268.717991618312 207.498715181785</t>
  </si>
  <si>
    <t>-610.777499681574 244.582872493836 676.102408596433</t>
  </si>
  <si>
    <t>-451.449424317252 258.866350013836 749.273778892596</t>
  </si>
  <si>
    <t>-569.675688924605 75.5067375592073 -225.942218794394</t>
  </si>
  <si>
    <t>-457.065939918138 71.9207833916817 215.604890283783</t>
  </si>
  <si>
    <t>-615.749599625498 1.57818048625381 652.076888081854</t>
  </si>
  <si>
    <t>-461.573827926776 -33.6875700549706 729.081235395586</t>
  </si>
  <si>
    <t>9763-20170724T170106.597012000.bin</t>
  </si>
  <si>
    <t>-583.16528661282 172.552932082568 -237.307849572556</t>
  </si>
  <si>
    <t>-608.743941172561 155.500433251281 -354.451984841702</t>
  </si>
  <si>
    <t>-617.094876409373 139.105789238111 -474.251957462614</t>
  </si>
  <si>
    <t>-617.468444580929 124.167514525073 -582.748758928186</t>
  </si>
  <si>
    <t>-610.774994304018 108.857755721123 -690.987619642256</t>
  </si>
  <si>
    <t>-594.139450652258 86.9563750916141 -840.799511856555</t>
  </si>
  <si>
    <t>-554.478519990204 76.8220777997155 -934.112406259158</t>
  </si>
  <si>
    <t>-598.724342137864 128.029035682009 -778.792112645954</t>
  </si>
  <si>
    <t>-565.780369468552 271.241575716317 -773.139030239235</t>
  </si>
  <si>
    <t>-491.021969082421 365.731480822569 -480.44630389794</t>
  </si>
  <si>
    <t>-291.823082198688 249.227875359702 -360.493227926386</t>
  </si>
  <si>
    <t>-604.275986484506 65.2651181400215 -770.232815280794</t>
  </si>
  <si>
    <t>-595.835468716089 268.973617275151 -248.140815100189</t>
  </si>
  <si>
    <t>-585.238374874093 269.109011830127 207.430671145207</t>
  </si>
  <si>
    <t>-610.757633708714 244.641812826144 676.029822855829</t>
  </si>
  <si>
    <t>-451.455536349832 258.924907920245 749.257933649807</t>
  </si>
  <si>
    <t>-570.378739606035 76.0429180656761 -225.890422027661</t>
  </si>
  <si>
    <t>-457.424262280001 72.2466165532444 215.566876515049</t>
  </si>
  <si>
    <t>-615.725550519842 1.74370890682712 652.202221402805</t>
  </si>
  <si>
    <t>-461.717266427659 -33.979894495043 729.330560315059</t>
  </si>
  <si>
    <t>9763-20170724T170106.662223600.bin</t>
  </si>
  <si>
    <t>-584.164645370709 173.643825096394 -237.154592660498</t>
  </si>
  <si>
    <t>-610.0839949525 156.640134291919 -354.230895021076</t>
  </si>
  <si>
    <t>-619.00941893537 139.246062285196 -473.848452811451</t>
  </si>
  <si>
    <t>-620.02562774919 122.970587670776 -582.148669039475</t>
  </si>
  <si>
    <t>-614.116162332707 105.887175893561 -690.167531222447</t>
  </si>
  <si>
    <t>-598.734150295721 81.0634651788705 -839.657306529617</t>
  </si>
  <si>
    <t>-559.417185948434 69.3479748769182 -932.93057779224</t>
  </si>
  <si>
    <t>-602.270408778743 123.297924768131 -778.365648083278</t>
  </si>
  <si>
    <t>-566.595883034123 265.912782256474 -775.107987093305</t>
  </si>
  <si>
    <t>-486.267850075393 361.980544159765 -484.411226241938</t>
  </si>
  <si>
    <t>-288.924288954373 247.031305853444 -359.975563617081</t>
  </si>
  <si>
    <t>-608.809993936907 60.7965205962034 -768.659791819402</t>
  </si>
  <si>
    <t>-596.113940868197 270.263660048889 -248.108206766812</t>
  </si>
  <si>
    <t>-584.983814683488 269.77488507794 207.450300141437</t>
  </si>
  <si>
    <t>-610.703514283221 244.58617325093 675.985625582064</t>
  </si>
  <si>
    <t>-451.419822066289 258.700685232378 749.286290253483</t>
  </si>
  <si>
    <t>-572.132299773286 77.0558643515592 -225.53962660211</t>
  </si>
  <si>
    <t>-457.883375173578 72.6944393232163 215.579256494707</t>
  </si>
  <si>
    <t>-615.742688886838 1.91059236556225 652.441932590728</t>
  </si>
  <si>
    <t>-461.953022056779 -34.414955362995 729.725213877761</t>
  </si>
  <si>
    <t>9763-20170724T170106.702330600.bin</t>
  </si>
  <si>
    <t>-584.565540198551 174.162651634025 -237.032840569729</t>
  </si>
  <si>
    <t>-610.638662322053 157.139782388563 -354.072328624798</t>
  </si>
  <si>
    <t>-619.782448586719 139.324213681751 -473.611242595827</t>
  </si>
  <si>
    <t>-621.033459805195 122.502652728373 -581.825533603222</t>
  </si>
  <si>
    <t>-615.403475467552 104.708199128727 -689.744451954828</t>
  </si>
  <si>
    <t>-600.463298545772 78.7235248857633 -839.081705536353</t>
  </si>
  <si>
    <t>-561.271596113254 66.3225962168681 -932.319082854687</t>
  </si>
  <si>
    <t>-603.608688045593 121.414208127812 -778.085473713558</t>
  </si>
  <si>
    <t>-566.953296614472 263.787347957833 -775.834368098632</t>
  </si>
  <si>
    <t>-484.222508310155 360.231932102744 -485.937338177502</t>
  </si>
  <si>
    <t>-287.978170186685 244.444625745198 -360.543797920089</t>
  </si>
  <si>
    <t>-610.539067987779 59.0274806350978 -767.923655660165</t>
  </si>
  <si>
    <t>-596.208437617569 270.94358682554 -248.067254893914</t>
  </si>
  <si>
    <t>-584.760406704214 270.097391640958 207.482759993107</t>
  </si>
  <si>
    <t>-610.672482665155 244.604489135634 675.949516861307</t>
  </si>
  <si>
    <t>-451.401379333975 258.558453932167 749.308277531442</t>
  </si>
  <si>
    <t>-572.795299131976 77.4421038667515 -225.300953206387</t>
  </si>
  <si>
    <t>-458.000611761059 72.8529008088701 215.673869582509</t>
  </si>
  <si>
    <t>-615.7542020587 1.68847600145773 652.542798908839</t>
  </si>
  <si>
    <t>-461.910753479286 -34.416367002696 729.822463201286</t>
  </si>
  <si>
    <t>9763-20170724T170106.766022400.bin</t>
  </si>
  <si>
    <t>-585.180484389829 175.579625361135 -236.821986285415</t>
  </si>
  <si>
    <t>-611.60214740622 158.466734840526 -353.770001528798</t>
  </si>
  <si>
    <t>-621.047650636781 140.115480289617 -473.204533742328</t>
  </si>
  <si>
    <t>-622.563461064087 122.629937581708 -581.309913018503</t>
  </si>
  <si>
    <t>-617.197908548859 103.993512339483 -689.100314705672</t>
  </si>
  <si>
    <t>-602.632052644226 76.6555875592896 -838.232739427443</t>
  </si>
  <si>
    <t>-563.560692151341 63.2799375594789 -931.385913269541</t>
  </si>
  <si>
    <t>-605.393104292266 119.875885527673 -777.591900246226</t>
  </si>
  <si>
    <t>-567.515443408296 261.951218474821 -776.594624148954</t>
  </si>
  <si>
    <t>-481.199552447964 358.337204350701 -487.72521011857</t>
  </si>
  <si>
    <t>-286.424933065694 242.686523193285 -359.937038230172</t>
  </si>
  <si>
    <t>-612.760832428317 57.6278383329268 -766.900626265837</t>
  </si>
  <si>
    <t>-596.344727224332 272.556147814277 -248.04406707954</t>
  </si>
  <si>
    <t>-584.275028950168 271.016996149744 207.488251693127</t>
  </si>
  <si>
    <t>-610.663389246139 244.803962228261 675.878534982476</t>
  </si>
  <si>
    <t>-451.414477846762 258.364976665061 749.359062550335</t>
  </si>
  <si>
    <t>-573.86847523138 78.8117553997713 -224.840848813123</t>
  </si>
  <si>
    <t>-458.118214224415 73.9649889541583 215.881264045312</t>
  </si>
  <si>
    <t>-615.745291985814 1.88534538829231 652.579849325342</t>
  </si>
  <si>
    <t>-462.027810765065 -34.750058651889 729.860479846616</t>
  </si>
  <si>
    <t>9763-20170724T170106.797100300.bin</t>
  </si>
  <si>
    <t>-585.407563482009 176.326316122029 -236.697941763334</t>
  </si>
  <si>
    <t>-611.965017382447 159.147447006277 -353.605574000929</t>
  </si>
  <si>
    <t>-621.475059442635 140.641935645157 -473.010993079813</t>
  </si>
  <si>
    <t>-623.022169149788 122.979750670242 -581.087507671731</t>
  </si>
  <si>
    <t>-617.662426252222 104.129622112109 -688.840844467011</t>
  </si>
  <si>
    <t>-603.080181861578 76.4550322910877 -837.909541954949</t>
  </si>
  <si>
    <t>-564.004079672555 62.7700804185388 -931.015744047255</t>
  </si>
  <si>
    <t>-605.797327281583 119.807039599665 -777.360933991434</t>
  </si>
  <si>
    <t>-567.756170618704 261.842930775142 -776.788466805619</t>
  </si>
  <si>
    <t>-480.433139782334 357.220118982635 -487.887098718908</t>
  </si>
  <si>
    <t>-285.768939304874 241.975686914905 -359.564823052996</t>
  </si>
  <si>
    <t>-613.267384357963 57.5934469285783 -766.541567626135</t>
  </si>
  <si>
    <t>-596.520015388538 273.349516649548 -248.026275945454</t>
  </si>
  <si>
    <t>-583.995865474863 271.473157612392 207.492530440827</t>
  </si>
  <si>
    <t>-610.594432308081 244.775198508692 675.832391881773</t>
  </si>
  <si>
    <t>-451.370534935797 258.237125415425 749.385338346631</t>
  </si>
  <si>
    <t>-574.148323416475 79.5538418458389 -224.655651235183</t>
  </si>
  <si>
    <t>-458.073788619662 74.5331432618068 215.97922592031</t>
  </si>
  <si>
    <t>-615.749948908825 1.79244157154108 652.586250924513</t>
  </si>
  <si>
    <t>-461.947373919085 -34.6245610569849 729.800773255802</t>
  </si>
  <si>
    <t>9763-20170724T170106.881891700.bin</t>
  </si>
  <si>
    <t>-585.96996667334 177.846741968938 -236.524010165036</t>
  </si>
  <si>
    <t>-612.666347276355 160.597745918324 -353.389704560703</t>
  </si>
  <si>
    <t>-622.053582528993 142.056840183337 -472.799406027152</t>
  </si>
  <si>
    <t>-623.381465870957 124.373555707156 -580.875246252003</t>
  </si>
  <si>
    <t>-617.694594647959 105.510983827964 -688.609653387625</t>
  </si>
  <si>
    <t>-602.54630984581 77.8263488952057 -837.620055108679</t>
  </si>
  <si>
    <t>-563.162194847867 63.9081840450335 -930.561739240057</t>
  </si>
  <si>
    <t>-605.529851051065 121.186065055177 -777.089451023616</t>
  </si>
  <si>
    <t>-567.478740334222 263.222122357677 -776.613492284723</t>
  </si>
  <si>
    <t>-479.72742215881 355.965615200438 -486.985178598789</t>
  </si>
  <si>
    <t>-285.195127180282 241.826494489645 -357.480204145389</t>
  </si>
  <si>
    <t>-612.968063918847 58.9657901442495 -766.285695984739</t>
  </si>
  <si>
    <t>-597.13524211613 274.770308623188 -247.93621998547</t>
  </si>
  <si>
    <t>-584.033521341983 272.349256410315 207.563666961302</t>
  </si>
  <si>
    <t>-610.538650828683 244.785730282088 675.820884594108</t>
  </si>
  <si>
    <t>-451.355426834384 258.37969775895 749.437529441714</t>
  </si>
  <si>
    <t>-574.711278254622 81.0933080915379 -224.42577857426</t>
  </si>
  <si>
    <t>-458.270292199795 75.6374958471895 216.107338305774</t>
  </si>
  <si>
    <t>-615.855241052859 1.85482842877309 652.62118218805</t>
  </si>
  <si>
    <t>-461.868551831377 -34.5523774713902 729.472488239499</t>
  </si>
  <si>
    <t>9763-20170724T170106.899939300.bin</t>
  </si>
  <si>
    <t>-586.340224721925 178.528454285042 -236.538955199121</t>
  </si>
  <si>
    <t>-613.097712577695 161.282757612807 -353.391232053269</t>
  </si>
  <si>
    <t>-622.405036796243 142.806501233594 -472.81715561506</t>
  </si>
  <si>
    <t>-623.601292960693 125.204649016085 -580.907891479529</t>
  </si>
  <si>
    <t>-617.722621651089 106.445626943354 -688.650062290737</t>
  </si>
  <si>
    <t>-602.244901191072 78.9269420049586 -837.657332798121</t>
  </si>
  <si>
    <t>-562.713313100998 65.0346022892634 -930.540288801368</t>
  </si>
  <si>
    <t>-605.418395454592 122.224573244765 -777.092062341153</t>
  </si>
  <si>
    <t>-567.719573064503 264.363859633865 -776.581266687217</t>
  </si>
  <si>
    <t>-480.269081560186 355.907870332315 -486.480882426876</t>
  </si>
  <si>
    <t>-285.782925769972 242.456543677226 -356.304061669104</t>
  </si>
  <si>
    <t>-612.76823343049 59.981570889774 -766.360361592398</t>
  </si>
  <si>
    <t>-597.648127733269 275.436182689086 -247.915493684826</t>
  </si>
  <si>
    <t>-584.169354139243 272.746643338924 207.571907769607</t>
  </si>
  <si>
    <t>-610.554552675887 244.876153076015 675.823898617227</t>
  </si>
  <si>
    <t>-451.355463910096 258.220523356774 749.451895478923</t>
  </si>
  <si>
    <t>-574.913528944863 81.780902384193 -224.491822641455</t>
  </si>
  <si>
    <t>-458.573316664128 76.2541181544752 216.067013450795</t>
  </si>
  <si>
    <t>-615.871694031372 1.97812007000562 652.557885785203</t>
  </si>
  <si>
    <t>-461.879416262568 -34.5169607386795 729.356301529737</t>
  </si>
  <si>
    <t>9763-20170724T170106.963634300.bin</t>
  </si>
  <si>
    <t>-587.216603991919 179.435079975126 -236.532725419852</t>
  </si>
  <si>
    <t>-614.011421978681 162.238284788061 -353.383608757656</t>
  </si>
  <si>
    <t>-623.146178752073 143.966960383013 -472.854409276135</t>
  </si>
  <si>
    <t>-624.095979308643 126.614553329334 -580.987825902311</t>
  </si>
  <si>
    <t>-617.877866610852 108.169474049175 -688.765283042299</t>
  </si>
  <si>
    <t>-601.829571958467 81.1544751165991 -837.804298187609</t>
  </si>
  <si>
    <t>-562.190908372715 67.5436297723236 -930.683205833419</t>
  </si>
  <si>
    <t>-605.330634189898 124.256559638051 -777.117487808396</t>
  </si>
  <si>
    <t>-568.274874210296 266.567841708523 -776.398062508571</t>
  </si>
  <si>
    <t>-483.548464178367 357.437411872648 -485.279076767233</t>
  </si>
  <si>
    <t>-289.210559974197 244.810806831481 -354.168105762655</t>
  </si>
  <si>
    <t>-612.530225790466 61.9590826263825 -766.600714055285</t>
  </si>
  <si>
    <t>-598.496814762534 276.274489629647 -247.870748661022</t>
  </si>
  <si>
    <t>-584.752030520156 273.242719438121 207.606487654317</t>
  </si>
  <si>
    <t>-610.557045997064 244.908385912462 675.849582359424</t>
  </si>
  <si>
    <t>-451.341190348569 258.183060793446 749.453928260386</t>
  </si>
  <si>
    <t>-575.821108639612 82.6408643583673 -224.512931318262</t>
  </si>
  <si>
    <t>-459.188239991434 76.8356892511811 215.964889734689</t>
  </si>
  <si>
    <t>-615.905553431978 1.95500440073374 652.508286588995</t>
  </si>
  <si>
    <t>-461.830612547819 -34.3293609288805 729.240752162336</t>
  </si>
  <si>
    <t>9763-20170724T170106.997724200.bin</t>
  </si>
  <si>
    <t>-587.478065386071 179.676887894223 -236.569079070942</t>
  </si>
  <si>
    <t>-614.294045613898 162.548753353169 -353.42517544597</t>
  </si>
  <si>
    <t>-623.320713178574 144.415570655266 -472.925362183943</t>
  </si>
  <si>
    <t>-624.117772576254 127.219094970914 -581.08490577446</t>
  </si>
  <si>
    <t>-617.690493389256 108.962834133484 -688.882100778737</t>
  </si>
  <si>
    <t>-601.291578918137 82.2464245711726 -837.93686905856</t>
  </si>
  <si>
    <t>-561.604646695412 68.8848966064338 -930.831491492622</t>
  </si>
  <si>
    <t>-604.970151815721 125.229930734038 -777.176816149069</t>
  </si>
  <si>
    <t>-568.244102033783 267.627972958434 -776.417564856019</t>
  </si>
  <si>
    <t>-485.822703303537 358.359078448981 -484.594342335726</t>
  </si>
  <si>
    <t>-291.664135552828 244.907951734513 -353.929328838879</t>
  </si>
  <si>
    <t>-612.125087806442 62.9050557053608 -766.792767398095</t>
  </si>
  <si>
    <t>-598.599627811479 276.572442331374 -247.890557713903</t>
  </si>
  <si>
    <t>-585.068722879762 273.408434172404 207.592248686342</t>
  </si>
  <si>
    <t>-610.571049143007 244.990587260417 675.842444614527</t>
  </si>
  <si>
    <t>-451.343640803897 258.108455282486 749.449959020327</t>
  </si>
  <si>
    <t>-576.217480997485 82.760474045351 -224.574759902239</t>
  </si>
  <si>
    <t>-459.480645609444 76.970839864287 215.875712305539</t>
  </si>
  <si>
    <t>-615.899885022426 1.8671821130938 652.465025427655</t>
  </si>
  <si>
    <t>-461.81763294116 -34.3364128595074 729.221021062656</t>
  </si>
  <si>
    <t>9763-20170724T170107.063984500.bin</t>
  </si>
  <si>
    <t>-587.84640521035 180.104604055189 -236.562129156674</t>
  </si>
  <si>
    <t>-614.649655392411 163.104261545233 -353.439750666749</t>
  </si>
  <si>
    <t>-623.529286300893 145.264715233262 -472.995129128474</t>
  </si>
  <si>
    <t>-624.133041478341 128.412304135714 -581.2100242242</t>
  </si>
  <si>
    <t>-617.447852569234 110.586490066483 -689.063638098301</t>
  </si>
  <si>
    <t>-600.61897485671 84.5645426398912 -838.193269298504</t>
  </si>
  <si>
    <t>-560.983635588506 71.7005253276247 -931.179973474547</t>
  </si>
  <si>
    <t>-604.541258947597 127.271099645539 -777.253117192804</t>
  </si>
  <si>
    <t>-568.492815276024 269.836234900614 -776.162950179525</t>
  </si>
  <si>
    <t>-491.158493556628 360.114895276916 -482.810966628922</t>
  </si>
  <si>
    <t>-296.468802683139 244.421619234691 -354.931916488876</t>
  </si>
  <si>
    <t>-611.589165869085 64.8859402182563 -767.162860872825</t>
  </si>
  <si>
    <t>-598.456022982986 277.223169203107 -247.948237829503</t>
  </si>
  <si>
    <t>-585.47754247585 273.865165071824 207.549260660011</t>
  </si>
  <si>
    <t>-610.646555075363 245.36026797846 675.802687528185</t>
  </si>
  <si>
    <t>-451.395580330549 257.855146649507 749.467493596169</t>
  </si>
  <si>
    <t>-577.106616348611 83.0953792957723 -224.547468563801</t>
  </si>
  <si>
    <t>-459.663467057433 77.0177272342996 215.711368467265</t>
  </si>
  <si>
    <t>-615.921720593379 1.87674854804436 652.404830842847</t>
  </si>
  <si>
    <t>-461.909079270449 -34.6261174021297 729.158739869595</t>
  </si>
  <si>
    <t>9763-20170724T170107.098074100.bin</t>
  </si>
  <si>
    <t>-587.853549596949 180.180808768702 -236.525924770545</t>
  </si>
  <si>
    <t>-614.689701022768 163.227235016539 -353.402744180628</t>
  </si>
  <si>
    <t>-623.504667574137 145.605261842677 -472.995017093562</t>
  </si>
  <si>
    <t>-624.004368399585 129.02837408065 -581.253140970274</t>
  </si>
  <si>
    <t>-617.165585520424 111.561754844269 -689.155834347879</t>
  </si>
  <si>
    <t>-600.06773642304 86.1315495900217 -838.35696045837</t>
  </si>
  <si>
    <t>-560.432630499924 73.5744867244919 -931.3857271838</t>
  </si>
  <si>
    <t>-604.184691623669 128.603608715667 -777.266216741622</t>
  </si>
  <si>
    <t>-568.636230084634 271.254478104351 -775.849476661108</t>
  </si>
  <si>
    <t>-494.00840170858 360.465280976033 -481.47173474374</t>
  </si>
  <si>
    <t>-298.408292750452 244.475899963511 -355.261093604593</t>
  </si>
  <si>
    <t>-611.081305872254 66.1636533224259 -767.414130553846</t>
  </si>
  <si>
    <t>-598.195958863057 277.34513235263 -247.954682170493</t>
  </si>
  <si>
    <t>-585.523559771349 273.944362172898 207.551012322139</t>
  </si>
  <si>
    <t>-610.634752129899 245.407055342019 675.791434791792</t>
  </si>
  <si>
    <t>-451.396928000991 257.898456193199 749.485400485377</t>
  </si>
  <si>
    <t>-577.391276645348 83.1377158866019 -224.456266346629</t>
  </si>
  <si>
    <t>-459.52235428202 76.980281206769 215.687680610733</t>
  </si>
  <si>
    <t>-615.957229179216 1.94688136607533 652.356082673633</t>
  </si>
  <si>
    <t>-461.945775648279 -34.6695733625247 729.058194997507</t>
  </si>
  <si>
    <t>9763-20170724T170107.168268900.bin</t>
  </si>
  <si>
    <t>-587.491117621156 180.303753478875 -236.501637154498</t>
  </si>
  <si>
    <t>-614.44249981206 163.355692406312 -353.352816446471</t>
  </si>
  <si>
    <t>-623.101094038248 146.273999822494 -473.034974452462</t>
  </si>
  <si>
    <t>-623.332550030534 130.422851564426 -581.402538471492</t>
  </si>
  <si>
    <t>-616.087849710775 113.93208383371 -689.432308362839</t>
  </si>
  <si>
    <t>-598.272507325013 90.129263136382 -838.817726686693</t>
  </si>
  <si>
    <t>-558.559867268666 78.2429436325915 -931.901620413616</t>
  </si>
  <si>
    <t>-602.872507045421 131.949698492966 -777.313235770398</t>
  </si>
  <si>
    <t>-568.576860759067 274.934275287035 -774.5512059115</t>
  </si>
  <si>
    <t>-500.97519567978 362.124627654083 -477.879500661283</t>
  </si>
  <si>
    <t>-303.525398027101 246.156792077197 -354.562512029821</t>
  </si>
  <si>
    <t>-609.438028247365 69.3726805929023 -768.125363438385</t>
  </si>
  <si>
    <t>-597.258513591565 277.742454238098 -248.095249805559</t>
  </si>
  <si>
    <t>-585.424914003572 274.353926375294 207.433102138151</t>
  </si>
  <si>
    <t>-610.611288722086 245.939511080039 675.605050888876</t>
  </si>
  <si>
    <t>-451.432082049924 257.700620099745 749.545281179943</t>
  </si>
  <si>
    <t>-577.590163713592 82.9070611081704 -224.264324006409</t>
  </si>
  <si>
    <t>-459.104102573279 77.3419462910676 215.721784143016</t>
  </si>
  <si>
    <t>-616.044168105033 2.16746991700302 652.214219871228</t>
  </si>
  <si>
    <t>-462.077578570915 -35.018430774147 728.732290908188</t>
  </si>
  <si>
    <t>9763-20170724T170107.194338900.bin</t>
  </si>
  <si>
    <t>-587.220608595725 180.317021959121 -236.563523587352</t>
  </si>
  <si>
    <t>-614.196630214429 163.399393266796 -353.413424117172</t>
  </si>
  <si>
    <t>-622.716580656088 146.616295567213 -473.147791460407</t>
  </si>
  <si>
    <t>-622.749118258385 131.151986776913 -581.571458662202</t>
  </si>
  <si>
    <t>-615.227687117583 115.169303610084 -689.658612033976</t>
  </si>
  <si>
    <t>-596.942612701798 92.2035495071182 -839.118388216606</t>
  </si>
  <si>
    <t>-557.175936773637 80.6828146542421 -932.225190753195</t>
  </si>
  <si>
    <t>-601.844239806174 133.687966236152 -777.409928099279</t>
  </si>
  <si>
    <t>-568.372598657033 276.840898075283 -773.873389604497</t>
  </si>
  <si>
    <t>-505.492631785285 362.766575631618 -475.797695716952</t>
  </si>
  <si>
    <t>-307.251185127246 246.732218650149 -353.820681512518</t>
  </si>
  <si>
    <t>-608.222164397186 71.0423114528262 -768.564155278694</t>
  </si>
  <si>
    <t>-596.774067412491 277.934974134165 -248.199471854294</t>
  </si>
  <si>
    <t>-585.262496785797 274.502128008091 207.336815964182</t>
  </si>
  <si>
    <t>-610.602009008656 246.221910460709 675.507235311599</t>
  </si>
  <si>
    <t>-451.465980544846 257.740155925765 749.578607796557</t>
  </si>
  <si>
    <t>-577.586912604494 82.8144853209074 -224.262177629065</t>
  </si>
  <si>
    <t>-458.880062922977 77.3525561175725 215.665679437711</t>
  </si>
  <si>
    <t>-616.117447608426 2.10320367030295 652.150508231</t>
  </si>
  <si>
    <t>-462.025061358676 -34.963744790369 728.472754204433</t>
  </si>
  <si>
    <t>9763-20170724T170107.262540300.bin</t>
  </si>
  <si>
    <t>-586.922856440071 180.125077863468 -236.706695810609</t>
  </si>
  <si>
    <t>-613.925397509152 163.337031597477 -353.5690962953</t>
  </si>
  <si>
    <t>-622.330844194546 147.085940259261 -473.384841602966</t>
  </si>
  <si>
    <t>-622.192396458928 132.274040221607 -581.899442547594</t>
  </si>
  <si>
    <t>-614.426157927933 117.119763719261 -690.088682025419</t>
  </si>
  <si>
    <t>-595.718164516272 95.4927327539888 -839.695739237138</t>
  </si>
  <si>
    <t>-556.011931398105 84.5807011655081 -932.901671620771</t>
  </si>
  <si>
    <t>-601.018434003279 136.44117741954 -777.66312072834</t>
  </si>
  <si>
    <t>-568.892412643702 279.879473191035 -772.800328246388</t>
  </si>
  <si>
    <t>-515.228906221612 362.459659993789 -471.98994543301</t>
  </si>
  <si>
    <t>-315.163554138483 247.447407781343 -352.039530197616</t>
  </si>
  <si>
    <t>-606.973266179071 73.682970437344 -769.335458518104</t>
  </si>
  <si>
    <t>-596.36355176783 277.693613108025 -248.259851125775</t>
  </si>
  <si>
    <t>-584.756781170236 274.334224547354 207.274676890481</t>
  </si>
  <si>
    <t>-610.552153328704 246.20797932797 675.480938909137</t>
  </si>
  <si>
    <t>-451.456368862253 257.654005291376 749.649877056175</t>
  </si>
  <si>
    <t>-577.364078577515 82.7264028605116 -224.505761522069</t>
  </si>
  <si>
    <t>-458.657620511044 77.1541609259689 215.420831318116</t>
  </si>
  <si>
    <t>-616.246250906086 2.31570567615563 651.926015956872</t>
  </si>
  <si>
    <t>-462.099693513347 -35.1910651429118 727.923333891086</t>
  </si>
  <si>
    <t>9763-20170724T170107.296631300.bin</t>
  </si>
  <si>
    <t>-586.954818859058 179.882191093788 -236.797516671031</t>
  </si>
  <si>
    <t>-614.090564474637 163.138426668299 -353.635450697988</t>
  </si>
  <si>
    <t>-622.489556178118 147.092295595294 -473.479272967573</t>
  </si>
  <si>
    <t>-622.283820517817 132.530674493215 -582.027748660929</t>
  </si>
  <si>
    <t>-614.386532292271 117.691396397538 -690.251127573156</t>
  </si>
  <si>
    <t>-595.42869301848 96.5688026367434 -839.898778428623</t>
  </si>
  <si>
    <t>-555.785366703538 85.9093762756183 -933.160606335955</t>
  </si>
  <si>
    <t>-600.959581392186 137.317466575108 -777.754746422135</t>
  </si>
  <si>
    <t>-569.554396453119 280.864858834482 -772.360422707103</t>
  </si>
  <si>
    <t>-519.619635586279 362.158930253781 -470.559107844906</t>
  </si>
  <si>
    <t>-318.560023939118 247.861223663416 -351.59226511177</t>
  </si>
  <si>
    <t>-606.674308219526 74.5124361984579 -769.613815147925</t>
  </si>
  <si>
    <t>-596.511359759201 277.369786772775 -248.241527243362</t>
  </si>
  <si>
    <t>-584.4459155822 274.093081694554 207.281736149532</t>
  </si>
  <si>
    <t>-610.507590078759 246.158448902808 675.452886327885</t>
  </si>
  <si>
    <t>-451.4488361427 257.808206662274 749.669438048714</t>
  </si>
  <si>
    <t>-577.329155136241 82.5522695470809 -224.672501575742</t>
  </si>
  <si>
    <t>-458.52653172355 76.9977804724072 215.228305013864</t>
  </si>
  <si>
    <t>-616.244588909211 2.35891170769878 651.738500497456</t>
  </si>
  <si>
    <t>-462.113565929189 -35.1951113784287 727.744036193963</t>
  </si>
  <si>
    <t>9763-20170724T170107.365377600.bin</t>
  </si>
  <si>
    <t>-587.073016408177 179.483358746126 -237.326623248794</t>
  </si>
  <si>
    <t>-614.228019777984 162.546809783277 -354.132298211367</t>
  </si>
  <si>
    <t>-622.467519318254 146.745006383959 -474.019791754579</t>
  </si>
  <si>
    <t>-622.03439203001 132.581625638618 -582.620145724887</t>
  </si>
  <si>
    <t>-613.821083153613 118.316356821619 -690.897170405509</t>
  </si>
  <si>
    <t>-594.327205595012 98.1738232870532 -840.611180343591</t>
  </si>
  <si>
    <t>-554.628068920655 88.0431875078621 -933.908027238817</t>
  </si>
  <si>
    <t>-600.284111165071 138.529073111415 -778.250222808982</t>
  </si>
  <si>
    <t>-570.13083152208 282.334465638832 -771.943513496995</t>
  </si>
  <si>
    <t>-526.732361600767 363.465446655585 -469.089498733959</t>
  </si>
  <si>
    <t>-323.989882611845 251.866404232733 -350.416927349193</t>
  </si>
  <si>
    <t>-605.621195060974 75.6433837007146 -770.484495922185</t>
  </si>
  <si>
    <t>-596.936838804167 277.148957069368 -248.823866486892</t>
  </si>
  <si>
    <t>-584.507827321655 274.497338402784 206.693609105733</t>
  </si>
  <si>
    <t>-610.300265613894 247.444736598396 674.727323029441</t>
  </si>
  <si>
    <t>-451.532889109626 258.556078362151 749.647035180912</t>
  </si>
  <si>
    <t>-576.936400640961 81.9275542963662 -225.219445936415</t>
  </si>
  <si>
    <t>-458.14245652239 76.9816683466263 214.69093736351</t>
  </si>
  <si>
    <t>-615.894667138193 2.1723039020992 650.98931141817</t>
  </si>
  <si>
    <t>-462.042941554873 -34.9348890885331 727.776157945993</t>
  </si>
  <si>
    <t>9763-20170724T170107.395482600.bin</t>
  </si>
  <si>
    <t>-587.196097256717 179.287827641389 -237.686169709915</t>
  </si>
  <si>
    <t>-614.295302662532 162.19626309119 -354.482190525061</t>
  </si>
  <si>
    <t>-622.447732253661 146.455435962263 -474.383500841395</t>
  </si>
  <si>
    <t>-621.918237280669 132.432690602039 -583.001773842818</t>
  </si>
  <si>
    <t>-613.588173247808 118.391422827334 -691.299098539425</t>
  </si>
  <si>
    <t>-593.908563674259 98.6453910867087 -841.041496013583</t>
  </si>
  <si>
    <t>-554.046653734822 88.778925323209 -934.297452959821</t>
  </si>
  <si>
    <t>-600.039770996875 138.841930504917 -778.594943335353</t>
  </si>
  <si>
    <t>-570.436069952658 282.718913346486 -771.909244013385</t>
  </si>
  <si>
    <t>-529.662312634965 364.26393022012 -468.801836106645</t>
  </si>
  <si>
    <t>-326.349090825376 254.000431705608 -349.857542667066</t>
  </si>
  <si>
    <t>-605.192522944789 75.9230656939537 -770.975355911697</t>
  </si>
  <si>
    <t>-597.47608394096 277.124740068987 -249.234876958039</t>
  </si>
  <si>
    <t>-585.098637823996 274.808497069546 206.285865508059</t>
  </si>
  <si>
    <t>-610.222038118214 248.01192697358 674.431879976205</t>
  </si>
  <si>
    <t>-451.581918818934 258.926845259798 749.649599563836</t>
  </si>
  <si>
    <t>-576.665301320302 81.6519039086602 -225.532651909409</t>
  </si>
  <si>
    <t>-457.914382769189 77.1286873298704 214.393963656461</t>
  </si>
  <si>
    <t>-615.790900764172 2.11883939054383 650.746431321266</t>
  </si>
  <si>
    <t>-462.040411970775 -34.8604817480411 727.797265166415</t>
  </si>
  <si>
    <t>9763-20170724T170107.465155800.bin</t>
  </si>
  <si>
    <t>-588.000820969601 178.119783565282 -238.449249532349</t>
  </si>
  <si>
    <t>-615.025657528428 160.724591471907 -355.217608884572</t>
  </si>
  <si>
    <t>-623.056522376426 145.06669705479 -475.138020566382</t>
  </si>
  <si>
    <t>-622.388686359792 131.271083534839 -583.784632966241</t>
  </si>
  <si>
    <t>-613.886894744475 117.604636555483 -692.116535256731</t>
  </si>
  <si>
    <t>-593.92973265175 98.5294202545067 -841.909199057619</t>
  </si>
  <si>
    <t>-554.09255313797 89.2323888296858 -935.234151980445</t>
  </si>
  <si>
    <t>-600.357019016252 138.457020049518 -779.320255184345</t>
  </si>
  <si>
    <t>-571.917910882582 282.568065978558 -771.987081946562</t>
  </si>
  <si>
    <t>-537.926409969698 366.286751920757 -468.635880482172</t>
  </si>
  <si>
    <t>-333.879794665798 257.283179734394 -349.786336093189</t>
  </si>
  <si>
    <t>-605.163327153653 75.4821315512049 -771.940984101821</t>
  </si>
  <si>
    <t>-599.123517493163 276.201815700502 -250.067840728482</t>
  </si>
  <si>
    <t>-586.7595158823 275.14443071861 205.458011466739</t>
  </si>
  <si>
    <t>-610.114328378823 249.260075003807 673.823555200433</t>
  </si>
  <si>
    <t>-451.696754216748 259.754593644732 749.56807056779</t>
  </si>
  <si>
    <t>-576.752730624262 80.1158508166145 -226.161040314141</t>
  </si>
  <si>
    <t>-457.731683462409 77.4186951667018 213.707526135577</t>
  </si>
  <si>
    <t>-615.482947076113 1.97054380350414 650.059291638567</t>
  </si>
  <si>
    <t>-461.850105876467 -34.0866281619435 727.778898251956</t>
  </si>
  <si>
    <t>9763-20170724T170107.498244000.bin</t>
  </si>
  <si>
    <t>-588.610760207783 177.079466848593 -238.862002566465</t>
  </si>
  <si>
    <t>-615.731316890147 159.582518243185 -355.593071471047</t>
  </si>
  <si>
    <t>-623.641929581044 144.001994807089 -475.531669792256</t>
  </si>
  <si>
    <t>-622.772820835002 130.347700510316 -584.194507588459</t>
  </si>
  <si>
    <t>-613.975835642073 116.891830347421 -692.529280659242</t>
  </si>
  <si>
    <t>-593.510070601823 98.1801364286869 -842.299229502419</t>
  </si>
  <si>
    <t>-553.575707253797 89.2469882781372 -935.618134288712</t>
  </si>
  <si>
    <t>-600.295006108901 137.964204320002 -779.656530573353</t>
  </si>
  <si>
    <t>-572.782883007215 282.20665846928 -771.977969306544</t>
  </si>
  <si>
    <t>-543.265638069786 366.587625385181 -468.341931497775</t>
  </si>
  <si>
    <t>-338.660847227235 258.729164800141 -349.407157106581</t>
  </si>
  <si>
    <t>-604.836057438665 74.9547844547005 -772.404811864157</t>
  </si>
  <si>
    <t>-600.10543077709 275.240120041876 -250.453815102157</t>
  </si>
  <si>
    <t>-587.596826699267 275.131841078543 205.069044962583</t>
  </si>
  <si>
    <t>-610.067964362582 249.81731908053 673.524168739444</t>
  </si>
  <si>
    <t>-451.745475324363 260.188986350514 749.484179833684</t>
  </si>
  <si>
    <t>-576.999037844025 79.0325195003531 -226.553132554314</t>
  </si>
  <si>
    <t>-457.809414031573 77.3498034413901 213.27488202774</t>
  </si>
  <si>
    <t>-615.371501792175 1.97218427539178 649.781473076237</t>
  </si>
  <si>
    <t>-461.876386150976 -34.064541577108 727.782259351533</t>
  </si>
  <si>
    <t>9763-20170724T170107.564553600.bin</t>
  </si>
  <si>
    <t>-590.248941139029 174.143388372987 -239.485720252759</t>
  </si>
  <si>
    <t>-617.380300475228 156.42444977171 -356.180813674167</t>
  </si>
  <si>
    <t>-624.865991032369 141.007301181309 -476.167693827362</t>
  </si>
  <si>
    <t>-623.427710609128 127.659122561561 -584.862657916483</t>
  </si>
  <si>
    <t>-613.874165922196 114.666197950415 -693.189717181695</t>
  </si>
  <si>
    <t>-592.161334253342 96.7608273868502 -842.882661784319</t>
  </si>
  <si>
    <t>-551.964093269736 88.4776846766831 -936.148668653692</t>
  </si>
  <si>
    <t>-599.839966511068 136.225915103273 -780.14132346093</t>
  </si>
  <si>
    <t>-574.438721808362 280.831484476248 -771.881651918861</t>
  </si>
  <si>
    <t>-554.44699516204 365.81055553234 -467.636578778661</t>
  </si>
  <si>
    <t>-348.290259945779 260.140434325536 -349.419505887172</t>
  </si>
  <si>
    <t>-603.697213543695 73.1409078287295 -773.155038181644</t>
  </si>
  <si>
    <t>-602.604679247791 272.218497679147 -250.98890894441</t>
  </si>
  <si>
    <t>-589.472121609014 273.827500146046 204.51378359249</t>
  </si>
  <si>
    <t>-610.176069591201 250.159375031091 673.383386780591</t>
  </si>
  <si>
    <t>-451.828804680433 260.697035790083 749.26889388909</t>
  </si>
  <si>
    <t>-577.78511505616 76.0372546944834 -227.279038497877</t>
  </si>
  <si>
    <t>-458.586539181835 76.4231574636028 212.549540906139</t>
  </si>
  <si>
    <t>-615.283446431151 1.57987538835323 649.478549543918</t>
  </si>
  <si>
    <t>-461.846424988034 -33.6666805121417 727.95318315147</t>
  </si>
  <si>
    <t>9763-20170724T170107.596638600.bin</t>
  </si>
  <si>
    <t>-591.245335599224 171.951640503636 -239.685929168351</t>
  </si>
  <si>
    <t>-618.453475142499 154.136189417985 -356.348431765103</t>
  </si>
  <si>
    <t>-625.775486337893 138.834353795412 -476.36009641883</t>
  </si>
  <si>
    <t>-624.086625964512 125.676590559986 -585.074696090992</t>
  </si>
  <si>
    <t>-614.178425831825 112.959340553064 -693.402672728792</t>
  </si>
  <si>
    <t>-591.864180090899 95.5247160434747 -843.062635077733</t>
  </si>
  <si>
    <t>-551.53353264161 87.6091522291567 -936.303056759177</t>
  </si>
  <si>
    <t>-600.016384299165 134.801453540273 -780.263007860225</t>
  </si>
  <si>
    <t>-575.938717572721 279.618865597115 -771.72950366307</t>
  </si>
  <si>
    <t>-560.58916155243 364.431935286484 -467.168619379339</t>
  </si>
  <si>
    <t>-353.667515685998 260.159756948914 -349.04661195475</t>
  </si>
  <si>
    <t>-603.45872132329 71.6765054835682 -773.42256771737</t>
  </si>
  <si>
    <t>-604.13501481768 269.96404635855 -251.057683959709</t>
  </si>
  <si>
    <t>-590.167567565164 272.416322633448 204.416386632052</t>
  </si>
  <si>
    <t>-610.22956987908 249.941052670876 673.414571632338</t>
  </si>
  <si>
    <t>-451.831970536553 261.026146571051 749.116893787464</t>
  </si>
  <si>
    <t>-578.300163528802 73.9530528644812 -227.562287564354</t>
  </si>
  <si>
    <t>-459.230069291688 75.4906676256301 212.298624447305</t>
  </si>
  <si>
    <t>-615.278280604742 1.13762201370173 649.587979429741</t>
  </si>
  <si>
    <t>-461.753561907192 -33.4745052060466 728.173435449173</t>
  </si>
  <si>
    <t>9763-20170724T170107.661480600.bin</t>
  </si>
  <si>
    <t>-593.688487009976 167.100046733695 -239.837790652701</t>
  </si>
  <si>
    <t>-620.693737572614 149.182770830342 -356.531898960958</t>
  </si>
  <si>
    <t>-627.510456491694 134.133892619643 -476.605271186609</t>
  </si>
  <si>
    <t>-625.236656251332 121.350301912268 -585.353965186837</t>
  </si>
  <si>
    <t>-614.614051191469 109.150136699467 -693.673587967717</t>
  </si>
  <si>
    <t>-591.17217847569 92.5813943620524 -843.259569035174</t>
  </si>
  <si>
    <t>-550.524635615424 85.3304501065538 -936.416348164584</t>
  </si>
  <si>
    <t>-600.314452680309 131.509943256395 -780.37958101326</t>
  </si>
  <si>
    <t>-579.011716618817 276.692931512259 -771.218608566714</t>
  </si>
  <si>
    <t>-571.029828733401 360.350509039052 -466.056477654657</t>
  </si>
  <si>
    <t>-362.884906938011 258.73573477394 -347.768035277536</t>
  </si>
  <si>
    <t>-602.774501674939 68.3150885806849 -773.765292829375</t>
  </si>
  <si>
    <t>-607.495267860004 264.566419148592 -250.879609840606</t>
  </si>
  <si>
    <t>-591.780117268026 269.017981022007 204.522277581909</t>
  </si>
  <si>
    <t>-610.418825937073 248.943178362679 673.795594041129</t>
  </si>
  <si>
    <t>-451.778197338581 261.132557766991 748.816118230856</t>
  </si>
  <si>
    <t>-579.864001150701 69.8575726534057 -228.061760331884</t>
  </si>
  <si>
    <t>-461.445924808615 72.9580686690131 211.96693097953</t>
  </si>
  <si>
    <t>-615.535012925786 0.840495225188306 650.271343486578</t>
  </si>
  <si>
    <t>-461.62546797168 -32.6080765051331 728.60750706822</t>
  </si>
  <si>
    <t>9763-20170724T170107.727157000.bin</t>
  </si>
  <si>
    <t>-595.041188323831 164.862075901743 -239.88458458299</t>
  </si>
  <si>
    <t>-621.835413419451 146.987685342989 -356.633786772572</t>
  </si>
  <si>
    <t>-628.397279810941 132.159980260908 -476.74895426174</t>
  </si>
  <si>
    <t>-625.873378924336 119.648580771918 -585.523784128299</t>
  </si>
  <si>
    <t>-614.979973966576 107.790789197703 -693.85462964176</t>
  </si>
  <si>
    <t>-591.139396504332 91.7699241842349 -843.437249864079</t>
  </si>
  <si>
    <t>-550.383092125493 84.9255212285311 -936.577208670534</t>
  </si>
  <si>
    <t>-600.734805188853 130.473238223077 -780.485713264595</t>
  </si>
  <si>
    <t>-580.775868462847 275.842969972955 -770.955020634962</t>
  </si>
  <si>
    <t>-574.968551736939 358.680061651172 -465.520200992707</t>
  </si>
  <si>
    <t>-366.089804114393 258.668928582436 -347.158361836334</t>
  </si>
  <si>
    <t>-602.641431042878 67.2440821292792 -774.017482813345</t>
  </si>
  <si>
    <t>-609.445938443386 261.903839787148 -250.65970051879</t>
  </si>
  <si>
    <t>-592.665180117572 267.224174618494 204.694922840779</t>
  </si>
  <si>
    <t>-610.509080010471 248.263692123053 674.044952079151</t>
  </si>
  <si>
    <t>-451.73124592694 261.144989894696 748.658536339928</t>
  </si>
  <si>
    <t>-580.609329260981 68.1432912375724 -228.358944633218</t>
  </si>
  <si>
    <t>-462.894825656594 71.3407061549603 211.857703991123</t>
  </si>
  <si>
    <t>-615.834308519661 0.807227132392427 650.847579442755</t>
  </si>
  <si>
    <t>-461.744703460789 -32.5398207093745 728.872482851852</t>
  </si>
  <si>
    <t>9763-20170724T170107.763773400.bin</t>
  </si>
  <si>
    <t>-597.483803433967 159.846643084197 -239.380873013894</t>
  </si>
  <si>
    <t>-623.942776093749 142.016553057019 -356.213369756769</t>
  </si>
  <si>
    <t>-630.121242797789 127.568010292688 -476.394931224482</t>
  </si>
  <si>
    <t>-627.228067550984 115.543166442488 -585.215313145599</t>
  </si>
  <si>
    <t>-615.940157307453 104.317275590177 -693.573048299698</t>
  </si>
  <si>
    <t>-591.522806926029 89.3286965880916 -843.169744398785</t>
  </si>
  <si>
    <t>-550.576656710935 83.244227026187 -936.279173930997</t>
  </si>
  <si>
    <t>-601.961207153735 127.59995325136 -780.088278779292</t>
  </si>
  <si>
    <t>-584.957148186515 273.298443187922 -769.954087489521</t>
  </si>
  <si>
    <t>-581.461313361405 354.980834212805 -464.173156522286</t>
  </si>
  <si>
    <t>-370.654353001229 257.925196117123 -346.773489791347</t>
  </si>
  <si>
    <t>-602.692265901891 64.3214513572266 -773.867506705118</t>
  </si>
  <si>
    <t>-612.809986727082 255.668027868252 -249.895821805866</t>
  </si>
  <si>
    <t>-593.936497221007 263.138816417281 205.346618949427</t>
  </si>
  <si>
    <t>-610.548793618667 246.311304151549 674.780690526119</t>
  </si>
  <si>
    <t>-451.522737120091 261.516559466455 748.421887063166</t>
  </si>
  <si>
    <t>-582.129802435131 64.1038043826143 -228.086732126265</t>
  </si>
  <si>
    <t>-465.167605923841 67.2079218936892 212.331184635831</t>
  </si>
  <si>
    <t>-616.704126641281 0.46376260779607 652.4556220301</t>
  </si>
  <si>
    <t>-461.893285772777 -32.0776095661524 729.385283020091</t>
  </si>
  <si>
    <t>9763-20170724T170107.796860900.bin</t>
  </si>
  <si>
    <t>-598.210090035057 157.412774710994 -239.070959879757</t>
  </si>
  <si>
    <t>-624.553093415506 139.523151808255 -355.920411834013</t>
  </si>
  <si>
    <t>-630.572020946936 125.211731499727 -476.1265346457</t>
  </si>
  <si>
    <t>-627.514364063369 113.395845630822 -584.965340319867</t>
  </si>
  <si>
    <t>-616.040117359847 102.465635061924 -693.333872391697</t>
  </si>
  <si>
    <t>-591.339776434143 87.9796868532624 -842.933544766002</t>
  </si>
  <si>
    <t>-550.319354209894 82.241267763764 -936.032269155259</t>
  </si>
  <si>
    <t>-602.171405894431 126.036482791669 -779.788629341494</t>
  </si>
  <si>
    <t>-586.633930505352 271.905921167256 -769.384140238208</t>
  </si>
  <si>
    <t>-584.191812452499 353.564642400698 -463.586704942084</t>
  </si>
  <si>
    <t>-372.348800886031 257.658837758073 -347.110610469202</t>
  </si>
  <si>
    <t>-602.366438753175 62.7419168437557 -773.691881883725</t>
  </si>
  <si>
    <t>-613.860641617829 252.912216889341 -249.514238303021</t>
  </si>
  <si>
    <t>-594.173503268141 261.46714126177 205.674588300909</t>
  </si>
  <si>
    <t>-610.577798353586 245.823506479094 675.001656208884</t>
  </si>
  <si>
    <t>-451.491867485368 261.761199019711 748.358191879827</t>
  </si>
  <si>
    <t>-582.411560400046 61.9202386082529 -227.75533241367</t>
  </si>
  <si>
    <t>-465.822946254229 65.3244087067246 212.759338260008</t>
  </si>
  <si>
    <t>-617.204202903642 0.539216917851718 653.264377648406</t>
  </si>
  <si>
    <t>-462.122583077882 -32.2486142244315 729.541166334425</t>
  </si>
  <si>
    <t>9763-20170724T170107.864566500.bin</t>
  </si>
  <si>
    <t>-598.686510088718 152.952767647709 -238.34760156237</t>
  </si>
  <si>
    <t>-624.70762318084 134.870737288425 -355.239647512478</t>
  </si>
  <si>
    <t>-630.456089390455 120.727546961851 -475.47899894448</t>
  </si>
  <si>
    <t>-627.171332960892 109.224662961494 -584.344621772153</t>
  </si>
  <si>
    <t>-615.48409273595 98.7747800657451 -692.737820375509</t>
  </si>
  <si>
    <t>-590.498746419309 85.1376377427328 -842.369883304472</t>
  </si>
  <si>
    <t>-549.544675325443 80.0348827569683 -935.534833806581</t>
  </si>
  <si>
    <t>-601.863810086331 122.828144087829 -779.099152778225</t>
  </si>
  <si>
    <t>-588.332565429524 268.845875963443 -768.034258559313</t>
  </si>
  <si>
    <t>-589.001313874114 350.752360000576 -462.294227633397</t>
  </si>
  <si>
    <t>-375.787213835389 256.76022997837 -346.763751179724</t>
  </si>
  <si>
    <t>-601.244145296546 59.5152202441168 -773.225425848143</t>
  </si>
  <si>
    <t>-614.846089754226 248.093387244502 -248.972896870661</t>
  </si>
  <si>
    <t>-594.560107260139 258.650329390792 206.147597139252</t>
  </si>
  <si>
    <t>-610.702239720609 245.268316484897 675.392989350556</t>
  </si>
  <si>
    <t>-451.548292503616 262.083699028728 748.405284741872</t>
  </si>
  <si>
    <t>-582.363349884957 57.8418933496114 -227.045938905094</t>
  </si>
  <si>
    <t>-466.115356605413 62.3833230525875 213.548477647327</t>
  </si>
  <si>
    <t>-617.744515797376 0.584373912868159 654.181209923404</t>
  </si>
  <si>
    <t>-462.349911209884 -32.3645567461338 729.748357822852</t>
  </si>
  <si>
    <t>9763-20170724T170107.897655400.bin</t>
  </si>
  <si>
    <t>-598.528105719399 150.818488314349 -238.176042812087</t>
  </si>
  <si>
    <t>-624.420431727853 132.584070457819 -355.072900765379</t>
  </si>
  <si>
    <t>-630.114473526963 118.48158479925 -475.3195461336</t>
  </si>
  <si>
    <t>-626.807768972915 107.09944209524 -584.197436125609</t>
  </si>
  <si>
    <t>-615.123392880487 96.8562379044213 -692.610486233506</t>
  </si>
  <si>
    <t>-590.165296769481 83.598020356058 -842.281148289677</t>
  </si>
  <si>
    <t>-549.37282078716 78.7788427147425 -935.532046549717</t>
  </si>
  <si>
    <t>-601.667319819538 121.123990592434 -778.937592446589</t>
  </si>
  <si>
    <t>-588.845003001093 267.194846508218 -767.537050546112</t>
  </si>
  <si>
    <t>-591.308433964333 348.886744854406 -461.748619440991</t>
  </si>
  <si>
    <t>-377.721598550305 255.398583122387 -346.49809579775</t>
  </si>
  <si>
    <t>-600.749717387058 57.8045310066718 -773.175527006103</t>
  </si>
  <si>
    <t>-614.988785354609 245.933056925469 -248.87949540644</t>
  </si>
  <si>
    <t>-594.619211234398 257.404897404417 206.215132112909</t>
  </si>
  <si>
    <t>-610.735920654754 245.107732782182 675.483277261295</t>
  </si>
  <si>
    <t>-451.556248259488 262.007699562827 748.419830892401</t>
  </si>
  <si>
    <t>-581.90050570855 55.6563327815497 -226.918709959518</t>
  </si>
  <si>
    <t>-465.948266202983 61.1657925473007 213.742682235175</t>
  </si>
  <si>
    <t>-617.713533385674 0.40747367830204 654.302869934357</t>
  </si>
  <si>
    <t>-462.326619686122 -32.4861381921519 729.909920261349</t>
  </si>
  <si>
    <t>9763-20170724T170107.959902900.bin</t>
  </si>
  <si>
    <t>-597.646982188179 146.934375124485 -238.142068247115</t>
  </si>
  <si>
    <t>-623.244980206617 128.437631528828 -355.062600147626</t>
  </si>
  <si>
    <t>-628.908172010908 114.423026573135 -475.321021534027</t>
  </si>
  <si>
    <t>-625.673328524539 103.261287804155 -584.223773677038</t>
  </si>
  <si>
    <t>-614.154572635808 93.3777155904932 -692.687955390981</t>
  </si>
  <si>
    <t>-589.518071424344 80.7626226736591 -842.467422924877</t>
  </si>
  <si>
    <t>-549.204822734883 76.2954494172136 -935.944023737343</t>
  </si>
  <si>
    <t>-601.044759255908 118.011146640876 -778.964727520754</t>
  </si>
  <si>
    <t>-588.828197574223 264.047701682615 -766.628388787002</t>
  </si>
  <si>
    <t>-595.210790824621 346.822950589277 -461.188249667862</t>
  </si>
  <si>
    <t>-381.265376869147 256.208473898263 -344.318791637024</t>
  </si>
  <si>
    <t>-599.793207480405 54.6776369831946 -773.424628422638</t>
  </si>
  <si>
    <t>-614.670371134704 242.012567724092 -248.848184785199</t>
  </si>
  <si>
    <t>-594.516404873935 255.256085045028 206.207915901076</t>
  </si>
  <si>
    <t>-610.852966567172 244.887911360336 675.608981197678</t>
  </si>
  <si>
    <t>-451.658628981155 262.204934500251 748.41554076879</t>
  </si>
  <si>
    <t>-580.506656446872 52.0109258316866 -226.980748803481</t>
  </si>
  <si>
    <t>-465.142769627366 58.8255644369958 213.816690075565</t>
  </si>
  <si>
    <t>-617.385944197383 0.149187111521542 654.448377870055</t>
  </si>
  <si>
    <t>-462.079649382187 -32.1616307761949 730.47127017427</t>
  </si>
  <si>
    <t>9763-20170724T170107.997001000.bin</t>
  </si>
  <si>
    <t>-597.036201294515 145.477473635018 -238.249414519561</t>
  </si>
  <si>
    <t>-622.39970514456 126.924420007934 -355.212075930286</t>
  </si>
  <si>
    <t>-628.004564701741 112.985282473149 -475.482075329164</t>
  </si>
  <si>
    <t>-624.786184284392 101.943369719482 -584.397440646419</t>
  </si>
  <si>
    <t>-613.350570062267 92.2291110617718 -692.885698378556</t>
  </si>
  <si>
    <t>-588.896087066029 79.8997855155521 -842.718808579735</t>
  </si>
  <si>
    <t>-548.822150994287 75.5321687238927 -936.302983905832</t>
  </si>
  <si>
    <t>-600.406377259907 117.024929783518 -779.140976389556</t>
  </si>
  <si>
    <t>-588.423377791307 263.04834513766 -766.457591653119</t>
  </si>
  <si>
    <t>-597.242964538475 345.97551305865 -461.119156177513</t>
  </si>
  <si>
    <t>-383.242382134877 256.182793991565 -343.717961772742</t>
  </si>
  <si>
    <t>-599.026528626999 53.6852337432317 -773.703809473588</t>
  </si>
  <si>
    <t>-614.308305485795 240.357726402423 -248.866378045387</t>
  </si>
  <si>
    <t>-594.481599825696 254.309985859591 206.182878529244</t>
  </si>
  <si>
    <t>-610.906885781403 244.741614501903 675.649250691603</t>
  </si>
  <si>
    <t>-451.713650179073 262.325124766777 748.394312072653</t>
  </si>
  <si>
    <t>-579.646339800901 50.6603959922593 -227.08346659884</t>
  </si>
  <si>
    <t>-464.814687102823 57.7603294569685 213.848397247309</t>
  </si>
  <si>
    <t>-617.305285348197 0.0250440836935013 654.688202580419</t>
  </si>
  <si>
    <t>-461.981517825751 -31.9829406228939 730.803413705032</t>
  </si>
  <si>
    <t>9763-20170724T170108.063237000.bin</t>
  </si>
  <si>
    <t>-595.693499413094 142.999303537836 -238.173644042837</t>
  </si>
  <si>
    <t>-620.56088580601 124.506632733073 -355.252493488494</t>
  </si>
  <si>
    <t>-626.066724726088 110.723459887438 -475.545033000742</t>
  </si>
  <si>
    <t>-622.92145212202 99.8678380886558 -584.4812074214</t>
  </si>
  <si>
    <t>-611.719109161312 90.3891846661693 -693.014716373018</t>
  </si>
  <si>
    <t>-587.751520769779 78.442652593857 -842.957452015695</t>
  </si>
  <si>
    <t>-548.145344651546 74.1739629159761 -936.745057960642</t>
  </si>
  <si>
    <t>-599.183821049632 115.400609417846 -779.268056166764</t>
  </si>
  <si>
    <t>-587.722508115541 261.444114628501 -766.222381979523</t>
  </si>
  <si>
    <t>-600.421124507766 344.933913054393 -461.174255696096</t>
  </si>
  <si>
    <t>-386.367249410496 257.328510658926 -342.2276253312</t>
  </si>
  <si>
    <t>-597.529041105553 52.056712709862 -773.956709947863</t>
  </si>
  <si>
    <t>-613.143872760098 237.658508249819 -248.792666421814</t>
  </si>
  <si>
    <t>-594.042993158234 252.786411711077 206.250075540695</t>
  </si>
  <si>
    <t>-610.958270121154 244.442918012108 675.741352489066</t>
  </si>
  <si>
    <t>-451.767484868766 262.426939886439 748.393873748498</t>
  </si>
  <si>
    <t>-578.096886351031 48.3258144135561 -226.909134800039</t>
  </si>
  <si>
    <t>-463.995556298724 56.1450870879739 214.200091849355</t>
  </si>
  <si>
    <t>-617.287713158816 -0.00677163589534757 655.187612744519</t>
  </si>
  <si>
    <t>-462.030902018526 -32.2998185153747 731.319025722904</t>
  </si>
  <si>
    <t>9763-20170724T170108.096333200.bin</t>
  </si>
  <si>
    <t>-594.836156075179 141.991372213749 -238.034761058818</t>
  </si>
  <si>
    <t>-619.525582920142 123.496345254156 -355.150866438097</t>
  </si>
  <si>
    <t>-624.998127124562 109.702559800414 -475.443577186094</t>
  </si>
  <si>
    <t>-621.883187045356 98.8383473744111 -584.379825989756</t>
  </si>
  <si>
    <t>-610.771305337806 89.3547665979811 -692.922271829332</t>
  </si>
  <si>
    <t>-586.991090708341 77.4077404392631 -842.894858092052</t>
  </si>
  <si>
    <t>-547.645359468891 73.0931530032544 -936.78978125691</t>
  </si>
  <si>
    <t>-598.384581186305 114.36421909498 -779.197740862665</t>
  </si>
  <si>
    <t>-587.050933549909 260.412671318955 -766.177049979204</t>
  </si>
  <si>
    <t>-600.879206832167 344.215271487734 -461.263741965869</t>
  </si>
  <si>
    <t>-386.757852098058 257.010589304964 -342.144391877459</t>
  </si>
  <si>
    <t>-596.641606421246 51.0236664525398 -773.875385010944</t>
  </si>
  <si>
    <t>-612.340890992265 236.65321843089 -248.712733521359</t>
  </si>
  <si>
    <t>-593.688015636945 252.158989572635 206.335827330428</t>
  </si>
  <si>
    <t>-610.970667955883 244.288943378714 675.800495536773</t>
  </si>
  <si>
    <t>-451.78852083629 262.501149822474 748.41493295877</t>
  </si>
  <si>
    <t>-577.170929244889 47.2678352013002 -226.733490321928</t>
  </si>
  <si>
    <t>-463.456944109105 55.5787097539308 214.466828822107</t>
  </si>
  <si>
    <t>-617.236501352896 -0.0448290987017117 655.319639626705</t>
  </si>
  <si>
    <t>-461.972338681167 -32.2183066080108 731.486680744762</t>
  </si>
  <si>
    <t>9763-20170724T170108.167524500.bin</t>
  </si>
  <si>
    <t>-592.993131069458 141.08770838304 -237.784293345123</t>
  </si>
  <si>
    <t>-617.426895632945 122.525920874473 -354.943440414818</t>
  </si>
  <si>
    <t>-622.91494477841 108.62787584661 -475.223411864037</t>
  </si>
  <si>
    <t>-619.926627583231 97.6602911657978 -584.152956967924</t>
  </si>
  <si>
    <t>-609.053240676941 88.0687191407101 -692.709968765779</t>
  </si>
  <si>
    <t>-585.719174431818 75.9705827133205 -842.740495055844</t>
  </si>
  <si>
    <t>-546.872607025068 71.472286537879 -936.834639361558</t>
  </si>
  <si>
    <t>-596.915364726409 112.991631719272 -779.045861411674</t>
  </si>
  <si>
    <t>-585.221416767606 258.995791831908 -765.924028017677</t>
  </si>
  <si>
    <t>-599.188737892622 343.94657436502 -461.335067548863</t>
  </si>
  <si>
    <t>-385.413908706116 257.295629900711 -341.193371027403</t>
  </si>
  <si>
    <t>-595.172143124209 49.6557058942676 -773.667545983923</t>
  </si>
  <si>
    <t>-610.547462298185 235.82071603014 -248.598929623359</t>
  </si>
  <si>
    <t>-592.771022634663 251.695860304876 206.472155209232</t>
  </si>
  <si>
    <t>-611.015132053671 244.187137746281 675.850909908706</t>
  </si>
  <si>
    <t>-451.86509266058 262.611311946319 748.482244904382</t>
  </si>
  <si>
    <t>-575.371149191678 46.452304914473 -226.341566368779</t>
  </si>
  <si>
    <t>-461.943530471503 55.0656140257486 214.926620771711</t>
  </si>
  <si>
    <t>-616.956628002664 0.0395011741586586 655.284525959554</t>
  </si>
  <si>
    <t>-461.815810086463 -32.0510761859807 731.737317380435</t>
  </si>
  <si>
    <t>9763-20170724T170108.197603800.bin</t>
  </si>
  <si>
    <t>-591.986140405386 141.251246791253 -237.716441732381</t>
  </si>
  <si>
    <t>-616.261867638402 122.590779421977 -354.892752858266</t>
  </si>
  <si>
    <t>-621.730479896721 108.566797889761 -475.159088426029</t>
  </si>
  <si>
    <t>-618.782299052359 97.4782766124627 -584.077314411239</t>
  </si>
  <si>
    <t>-608.006787017382 87.7607489066866 -692.632962971247</t>
  </si>
  <si>
    <t>-584.867954106799 75.484951086115 -842.6792100733</t>
  </si>
  <si>
    <t>-546.240248768634 70.8521259859858 -936.85686868406</t>
  </si>
  <si>
    <t>-595.95485162715 112.582353375858 -779.010052689312</t>
  </si>
  <si>
    <t>-584.054703358452 258.56851063746 -765.987964817779</t>
  </si>
  <si>
    <t>-597.769992602714 344.170504103643 -461.569837128718</t>
  </si>
  <si>
    <t>-384.39520198581 257.297954824116 -340.878486176204</t>
  </si>
  <si>
    <t>-594.257536098853 49.2506972641208 -773.566825401208</t>
  </si>
  <si>
    <t>-609.496258682741 236.016529274667 -248.62321397246</t>
  </si>
  <si>
    <t>-592.374919157088 251.911559839969 206.472108931531</t>
  </si>
  <si>
    <t>-611.071579944351 244.321597680713 675.835213042861</t>
  </si>
  <si>
    <t>-451.924509256694 262.585857617436 748.513488946139</t>
  </si>
  <si>
    <t>-574.368510720806 46.4588749151603 -226.173879615399</t>
  </si>
  <si>
    <t>-461.020361042761 55.1381675467489 215.113495288035</t>
  </si>
  <si>
    <t>-616.725335870487 0.039378505991408 655.143437569742</t>
  </si>
  <si>
    <t>-461.677520247673 -31.957641508282 731.823783557469</t>
  </si>
  <si>
    <t>9763-20170724T170108.261809300.bin</t>
  </si>
  <si>
    <t>-589.742773127574 142.689875976928 -237.713878554864</t>
  </si>
  <si>
    <t>-613.715399429069 123.940726488921 -354.938446910113</t>
  </si>
  <si>
    <t>-619.140767292953 109.634149898842 -475.173370188674</t>
  </si>
  <si>
    <t>-616.265163955735 98.2165304871326 -584.059644421794</t>
  </si>
  <si>
    <t>-605.675367080852 88.1012604762689 -692.597138968413</t>
  </si>
  <si>
    <t>-582.912708192693 75.2046189236305 -842.648929634112</t>
  </si>
  <si>
    <t>-544.747068809332 70.2057280614679 -936.996018447738</t>
  </si>
  <si>
    <t>-593.725047273526 112.569681954384 -779.089002234538</t>
  </si>
  <si>
    <t>-581.06697608972 258.523515248017 -766.253399373685</t>
  </si>
  <si>
    <t>-595.329905591024 345.355792164223 -462.209047751497</t>
  </si>
  <si>
    <t>-382.743659610453 259.137970332195 -339.670721066822</t>
  </si>
  <si>
    <t>-592.243934991111 49.2522414602802 -773.422306652512</t>
  </si>
  <si>
    <t>-607.179894444117 237.596670425576 -248.802596977706</t>
  </si>
  <si>
    <t>-591.618750015976 252.952582296856 206.367490592953</t>
  </si>
  <si>
    <t>-611.150875545537 244.655768250034 675.722993836182</t>
  </si>
  <si>
    <t>-452.038015027184 262.60409845616 748.554765707126</t>
  </si>
  <si>
    <t>-572.267392816139 47.900227140017 -226.06390237532</t>
  </si>
  <si>
    <t>-459.462489227271 56.1419164049425 215.370981483847</t>
  </si>
  <si>
    <t>-616.418199891019 0.679888875629558 655.013062495123</t>
  </si>
  <si>
    <t>-461.777499967827 -32.6112867111278 731.964109365534</t>
  </si>
  <si>
    <t>9763-20170724T170108.305927000.bin</t>
  </si>
  <si>
    <t>-588.554115583546 143.620488177556 -237.702928988135</t>
  </si>
  <si>
    <t>-612.311812015273 124.897547461718 -354.975417306821</t>
  </si>
  <si>
    <t>-617.657313368909 110.443003746026 -475.19632355011</t>
  </si>
  <si>
    <t>-614.769495689887 98.8242921595483 -584.060887935677</t>
  </si>
  <si>
    <t>-604.229777297844 88.4419888201917 -692.578017808753</t>
  </si>
  <si>
    <t>-581.602508966831 75.1083200536991 -842.612087352653</t>
  </si>
  <si>
    <t>-543.608499871329 69.874801597575 -937.015750469483</t>
  </si>
  <si>
    <t>-592.296752003135 112.660660278486 -779.142597566223</t>
  </si>
  <si>
    <t>-579.301161716965 258.602309929174 -766.538172753387</t>
  </si>
  <si>
    <t>-594.41017067011 346.051965447776 -462.711839337301</t>
  </si>
  <si>
    <t>-382.139866809401 260.410080051502 -339.225718951867</t>
  </si>
  <si>
    <t>-590.931938373744 49.3556796725488 -773.310863264617</t>
  </si>
  <si>
    <t>-605.823025934204 238.594628733156 -248.874493870464</t>
  </si>
  <si>
    <t>-591.158571541872 253.593819942183 206.337161874784</t>
  </si>
  <si>
    <t>-611.192547535763 244.866886913316 675.670790166476</t>
  </si>
  <si>
    <t>-452.085054859599 262.523879140363 748.585528215687</t>
  </si>
  <si>
    <t>-571.197691872084 48.7127873629963 -225.949940960706</t>
  </si>
  <si>
    <t>-458.619452212687 56.5229271086689 215.550743372536</t>
  </si>
  <si>
    <t>-616.246412325845 0.832194129739264 654.919907245801</t>
  </si>
  <si>
    <t>-461.625220766969 -32.2954923996176 731.98066986666</t>
  </si>
  <si>
    <t>9763-20170724T170108.362115500.bin</t>
  </si>
  <si>
    <t>-585.757536724103 146.110458567154 -238.041956715146</t>
  </si>
  <si>
    <t>-609.149427769674 127.488164221405 -355.403909234465</t>
  </si>
  <si>
    <t>-614.320126678654 112.752470091738 -475.598401963263</t>
  </si>
  <si>
    <t>-611.3633110526 100.730466270146 -584.417411533534</t>
  </si>
  <si>
    <t>-600.848473152487 89.8009755330695 -692.883293078152</t>
  </si>
  <si>
    <t>-578.357034662024 75.5607757079811 -842.854442526348</t>
  </si>
  <si>
    <t>-540.594984028133 69.8114253954934 -937.321101940247</t>
  </si>
  <si>
    <t>-588.923176689206 113.498405712732 -779.592980541499</t>
  </si>
  <si>
    <t>-575.89624914242 259.475168587563 -767.496093557128</t>
  </si>
  <si>
    <t>-591.528799056352 347.78642785728 -463.945574860619</t>
  </si>
  <si>
    <t>-380.056005060157 262.866070398341 -338.606709715807</t>
  </si>
  <si>
    <t>-587.694397174056 50.224855097855 -773.400613343304</t>
  </si>
  <si>
    <t>-602.989242924588 241.125693200839 -249.133535789218</t>
  </si>
  <si>
    <t>-589.769767251502 255.156105222018 206.153238579289</t>
  </si>
  <si>
    <t>-611.259858453928 245.21694325968 675.497307613711</t>
  </si>
  <si>
    <t>-452.186265634044 262.501973429851 748.574922525949</t>
  </si>
  <si>
    <t>-568.403544774034 51.207617389399 -226.404097002117</t>
  </si>
  <si>
    <t>-457.205786377515 57.739712782216 215.466937988375</t>
  </si>
  <si>
    <t>-615.452894182947 1.5941915633814 654.185942154953</t>
  </si>
  <si>
    <t>-461.432943462806 -32.6344497231908 731.966174367286</t>
  </si>
  <si>
    <t>9763-20170724T170108.394200500.bin</t>
  </si>
  <si>
    <t>-584.457452589925 147.549383714177 -238.196737267139</t>
  </si>
  <si>
    <t>-607.730856829801 129.012411410404 -355.595885832095</t>
  </si>
  <si>
    <t>-612.826726505707 114.186585821308 -475.782362472046</t>
  </si>
  <si>
    <t>-609.824843958334 102.013078038006 -584.583242514546</t>
  </si>
  <si>
    <t>-599.289961108573 90.8630612433531 -693.024647604172</t>
  </si>
  <si>
    <t>-576.7984319308 76.2457984011667 -842.959471064025</t>
  </si>
  <si>
    <t>-539.09860474992 70.2687157925507 -937.436968324802</t>
  </si>
  <si>
    <t>-587.345113840052 114.343042014264 -779.790922562055</t>
  </si>
  <si>
    <t>-574.419920838625 260.343213735256 -767.978177905623</t>
  </si>
  <si>
    <t>-589.161937136295 349.080162711555 -464.507167025579</t>
  </si>
  <si>
    <t>-378.036434353667 264.071655021951 -338.64366402271</t>
  </si>
  <si>
    <t>-586.15537286409 51.083873190599 -773.445182446611</t>
  </si>
  <si>
    <t>-601.741297192431 242.530490333092 -249.221943881742</t>
  </si>
  <si>
    <t>-588.946116264578 255.937128031872 206.095739371735</t>
  </si>
  <si>
    <t>-611.272646405854 245.214667226939 675.46056003859</t>
  </si>
  <si>
    <t>-452.208705623918 262.399716340768 748.582675931753</t>
  </si>
  <si>
    <t>-567.096432553034 52.7170850041582 -226.551437280869</t>
  </si>
  <si>
    <t>-456.611047255235 58.574625922445 215.507696725438</t>
  </si>
  <si>
    <t>-615.295520195341 1.83616679006764 654.201064552985</t>
  </si>
  <si>
    <t>-461.360013782228 -32.598546785219 732.057474315241</t>
  </si>
  <si>
    <t>9763-20170724T170108.462442400.bin</t>
  </si>
  <si>
    <t>-582.19428197681 150.535761267153 -238.031967465046</t>
  </si>
  <si>
    <t>-605.385723728499 132.037828540837 -355.453321309062</t>
  </si>
  <si>
    <t>-610.399944620817 117.090326200386 -475.628195533036</t>
  </si>
  <si>
    <t>-607.328538393296 104.741681392655 -584.40755825757</t>
  </si>
  <si>
    <t>-596.730732590527 93.3518977574872 -692.817818032937</t>
  </si>
  <si>
    <t>-574.160848938595 78.3337643074578 -842.701363677055</t>
  </si>
  <si>
    <t>-536.420189130552 71.9254156765051 -937.134204858955</t>
  </si>
  <si>
    <t>-584.683102478573 116.601712662997 -779.631793353335</t>
  </si>
  <si>
    <t>-571.45458717549 262.613178138195 -768.133543415193</t>
  </si>
  <si>
    <t>-583.262715151573 351.406511778572 -464.550776592105</t>
  </si>
  <si>
    <t>-372.595538371638 265.981095444776 -338.202412812735</t>
  </si>
  <si>
    <t>-583.611523594676 53.3559872602577 -773.133313712388</t>
  </si>
  <si>
    <t>-599.47949832881 245.601364007437 -249.143554974254</t>
  </si>
  <si>
    <t>-587.526670196938 257.728844936014 206.232956494049</t>
  </si>
  <si>
    <t>-611.25371886732 245.341365068083 675.390316230314</t>
  </si>
  <si>
    <t>-452.241593771408 262.386035711761 748.657914519678</t>
  </si>
  <si>
    <t>-564.823887806077 55.4547732945175 -226.226609177096</t>
  </si>
  <si>
    <t>-455.140816992567 60.2084288844733 216.045671471357</t>
  </si>
  <si>
    <t>-615.062996690973 1.91975883034138 654.113100086497</t>
  </si>
  <si>
    <t>-461.24997656966 -32.859604961297 732.058360538895</t>
  </si>
  <si>
    <t>9763-20170724T170108.494504800.bin</t>
  </si>
  <si>
    <t>-581.034926362369 152.20842987973 -237.951727170612</t>
  </si>
  <si>
    <t>-604.258571498517 133.658437868586 -355.358650022452</t>
  </si>
  <si>
    <t>-609.2600657267 118.611891418431 -475.521532207407</t>
  </si>
  <si>
    <t>-606.159869826697 106.153971935039 -584.287626068493</t>
  </si>
  <si>
    <t>-595.51680397446 94.635308222342 -692.679948819899</t>
  </si>
  <si>
    <t>-572.867645902244 79.4176520410047 -842.531337153676</t>
  </si>
  <si>
    <t>-535.077574528381 72.8093482062454 -936.930600442013</t>
  </si>
  <si>
    <t>-583.371561035573 117.771111167951 -779.510801785099</t>
  </si>
  <si>
    <t>-569.827526499351 263.735084146467 -767.993338358435</t>
  </si>
  <si>
    <t>-579.868902168281 352.603626094652 -464.369066443161</t>
  </si>
  <si>
    <t>-369.423906005557 266.608418357339 -338.037027597972</t>
  </si>
  <si>
    <t>-582.406846600683 54.530841272915 -772.942743390632</t>
  </si>
  <si>
    <t>-598.293460133594 247.334890031809 -249.132138158846</t>
  </si>
  <si>
    <t>-586.950796797377 258.774916879864 206.277711184632</t>
  </si>
  <si>
    <t>-611.268706363251 245.593546284103 675.331763916404</t>
  </si>
  <si>
    <t>-452.275301574211 262.282594209261 748.721631447071</t>
  </si>
  <si>
    <t>-563.646030848335 57.0444063904363 -226.004479952566</t>
  </si>
  <si>
    <t>-454.323811539016 61.1922611969701 216.363253580481</t>
  </si>
  <si>
    <t>-614.995619739249 2.21076306489408 654.051561994635</t>
  </si>
  <si>
    <t>-461.26733423245 -33.0438796094102 731.950440400906</t>
  </si>
  <si>
    <t>9763-20170724T170108.562197800.bin</t>
  </si>
  <si>
    <t>-579.897892180986 153.97669372851 -237.854346883237</t>
  </si>
  <si>
    <t>-603.104654439862 135.396231260675 -355.259710730265</t>
  </si>
  <si>
    <t>-608.079176735152 120.290603531642 -475.416350562597</t>
  </si>
  <si>
    <t>-604.951472343505 107.769464346613 -584.174287074342</t>
  </si>
  <si>
    <t>-594.278486077553 96.1786291811734 -692.556118962092</t>
  </si>
  <si>
    <t>-571.585570174857 80.8527775980056 -842.389778376893</t>
  </si>
  <si>
    <t>-533.738062501614 74.1187814996317 -936.757190554429</t>
  </si>
  <si>
    <t>-582.055628460663 119.253365112288 -779.39222517421</t>
  </si>
  <si>
    <t>-567.954552757972 265.173723271736 -767.904035535529</t>
  </si>
  <si>
    <t>-576.567433535162 353.913366333562 -464.198119667588</t>
  </si>
  <si>
    <t>-366.514557736457 267.276771094248 -337.651983569281</t>
  </si>
  <si>
    <t>-581.197329170093 56.0146804751112 -772.793851577885</t>
  </si>
  <si>
    <t>-597.007396644705 249.216499993341 -249.176703994168</t>
  </si>
  <si>
    <t>-586.285020221489 259.991824822473 206.264387680381</t>
  </si>
  <si>
    <t>-611.253956924572 245.978740273898 675.197143954251</t>
  </si>
  <si>
    <t>-452.320336422303 262.357827393816 748.786095846322</t>
  </si>
  <si>
    <t>-562.665745276586 58.7839463856001 -225.776663029071</t>
  </si>
  <si>
    <t>-453.456805222276 62.2403163161746 216.624921726254</t>
  </si>
  <si>
    <t>-614.951996573053 2.42146465112751 653.924805196072</t>
  </si>
  <si>
    <t>-461.275031945283 -33.2190514834986 731.749274638001</t>
  </si>
  <si>
    <t>9763-20170724T170108.647067800.bin</t>
  </si>
  <si>
    <t>-577.25562304902 158.974112432629 -237.652340028366</t>
  </si>
  <si>
    <t>-600.601371745108 140.300739647479 -355.015452115891</t>
  </si>
  <si>
    <t>-605.563588505429 125.009871882598 -475.149306098951</t>
  </si>
  <si>
    <t>-602.364454250871 112.28053982649 -583.880830773951</t>
  </si>
  <si>
    <t>-591.561592377431 100.439821458144 -692.222735753242</t>
  </si>
  <si>
    <t>-568.629587229889 84.721456724119 -841.979415108467</t>
  </si>
  <si>
    <t>-530.486383549536 77.6858948326378 -936.205623983573</t>
  </si>
  <si>
    <t>-579.000071976281 123.29224171038 -779.069402625629</t>
  </si>
  <si>
    <t>-563.306729372979 269.055515806914 -767.677367730526</t>
  </si>
  <si>
    <t>-567.911227218096 357.120722092403 -463.687942584637</t>
  </si>
  <si>
    <t>-358.736812540047 268.149171023171 -337.306902273893</t>
  </si>
  <si>
    <t>-578.552483125249 60.0605948921725 -772.364114097811</t>
  </si>
  <si>
    <t>-593.878746712635 254.54815337378 -249.315018194871</t>
  </si>
  <si>
    <t>-584.500034798131 263.250600835666 206.200108082748</t>
  </si>
  <si>
    <t>-611.180843759894 246.887001094899 674.88772681255</t>
  </si>
  <si>
    <t>-452.418860852153 262.306339973966 749.052265044738</t>
  </si>
  <si>
    <t>-560.606356551513 63.427368569076 -225.363169491625</t>
  </si>
  <si>
    <t>-450.994903284756 65.6442952150303 216.94678312612</t>
  </si>
  <si>
    <t>-614.697015301826 2.94416033957827 653.119312684109</t>
  </si>
  <si>
    <t>-461.096276426972 -33.0880117650363 730.913957419325</t>
  </si>
  <si>
    <t>9763-20170724T170108.661104000.bin</t>
  </si>
  <si>
    <t>-576.605292923562 160.487610996164 -237.730033733596</t>
  </si>
  <si>
    <t>-599.95437482752 141.792743893137 -355.089022463842</t>
  </si>
  <si>
    <t>-604.898272605369 126.479648298972 -475.220652485187</t>
  </si>
  <si>
    <t>-601.673761152657 113.728318589926 -583.949105818702</t>
  </si>
  <si>
    <t>-590.836714726428 101.863522658433 -692.284897540817</t>
  </si>
  <si>
    <t>-567.848362003815 86.1083261438748 -842.028962385152</t>
  </si>
  <si>
    <t>-529.600905214686 79.0067478180918 -936.20796350841</t>
  </si>
  <si>
    <t>-578.170618938423 124.69609637755 -779.1214162924</t>
  </si>
  <si>
    <t>-562.294273757727 270.467849890588 -767.831650809558</t>
  </si>
  <si>
    <t>-564.977808265789 357.710798787196 -463.58223451419</t>
  </si>
  <si>
    <t>-355.972909068003 268.000704735279 -337.442985470032</t>
  </si>
  <si>
    <t>-577.869387569102 61.4629203232566 -772.422217006077</t>
  </si>
  <si>
    <t>-593.079518852953 256.125922989885 -249.387937634551</t>
  </si>
  <si>
    <t>-584.142589782425 264.191846737193 206.147718089127</t>
  </si>
  <si>
    <t>-611.155040595327 247.085492312754 674.789740438942</t>
  </si>
  <si>
    <t>-452.426142977421 262.140045419578 749.100077518754</t>
  </si>
  <si>
    <t>-560.089502049004 64.8656158021827 -225.386039528513</t>
  </si>
  <si>
    <t>-450.48263558641 66.5739840544807 216.927324808683</t>
  </si>
  <si>
    <t>-614.635025781642 3.07601845118211 652.862203936629</t>
  </si>
  <si>
    <t>-461.112587009789 -33.1891511236397 730.703083904158</t>
  </si>
  <si>
    <t>9763-20170724T170108.699213500.bin</t>
  </si>
  <si>
    <t>-576.06770491021 161.873847849675 -237.775756254589</t>
  </si>
  <si>
    <t>-599.344046812138 143.224518787765 -355.156420105729</t>
  </si>
  <si>
    <t>-604.256338460972 127.915790848725 -475.289994234595</t>
  </si>
  <si>
    <t>-601.021189971167 115.151571184447 -584.016549681765</t>
  </si>
  <si>
    <t>-590.192100555923 103.257126250221 -692.349873394739</t>
  </si>
  <si>
    <t>-567.234265384288 87.4441435221977 -842.092560821723</t>
  </si>
  <si>
    <t>-528.874063308735 80.2438666923535 -936.218232756149</t>
  </si>
  <si>
    <t>-577.464304414973 126.057689211342 -779.185933938965</t>
  </si>
  <si>
    <t>-561.46175186677 271.802147007842 -767.999611931347</t>
  </si>
  <si>
    <t>-562.496465563256 358.371329208634 -463.547732159077</t>
  </si>
  <si>
    <t>-353.670407172904 267.825923542356 -337.709654224471</t>
  </si>
  <si>
    <t>-577.320517319462 62.8239911902112 -772.486352025864</t>
  </si>
  <si>
    <t>-592.330882701019 257.657805871311 -249.448072404316</t>
  </si>
  <si>
    <t>-583.935079128407 265.07834992729 206.108867890043</t>
  </si>
  <si>
    <t>-611.149325390091 247.280116049736 674.716368091822</t>
  </si>
  <si>
    <t>-452.448785783226 262.081703178991 749.137920239586</t>
  </si>
  <si>
    <t>-559.743525513622 66.1489893980249 -225.424632630337</t>
  </si>
  <si>
    <t>-450.175327420793 67.2705523656716 216.900070655638</t>
  </si>
  <si>
    <t>-614.583118048864 3.073389524513 652.637595895813</t>
  </si>
  <si>
    <t>-461.039343344865 -33.0502527643687 730.502228098064</t>
  </si>
  <si>
    <t>9763-20170724T170108.767353500.bin</t>
  </si>
  <si>
    <t>-575.192381480111 164.71463925501 -238.087615428422</t>
  </si>
  <si>
    <t>-598.267008520818 146.354323670107 -355.553553678188</t>
  </si>
  <si>
    <t>-603.064111379665 131.229471051667 -475.715068395229</t>
  </si>
  <si>
    <t>-599.763920770588 118.588254262532 -584.454108035083</t>
  </si>
  <si>
    <t>-588.910422992792 106.774659186847 -692.793801613711</t>
  </si>
  <si>
    <t>-565.961957389996 91.0308839160887 -842.545182020953</t>
  </si>
  <si>
    <t>-527.289024685316 83.7232484658382 -936.534498185649</t>
  </si>
  <si>
    <t>-576.056153678168 129.617406270512 -779.60000089658</t>
  </si>
  <si>
    <t>-559.354558617219 275.310803207362 -768.452986571439</t>
  </si>
  <si>
    <t>-558.058870728224 359.819784144357 -463.423902758392</t>
  </si>
  <si>
    <t>-349.659917118846 267.252056516879 -338.351263635143</t>
  </si>
  <si>
    <t>-576.175749829066 66.376420233772 -772.969600288816</t>
  </si>
  <si>
    <t>-590.910141837905 260.729135721906 -249.629386604362</t>
  </si>
  <si>
    <t>-583.73795949636 266.797362752576 205.968501459048</t>
  </si>
  <si>
    <t>-611.14391504022 247.764851293423 674.504014301639</t>
  </si>
  <si>
    <t>-452.496270563885 261.80335893988 749.185831350303</t>
  </si>
  <si>
    <t>-559.445013549518 68.9275151759734 -225.817570895511</t>
  </si>
  <si>
    <t>-450.42770418917 68.3610640832019 216.644380812636</t>
  </si>
  <si>
    <t>-614.67227087982 3.0920402101649 652.457289526778</t>
  </si>
  <si>
    <t>-461.077623829502 -33.4551672816033 730.023332304922</t>
  </si>
  <si>
    <t>9763-20170724T170108.795455400.bin</t>
  </si>
  <si>
    <t>-574.960768839743 166.16863050343 -238.183313945626</t>
  </si>
  <si>
    <t>-597.954161020857 147.976388280727 -355.691443048522</t>
  </si>
  <si>
    <t>-602.712348799669 132.930605208234 -475.864433954557</t>
  </si>
  <si>
    <t>-599.396718023651 120.325164971349 -584.607085757517</t>
  </si>
  <si>
    <t>-588.548735146055 108.512189880341 -692.947334854012</t>
  </si>
  <si>
    <t>-565.630709495466 92.7328296073074 -842.699715253313</t>
  </si>
  <si>
    <t>-526.845460919543 85.3067979136172 -936.633373641698</t>
  </si>
  <si>
    <t>-575.652763408706 131.335189788162 -779.752676533373</t>
  </si>
  <si>
    <t>-558.487010417477 276.958119710702 -768.514840622309</t>
  </si>
  <si>
    <t>-556.167623357598 360.608128399067 -463.255096039693</t>
  </si>
  <si>
    <t>-348.024486233607 266.826579510537 -338.66181193304</t>
  </si>
  <si>
    <t>-575.88966236322 68.0942450527361 -773.125264590436</t>
  </si>
  <si>
    <t>-590.325997844349 262.216080885465 -249.696116509157</t>
  </si>
  <si>
    <t>-583.680211576089 267.717647766467 205.916893199352</t>
  </si>
  <si>
    <t>-611.129354051285 248.06123077963 674.383329018857</t>
  </si>
  <si>
    <t>-452.533428212361 261.832321625856 749.224550845487</t>
  </si>
  <si>
    <t>-559.535928072847 70.3270619315406 -225.905313288243</t>
  </si>
  <si>
    <t>-450.565754646845 68.8618097531146 216.56623744046</t>
  </si>
  <si>
    <t>-614.811451936852 3.25156241569584 652.408576655186</t>
  </si>
  <si>
    <t>-461.040387382105 -33.3277704311806 729.609114071515</t>
  </si>
  <si>
    <t>9763-20170724T170108.864652200.bin</t>
  </si>
  <si>
    <t>-574.699735577754 168.957591776592 -238.325214714345</t>
  </si>
  <si>
    <t>-597.700878285008 151.019666612519 -355.870865264559</t>
  </si>
  <si>
    <t>-602.41319577833 136.127120097935 -476.064839022742</t>
  </si>
  <si>
    <t>-599.036599087129 123.613752859051 -584.816145171379</t>
  </si>
  <si>
    <t>-588.109890118606 111.844487404266 -693.153370056309</t>
  </si>
  <si>
    <t>-565.065694842907 96.0734251097713 -842.887269467893</t>
  </si>
  <si>
    <t>-526.042581998021 88.5240587960545 -936.712600075379</t>
  </si>
  <si>
    <t>-574.989070496125 134.673771645443 -779.923225399833</t>
  </si>
  <si>
    <t>-557.100952323602 280.192326037269 -768.497075819909</t>
  </si>
  <si>
    <t>-553.887263665155 362.152611079227 -462.787478298093</t>
  </si>
  <si>
    <t>-346.332263046463 266.259353101103 -338.821945446389</t>
  </si>
  <si>
    <t>-575.535017688867 71.4294476503128 -773.345900448721</t>
  </si>
  <si>
    <t>-589.546537987554 265.04326515784 -249.798601810984</t>
  </si>
  <si>
    <t>-583.701747958351 269.4504449822 205.837284901011</t>
  </si>
  <si>
    <t>-611.128597012875 248.588574080336 674.189799382138</t>
  </si>
  <si>
    <t>-452.610889740304 261.660005268001 749.321614770076</t>
  </si>
  <si>
    <t>-559.797699687843 72.9252524348876 -226.121300663928</t>
  </si>
  <si>
    <t>-450.892364368757 70.2424620789209 216.360490214935</t>
  </si>
  <si>
    <t>-615.049550641461 3.64375478164106 652.114560803833</t>
  </si>
  <si>
    <t>-461.113137853408 -33.5934055449336 728.668388562262</t>
  </si>
  <si>
    <t>9763-20170724T170108.897709700.bin</t>
  </si>
  <si>
    <t>-574.660622752776 170.095107300367 -238.374999292078</t>
  </si>
  <si>
    <t>-597.654072519727 152.271249089318 -355.939586829262</t>
  </si>
  <si>
    <t>-602.314678281356 137.46054996253 -476.145551736405</t>
  </si>
  <si>
    <t>-598.874354358295 125.005042808427 -584.901596795164</t>
  </si>
  <si>
    <t>-587.867742997363 113.276399690845 -693.235030116685</t>
  </si>
  <si>
    <t>-564.696664878174 97.5422318692479 -842.953370826531</t>
  </si>
  <si>
    <t>-525.528007879793 89.97384866363 -936.716489769202</t>
  </si>
  <si>
    <t>-574.589502495439 136.127507622987 -779.975364183024</t>
  </si>
  <si>
    <t>-556.454903966947 281.61424952498 -768.504024001523</t>
  </si>
  <si>
    <t>-553.09381883537 362.891074514874 -462.613671205306</t>
  </si>
  <si>
    <t>-345.891069880324 266.109981263672 -338.748921608632</t>
  </si>
  <si>
    <t>-575.308812635832 72.8806831496308 -773.439937654181</t>
  </si>
  <si>
    <t>-589.246594655883 266.123195415582 -249.792193923511</t>
  </si>
  <si>
    <t>-583.732702510193 270.041318837678 205.852288024589</t>
  </si>
  <si>
    <t>-611.13434910751 248.516129999456 674.226162890616</t>
  </si>
  <si>
    <t>-452.621217198565 261.577684325497 749.369396573266</t>
  </si>
  <si>
    <t>-560.005071793557 74.1047866448298 -226.236623639795</t>
  </si>
  <si>
    <t>-451.050802418047 70.853743788562 216.229289082769</t>
  </si>
  <si>
    <t>-615.137230038335 3.82450991889209 651.924564198269</t>
  </si>
  <si>
    <t>-461.13052085534 -33.6762730439898 728.207799627037</t>
  </si>
  <si>
    <t>9763-20170724T170108.962563400.bin</t>
  </si>
  <si>
    <t>-574.44634980338 172.029253257841 -238.462997654512</t>
  </si>
  <si>
    <t>-597.494464042924 154.419504938443 -356.049168057516</t>
  </si>
  <si>
    <t>-602.096017048756 139.789958084971 -476.279579371192</t>
  </si>
  <si>
    <t>-598.557109547159 127.482348819532 -585.049277480734</t>
  </si>
  <si>
    <t>-587.408063986604 115.885005567953 -693.382340444358</t>
  </si>
  <si>
    <t>-563.994828707229 100.31504916427 -843.080040394298</t>
  </si>
  <si>
    <t>-524.473854906178 92.7449631746874 -936.695004728741</t>
  </si>
  <si>
    <t>-573.863917628007 138.831567699389 -780.056344588412</t>
  </si>
  <si>
    <t>-555.228757020988 284.226044208765 -768.462666899688</t>
  </si>
  <si>
    <t>-551.5751325994 364.357095341858 -462.273426437533</t>
  </si>
  <si>
    <t>-345.107071201574 266.349383401845 -338.146574410743</t>
  </si>
  <si>
    <t>-574.845007772031 75.5770215553841 -773.630708944471</t>
  </si>
  <si>
    <t>-588.587702471175 268.104537533123 -249.75655548517</t>
  </si>
  <si>
    <t>-583.796599123441 271.066687363355 205.903347733908</t>
  </si>
  <si>
    <t>-611.183293993145 248.515011745765 674.227297175778</t>
  </si>
  <si>
    <t>-452.653166688642 261.18526750461 749.4015679755</t>
  </si>
  <si>
    <t>-560.157590353167 75.9628342235847 -226.508247689638</t>
  </si>
  <si>
    <t>-451.313665152277 71.7806281515118 215.97698270075</t>
  </si>
  <si>
    <t>-615.224403002799 3.84170717417351 651.539204144541</t>
  </si>
  <si>
    <t>-460.995240491898 -33.5266949298616 727.437033541433</t>
  </si>
  <si>
    <t>9763-20170724T170108.997656900.bin</t>
  </si>
  <si>
    <t>-574.37849285954 173.063863004865 -238.550983342664</t>
  </si>
  <si>
    <t>-597.450263759044 155.566449904458 -356.14908832884</t>
  </si>
  <si>
    <t>-601.998166724746 141.014679354407 -476.391092593151</t>
  </si>
  <si>
    <t>-598.380439496637 128.762815380401 -585.164539181301</t>
  </si>
  <si>
    <t>-587.123455130147 117.206170894707 -693.49076013083</t>
  </si>
  <si>
    <t>-563.531078156006 101.676928121448 -843.164557449507</t>
  </si>
  <si>
    <t>-523.822589193359 94.0886335772973 -936.69863653224</t>
  </si>
  <si>
    <t>-573.427526101107 140.176265508198 -780.134598975428</t>
  </si>
  <si>
    <t>-554.602996071908 285.564791434487 -768.505484919222</t>
  </si>
  <si>
    <t>-550.703147303286 365.198120984209 -462.189539056091</t>
  </si>
  <si>
    <t>-344.524878116118 266.709476736496 -337.961646961956</t>
  </si>
  <si>
    <t>-574.51245209865 76.9199059773925 -773.742556034153</t>
  </si>
  <si>
    <t>-588.315934165737 269.168190418893 -249.764893638888</t>
  </si>
  <si>
    <t>-583.802749867476 271.660993433007 205.900661544282</t>
  </si>
  <si>
    <t>-611.196792048846 248.548432601285 674.194773491763</t>
  </si>
  <si>
    <t>-452.67192820223 261.061745637016 749.406458893015</t>
  </si>
  <si>
    <t>-560.336639493902 77.041219418654 -226.661983217932</t>
  </si>
  <si>
    <t>-451.46350908807 72.248150184595 215.809892788883</t>
  </si>
  <si>
    <t>-615.239134096875 4.0341633717419 651.355215757191</t>
  </si>
  <si>
    <t>-461.044362563575 -33.6597235131883 727.161893384455</t>
  </si>
  <si>
    <t>9763-20170724T170109.064373100.bin</t>
  </si>
  <si>
    <t>-574.215677624716 175.048516279204 -238.697735592699</t>
  </si>
  <si>
    <t>-597.405568893315 157.74038045492 -356.300732357966</t>
  </si>
  <si>
    <t>-601.909901993264 143.339483765814 -476.562481782984</t>
  </si>
  <si>
    <t>-598.18797141487 131.205204347699 -585.345616702907</t>
  </si>
  <si>
    <t>-586.763472420811 119.746032048913 -693.664675713686</t>
  </si>
  <si>
    <t>-562.87426238818 104.330003375375 -843.303103000795</t>
  </si>
  <si>
    <t>-522.900816615406 96.751041573953 -936.724975729601</t>
  </si>
  <si>
    <t>-572.793571171533 142.781419897031 -780.247350532371</t>
  </si>
  <si>
    <t>-553.6856843015 288.116893769604 -768.502706491254</t>
  </si>
  <si>
    <t>-549.774742235887 367.142334426193 -462.029356390812</t>
  </si>
  <si>
    <t>-343.875945471289 268.057619501707 -337.812091249209</t>
  </si>
  <si>
    <t>-574.095417206556 79.5209240802058 -773.93816313034</t>
  </si>
  <si>
    <t>-587.771764540713 271.246145022604 -249.822661975544</t>
  </si>
  <si>
    <t>-583.714564440177 272.90037993533 205.850951693506</t>
  </si>
  <si>
    <t>-611.234090040386 248.801300222402 674.071899629095</t>
  </si>
  <si>
    <t>-452.752249713955 261.049756997856 749.41767178739</t>
  </si>
  <si>
    <t>-560.496085587325 78.9474022095351 -226.886339822072</t>
  </si>
  <si>
    <t>-451.558308249543 73.1411998495776 215.557488165692</t>
  </si>
  <si>
    <t>-615.239120133856 3.96273426657922 650.981068675825</t>
  </si>
  <si>
    <t>-461.019620933975 -33.8507237792553 726.677864220514</t>
  </si>
  <si>
    <t>9763-20170724T170109.098461300.bin</t>
  </si>
  <si>
    <t>-574.024394217267 176.033047363938 -238.743604547949</t>
  </si>
  <si>
    <t>-597.295689827964 158.784438351844 -356.339223147763</t>
  </si>
  <si>
    <t>-601.792735083853 144.430872671095 -476.606903385301</t>
  </si>
  <si>
    <t>-598.028195935049 132.331611878269 -585.392382036143</t>
  </si>
  <si>
    <t>-586.525556757309 120.898904874158 -693.706020491351</t>
  </si>
  <si>
    <t>-562.491813747672 105.509228398007 -843.323872484935</t>
  </si>
  <si>
    <t>-522.373333616745 97.9142143476531 -936.682488478458</t>
  </si>
  <si>
    <t>-572.418800552492 143.94914580626 -780.262561581179</t>
  </si>
  <si>
    <t>-553.160758376781 289.26594006671 -768.475302038344</t>
  </si>
  <si>
    <t>-549.450114582314 368.112996579476 -461.953577378395</t>
  </si>
  <si>
    <t>-343.688617775258 268.660778227525 -337.802449544742</t>
  </si>
  <si>
    <t>-573.833254564124 80.6881392428356 -773.982782365328</t>
  </si>
  <si>
    <t>-587.448957112391 272.182440832195 -249.847879488249</t>
  </si>
  <si>
    <t>-583.510729612194 273.432601625292 205.828148508672</t>
  </si>
  <si>
    <t>-611.253890856143 248.881301462663 674.038657593589</t>
  </si>
  <si>
    <t>-452.778517245889 260.891278366299 749.436560831441</t>
  </si>
  <si>
    <t>-560.468968270249 79.951889939857 -226.973021889955</t>
  </si>
  <si>
    <t>-451.461544626156 73.8316832783562 215.449402528196</t>
  </si>
  <si>
    <t>-615.208653931842 4.24551892482896 650.754228440421</t>
  </si>
  <si>
    <t>-461.036578661722 -33.7938793763351 726.434444013776</t>
  </si>
  <si>
    <t>9763-20170724T170109.162289200.bin</t>
  </si>
  <si>
    <t>-573.656240420017 177.871696541128 -238.863483355015</t>
  </si>
  <si>
    <t>-597.141268674538 160.709727092879 -356.429373528239</t>
  </si>
  <si>
    <t>-601.599820423703 146.45481008918 -476.710092824158</t>
  </si>
  <si>
    <t>-597.697177448575 134.444771829845 -585.500742566377</t>
  </si>
  <si>
    <t>-585.954391062229 123.098387464643 -693.797511106574</t>
  </si>
  <si>
    <t>-561.482672336168 107.823720413552 -843.356378379486</t>
  </si>
  <si>
    <t>-521.064548848324 100.199963410662 -936.583155012377</t>
  </si>
  <si>
    <t>-571.518447353754 146.214588999255 -780.282371343032</t>
  </si>
  <si>
    <t>-551.963017841211 291.476434179885 -768.410571054727</t>
  </si>
  <si>
    <t>-548.311258189769 370.38527130837 -461.903936226336</t>
  </si>
  <si>
    <t>-343.146946779142 269.61835631589 -337.824593573618</t>
  </si>
  <si>
    <t>-573.102896927167 82.9498225662987 -774.080132186988</t>
  </si>
  <si>
    <t>-586.7884564539 274.008398753185 -249.892686801521</t>
  </si>
  <si>
    <t>-582.921633894738 274.529816153053 205.785299320697</t>
  </si>
  <si>
    <t>-611.265145785276 249.030494824161 673.918626450714</t>
  </si>
  <si>
    <t>-452.839705390893 260.860372883764 749.449645949221</t>
  </si>
  <si>
    <t>-560.405568090729 81.840624495848 -227.134546269403</t>
  </si>
  <si>
    <t>-451.201419299513 75.021356386969 215.229159542742</t>
  </si>
  <si>
    <t>-615.10807286818 4.24396556244847 650.298208069756</t>
  </si>
  <si>
    <t>-460.934322327713 -33.767916200356 725.988808032923</t>
  </si>
  <si>
    <t>9763-20170724T170109.195342500.bin</t>
  </si>
  <si>
    <t>-573.409144804499 178.776899957252 -238.902340547128</t>
  </si>
  <si>
    <t>-597.024799635192 161.641444132226 -356.445925295674</t>
  </si>
  <si>
    <t>-601.470817337323 147.41927871347 -476.731058810816</t>
  </si>
  <si>
    <t>-597.498341432638 135.440075189633 -585.522457809371</t>
  </si>
  <si>
    <t>-585.627900846863 124.125258184506 -693.80869616302</t>
  </si>
  <si>
    <t>-560.919837980746 108.894336794773 -843.333148959053</t>
  </si>
  <si>
    <t>-520.347381535936 101.27879983046 -936.493554334574</t>
  </si>
  <si>
    <t>-571.04038338928 147.266644544867 -780.261224876286</t>
  </si>
  <si>
    <t>-551.4050313719 292.512627603798 -768.328662389811</t>
  </si>
  <si>
    <t>-547.668477786062 371.342518377737 -461.802781144595</t>
  </si>
  <si>
    <t>-342.755310222332 269.954380363925 -337.81446994994</t>
  </si>
  <si>
    <t>-572.664382763115 84.0003969367367 -774.085180535373</t>
  </si>
  <si>
    <t>-586.487875619252 274.922095414312 -249.92854972048</t>
  </si>
  <si>
    <t>-582.613570128112 275.108666062814 205.749590773698</t>
  </si>
  <si>
    <t>-611.262782441639 249.159487749618 673.833296765331</t>
  </si>
  <si>
    <t>-452.865552253975 260.744873548344 749.461362016699</t>
  </si>
  <si>
    <t>-560.192687053242 82.6761701570672 -227.219440974092</t>
  </si>
  <si>
    <t>-451.063506214101 75.6444798296109 215.15940096849</t>
  </si>
  <si>
    <t>-615.059702747593 4.29512402719683 650.083697057574</t>
  </si>
  <si>
    <t>-460.929371428061 -33.849100274515 725.796127422472</t>
  </si>
  <si>
    <t>9763-20170724T170109.263091100.bin</t>
  </si>
  <si>
    <t>-573.14680297203 180.446276546696 -239.099488881914</t>
  </si>
  <si>
    <t>-596.72744521004 163.416581513149 -356.6653282664</t>
  </si>
  <si>
    <t>-601.044460899842 149.3048611552 -476.968295399893</t>
  </si>
  <si>
    <t>-596.91789002866 137.425283693552 -585.76482296486</t>
  </si>
  <si>
    <t>-584.856992822314 126.208555981849 -694.040317573055</t>
  </si>
  <si>
    <t>-559.847484333894 111.111666443511 -843.528114820622</t>
  </si>
  <si>
    <t>-519.05124300842 103.572667849419 -936.597042265269</t>
  </si>
  <si>
    <t>-570.083313296579 149.42731974702 -780.440516167438</t>
  </si>
  <si>
    <t>-550.433945288946 294.66349972692 -768.39176547515</t>
  </si>
  <si>
    <t>-546.270389529157 372.441739859041 -461.602949720318</t>
  </si>
  <si>
    <t>-341.596955722799 270.285298875177 -337.849584249939</t>
  </si>
  <si>
    <t>-571.743527497388 86.1557374369256 -774.328320897756</t>
  </si>
  <si>
    <t>-586.181607180568 276.611164892934 -249.986961011508</t>
  </si>
  <si>
    <t>-582.468972622648 275.989388111158 205.692187068174</t>
  </si>
  <si>
    <t>-611.300914871048 249.142512392529 673.795311827197</t>
  </si>
  <si>
    <t>-452.909371728528 260.566099267829 749.45987885567</t>
  </si>
  <si>
    <t>-560.042052851201 84.3924920211591 -227.541022591595</t>
  </si>
  <si>
    <t>-451.227409674703 76.5851295914772 214.902262120618</t>
  </si>
  <si>
    <t>-614.971114929255 4.30766647313862 649.765419271681</t>
  </si>
  <si>
    <t>-460.812293606503 -33.6760084093678 725.500582065204</t>
  </si>
  <si>
    <t>9763-20170724T170109.297183500.bin</t>
  </si>
  <si>
    <t>-573.073376004692 181.253374534745 -239.180587872166</t>
  </si>
  <si>
    <t>-596.594820553233 164.317946395515 -356.771995464502</t>
  </si>
  <si>
    <t>-600.865521961931 150.275828743347 -477.084755690736</t>
  </si>
  <si>
    <t>-596.703368511108 138.448732656318 -585.885640502705</t>
  </si>
  <si>
    <t>-584.613693516243 127.273805272293 -694.162305848226</t>
  </si>
  <si>
    <t>-559.571664957753 112.223323146394 -843.649317805951</t>
  </si>
  <si>
    <t>-518.687404306267 104.719486414104 -936.682348184757</t>
  </si>
  <si>
    <t>-569.822173737505 150.519416680609 -780.552053844186</t>
  </si>
  <si>
    <t>-550.240874763577 295.758379471905 -768.409112354222</t>
  </si>
  <si>
    <t>-545.574643020544 372.675372121918 -461.410472415883</t>
  </si>
  <si>
    <t>-340.833039884577 270.352517239224 -337.907486151383</t>
  </si>
  <si>
    <t>-571.481829061541 87.2459880526744 -774.459748559259</t>
  </si>
  <si>
    <t>-586.066840352565 277.343423537066 -249.994796464181</t>
  </si>
  <si>
    <t>-582.481316927967 276.377415510279 205.684734159212</t>
  </si>
  <si>
    <t>-611.30686486391 249.111186152402 673.768579899519</t>
  </si>
  <si>
    <t>-452.934328974836 260.758951860454 749.438752423491</t>
  </si>
  <si>
    <t>-559.994601043168 85.2969912273725 -227.708079995379</t>
  </si>
  <si>
    <t>-451.404830491999 76.9570354211921 214.780805787317</t>
  </si>
  <si>
    <t>-614.937360219018 4.310740985949 649.650016995083</t>
  </si>
  <si>
    <t>-460.799920157889 -33.7251028455971 725.402454016043</t>
  </si>
  <si>
    <t>9763-20170724T170109.365878300.bin</t>
  </si>
  <si>
    <t>-572.778080045739 182.852349052253 -239.361346575859</t>
  </si>
  <si>
    <t>-596.235563985399 166.089049993967 -356.990164084674</t>
  </si>
  <si>
    <t>-600.433069470289 152.178394116969 -477.320787164494</t>
  </si>
  <si>
    <t>-596.202806546454 140.453441406633 -586.130088688954</t>
  </si>
  <si>
    <t>-584.043991817235 129.364029552773 -694.407592136067</t>
  </si>
  <si>
    <t>-558.905672022424 114.415219145405 -843.888843569006</t>
  </si>
  <si>
    <t>-517.909448070029 106.959001822289 -936.876365718013</t>
  </si>
  <si>
    <t>-569.213957657259 152.668554621859 -780.775076994767</t>
  </si>
  <si>
    <t>-549.811365109619 297.905983483344 -768.454799990295</t>
  </si>
  <si>
    <t>-544.289526581729 373.145975277997 -461.054993343152</t>
  </si>
  <si>
    <t>-339.344048371437 270.583235453091 -338.090383233124</t>
  </si>
  <si>
    <t>-570.843224912613 89.3906149291797 -774.720866491542</t>
  </si>
  <si>
    <t>-585.700447558283 278.926516375617 -250.030851098213</t>
  </si>
  <si>
    <t>-582.310565666296 277.284817735661 205.64830767849</t>
  </si>
  <si>
    <t>-611.348356007574 249.294784743189 673.657745692558</t>
  </si>
  <si>
    <t>-453.005202318663 260.793497284153 749.412161736056</t>
  </si>
  <si>
    <t>-559.709834799335 86.8210191055605 -228.039062147735</t>
  </si>
  <si>
    <t>-451.708514057483 77.7136778981533 214.578616798655</t>
  </si>
  <si>
    <t>-614.857469513089 4.28502932346646 649.451263609503</t>
  </si>
  <si>
    <t>-460.690247300268 -33.5872460808359 725.225111486791</t>
  </si>
  <si>
    <t>9763-20170724T170109.395957600.bin</t>
  </si>
  <si>
    <t>-572.588397055191 183.657952277508 -239.445982624565</t>
  </si>
  <si>
    <t>-596.011209839689 166.958900953626 -357.090836714108</t>
  </si>
  <si>
    <t>-600.180521189691 153.11845570925 -477.430390202373</t>
  </si>
  <si>
    <t>-595.927416442408 141.458192253492 -586.245856700059</t>
  </si>
  <si>
    <t>-583.748450725872 130.433764409499 -694.527849936476</t>
  </si>
  <si>
    <t>-558.584935729527 115.574899392922 -844.013643691474</t>
  </si>
  <si>
    <t>-517.561984438085 108.146080171201 -936.991650122561</t>
  </si>
  <si>
    <t>-568.89606781131 153.790251966715 -780.877346524923</t>
  </si>
  <si>
    <t>-549.464024441104 299.028114960928 -768.483700877519</t>
  </si>
  <si>
    <t>-543.889539152408 373.85208229945 -460.98320880795</t>
  </si>
  <si>
    <t>-338.982812985266 270.958535127756 -338.230683309687</t>
  </si>
  <si>
    <t>-570.541888212954 90.5089013147535 -774.864260301062</t>
  </si>
  <si>
    <t>-585.467005500469 279.742395352016 -250.064790243157</t>
  </si>
  <si>
    <t>-582.20884050795 277.779259366507 205.614050111883</t>
  </si>
  <si>
    <t>-611.365338985233 249.422865849916 673.593098530898</t>
  </si>
  <si>
    <t>-453.037210275939 260.691894385435 749.413484900171</t>
  </si>
  <si>
    <t>-559.594003160391 87.6656978325423 -228.149379055409</t>
  </si>
  <si>
    <t>-451.743832623916 78.0869725369066 214.495230015196</t>
  </si>
  <si>
    <t>-614.810159913148 4.25223246288624 649.34900077663</t>
  </si>
  <si>
    <t>-460.627867275364 -33.5196371944551 725.142237718592</t>
  </si>
  <si>
    <t>9763-20170724T170109.460671900.bin</t>
  </si>
  <si>
    <t>-572.216942938765 185.20429149342 -239.515405420086</t>
  </si>
  <si>
    <t>-595.613679255703 168.585783846871 -357.176943405796</t>
  </si>
  <si>
    <t>-599.768832030484 154.856037305022 -477.529712884285</t>
  </si>
  <si>
    <t>-595.507351218638 143.306988492337 -586.356739738283</t>
  </si>
  <si>
    <t>-583.323965697367 132.404999263416 -694.650551272558</t>
  </si>
  <si>
    <t>-558.158163294565 117.727260492571 -844.153920030363</t>
  </si>
  <si>
    <t>-517.088794429296 110.351795283645 -937.115668453685</t>
  </si>
  <si>
    <t>-568.437734889114 155.865559649139 -780.966017259466</t>
  </si>
  <si>
    <t>-548.800360713981 301.068023303304 -768.39760972571</t>
  </si>
  <si>
    <t>-543.53024268498 375.585696774478 -460.817425696862</t>
  </si>
  <si>
    <t>-338.936038588853 271.756492505472 -338.331581919362</t>
  </si>
  <si>
    <t>-570.148818661808 92.5776077169237 -775.040659115174</t>
  </si>
  <si>
    <t>-584.935999882364 281.308556085679 -250.120112159276</t>
  </si>
  <si>
    <t>-582.016624943729 278.768896689626 205.55824943751</t>
  </si>
  <si>
    <t>-611.388785771529 249.707203549563 673.453776137124</t>
  </si>
  <si>
    <t>-453.109808380829 260.643068516076 749.425363470141</t>
  </si>
  <si>
    <t>-559.385166036388 89.1409782101221 -228.229223356464</t>
  </si>
  <si>
    <t>-451.473815702666 78.8102458010226 214.383588897221</t>
  </si>
  <si>
    <t>-614.690897376222 4.25889551791988 649.066357380764</t>
  </si>
  <si>
    <t>-460.588206323256 -33.6953521383632 724.930369887538</t>
  </si>
  <si>
    <t>9763-20170724T170109.495741100.bin</t>
  </si>
  <si>
    <t>-571.967744785527 185.868075208275 -239.548564673853</t>
  </si>
  <si>
    <t>-595.380527080883 169.262039556775 -357.20868572121</t>
  </si>
  <si>
    <t>-599.548775968238 155.553969464117 -477.56348165755</t>
  </si>
  <si>
    <t>-595.297840887337 144.029151953833 -586.393541723766</t>
  </si>
  <si>
    <t>-583.123559379036 133.15679328253 -694.691301742142</t>
  </si>
  <si>
    <t>-557.968720187476 118.52672662807 -844.201193714154</t>
  </si>
  <si>
    <t>-516.892025547721 111.167294763999 -937.161023723164</t>
  </si>
  <si>
    <t>-568.237250401859 156.644956539226 -780.999380350937</t>
  </si>
  <si>
    <t>-548.593246120285 301.829574204615 -768.361614293625</t>
  </si>
  <si>
    <t>-543.293505558152 376.380700874851 -460.790124160767</t>
  </si>
  <si>
    <t>-338.839697037328 272.197253185095 -338.37087759099</t>
  </si>
  <si>
    <t>-569.960652219962 93.3552234687156 -775.096151816502</t>
  </si>
  <si>
    <t>-584.629959437747 282.009857624434 -250.156356788134</t>
  </si>
  <si>
    <t>-581.775445387621 279.193208768211 205.520647733971</t>
  </si>
  <si>
    <t>-611.401652135689 249.836585353086 673.38634939196</t>
  </si>
  <si>
    <t>-453.150512289073 260.617631400575 749.437996411792</t>
  </si>
  <si>
    <t>-559.175295441743 89.7533406443868 -228.264762528518</t>
  </si>
  <si>
    <t>-451.255236192489 79.1607606933983 214.339720313352</t>
  </si>
  <si>
    <t>-614.623463072782 4.25131774698684 648.919279194697</t>
  </si>
  <si>
    <t>-460.485430938738 -33.5083252166639 724.808595897922</t>
  </si>
  <si>
    <t>9763-20170724T170109.565929500.bin</t>
  </si>
  <si>
    <t>-571.472938178763 187.151761426262 -239.674777090687</t>
  </si>
  <si>
    <t>-594.885245025741 170.619122132372 -357.345259199487</t>
  </si>
  <si>
    <t>-599.092601506163 157.016433188886 -477.710546973971</t>
  </si>
  <si>
    <t>-594.892019873346 145.598875801435 -586.553806319154</t>
  </si>
  <si>
    <t>-582.782445053916 134.844767798368 -694.870763621253</t>
  </si>
  <si>
    <t>-557.731579043122 120.390437373685 -844.415156802671</t>
  </si>
  <si>
    <t>-516.586810927312 113.147844892494 -937.354071006653</t>
  </si>
  <si>
    <t>-567.909254141593 158.433736843144 -781.153476164377</t>
  </si>
  <si>
    <t>-548.007636776 303.571575328769 -768.36192409039</t>
  </si>
  <si>
    <t>-542.795795206957 377.885693170069 -460.731604546623</t>
  </si>
  <si>
    <t>-338.386619014259 273.208014073107 -338.659900639783</t>
  </si>
  <si>
    <t>-569.722376162238 95.1382938548745 -775.339342148198</t>
  </si>
  <si>
    <t>-583.937900057629 283.320104250839 -250.251745219929</t>
  </si>
  <si>
    <t>-581.233679719983 280.056065665276 205.42322771431</t>
  </si>
  <si>
    <t>-611.365170672391 250.092691248773 673.187807560095</t>
  </si>
  <si>
    <t>-453.212383180422 260.762459727211 749.459396177749</t>
  </si>
  <si>
    <t>-558.882562383011 91.0422116264062 -228.407010624228</t>
  </si>
  <si>
    <t>-450.880711243186 79.7779323719615 214.160917592632</t>
  </si>
  <si>
    <t>-614.482907739291 4.31524044974981 648.596969053022</t>
  </si>
  <si>
    <t>-460.430331124457 -33.5865647404105 724.588902667603</t>
  </si>
  <si>
    <t>9763-20170724T170109.599016300.bin</t>
  </si>
  <si>
    <t>-571.235783400653 187.776873273318 -239.772854732216</t>
  </si>
  <si>
    <t>-594.65767930197 171.272668801549 -357.445406468644</t>
  </si>
  <si>
    <t>-598.907618202277 157.733902090509 -477.816509305004</t>
  </si>
  <si>
    <t>-594.757805427081 146.387729088603 -586.669267441184</t>
  </si>
  <si>
    <t>-582.710414270739 135.718615507823 -695.001399438176</t>
  </si>
  <si>
    <t>-557.757110831928 121.395855010458 -844.57479675066</t>
  </si>
  <si>
    <t>-516.559216309136 114.180731532195 -937.492290394751</t>
  </si>
  <si>
    <t>-567.864845987131 159.383063887142 -781.268128395302</t>
  </si>
  <si>
    <t>-547.707093942027 304.489055630421 -768.406064186171</t>
  </si>
  <si>
    <t>-542.46306508219 378.710863499359 -460.753967240223</t>
  </si>
  <si>
    <t>-338.152256825475 273.635678747972 -338.858991645154</t>
  </si>
  <si>
    <t>-569.731493267739 96.0833832505425 -775.518364992857</t>
  </si>
  <si>
    <t>-583.613617019583 283.967808298149 -250.333014610669</t>
  </si>
  <si>
    <t>-580.897565059455 280.481709088014 205.340245923242</t>
  </si>
  <si>
    <t>-611.339724081589 250.228604633518 673.076493389208</t>
  </si>
  <si>
    <t>-453.248375485727 260.925662919059 749.471510880865</t>
  </si>
  <si>
    <t>-558.723160759426 91.6261172661677 -228.530872193335</t>
  </si>
  <si>
    <t>-450.764338197692 80.1067410111921 214.040999413171</t>
  </si>
  <si>
    <t>-614.409594197876 4.34849759252074 648.431552653961</t>
  </si>
  <si>
    <t>-460.429671423462 -33.7301592754757 724.482284578483</t>
  </si>
  <si>
    <t>9763-20170724T170109.663202800.bin</t>
  </si>
  <si>
    <t>-570.876413364193 188.803963393447 -239.927107463238</t>
  </si>
  <si>
    <t>-594.429822440448 172.39627344978 -357.586851265685</t>
  </si>
  <si>
    <t>-598.800779348628 158.966883352956 -477.965925687745</t>
  </si>
  <si>
    <t>-594.75499045519 147.725033656165 -586.833234922031</t>
  </si>
  <si>
    <t>-582.805628611719 137.166702848181 -695.187127316975</t>
  </si>
  <si>
    <t>-557.981816389341 123.004987141444 -844.797440959795</t>
  </si>
  <si>
    <t>-516.747759886658 115.792180944683 -937.699149400779</t>
  </si>
  <si>
    <t>-567.998897371518 160.923380143433 -781.435323918548</t>
  </si>
  <si>
    <t>-547.629775370977 305.978934686122 -768.418868173307</t>
  </si>
  <si>
    <t>-541.987456474074 380.230336966911 -460.780922208494</t>
  </si>
  <si>
    <t>-337.901835538565 274.411264275199 -339.152786303006</t>
  </si>
  <si>
    <t>-569.932352697659 97.6186113746714 -775.763741429803</t>
  </si>
  <si>
    <t>-583.00602501713 285.030291624186 -250.452758550729</t>
  </si>
  <si>
    <t>-580.004231296487 281.165384570156 205.215733014694</t>
  </si>
  <si>
    <t>-611.288225906403 250.388987940048 672.872134949633</t>
  </si>
  <si>
    <t>-453.306687369391 260.973892326521 749.509653491573</t>
  </si>
  <si>
    <t>-558.638749151016 92.6592293055389 -228.732906076795</t>
  </si>
  <si>
    <t>-450.533446149199 80.6321801848492 213.789731768509</t>
  </si>
  <si>
    <t>-614.270038728756 4.5152541296045 648.114021555631</t>
  </si>
  <si>
    <t>-460.404391709007 -33.8120225264922 724.271117577802</t>
  </si>
  <si>
    <t>9763-20170724T170109.698296300.bin</t>
  </si>
  <si>
    <t>-570.794586642469 189.153192493374 -240.003492520815</t>
  </si>
  <si>
    <t>-594.445780172329 172.77788973623 -357.648147656576</t>
  </si>
  <si>
    <t>-598.894232961052 159.3923044358 -478.029248986991</t>
  </si>
  <si>
    <t>-594.909328276143 148.194317179766 -586.903321149246</t>
  </si>
  <si>
    <t>-583.011300550713 137.683799793542 -695.267583338281</t>
  </si>
  <si>
    <t>-558.248689599899 123.592810935803 -844.894712598799</t>
  </si>
  <si>
    <t>-517.011710950896 116.381391674723 -937.795213012227</t>
  </si>
  <si>
    <t>-568.213264729058 161.480977983193 -781.506079418034</t>
  </si>
  <si>
    <t>-547.686345110118 306.520318926419 -768.439027094422</t>
  </si>
  <si>
    <t>-542.028252890465 380.588145697724 -460.757075385382</t>
  </si>
  <si>
    <t>-337.984627055571 274.577440191786 -339.225181698536</t>
  </si>
  <si>
    <t>-570.197507740927 98.1742626711798 -775.87262800125</t>
  </si>
  <si>
    <t>-582.820995959325 285.419027059295 -250.495349306547</t>
  </si>
  <si>
    <t>-579.583713616361 281.397234654655 205.170148703607</t>
  </si>
  <si>
    <t>-611.299536831125 250.519111170532 672.790752919509</t>
  </si>
  <si>
    <t>-453.355029237259 260.930496376713 749.528266526937</t>
  </si>
  <si>
    <t>-558.68257977538 92.89895885036 -228.82208166798</t>
  </si>
  <si>
    <t>-450.446936451587 80.7970496474334 213.666611977086</t>
  </si>
  <si>
    <t>-614.195498908496 4.44542432964545 647.960547926806</t>
  </si>
  <si>
    <t>-460.316783020499 -33.7438499868201 724.160483915236</t>
  </si>
  <si>
    <t>9763-20170724T170109.764061200.bin</t>
  </si>
  <si>
    <t>-570.877707905551 189.550634174672 -240.097405652258</t>
  </si>
  <si>
    <t>-594.7411369839 173.239021322989 -357.707975715365</t>
  </si>
  <si>
    <t>-599.29288689568 159.926986714316 -478.093372180874</t>
  </si>
  <si>
    <t>-595.355581331621 148.797878461089 -586.976381824872</t>
  </si>
  <si>
    <t>-583.459427864533 138.357719429137 -695.347672096278</t>
  </si>
  <si>
    <t>-558.65226553561 124.365227872328 -844.976563367852</t>
  </si>
  <si>
    <t>-517.362539554506 117.170007848891 -937.854743949951</t>
  </si>
  <si>
    <t>-568.577699738064 162.210569072815 -781.556240931041</t>
  </si>
  <si>
    <t>-547.706452662583 307.173665275273 -768.358361902343</t>
  </si>
  <si>
    <t>-542.034897773099 380.975836953068 -460.612848059729</t>
  </si>
  <si>
    <t>-338.150114934856 274.33990549043 -339.361806141757</t>
  </si>
  <si>
    <t>-570.679654559463 98.9023872468085 -775.984496215753</t>
  </si>
  <si>
    <t>-582.746365882482 285.968254388133 -250.532746619662</t>
  </si>
  <si>
    <t>-578.999006450191 281.700436994578 205.126615469466</t>
  </si>
  <si>
    <t>-611.305166043254 250.501863544635 672.707485668788</t>
  </si>
  <si>
    <t>-453.410812260902 260.869382703751 749.554095431864</t>
  </si>
  <si>
    <t>-558.917110875872 93.1921273893427 -228.954770739239</t>
  </si>
  <si>
    <t>-450.40687136314 81.0412974023425 213.465286787389</t>
  </si>
  <si>
    <t>-614.085125275647 4.43028794220572 647.754392713774</t>
  </si>
  <si>
    <t>-460.249576636264 -33.8326462836089 724.004487929986</t>
  </si>
  <si>
    <t>9763-20170724T170109.798121800.bin</t>
  </si>
  <si>
    <t>-571.051746241114 189.681929321692 -240.130695148696</t>
  </si>
  <si>
    <t>-595.051794394881 173.388702906881 -357.716047278049</t>
  </si>
  <si>
    <t>-599.686682378465 160.128100859114 -478.103948434958</t>
  </si>
  <si>
    <t>-595.801161562924 149.058675909326 -586.994791730238</t>
  </si>
  <si>
    <t>-583.933026073224 138.690936455693 -695.376156673797</t>
  </si>
  <si>
    <t>-559.139728479745 124.812598778086 -845.017979985953</t>
  </si>
  <si>
    <t>-517.836252051558 117.651958170439 -937.892842318517</t>
  </si>
  <si>
    <t>-569.037482349597 162.609217114029 -781.5643242419</t>
  </si>
  <si>
    <t>-548.038264786861 307.545475701054 -768.259932067248</t>
  </si>
  <si>
    <t>-542.359147832123 381.19308896442 -460.477676074912</t>
  </si>
  <si>
    <t>-338.60951497048 274.276684013739 -339.246465263231</t>
  </si>
  <si>
    <t>-571.182470355043 99.2974968584692 -776.047925879715</t>
  </si>
  <si>
    <t>-582.858734171597 286.161841706473 -250.542954035834</t>
  </si>
  <si>
    <t>-578.773907221157 281.787967262735 205.112520068855</t>
  </si>
  <si>
    <t>-611.3148689715 250.49249455161 672.673583071466</t>
  </si>
  <si>
    <t>-453.439887538943 260.87439151363 749.557959647461</t>
  </si>
  <si>
    <t>-559.153827008629 93.2558732849561 -228.995095215051</t>
  </si>
  <si>
    <t>-450.462549031176 81.1609532223231 213.382144411223</t>
  </si>
  <si>
    <t>-614.037320759396 4.47273286922814 647.673765097115</t>
  </si>
  <si>
    <t>-460.240621539918 -33.9010952107919 723.946549962316</t>
  </si>
  <si>
    <t>9763-20170724T170109.862938100.bin</t>
  </si>
  <si>
    <t>-571.548706368534 189.765307657816 -240.157334807499</t>
  </si>
  <si>
    <t>-595.740512471691 173.526348776693 -357.710981189342</t>
  </si>
  <si>
    <t>-600.443015222926 160.378663437541 -478.108562032698</t>
  </si>
  <si>
    <t>-596.566044425073 149.433455746734 -587.012280022629</t>
  </si>
  <si>
    <t>-584.65338539963 139.211749134879 -695.402675509706</t>
  </si>
  <si>
    <t>-559.743270427445 125.558044274263 -845.045756174266</t>
  </si>
  <si>
    <t>-518.406974992683 118.497668862678 -937.913705399162</t>
  </si>
  <si>
    <t>-569.635938668202 163.258164940319 -781.533963442946</t>
  </si>
  <si>
    <t>-548.268889556996 308.116337500837 -767.987969506473</t>
  </si>
  <si>
    <t>-542.825097502178 381.284138984219 -460.08693285757</t>
  </si>
  <si>
    <t>-339.235502854739 273.814468048833 -339.076220723793</t>
  </si>
  <si>
    <t>-571.894556761895 99.9405072034112 -776.132698427995</t>
  </si>
  <si>
    <t>-583.157727205846 286.354851644073 -250.553346189538</t>
  </si>
  <si>
    <t>-578.639701998051 281.865362439622 205.096777631893</t>
  </si>
  <si>
    <t>-611.350360618114 250.483846902137 672.62251172005</t>
  </si>
  <si>
    <t>-453.498043109823 260.818692363491 749.559789858391</t>
  </si>
  <si>
    <t>-559.814915390245 93.2059513217034 -229.067299559073</t>
  </si>
  <si>
    <t>-450.657179416608 81.3460168277506 213.201339001757</t>
  </si>
  <si>
    <t>-613.950799113635 4.59593515629172 647.536618520656</t>
  </si>
  <si>
    <t>-460.235951098524 -34.0380904525143 723.843028788165</t>
  </si>
  <si>
    <t>9763-20170724T170109.896029500.bin</t>
  </si>
  <si>
    <t>-571.876801195125 189.720526945758 -240.182470052783</t>
  </si>
  <si>
    <t>-596.182348876249 173.514697620088 -357.717250508623</t>
  </si>
  <si>
    <t>-600.942338447401 160.430028923254 -478.119492603937</t>
  </si>
  <si>
    <t>-597.093219528309 149.553340192941 -587.031118767532</t>
  </si>
  <si>
    <t>-585.183984054075 139.411897835269 -695.42934093151</t>
  </si>
  <si>
    <t>-560.253102946176 125.881695573366 -845.080194165389</t>
  </si>
  <si>
    <t>-518.885631696631 118.832531766039 -937.934966892586</t>
  </si>
  <si>
    <t>-570.125790305185 163.528802726977 -781.533839076643</t>
  </si>
  <si>
    <t>-548.553154763689 308.354416817029 -767.846639175442</t>
  </si>
  <si>
    <t>-543.074137716145 381.176633714988 -459.86423292965</t>
  </si>
  <si>
    <t>-339.561349982843 273.471260149547 -338.934030834596</t>
  </si>
  <si>
    <t>-572.442648327671 100.20802976509 -776.194852435501</t>
  </si>
  <si>
    <t>-583.406142195321 286.38275157652 -250.561719328389</t>
  </si>
  <si>
    <t>-578.714187917241 281.852918816047 205.086244203308</t>
  </si>
  <si>
    <t>-611.384685252296 250.463874563218 672.620464515003</t>
  </si>
  <si>
    <t>-453.535435548991 260.855534620047 749.556363608274</t>
  </si>
  <si>
    <t>-560.26710585347 93.1580846786385 -229.101035554335</t>
  </si>
  <si>
    <t>-450.847976791855 81.2893831448325 213.102785426806</t>
  </si>
  <si>
    <t>-613.933926780665 4.52952820503151 647.524790532701</t>
  </si>
  <si>
    <t>-460.179178791383 -33.9916357188456 723.807849860819</t>
  </si>
  <si>
    <t>9763-20170724T170109.963212600.bin</t>
  </si>
  <si>
    <t>-572.773550661941 189.616464047163 -240.19441293389</t>
  </si>
  <si>
    <t>-597.204254029238 173.470327109895 -357.711493442533</t>
  </si>
  <si>
    <t>-602.076206691055 160.483977192908 -478.119798680124</t>
  </si>
  <si>
    <t>-598.320804041587 149.709306121507 -587.04481365552</t>
  </si>
  <si>
    <t>-586.496837835838 139.68151359416 -695.462990634198</t>
  </si>
  <si>
    <t>-561.675046825678 126.320262992795 -845.147267566471</t>
  </si>
  <si>
    <t>-520.365240250259 119.255553164919 -938.02652568937</t>
  </si>
  <si>
    <t>-571.411401412595 163.893458609867 -781.536061395794</t>
  </si>
  <si>
    <t>-549.494009456816 308.642984288677 -767.643034363117</t>
  </si>
  <si>
    <t>-543.815002902027 380.911589323533 -459.533875099286</t>
  </si>
  <si>
    <t>-340.452013831525 272.722077827638 -338.783820183559</t>
  </si>
  <si>
    <t>-573.904423652897 100.571008466814 -776.29705362375</t>
  </si>
  <si>
    <t>-584.178454897741 286.353510054996 -250.550879958586</t>
  </si>
  <si>
    <t>-579.288620805451 281.764021449327 205.094557840608</t>
  </si>
  <si>
    <t>-611.506430485274 250.387251786947 672.704258161581</t>
  </si>
  <si>
    <t>-453.593508095177 260.455305198036 749.552506919818</t>
  </si>
  <si>
    <t>-561.269492149973 92.9384384561326 -229.149167894014</t>
  </si>
  <si>
    <t>-451.413996601621 81.2105403742416 212.950135773745</t>
  </si>
  <si>
    <t>-613.929669234048 4.5605059221341 647.557302076041</t>
  </si>
  <si>
    <t>-460.172239766132 -34.0910675149999 723.768913147228</t>
  </si>
  <si>
    <t>9763-20170724T170109.995312700.bin</t>
  </si>
  <si>
    <t>-573.279282139354 189.480882414232 -240.172637398577</t>
  </si>
  <si>
    <t>-597.771744393539 173.35964098003 -357.680042605737</t>
  </si>
  <si>
    <t>-602.728327097161 160.407089441049 -478.088659376076</t>
  </si>
  <si>
    <t>-599.057722252281 149.665177279338 -587.019819342087</t>
  </si>
  <si>
    <t>-587.326263016511 139.67178550533 -695.45112070344</t>
  </si>
  <si>
    <t>-562.64042617517 126.359408221615 -845.162141093039</t>
  </si>
  <si>
    <t>-521.371199929474 119.287961747395 -938.059121405371</t>
  </si>
  <si>
    <t>-572.281778082574 163.910789712192 -781.523787636532</t>
  </si>
  <si>
    <t>-550.093558716405 308.627073266773 -767.612043891542</t>
  </si>
  <si>
    <t>-544.404645308111 380.561671306046 -459.424944965045</t>
  </si>
  <si>
    <t>-341.131652209834 272.178072384684 -338.697430373467</t>
  </si>
  <si>
    <t>-574.844498627051 100.588702991687 -776.315708761355</t>
  </si>
  <si>
    <t>-584.658762858341 286.243853733291 -250.517613384554</t>
  </si>
  <si>
    <t>-579.664047527422 281.662436718694 205.126711634989</t>
  </si>
  <si>
    <t>-611.590512476222 250.334145224645 672.77245447973</t>
  </si>
  <si>
    <t>-453.633400879015 260.32095828173 749.540437940151</t>
  </si>
  <si>
    <t>-561.811074335996 92.8301768374401 -229.15600788489</t>
  </si>
  <si>
    <t>-451.736611167532 81.0919100798437 212.888613525331</t>
  </si>
  <si>
    <t>-613.942324199797 4.53722098683852 647.615401855045</t>
  </si>
  <si>
    <t>-460.179278476595 -34.1920224795333 723.776308514378</t>
  </si>
  <si>
    <t>9763-20170724T170110.060489000.bin</t>
  </si>
  <si>
    <t>-574.139216458072 188.862680938975 -240.101717276413</t>
  </si>
  <si>
    <t>-598.927010114895 172.743638121585 -357.54778482115</t>
  </si>
  <si>
    <t>-604.169733657241 159.817736983795 -477.947053716568</t>
  </si>
  <si>
    <t>-600.751206542084 149.112100025869 -586.889962186347</t>
  </si>
  <si>
    <t>-589.263668979751 139.168935218254 -695.351964811424</t>
  </si>
  <si>
    <t>-564.907063063326 125.942264129618 -845.124560587232</t>
  </si>
  <si>
    <t>-523.788368323349 118.940056777365 -938.093357010465</t>
  </si>
  <si>
    <t>-574.401660682089 163.457064732218 -781.442424873624</t>
  </si>
  <si>
    <t>-552.061569565532 308.139205532365 -767.567165867648</t>
  </si>
  <si>
    <t>-545.89287295893 380.023377298428 -459.377517926985</t>
  </si>
  <si>
    <t>-342.712459719821 271.286806394804 -338.81164878679</t>
  </si>
  <si>
    <t>-576.966511188772 100.132293522858 -776.267194950908</t>
  </si>
  <si>
    <t>-585.466887466271 285.630660954375 -250.466586525764</t>
  </si>
  <si>
    <t>-579.943025367942 281.257896987625 205.173581917608</t>
  </si>
  <si>
    <t>-611.638072067801 250.207791747362 672.802538214618</t>
  </si>
  <si>
    <t>-453.6724774724 260.408294495433 749.525015291725</t>
  </si>
  <si>
    <t>-562.686872852073 92.0992410053657 -229.067363957305</t>
  </si>
  <si>
    <t>-451.975296626914 80.6818891018459 212.826629191188</t>
  </si>
  <si>
    <t>-613.956925507506 4.57696486559576 647.696238113807</t>
  </si>
  <si>
    <t>-460.148135084729 -34.1142004116623 723.784118238689</t>
  </si>
  <si>
    <t>9763-20170724T170110.098593500.bin</t>
  </si>
  <si>
    <t>-574.442194570735 188.485409930632 -240.070557605138</t>
  </si>
  <si>
    <t>-599.38823128095 172.321536827772 -357.476768064069</t>
  </si>
  <si>
    <t>-604.769026806028 159.388701522761 -477.869332567711</t>
  </si>
  <si>
    <t>-601.465221408261 148.69525869148 -586.816960561885</t>
  </si>
  <si>
    <t>-590.081320044562 138.784605028803 -695.292874368887</t>
  </si>
  <si>
    <t>-565.856525806804 125.625540578805 -845.092693491418</t>
  </si>
  <si>
    <t>-524.813821410707 118.664394639712 -938.098324088448</t>
  </si>
  <si>
    <t>-575.301991925233 163.111851133073 -781.386531911686</t>
  </si>
  <si>
    <t>-552.889389520773 307.789087385817 -767.575877108879</t>
  </si>
  <si>
    <t>-546.523662586525 379.633862377922 -459.381278010836</t>
  </si>
  <si>
    <t>-343.334429709478 270.896209325888 -338.831329821361</t>
  </si>
  <si>
    <t>-577.848512616776 99.7842262843021 -776.235453778177</t>
  </si>
  <si>
    <t>-585.745069574198 285.371181698745 -250.503680496745</t>
  </si>
  <si>
    <t>-579.981445101367 281.175728259822 205.135327633562</t>
  </si>
  <si>
    <t>-611.654311672591 250.382970712588 672.742633464948</t>
  </si>
  <si>
    <t>-453.708336090267 260.377666064335 749.532496958679</t>
  </si>
  <si>
    <t>-562.985539574635 91.6319930775603 -228.982659043136</t>
  </si>
  <si>
    <t>-451.849716173853 80.5680059551196 212.813780571126</t>
  </si>
  <si>
    <t>-613.938570409423 4.6802350421458 647.651579912308</t>
  </si>
  <si>
    <t>-460.224941450748 -34.3448998603994 723.761174639946</t>
  </si>
  <si>
    <t>9763-20170724T170110.165324900.bin</t>
  </si>
  <si>
    <t>-575.057369150179 187.674856425944 -240.004960431423</t>
  </si>
  <si>
    <t>-600.260629501183 171.317553795996 -357.329405912004</t>
  </si>
  <si>
    <t>-605.920799406242 158.324042769496 -477.70266319781</t>
  </si>
  <si>
    <t>-602.873497431857 147.634396242153 -586.658159821653</t>
  </si>
  <si>
    <t>-591.747064916719 137.788423103083 -695.166731443421</t>
  </si>
  <si>
    <t>-567.878287627945 124.785272177373 -845.037334397823</t>
  </si>
  <si>
    <t>-526.993144802025 117.988256075268 -938.124305000219</t>
  </si>
  <si>
    <t>-577.190862765766 162.205623701098 -781.272871211071</t>
  </si>
  <si>
    <t>-554.778558496147 306.881428836792 -767.499191945128</t>
  </si>
  <si>
    <t>-547.901510442184 378.767516181232 -459.325178735984</t>
  </si>
  <si>
    <t>-344.701651184224 270.182834957054 -338.655077999667</t>
  </si>
  <si>
    <t>-579.688136365431 98.871791409274 -776.175533710482</t>
  </si>
  <si>
    <t>-586.393965140861 284.673441989841 -250.580900481479</t>
  </si>
  <si>
    <t>-579.962177186359 280.879404462443 205.052634945728</t>
  </si>
  <si>
    <t>-611.691904906304 250.414354343817 672.733582064738</t>
  </si>
  <si>
    <t>-453.763636803592 260.49477160215 749.548630042494</t>
  </si>
  <si>
    <t>-563.571483581831 90.7547903461209 -228.765012656925</t>
  </si>
  <si>
    <t>-451.572603421099 80.349294139224 212.829413422131</t>
  </si>
  <si>
    <t>-613.913921387682 4.66082216257678 647.587001599237</t>
  </si>
  <si>
    <t>-460.254010868131 -34.6128108831849 723.677228462839</t>
  </si>
  <si>
    <t>9763-20170724T170110.192397400.bin</t>
  </si>
  <si>
    <t>-575.354498210268 187.077924023903 -239.987153167012</t>
  </si>
  <si>
    <t>-600.673560127444 170.626099323693 -357.273416569785</t>
  </si>
  <si>
    <t>-606.469040687408 157.593475459049 -477.635859326673</t>
  </si>
  <si>
    <t>-603.549932418719 146.892835236181 -586.593816852781</t>
  </si>
  <si>
    <t>-592.556005242597 137.061986063334 -695.117187879808</t>
  </si>
  <si>
    <t>-568.874634410964 124.108007878382 -845.021907317577</t>
  </si>
  <si>
    <t>-528.079017943168 117.407814583016 -938.155153051619</t>
  </si>
  <si>
    <t>-578.138938765043 161.508421317503 -781.238606388943</t>
  </si>
  <si>
    <t>-555.807374498301 306.209612931664 -767.524304911252</t>
  </si>
  <si>
    <t>-548.641238058207 377.854305336424 -459.300618292724</t>
  </si>
  <si>
    <t>-345.276859114532 269.682617387585 -338.536874040268</t>
  </si>
  <si>
    <t>-580.566846514648 98.1712304845164 -776.148864503488</t>
  </si>
  <si>
    <t>-586.884886125779 284.042842221981 -250.562402987799</t>
  </si>
  <si>
    <t>-580.015629816564 280.438699917571 205.06623873232</t>
  </si>
  <si>
    <t>-611.716932766974 250.131513713417 672.824452188232</t>
  </si>
  <si>
    <t>-453.755596183262 260.406148282779 749.545745599708</t>
  </si>
  <si>
    <t>-563.715039792168 90.1989204487845 -228.727305085592</t>
  </si>
  <si>
    <t>-451.61653095576 80.2197650282192 212.851582356066</t>
  </si>
  <si>
    <t>-613.915504536311 4.66314066568702 647.619867050352</t>
  </si>
  <si>
    <t>-460.169572388582 -34.3656178560595 723.662306205422</t>
  </si>
  <si>
    <t>9763-20170724T170110.261048000.bin</t>
  </si>
  <si>
    <t>-576.311073643993 185.901579016457 -240.010537685929</t>
  </si>
  <si>
    <t>-601.767356349843 169.341489521398 -357.251975837232</t>
  </si>
  <si>
    <t>-607.781990631322 156.258793831082 -477.598207586761</t>
  </si>
  <si>
    <t>-605.091342699153 145.538861300828 -586.560173652998</t>
  </si>
  <si>
    <t>-594.35412385615 135.715288927795 -695.10994047122</t>
  </si>
  <si>
    <t>-571.056747652377 122.800139122256 -845.07806457119</t>
  </si>
  <si>
    <t>-530.422744554245 116.278560042449 -938.294695043695</t>
  </si>
  <si>
    <t>-580.23729105308 160.18580949556 -781.274116126885</t>
  </si>
  <si>
    <t>-558.20472798671 304.943308077897 -767.691982803306</t>
  </si>
  <si>
    <t>-550.255086804316 375.777894086526 -459.300322972796</t>
  </si>
  <si>
    <t>-346.022924049191 268.547219413262 -339.163513987939</t>
  </si>
  <si>
    <t>-582.492963272266 96.8435360981416 -776.169619885214</t>
  </si>
  <si>
    <t>-588.268075132449 282.834839541261 -250.534919563878</t>
  </si>
  <si>
    <t>-580.625559770278 279.574753528312 205.083961439158</t>
  </si>
  <si>
    <t>-611.796283115065 249.756817168626 672.961974286509</t>
  </si>
  <si>
    <t>-453.750346332049 260.275835143156 749.475667600527</t>
  </si>
  <si>
    <t>-564.305452631648 89.1220565515746 -228.800795507136</t>
  </si>
  <si>
    <t>-452.487181801233 79.934767427168 212.866481140968</t>
  </si>
  <si>
    <t>-613.987291939898 4.68773460183365 647.866488676608</t>
  </si>
  <si>
    <t>-460.143274103061 -34.24603738634 723.759130057461</t>
  </si>
  <si>
    <t>9763-20170724T170110.296143000.bin</t>
  </si>
  <si>
    <t>-576.913024201785 185.228762153772 -240.02390646027</t>
  </si>
  <si>
    <t>-602.420634164999 168.641188390396 -357.250295499026</t>
  </si>
  <si>
    <t>-608.591771462968 155.52665288319 -477.585271937655</t>
  </si>
  <si>
    <t>-606.084493311868 144.777826799643 -586.548677935093</t>
  </si>
  <si>
    <t>-595.571486383515 134.925914275542 -695.117775692037</t>
  </si>
  <si>
    <t>-572.626740874242 121.973026982811 -845.137046217144</t>
  </si>
  <si>
    <t>-532.130306308539 115.486757612327 -938.415953880243</t>
  </si>
  <si>
    <t>-581.688150217625 159.375656820314 -781.32582305754</t>
  </si>
  <si>
    <t>-559.789312814017 304.185970204938 -767.911848700875</t>
  </si>
  <si>
    <t>-551.31485634358 374.641985269125 -459.447301907703</t>
  </si>
  <si>
    <t>-346.688872094755 267.705592852831 -339.719118918035</t>
  </si>
  <si>
    <t>-583.869943855716 96.0331296505576 -776.19042448388</t>
  </si>
  <si>
    <t>-589.097972498324 282.137180975185 -250.517602081329</t>
  </si>
  <si>
    <t>-581.167255656893 279.143076109047 205.098155188866</t>
  </si>
  <si>
    <t>-611.878661932882 249.678002646465 673.048225857942</t>
  </si>
  <si>
    <t>-453.766593691046 260.022043621398 749.449039205402</t>
  </si>
  <si>
    <t>-564.669700897387 88.4504307921159 -228.812602592198</t>
  </si>
  <si>
    <t>-452.916798344717 79.5342917262171 212.876729944873</t>
  </si>
  <si>
    <t>-614.006960788264 4.4611962797635 648.009365881276</t>
  </si>
  <si>
    <t>-460.059521391254 -34.1232257314045 723.870636793172</t>
  </si>
  <si>
    <t>9763-20170724T170110.362323900.bin</t>
  </si>
  <si>
    <t>-578.220392806615 183.637392904467 -239.898322058703</t>
  </si>
  <si>
    <t>-603.889059910544 166.909722447556 -357.06960099564</t>
  </si>
  <si>
    <t>-610.363586243506 153.546943051066 -477.361280596041</t>
  </si>
  <si>
    <t>-608.188493012933 142.532569710753 -586.305252642185</t>
  </si>
  <si>
    <t>-598.064926175358 132.375365033255 -694.883346107561</t>
  </si>
  <si>
    <t>-575.719829446443 118.958530305423 -844.952320995756</t>
  </si>
  <si>
    <t>-535.517755893673 112.34957176404 -938.349781312829</t>
  </si>
  <si>
    <t>-584.529325748314 156.558245901609 -781.221911237568</t>
  </si>
  <si>
    <t>-562.597691694212 301.405728128461 -768.384608241037</t>
  </si>
  <si>
    <t>-553.040579457884 370.996621128557 -459.755577926869</t>
  </si>
  <si>
    <t>-348.556059393749 265.599322055722 -338.431471823716</t>
  </si>
  <si>
    <t>-586.684375077606 93.2317973043976 -775.880986987675</t>
  </si>
  <si>
    <t>-590.507748797515 280.464657170524 -250.50729530564</t>
  </si>
  <si>
    <t>-582.266933726194 278.166601098787 205.107208679734</t>
  </si>
  <si>
    <t>-611.998674728197 249.54320123842 673.168055777746</t>
  </si>
  <si>
    <t>-453.799993637656 259.938530344916 749.382342130025</t>
  </si>
  <si>
    <t>-565.816621259565 86.8415726127646 -228.603982909731</t>
  </si>
  <si>
    <t>-453.281840270652 78.8449672849447 212.904358445825</t>
  </si>
  <si>
    <t>-613.936087727917 4.61181806866557 648.185308135585</t>
  </si>
  <si>
    <t>-460.092315647215 -34.0547694165759 724.214910584788</t>
  </si>
  <si>
    <t>9763-20170724T170110.395411700.bin</t>
  </si>
  <si>
    <t>-578.85358175347 182.561206412132 -239.79353817702</t>
  </si>
  <si>
    <t>-604.723601706931 165.717707545266 -356.904065266763</t>
  </si>
  <si>
    <t>-611.40725253501 152.231932816969 -477.170406669194</t>
  </si>
  <si>
    <t>-609.422627744656 141.103506138067 -586.106527337549</t>
  </si>
  <si>
    <t>-599.489740408917 130.830288012613 -694.6913759386</t>
  </si>
  <si>
    <t>-577.409474128161 117.249309872183 -844.784599507712</t>
  </si>
  <si>
    <t>-537.346332343569 110.591463744255 -938.23832414176</t>
  </si>
  <si>
    <t>-586.088926810591 154.918328178263 -781.077164446628</t>
  </si>
  <si>
    <t>-563.995194627291 299.743031245226 -768.432517549859</t>
  </si>
  <si>
    <t>-553.872282068674 368.605970492236 -459.658136266703</t>
  </si>
  <si>
    <t>-349.563980105157 265.360757362356 -336.205340839573</t>
  </si>
  <si>
    <t>-588.269679700171 91.5986333537087 -775.668673831191</t>
  </si>
  <si>
    <t>-591.268968009535 279.382234982694 -250.487138838739</t>
  </si>
  <si>
    <t>-582.614850089163 277.482978144344 205.121392744679</t>
  </si>
  <si>
    <t>-612.06988850906 249.357830170216 673.286040517958</t>
  </si>
  <si>
    <t>-453.806123261601 259.745910222125 749.366123164902</t>
  </si>
  <si>
    <t>-566.266897421781 85.7488350600304 -228.477695645372</t>
  </si>
  <si>
    <t>-453.247221077596 78.4635691136104 212.919057318587</t>
  </si>
  <si>
    <t>-613.815940840221 4.77618823295234 648.171904568091</t>
  </si>
  <si>
    <t>-460.129696497278 -33.9043959342473 724.512328743887</t>
  </si>
  <si>
    <t>9763-20170724T170110.462597900.bin</t>
  </si>
  <si>
    <t>-580.071974549994 179.85909257677 -239.596113161757</t>
  </si>
  <si>
    <t>-606.221274502205 162.664342108241 -356.593433020025</t>
  </si>
  <si>
    <t>-613.156223525251 149.029543370625 -476.828783899865</t>
  </si>
  <si>
    <t>-611.380436294397 137.851745497502 -585.763366332684</t>
  </si>
  <si>
    <t>-601.634568859741 127.615261798004 -694.368601350146</t>
  </si>
  <si>
    <t>-579.788380105847 114.176398929051 -844.508919829015</t>
  </si>
  <si>
    <t>-539.899334018956 107.596310296178 -938.042764359577</t>
  </si>
  <si>
    <t>-588.435791366452 151.786431560241 -780.762432976805</t>
  </si>
  <si>
    <t>-566.639693724522 296.668861017759 -768.260422038343</t>
  </si>
  <si>
    <t>-554.819114217791 364.747958641061 -459.372644425706</t>
  </si>
  <si>
    <t>-350.014727176985 267.979072954902 -331.571894011532</t>
  </si>
  <si>
    <t>-590.473513056171 88.4588574552922 -775.390637157808</t>
  </si>
  <si>
    <t>-593.009011596463 276.456810966808 -250.353577358487</t>
  </si>
  <si>
    <t>-583.440564272819 275.571168252392 205.239802327411</t>
  </si>
  <si>
    <t>-612.145674475483 248.329732686416 673.671777590265</t>
  </si>
  <si>
    <t>-453.699468794922 259.401521113382 749.274213757884</t>
  </si>
  <si>
    <t>-566.990338156866 83.2910604554429 -228.202853066259</t>
  </si>
  <si>
    <t>-453.221967666006 77.68783970809 213.026182232408</t>
  </si>
  <si>
    <t>-613.48321691195 4.82429863502011 648.310012892413</t>
  </si>
  <si>
    <t>-460.173569295597 -33.4041927480171 725.629104076361</t>
  </si>
  <si>
    <t>9763-20170724T170110.500699300.bin</t>
  </si>
  <si>
    <t>-580.580018279717 178.262411764574 -239.47645905773</t>
  </si>
  <si>
    <t>-606.790084874492 160.907444413268 -356.43646595475</t>
  </si>
  <si>
    <t>-613.828130579652 147.211507037236 -476.659024439006</t>
  </si>
  <si>
    <t>-612.16040846885 136.02417380832 -585.594363094865</t>
  </si>
  <si>
    <t>-602.535679026856 125.826669492563 -694.214155272605</t>
  </si>
  <si>
    <t>-580.869650160558 112.495242657892 -844.39014360228</t>
  </si>
  <si>
    <t>-541.043908495877 105.987472534496 -937.955797399736</t>
  </si>
  <si>
    <t>-589.535869370565 150.061472242577 -780.620304159601</t>
  </si>
  <si>
    <t>-568.186072279987 295.012509305842 -768.100096896305</t>
  </si>
  <si>
    <t>-554.663923413999 362.261019399738 -459.100239585462</t>
  </si>
  <si>
    <t>-349.423389600633 265.912968591886 -331.681893893167</t>
  </si>
  <si>
    <t>-591.37651770794 86.7265083936791 -775.263400309605</t>
  </si>
  <si>
    <t>-593.853080098586 274.845308322514 -250.284743179444</t>
  </si>
  <si>
    <t>-583.993301497247 274.479293050733 205.303182232842</t>
  </si>
  <si>
    <t>-612.153207554022 247.93777147372 673.800285539349</t>
  </si>
  <si>
    <t>-453.635559864711 259.325868706774 749.205671376794</t>
  </si>
  <si>
    <t>-567.219826224734 81.7134888603989 -228.00133538223</t>
  </si>
  <si>
    <t>-453.22499520468 77.0387508870649 213.180076240303</t>
  </si>
  <si>
    <t>-613.384971799581 4.45511366045753 648.552654577853</t>
  </si>
  <si>
    <t>-460.138602209115 -33.3059538060315 726.226126587783</t>
  </si>
  <si>
    <t>9763-20170724T170110.566467300.bin</t>
  </si>
  <si>
    <t>-581.503056070179 175.37752201015 -239.194967182011</t>
  </si>
  <si>
    <t>-607.586517037784 157.74516876323 -356.141691178147</t>
  </si>
  <si>
    <t>-614.594792326366 143.997291898128 -476.359989978803</t>
  </si>
  <si>
    <t>-612.936084743195 132.862445202385 -585.300937840805</t>
  </si>
  <si>
    <t>-603.353405241231 122.820173791473 -693.938811636529</t>
  </si>
  <si>
    <t>-581.777255645301 109.814824220821 -844.156273974658</t>
  </si>
  <si>
    <t>-541.975794529349 103.624682103815 -937.75388048735</t>
  </si>
  <si>
    <t>-590.650733824442 147.245743859773 -780.335447212163</t>
  </si>
  <si>
    <t>-570.138663644918 292.3058871335 -767.678423812496</t>
  </si>
  <si>
    <t>-554.963583749369 359.584993229339 -458.76187369913</t>
  </si>
  <si>
    <t>-349.109849842078 262.008681561771 -333.282171311008</t>
  </si>
  <si>
    <t>-591.997307529311 83.8928637995282 -775.043876100062</t>
  </si>
  <si>
    <t>-595.445074520205 271.933837039418 -250.134947274602</t>
  </si>
  <si>
    <t>-585.251781192708 272.675107890503 205.445143752804</t>
  </si>
  <si>
    <t>-612.224467507213 247.48207998021 674.084790875139</t>
  </si>
  <si>
    <t>-453.578120965766 259.46593016372 749.126289236553</t>
  </si>
  <si>
    <t>-567.436676299545 79.0562629581912 -227.573097823359</t>
  </si>
  <si>
    <t>-453.491752241173 75.8585089102155 213.634358729346</t>
  </si>
  <si>
    <t>-613.464604126279 4.29804616029378 649.284034854953</t>
  </si>
  <si>
    <t>-460.215600644794 -33.1580530474841 727.099828891966</t>
  </si>
  <si>
    <t>9763-20170724T170110.599554000.bin</t>
  </si>
  <si>
    <t>-581.812830562899 173.989991483256 -239.05918415909</t>
  </si>
  <si>
    <t>-607.888415841307 156.271318169519 -355.994607048287</t>
  </si>
  <si>
    <t>-614.870767935912 142.479635822356 -476.209443389855</t>
  </si>
  <si>
    <t>-613.181317295584 131.328118258327 -585.14824835114</t>
  </si>
  <si>
    <t>-603.56048293726 121.294897753016 -693.783399984102</t>
  </si>
  <si>
    <t>-581.923383556063 108.331646852862 -843.996078004838</t>
  </si>
  <si>
    <t>-542.130114217251 102.298417172552 -937.607369891395</t>
  </si>
  <si>
    <t>-590.975465545831 145.745706025333 -780.190224846557</t>
  </si>
  <si>
    <t>-571.192476740627 290.887936140257 -767.611995087798</t>
  </si>
  <si>
    <t>-555.983424283945 359.277258716388 -458.940972993474</t>
  </si>
  <si>
    <t>-349.729654377403 261.967879726957 -333.911720768214</t>
  </si>
  <si>
    <t>-592.018794965552 82.3892483392056 -774.87299688047</t>
  </si>
  <si>
    <t>-596.018893968517 270.43958980531 -250.061069005819</t>
  </si>
  <si>
    <t>-585.662154135512 271.836379940066 205.513924761731</t>
  </si>
  <si>
    <t>-612.224567324773 247.371100787159 674.155581424384</t>
  </si>
  <si>
    <t>-453.545789328165 259.499607515746 749.105265635294</t>
  </si>
  <si>
    <t>-567.547776011697 77.6563779809105 -227.384086622349</t>
  </si>
  <si>
    <t>-453.590584123077 75.1769815308253 213.824831372862</t>
  </si>
  <si>
    <t>-613.539598793349 4.27545842132918 649.600127991672</t>
  </si>
  <si>
    <t>-460.295097968627 -33.2380777189112 727.39706963501</t>
  </si>
  <si>
    <t>9763-20170724T170110.663761400.bin</t>
  </si>
  <si>
    <t>-581.813416328986 171.53973637973 -239.001180276989</t>
  </si>
  <si>
    <t>-607.818297074679 153.731723238059 -355.938847674068</t>
  </si>
  <si>
    <t>-614.707544488019 139.717407995788 -476.133297371233</t>
  </si>
  <si>
    <t>-612.931728809724 128.331742788631 -585.046434022682</t>
  </si>
  <si>
    <t>-603.225158585678 118.043835900517 -693.6501401752</t>
  </si>
  <si>
    <t>-581.471754248476 104.716397941601 -843.814006352742</t>
  </si>
  <si>
    <t>-541.709381070012 98.7403140002316 -937.442108160877</t>
  </si>
  <si>
    <t>-590.91942401959 142.284540679335 -780.156438678725</t>
  </si>
  <si>
    <t>-572.789810441036 287.790267921669 -768.532905698401</t>
  </si>
  <si>
    <t>-559.872740069286 359.893544487426 -460.6035939337</t>
  </si>
  <si>
    <t>-352.002086304143 276.95088629127 -328.11835013352</t>
  </si>
  <si>
    <t>-591.274515401248 78.9421875880785 -774.586130367547</t>
  </si>
  <si>
    <t>-596.290391046578 268.003463957126 -250.047825628506</t>
  </si>
  <si>
    <t>-585.785679975089 270.59661708236 205.518510931939</t>
  </si>
  <si>
    <t>-612.231326387941 247.656396870256 674.153839414712</t>
  </si>
  <si>
    <t>-453.564228687737 259.839241664424 749.11944334306</t>
  </si>
  <si>
    <t>-567.165862008903 75.2640241787785 -227.262543605647</t>
  </si>
  <si>
    <t>-453.73919540046 73.580106935116 214.086856456503</t>
  </si>
  <si>
    <t>-613.673662755155 4.12758723555976 650.103637890323</t>
  </si>
  <si>
    <t>-460.296161848068 -33.0347367009708 727.80703565915</t>
  </si>
  <si>
    <t>9763-20170724T170110.698855600.bin</t>
  </si>
  <si>
    <t>-581.490348815466 170.421340939293 -239.000866835996</t>
  </si>
  <si>
    <t>-607.551036776198 152.561535400838 -355.918275552374</t>
  </si>
  <si>
    <t>-614.437388057896 138.376775088121 -476.092904137949</t>
  </si>
  <si>
    <t>-612.640228705359 126.808206935276 -584.986315794132</t>
  </si>
  <si>
    <t>-602.896026030139 116.319552398316 -693.567498145239</t>
  </si>
  <si>
    <t>-581.075164547779 102.705241957056 -843.695806419368</t>
  </si>
  <si>
    <t>-541.339738172306 96.7279854796652 -937.33540049345</t>
  </si>
  <si>
    <t>-590.781197213639 140.392476419423 -780.147457211258</t>
  </si>
  <si>
    <t>-573.528763855902 285.99719736021 -769.145449438004</t>
  </si>
  <si>
    <t>-561.662456689555 360.251904415884 -461.685601209583</t>
  </si>
  <si>
    <t>-352.005064495775 290.615197987673 -324.439148432921</t>
  </si>
  <si>
    <t>-590.679215261163 77.0660055328763 -774.389954083915</t>
  </si>
  <si>
    <t>-596.01192682688 266.921769883423 -250.139646189416</t>
  </si>
  <si>
    <t>-585.564450205091 270.21002145202 205.42332860852</t>
  </si>
  <si>
    <t>-612.208257404619 248.093338814507 674.013686941361</t>
  </si>
  <si>
    <t>-453.597412481474 259.9900580178 749.144152233018</t>
  </si>
  <si>
    <t>-566.824603087104 74.0440533373364 -227.179746573069</t>
  </si>
  <si>
    <t>-453.521966672061 72.8922350467185 214.20315020219</t>
  </si>
  <si>
    <t>-613.706817305876 4.1084453223059 650.239571327767</t>
  </si>
  <si>
    <t>-460.372609861424 -33.2117589348554 727.952730787873</t>
  </si>
  <si>
    <t>9763-20170724T170110.765045700.bin</t>
  </si>
  <si>
    <t>-580.860329078424 168.018564275204 -239.085733371488</t>
  </si>
  <si>
    <t>-607.361400894777 150.118318445192 -355.897879954793</t>
  </si>
  <si>
    <t>-614.331779624528 135.473245072594 -476.012395040284</t>
  </si>
  <si>
    <t>-612.477882458383 123.365218821551 -584.846358336491</t>
  </si>
  <si>
    <t>-602.55141347872 112.241226284799 -693.347656631049</t>
  </si>
  <si>
    <t>-580.353215132165 97.6696478105364 -843.330770785635</t>
  </si>
  <si>
    <t>-540.547563995209 91.6104173336828 -936.93514062237</t>
  </si>
  <si>
    <t>-590.801407329253 135.74682218637 -780.133651084925</t>
  </si>
  <si>
    <t>-575.361497017145 281.72830661184 -770.985487870406</t>
  </si>
  <si>
    <t>-563.029198479551 361.263245028693 -464.867466899507</t>
  </si>
  <si>
    <t>-347.690954975413 318.609226805508 -325.396570886929</t>
  </si>
  <si>
    <t>-589.549059508882 72.4873313850862 -773.802186682322</t>
  </si>
  <si>
    <t>-595.558774191698 264.850000206624 -250.321897736411</t>
  </si>
  <si>
    <t>-584.863417409302 269.286842397527 205.225635405668</t>
  </si>
  <si>
    <t>-612.09140602476 248.735607586264 673.788087596076</t>
  </si>
  <si>
    <t>-453.629430988962 260.339667760269 749.277571079661</t>
  </si>
  <si>
    <t>-566.112353603558 71.293242119131 -227.230460827976</t>
  </si>
  <si>
    <t>-452.599180947553 71.1780590487433 214.099857208253</t>
  </si>
  <si>
    <t>-613.711407120724 3.93242946679152 650.228511635341</t>
  </si>
  <si>
    <t>-460.364832138914 -33.1591809082834 728.026649062151</t>
  </si>
  <si>
    <t>9763-20170724T170110.797129200.bin</t>
  </si>
  <si>
    <t>-580.71623020292 166.990659658527 -239.207038725338</t>
  </si>
  <si>
    <t>-607.517606927732 148.963866889731 -355.931072114113</t>
  </si>
  <si>
    <t>-614.581555681971 133.762389999126 -475.970942905815</t>
  </si>
  <si>
    <t>-612.735794854104 120.999933066916 -584.730243207887</t>
  </si>
  <si>
    <t>-602.746063126513 109.083026164066 -693.141575300375</t>
  </si>
  <si>
    <t>-580.390439517253 93.2771622064313 -842.976289138763</t>
  </si>
  <si>
    <t>-540.558811339505 86.8480057324273 -936.544923026257</t>
  </si>
  <si>
    <t>-591.169338235811 131.862756989716 -780.144003068652</t>
  </si>
  <si>
    <t>-576.812406743545 278.04163741206 -772.672864262544</t>
  </si>
  <si>
    <t>-562.974297603352 361.03296453508 -467.538309186511</t>
  </si>
  <si>
    <t>-345.474950124096 326.671624878959 -329.135271268978</t>
  </si>
  <si>
    <t>-589.394899647695 68.678661488796 -773.214141350318</t>
  </si>
  <si>
    <t>-595.593701292412 263.999360935222 -250.499310967554</t>
  </si>
  <si>
    <t>-584.670153064306 269.001234781228 205.03690142008</t>
  </si>
  <si>
    <t>-611.95190427337 249.140976208985 673.547847060848</t>
  </si>
  <si>
    <t>-453.628814645563 260.496347130942 749.365744248488</t>
  </si>
  <si>
    <t>-565.752518429179 70.1151084284097 -227.256609290366</t>
  </si>
  <si>
    <t>-452.064029426394 70.4291484738521 214.028452993529</t>
  </si>
  <si>
    <t>-613.720485207121 3.85665729466587 650.140218736475</t>
  </si>
  <si>
    <t>-460.460027932087 -33.3777309483705 728.039842884948</t>
  </si>
  <si>
    <t>9763-20170724T170110.866201300.bin</t>
  </si>
  <si>
    <t>-581.102715133989 165.244601617188 -239.389773021912</t>
  </si>
  <si>
    <t>-608.134664603594 146.535848121926 -355.953358194554</t>
  </si>
  <si>
    <t>-615.197327135068 129.538289828715 -475.752227231065</t>
  </si>
  <si>
    <t>-613.274307921033 114.736974901297 -584.251492352007</t>
  </si>
  <si>
    <t>-603.142159955135 100.386047993373 -692.354366394553</t>
  </si>
  <si>
    <t>-580.530537376333 80.8057220138876 -841.704028696677</t>
  </si>
  <si>
    <t>-540.707064538756 72.8072479874813 -935.155138084959</t>
  </si>
  <si>
    <t>-591.850649984175 120.940244281653 -779.946533583819</t>
  </si>
  <si>
    <t>-578.919809063101 267.453365731895 -777.039097623583</t>
  </si>
  <si>
    <t>-561.381946814401 359.690957409539 -474.76303474752</t>
  </si>
  <si>
    <t>-341.197398828145 335.967896901378 -338.388509755597</t>
  </si>
  <si>
    <t>-589.220316541868 57.998554401767 -771.296264630018</t>
  </si>
  <si>
    <t>-596.642909902 262.654513506542 -251.243789207571</t>
  </si>
  <si>
    <t>-584.87702434626 268.759728347473 204.258108538398</t>
  </si>
  <si>
    <t>-611.58995294521 250.351537869064 672.837407800838</t>
  </si>
  <si>
    <t>-453.614861373826 260.863742292087 749.498140085908</t>
  </si>
  <si>
    <t>-565.253097275886 67.9246932949263 -227.101277536791</t>
  </si>
  <si>
    <t>-451.199960928507 69.4381667166101 214.087147273015</t>
  </si>
  <si>
    <t>-613.762678384195 3.70027605259543 649.886837895564</t>
  </si>
  <si>
    <t>-460.528253826054 -33.2880005005993 727.954685172776</t>
  </si>
  <si>
    <t>9763-20170724T170110.899289100.bin</t>
  </si>
  <si>
    <t>-581.641467614287 164.258197756285 -239.55017682977</t>
  </si>
  <si>
    <t>-608.625683281303 144.971969435341 -356.030711795724</t>
  </si>
  <si>
    <t>-615.605989337685 126.677413095703 -475.643182293562</t>
  </si>
  <si>
    <t>-613.605220877408 110.409900248129 -583.930864367553</t>
  </si>
  <si>
    <t>-603.398822795395 94.2963021379221 -691.778018999312</t>
  </si>
  <si>
    <t>-580.694102242757 71.9558697965151 -840.7257231869</t>
  </si>
  <si>
    <t>-540.915186510772 62.590959416867 -934.068731400094</t>
  </si>
  <si>
    <t>-592.164388267345 113.21890049066 -779.744509954234</t>
  </si>
  <si>
    <t>-580.012719286102 259.792307396349 -779.542557123318</t>
  </si>
  <si>
    <t>-560.708129393415 357.978499589044 -479.254236939592</t>
  </si>
  <si>
    <t>-340.186499525429 337.070954208429 -342.963644430565</t>
  </si>
  <si>
    <t>-589.316066862281 50.4628462247736 -769.89752942832</t>
  </si>
  <si>
    <t>-598.199910245215 261.672242549541 -251.566769463698</t>
  </si>
  <si>
    <t>-585.036269853884 268.458496438897 203.887194595554</t>
  </si>
  <si>
    <t>-611.46546033862 250.544679966698 672.658648338943</t>
  </si>
  <si>
    <t>-453.58661355254 261.194924814753 749.49836918192</t>
  </si>
  <si>
    <t>-564.785500709133 67.0420986774948 -226.988306656145</t>
  </si>
  <si>
    <t>-450.78673365847 69.4738759479601 214.210084328414</t>
  </si>
  <si>
    <t>-613.780870516214 3.7186306945448 649.809180825559</t>
  </si>
  <si>
    <t>-460.573745954236 -33.4181629055986 727.860046504584</t>
  </si>
  <si>
    <t>9763-20170724T170110.969496200.bin</t>
  </si>
  <si>
    <t>-583.510958527026 161.195333544507 -239.331823881299</t>
  </si>
  <si>
    <t>-609.652312759045 140.688108506002 -355.795936469189</t>
  </si>
  <si>
    <t>-615.931948008955 119.850382367603 -475.030653410861</t>
  </si>
  <si>
    <t>-613.384874478091 100.725727348307 -582.838819727829</t>
  </si>
  <si>
    <t>-602.736875782324 81.1811897461537 -690.074430746455</t>
  </si>
  <si>
    <t>-579.543811310846 53.4607397211169 -838.039641467505</t>
  </si>
  <si>
    <t>-539.84580728345 41.2662259292081 -931.089842029603</t>
  </si>
  <si>
    <t>-591.306385945531 96.8982055533284 -778.644690103809</t>
  </si>
  <si>
    <t>-580.022543031818 243.415050132378 -783.537753897303</t>
  </si>
  <si>
    <t>-557.777413325781 352.50789877634 -487.243798349303</t>
  </si>
  <si>
    <t>-338.656661090976 334.816496976762 -348.26484898207</t>
  </si>
  <si>
    <t>-588.305637750062 34.5542082147285 -766.494585294154</t>
  </si>
  <si>
    <t>-602.22897691141 257.660311102905 -251.711203908979</t>
  </si>
  <si>
    <t>-586.108101154055 266.389577106284 203.614597321406</t>
  </si>
  <si>
    <t>-611.353652942591 249.242665334256 672.855159468657</t>
  </si>
  <si>
    <t>-453.40818944282 261.990659277067 749.237263965723</t>
  </si>
  <si>
    <t>-564.450967561348 64.7644048348166 -226.419319012428</t>
  </si>
  <si>
    <t>-451.172052430253 70.5768610337961 214.932885686216</t>
  </si>
  <si>
    <t>-613.80197600821 3.79374099886513 650.019702462836</t>
  </si>
  <si>
    <t>-460.195724179367 -32.1584681918544 727.840487428977</t>
  </si>
  <si>
    <t>9763-20170724T170110.999575100.bin</t>
  </si>
  <si>
    <t>-584.678927662667 159.27660449605 -239.18705204551</t>
  </si>
  <si>
    <t>-610.412471159031 138.122979978912 -355.626359003354</t>
  </si>
  <si>
    <t>-616.21568978142 116.229270221075 -474.695918893415</t>
  </si>
  <si>
    <t>-613.222771145841 95.9688281554511 -582.284962193064</t>
  </si>
  <si>
    <t>-602.122797804963 75.0961895218836 -689.224027415274</t>
  </si>
  <si>
    <t>-578.30443873543 45.3198781605636 -836.689524458327</t>
  </si>
  <si>
    <t>-538.497849297154 31.9924624205742 -929.537844679915</t>
  </si>
  <si>
    <t>-590.376934429716 89.5746845752271 -777.963963754022</t>
  </si>
  <si>
    <t>-579.123735707681 235.999082783624 -784.516952060299</t>
  </si>
  <si>
    <t>-555.823501862357 349.015450499474 -489.7789345403</t>
  </si>
  <si>
    <t>-337.23272271262 335.093175404616 -349.542315569598</t>
  </si>
  <si>
    <t>-587.309682524416 27.4153151004195 -764.917282432995</t>
  </si>
  <si>
    <t>-604.743734386637 255.035033187809 -251.656132885748</t>
  </si>
  <si>
    <t>-586.457148900509 264.80123435421 203.566785397479</t>
  </si>
  <si>
    <t>-611.153340833273 248.312498110639 672.863971901512</t>
  </si>
  <si>
    <t>-453.182618355332 262.157726337635 749.00252140683</t>
  </si>
  <si>
    <t>-564.361558583341 63.6687649331711 -226.10527158235</t>
  </si>
  <si>
    <t>-451.648687091679 70.8914646802032 215.371021634302</t>
  </si>
  <si>
    <t>-613.848554175957 3.76206626573935 650.396557976387</t>
  </si>
  <si>
    <t>-459.981862652738 -31.489721797165 728.023007162288</t>
  </si>
  <si>
    <t>9763-20170724T170111.062491500.bin</t>
  </si>
  <si>
    <t>-587.396368922601 154.467278167369 -238.972186936856</t>
  </si>
  <si>
    <t>-612.742916320993 132.307894931632 -355.309255473613</t>
  </si>
  <si>
    <t>-617.62532582157 109.25467229497 -474.201123247285</t>
  </si>
  <si>
    <t>-613.594326616797 87.8635098015957 -581.537124232502</t>
  </si>
  <si>
    <t>-601.262281270555 65.7619708558443 -688.093618344075</t>
  </si>
  <si>
    <t>-575.5431185898 34.1625822495619 -834.858693827551</t>
  </si>
  <si>
    <t>-535.133222837977 19.6893367797843 -927.273832772322</t>
  </si>
  <si>
    <t>-588.66838972401 79.1146548445502 -776.893739407953</t>
  </si>
  <si>
    <t>-578.064352382072 225.556975301148 -784.893221640083</t>
  </si>
  <si>
    <t>-553.315151768566 339.862225334659 -490.770742009717</t>
  </si>
  <si>
    <t>-332.043081234447 346.966204452441 -354.278112501088</t>
  </si>
  <si>
    <t>-585.177754397316 17.1738769358485 -762.945820335584</t>
  </si>
  <si>
    <t>-609.706722058228 249.265708482177 -251.580858203631</t>
  </si>
  <si>
    <t>-587.925772622268 261.647604168915 203.424641822908</t>
  </si>
  <si>
    <t>-611.159964668663 247.176828471058 673.172203497748</t>
  </si>
  <si>
    <t>-452.95847230547 262.790764068191 748.48478537267</t>
  </si>
  <si>
    <t>-565.230602541398 59.7837199695475 -225.680229952411</t>
  </si>
  <si>
    <t>-453.456768395005 70.4868835622874 215.964080205533</t>
  </si>
  <si>
    <t>-613.844376740718 4.1680470778897 651.410715229456</t>
  </si>
  <si>
    <t>-459.714067170575 -30.2857431354878 728.872293521993</t>
  </si>
  <si>
    <t>9763-20170724T170111.099598100.bin</t>
  </si>
  <si>
    <t>-588.875371578731 151.17842778877 -238.815721504909</t>
  </si>
  <si>
    <t>-614.021270873539 128.793067040114 -355.153123853117</t>
  </si>
  <si>
    <t>-618.457536858373 105.579225529782 -474.031246244797</t>
  </si>
  <si>
    <t>-613.925964899685 84.0661451454084 -581.322870879284</t>
  </si>
  <si>
    <t>-600.999090423696 61.8626995306354 -687.787698985106</t>
  </si>
  <si>
    <t>-574.359339576433 30.1394084553929 -834.361746919493</t>
  </si>
  <si>
    <t>-533.559096452777 15.5467765463939 -926.586378713694</t>
  </si>
  <si>
    <t>-588.103803989158 75.1159738659078 -776.559392557841</t>
  </si>
  <si>
    <t>-578.46526853016 221.621126036877 -784.694059810028</t>
  </si>
  <si>
    <t>-552.144427473037 333.810377197385 -489.894169755494</t>
  </si>
  <si>
    <t>-329.247569237515 354.419663038383 -357.477024411751</t>
  </si>
  <si>
    <t>-584.189436822232 13.2358765269375 -762.455119094994</t>
  </si>
  <si>
    <t>-612.024898274087 245.540368736765 -251.334014571713</t>
  </si>
  <si>
    <t>-589.012631635647 259.4424994464 203.566789477539</t>
  </si>
  <si>
    <t>-611.272989639541 246.48706179807 673.481636947821</t>
  </si>
  <si>
    <t>-452.903452893048 263.043513622537 748.237876245265</t>
  </si>
  <si>
    <t>-565.813743070642 56.9889387816991 -225.606166362172</t>
  </si>
  <si>
    <t>-454.407074074442 68.7072671066485 216.105181165086</t>
  </si>
  <si>
    <t>-613.899470613385 3.87503461506412 652.219545474839</t>
  </si>
  <si>
    <t>-459.6081476306 -29.8446212350825 729.683627034695</t>
  </si>
  <si>
    <t>9763-20170724T170111.168655300.bin</t>
  </si>
  <si>
    <t>-591.786165492764 143.603650803373 -238.468981008917</t>
  </si>
  <si>
    <t>-616.335735759767 121.064530368985 -354.903984341805</t>
  </si>
  <si>
    <t>-620.11795679302 98.0347195211352 -473.840487293629</t>
  </si>
  <si>
    <t>-614.971386210975 76.8233063975906 -581.164386939698</t>
  </si>
  <si>
    <t>-601.405177078452 55.0516679708946 -687.638881928421</t>
  </si>
  <si>
    <t>-573.850881603991 24.0612800125523 -834.200710071266</t>
  </si>
  <si>
    <t>-532.454346784146 10.0287953618129 -926.246279539227</t>
  </si>
  <si>
    <t>-588.492754005972 68.6908191055018 -776.349607148173</t>
  </si>
  <si>
    <t>-581.183339474254 215.390818691666 -784.097794379437</t>
  </si>
  <si>
    <t>-550.209409711469 320.854390719295 -487.27433011413</t>
  </si>
  <si>
    <t>-327.877156975421 362.393267904843 -358.880650846983</t>
  </si>
  <si>
    <t>-583.592812143916 6.85645617299429 -762.353586374841</t>
  </si>
  <si>
    <t>-616.233000031277 237.37175071153 -250.818826904951</t>
  </si>
  <si>
    <t>-591.300085292587 254.752484035812 203.861095494795</t>
  </si>
  <si>
    <t>-611.427517272838 245.816972347057 673.860431143092</t>
  </si>
  <si>
    <t>-452.842980128154 263.657088605833 747.86158330557</t>
  </si>
  <si>
    <t>-567.384963500241 50.0459848500486 -225.353486269536</t>
  </si>
  <si>
    <t>-456.825145654332 63.0693933669863 216.534038032156</t>
  </si>
  <si>
    <t>-614.213762844166 3.24430150573926 654.18132058605</t>
  </si>
  <si>
    <t>-459.768399411955 -29.9233144015989 731.576719892572</t>
  </si>
  <si>
    <t>9763-20170724T170111.194726800.bin</t>
  </si>
  <si>
    <t>-592.732925070891 139.33470316816 -238.308286763765</t>
  </si>
  <si>
    <t>-617.124138032186 116.841570527245 -354.785439783482</t>
  </si>
  <si>
    <t>-620.747520778663 94.1583457833117 -473.793501195753</t>
  </si>
  <si>
    <t>-615.452699165252 73.3764842741361 -581.194280163193</t>
  </si>
  <si>
    <t>-601.730551900361 52.1455293618965 -687.757799641362</t>
  </si>
  <si>
    <t>-573.949028345844 22.0180204900557 -834.45651844143</t>
  </si>
  <si>
    <t>-532.356220909839 8.57866067955206 -926.502288306038</t>
  </si>
  <si>
    <t>-588.921125599924 66.2777253288114 -776.406219319455</t>
  </si>
  <si>
    <t>-582.835532227771 213.047229269001 -783.551062267796</t>
  </si>
  <si>
    <t>-549.390258576962 314.153695650461 -485.482109299219</t>
  </si>
  <si>
    <t>-328.312207379226 363.151197708004 -357.553399025151</t>
  </si>
  <si>
    <t>-583.561817767123 4.41933559315339 -762.687497607842</t>
  </si>
  <si>
    <t>-617.826238782528 232.840037288893 -250.543173937704</t>
  </si>
  <si>
    <t>-592.218085969126 252.277927021646 204.016016680164</t>
  </si>
  <si>
    <t>-611.471942240136 245.702439585132 673.987647886826</t>
  </si>
  <si>
    <t>-452.838237602174 264.015765912733 747.767512672504</t>
  </si>
  <si>
    <t>-567.554608679366 46.139272059301 -225.333193079073</t>
  </si>
  <si>
    <t>-457.960150510629 60.0761206604325 216.766874382477</t>
  </si>
  <si>
    <t>-614.415876757797 2.99989489340555 655.163184951303</t>
  </si>
  <si>
    <t>-459.919034234344 -30.1098556255663 732.480586505295</t>
  </si>
  <si>
    <t>9763-20170724T170111.262852400.bin</t>
  </si>
  <si>
    <t>-593.833593673584 130.541649912681 -237.928466989442</t>
  </si>
  <si>
    <t>-618.186987658665 108.123085004382 -354.42794430268</t>
  </si>
  <si>
    <t>-621.701456200568 86.5028535965173 -473.636937262703</t>
  </si>
  <si>
    <t>-616.259060478611 67.0669512990823 -581.282094645653</t>
  </si>
  <si>
    <t>-602.328594639044 47.553029391378 -688.146503041198</t>
  </si>
  <si>
    <t>-574.184504192708 20.1871993003865 -835.316533568066</t>
  </si>
  <si>
    <t>-532.46411548377 8.42723185604655 -927.53421660974</t>
  </si>
  <si>
    <t>-589.76354305248 63.2895614523693 -776.559438479623</t>
  </si>
  <si>
    <t>-585.547800861605 210.183999374018 -781.420985000902</t>
  </si>
  <si>
    <t>-548.605211137355 303.278035578919 -481.162824700546</t>
  </si>
  <si>
    <t>-331.885613293263 357.332263949766 -347.923129244902</t>
  </si>
  <si>
    <t>-583.51115133033 1.30203106528188 -763.837300771013</t>
  </si>
  <si>
    <t>-620.153616552439 223.565479561063 -249.959185580438</t>
  </si>
  <si>
    <t>-593.330967152038 247.281587488632 204.326852547075</t>
  </si>
  <si>
    <t>-611.491333505444 245.753460529171 674.170848031275</t>
  </si>
  <si>
    <t>-452.846399026032 264.748143097582 747.754183796543</t>
  </si>
  <si>
    <t>-567.430129583926 37.7202215877771 -225.249431189788</t>
  </si>
  <si>
    <t>-459.637001795609 54.6317447891311 217.189604788235</t>
  </si>
  <si>
    <t>-614.657335568894 2.39740308639261 656.663454667986</t>
  </si>
  <si>
    <t>-460.051070822181 -30.2358937188815 733.964679819847</t>
  </si>
  <si>
    <t>9763-20170724T170111.296942300.bin</t>
  </si>
  <si>
    <t>-593.995718864472 125.99642638513 -237.867679791876</t>
  </si>
  <si>
    <t>-618.421690056374 103.688098265199 -354.373054715266</t>
  </si>
  <si>
    <t>-621.975506355878 82.7503409775941 -473.702775805833</t>
  </si>
  <si>
    <t>-616.542197142589 64.1546094930861 -581.49666068548</t>
  </si>
  <si>
    <t>-602.586805698418 45.6972052869382 -688.545223484639</t>
  </si>
  <si>
    <t>-574.366569493195 20.0184645430313 -836.004562253333</t>
  </si>
  <si>
    <t>-532.661357341593 9.25097862842017 -928.350164180217</t>
  </si>
  <si>
    <t>-590.194505295553 62.4152447239471 -776.802219539308</t>
  </si>
  <si>
    <t>-586.859848520001 209.406052926154 -780.118330094507</t>
  </si>
  <si>
    <t>-548.938660061174 298.606292571635 -478.802065677602</t>
  </si>
  <si>
    <t>-333.581294310487 352.130074700248 -343.161074451239</t>
  </si>
  <si>
    <t>-583.511836409033 0.345706232493512 -764.714528156737</t>
  </si>
  <si>
    <t>-621.006800079362 218.788971029097 -249.675314321574</t>
  </si>
  <si>
    <t>-593.278454006727 244.677517792421 204.437583337205</t>
  </si>
  <si>
    <t>-611.391675343948 245.641229895089 674.237717524288</t>
  </si>
  <si>
    <t>-452.794436998758 265.115195765282 747.79841388892</t>
  </si>
  <si>
    <t>-566.818122101416 33.434431902899 -225.487893660371</t>
  </si>
  <si>
    <t>-460.299470546668 51.9218946746212 217.196678586254</t>
  </si>
  <si>
    <t>-614.719359261019 1.8609515003493 657.259872578381</t>
  </si>
  <si>
    <t>-459.986818663151 -30.0915989311411 734.592837624813</t>
  </si>
  <si>
    <t>9763-20170724T170111.368141000.bin</t>
  </si>
  <si>
    <t>-593.46270364405 116.461093038489 -237.659818476087</t>
  </si>
  <si>
    <t>-618.155880197217 94.3513917312061 -354.146837939038</t>
  </si>
  <si>
    <t>-621.809463803711 74.7510526925932 -473.70035682812</t>
  </si>
  <si>
    <t>-616.371438599281 57.8114288194997 -581.766613394194</t>
  </si>
  <si>
    <t>-602.302178032671 41.4446195616692 -689.139967095311</t>
  </si>
  <si>
    <t>-573.798769201797 19.1129646611121 -837.088732218551</t>
  </si>
  <si>
    <t>-532.087656218517 10.3583421901619 -929.644346995353</t>
  </si>
  <si>
    <t>-590.152562618799 60.098946833177 -777.041962316537</t>
  </si>
  <si>
    <t>-588.873442831214 207.155850154654 -777.437985310996</t>
  </si>
  <si>
    <t>-550.396696452392 291.132687318147 -474.69442871619</t>
  </si>
  <si>
    <t>-336.062890353643 338.245684015525 -335.111430599343</t>
  </si>
  <si>
    <t>-621.647396839748 208.846654281288 -248.973296578328</t>
  </si>
  <si>
    <t>-592.436496359125 239.454193864579 204.752975299353</t>
  </si>
  <si>
    <t>-611.270576771793 245.364559886986 674.428086060743</t>
  </si>
  <si>
    <t>-452.756960529229 265.711225877142 747.932802420607</t>
  </si>
  <si>
    <t>-565.105344990676 24.108995398404 -225.765988003328</t>
  </si>
  <si>
    <t>-461.045194802598 47.1159207757212 217.291371270851</t>
  </si>
  <si>
    <t>-614.698786183844 1.24920267301104 658.072602806454</t>
  </si>
  <si>
    <t>-459.880896790434 -29.8359466554955 735.588053083611</t>
  </si>
  <si>
    <t>9763-20170724T170111.397215000.bin</t>
  </si>
  <si>
    <t>-592.73889140643 111.535190211457 -237.671644449675</t>
  </si>
  <si>
    <t>-617.633898674125 89.5582380835774 -354.140679133126</t>
  </si>
  <si>
    <t>-621.396050085809 70.6357022191846 -473.800053107607</t>
  </si>
  <si>
    <t>-616.004232661757 54.5204760993627 -581.994661288661</t>
  </si>
  <si>
    <t>-601.922216981746 39.1818925623497 -689.518064543707</t>
  </si>
  <si>
    <t>-573.334402236948 18.4852725333724 -837.688200499404</t>
  </si>
  <si>
    <t>-531.637032096719 10.7421918343052 -930.339993735537</t>
  </si>
  <si>
    <t>-589.885676746239 58.7812183091526 -777.229881809805</t>
  </si>
  <si>
    <t>-589.417441288006 205.836898455369 -776.154214605423</t>
  </si>
  <si>
    <t>-551.744258483552 287.770548588728 -472.750629764975</t>
  </si>
  <si>
    <t>-337.849827693714 328.696158847194 -330.566404900859</t>
  </si>
  <si>
    <t>-621.530995989489 203.754709152614 -248.678461424973</t>
  </si>
  <si>
    <t>-591.701449559649 236.70480367797 204.84352644706</t>
  </si>
  <si>
    <t>-611.200345569889 245.293038122891 674.446552818149</t>
  </si>
  <si>
    <t>-452.739577533449 265.966595921879 747.97406588279</t>
  </si>
  <si>
    <t>-563.721754361513 19.29766666058 -226.172957828028</t>
  </si>
  <si>
    <t>-461.554581988323 44.7833813253485 217.18925572652</t>
  </si>
  <si>
    <t>-614.602206222855 0.786699479164326 658.385834229876</t>
  </si>
  <si>
    <t>-459.675421723988 -29.4939517095813 736.002121015803</t>
  </si>
  <si>
    <t>9763-20170724T170111.461400100.bin</t>
  </si>
  <si>
    <t>-591.37912036164 101.607746320932 -238.162671353966</t>
  </si>
  <si>
    <t>-616.710662060829 80.3040642002081 -354.6627617418</t>
  </si>
  <si>
    <t>-620.764452858947 62.9039159768492 -474.543500177369</t>
  </si>
  <si>
    <t>-615.553029695271 48.4821653701933 -582.985619443728</t>
  </si>
  <si>
    <t>-601.55616273278 35.1351478230345 -690.78546611922</t>
  </si>
  <si>
    <t>-572.979113736151 17.4995384129729 -839.352998897802</t>
  </si>
  <si>
    <t>-531.348289073106 11.6757780881555 -932.175168307352</t>
  </si>
  <si>
    <t>-589.79876396916 56.4975182284163 -778.122484228393</t>
  </si>
  <si>
    <t>-590.95019005147 203.516132715263 -774.302675677752</t>
  </si>
  <si>
    <t>-554.543035095645 280.972625034764 -469.571272271317</t>
  </si>
  <si>
    <t>-341.650341378729 306.354619313889 -322.34852214129</t>
  </si>
  <si>
    <t>-621.258995709442 193.507162355654 -248.128682237368</t>
  </si>
  <si>
    <t>-589.743178732358 231.125526063103 204.915761696086</t>
  </si>
  <si>
    <t>-610.997839968848 245.05734920578 674.403169592956</t>
  </si>
  <si>
    <t>-452.673515654573 266.415647687124 748.028882532911</t>
  </si>
  <si>
    <t>-561.483399573488 9.95163812571673 -227.688893332561</t>
  </si>
  <si>
    <t>-463.888630681833 39.6760274280002 216.438755380293</t>
  </si>
  <si>
    <t>-614.406310590753 0.428921305028098 659.053228805462</t>
  </si>
  <si>
    <t>-459.433274599751 -29.1459551792552 736.849126498005</t>
  </si>
  <si>
    <t>9763-20170724T170111.498491900.bin</t>
  </si>
  <si>
    <t>-590.864198592212 96.5762813024251 -238.461215934335</t>
  </si>
  <si>
    <t>-616.416236776136 75.7545298595196 -355.000371521405</t>
  </si>
  <si>
    <t>-620.630128772477 59.1713764531014 -474.991250298413</t>
  </si>
  <si>
    <t>-615.52795192413 45.6069735653666 -583.549204352995</t>
  </si>
  <si>
    <t>-601.599745295833 33.2240421931388 -691.47269732853</t>
  </si>
  <si>
    <t>-573.072224241991 17.0292346642227 -840.21381441911</t>
  </si>
  <si>
    <t>-531.49283045977 12.1229475885184 -933.112054497982</t>
  </si>
  <si>
    <t>-590.016787667693 55.4087060846703 -778.62795981318</t>
  </si>
  <si>
    <t>-591.878964004217 202.369420583696 -773.416772332146</t>
  </si>
  <si>
    <t>-555.492385557143 277.828367659259 -468.182226803181</t>
  </si>
  <si>
    <t>-342.134130358826 296.259112924101 -320.599563066296</t>
  </si>
  <si>
    <t>-621.299576903535 188.097718505087 -247.726653587066</t>
  </si>
  <si>
    <t>-588.589319328905 228.071143333385 205.031440950753</t>
  </si>
  <si>
    <t>-610.917616975054 244.690911183185 674.464820390868</t>
  </si>
  <si>
    <t>-452.642698516997 266.560431368287 748.046680004945</t>
  </si>
  <si>
    <t>-560.447932183905 5.38439938811212 -228.687062420466</t>
  </si>
  <si>
    <t>-465.76382539391 36.8159318042592 215.952870470281</t>
  </si>
  <si>
    <t>-614.296021462969 0.212705459263589 659.501821104768</t>
  </si>
  <si>
    <t>-459.27064314953 -28.797248878278 737.40602107171</t>
  </si>
  <si>
    <t>9763-20170724T170111.560674800.bin</t>
  </si>
  <si>
    <t>-590.234826104058 85.6442575030731 -239.24980228894</t>
  </si>
  <si>
    <t>-616.291685045969 66.45738062226 -355.957663200651</t>
  </si>
  <si>
    <t>-620.93202687792 51.8829954625362 -476.193319545062</t>
  </si>
  <si>
    <t>-616.165911145506 40.2376998176146 -584.989201155874</t>
  </si>
  <si>
    <t>-602.51636534694 29.8444211295371 -693.158015000469</t>
  </si>
  <si>
    <t>-574.311582642737 16.4610303930094 -842.239825805672</t>
  </si>
  <si>
    <t>-532.904372758638 13.289499536035 -935.290104135446</t>
  </si>
  <si>
    <t>-591.437571098269 53.6188719698707 -779.959008271716</t>
  </si>
  <si>
    <t>-594.833978364702 200.437754767788 -772.167951965647</t>
  </si>
  <si>
    <t>-557.180275415612 272.989534564154 -466.382677550846</t>
  </si>
  <si>
    <t>-341.111279784436 281.331910446092 -321.860597123047</t>
  </si>
  <si>
    <t>-621.690228753571 176.139945239643 -246.453290663912</t>
  </si>
  <si>
    <t>-586.062865125098 221.010021303415 205.62533882847</t>
  </si>
  <si>
    <t>-610.702656904134 243.373887913357 674.720077533632</t>
  </si>
  <si>
    <t>-452.539901971808 266.745044573436 748.081075448655</t>
  </si>
  <si>
    <t>-471.114589295383 30.0418296538155 214.468399742414</t>
  </si>
  <si>
    <t>-613.891139886172 -1.05045327944981 660.518379544118</t>
  </si>
  <si>
    <t>-458.793813180323 -28.0537286158399 738.998676791094</t>
  </si>
  <si>
    <t>9763-20170724T170111.598775500.bin</t>
  </si>
  <si>
    <t>-590.142030411418 79.7404042006938 -239.651647427724</t>
  </si>
  <si>
    <t>-616.313705457292 61.6869630064828 -356.514510791109</t>
  </si>
  <si>
    <t>-621.140780683202 48.2115753392156 -476.870904073377</t>
  </si>
  <si>
    <t>-616.570271028948 37.5193281349616 -585.772897708225</t>
  </si>
  <si>
    <t>-603.141465128395 28.0223010858699 -694.051790042812</t>
  </si>
  <si>
    <t>-575.268926903755 15.8108200047886 -843.296606786944</t>
  </si>
  <si>
    <t>-533.985250870601 13.3509975182239 -936.423477111549</t>
  </si>
  <si>
    <t>-592.421884977887 52.4497714948197 -780.716397885446</t>
  </si>
  <si>
    <t>-596.578693526975 199.177852937888 -771.894791290745</t>
  </si>
  <si>
    <t>-557.738883470893 271.036096969852 -466.094200602084</t>
  </si>
  <si>
    <t>-340.138717696094 274.401069652522 -323.683092451702</t>
  </si>
  <si>
    <t>-622.054784908038 169.678719539834 -245.638802509486</t>
  </si>
  <si>
    <t>-584.647228731052 216.730195807721 206.073959568209</t>
  </si>
  <si>
    <t>-610.527216866928 242.3717786462 674.929654980461</t>
  </si>
  <si>
    <t>-452.445956712513 266.701410576084 748.154736288463</t>
  </si>
  <si>
    <t>-474.486197460816 25.5304061024437 213.524628572049</t>
  </si>
  <si>
    <t>-613.482124916355 -2.60027827278941 661.211154219296</t>
  </si>
  <si>
    <t>-458.449212653295 -27.7297509166926 740.437542895078</t>
  </si>
  <si>
    <t>9763-20170724T170111.661950300.bin</t>
  </si>
  <si>
    <t>-590.955591379375 68.2422700443458 -240.305801033382</t>
  </si>
  <si>
    <t>-617.057718693495 52.5268208172288 -357.521527070063</t>
  </si>
  <si>
    <t>-621.991354825862 41.0636856094541 -478.081911515253</t>
  </si>
  <si>
    <t>-617.594622461273 32.0109615041172 -587.139549750242</t>
  </si>
  <si>
    <t>-604.419732398078 23.943508394721 -695.565550217684</t>
  </si>
  <si>
    <t>-576.986114394757 13.4762671159492 -845.024059190799</t>
  </si>
  <si>
    <t>-536.029852575688 12.2188982388543 -938.319248402785</t>
  </si>
  <si>
    <t>-594.310700102557 49.3184676222918 -782.030966290655</t>
  </si>
  <si>
    <t>-600.146104121007 195.90116919452 -771.611950105185</t>
  </si>
  <si>
    <t>-558.391244968698 268.204527902786 -466.300647018602</t>
  </si>
  <si>
    <t>-338.343696902633 264.545485941786 -327.708738982622</t>
  </si>
  <si>
    <t>-623.586405494717 156.851030695866 -243.792273516167</t>
  </si>
  <si>
    <t>-581.468534543463 208.258658802625 207.03034110281</t>
  </si>
  <si>
    <t>-610.017757601185 240.282905065183 675.1749308055</t>
  </si>
  <si>
    <t>-452.27029456161 266.728989421061 748.385956763739</t>
  </si>
  <si>
    <t>-483.401464388319 15.3171067211733 212.081097343582</t>
  </si>
  <si>
    <t>-613.475401456723 -5.40883193276272 663.435491004922</t>
  </si>
  <si>
    <t>-458.055924099296 -27.0109106776767 742.944309702758</t>
  </si>
  <si>
    <t>9763-20170724T170111.694035300.bin</t>
  </si>
  <si>
    <t>-591.799352224977 63.2052591920078 -240.405168762517</t>
  </si>
  <si>
    <t>-617.809253831446 48.5413180505307 -357.777466336637</t>
  </si>
  <si>
    <t>-622.735266431757 37.9116186145764 -478.414666505457</t>
  </si>
  <si>
    <t>-618.372299775788 29.5090466469719 -587.525605776794</t>
  </si>
  <si>
    <t>-605.274839397191 21.9788020601025 -695.999646901032</t>
  </si>
  <si>
    <t>-577.996703078591 12.1338475077728 -845.528760567441</t>
  </si>
  <si>
    <t>-537.245839830907 11.3565046411857 -938.919027376777</t>
  </si>
  <si>
    <t>-595.422781594657 47.6823904605794 -782.397639660882</t>
  </si>
  <si>
    <t>-602.11785990365 194.156546922758 -771.348835176068</t>
  </si>
  <si>
    <t>-558.61038890818 267.169678046349 -466.451487081868</t>
  </si>
  <si>
    <t>-337.985413508368 260.584061782074 -328.889492729676</t>
  </si>
  <si>
    <t>-624.429793977679 150.712324947134 -242.853221639427</t>
  </si>
  <si>
    <t>-579.811908888748 204.829118278129 207.411479955719</t>
  </si>
  <si>
    <t>-609.746609676351 239.440634734024 675.203337080848</t>
  </si>
  <si>
    <t>-452.231419246631 266.856259316415 748.557667110825</t>
  </si>
  <si>
    <t>-488.804867074979 10.8375217353728 211.846918863906</t>
  </si>
  <si>
    <t>-613.678246566724 -6.60979689843793 664.945882984476</t>
  </si>
  <si>
    <t>-457.947470503329 -26.7905454549305 744.218684084135</t>
  </si>
  <si>
    <t>9763-20170724T170111.762219400.bin</t>
  </si>
  <si>
    <t>-594.696928681335 54.41182088655 -239.741158914934</t>
  </si>
  <si>
    <t>-620.191469417333 41.3785416918088 -357.418567195389</t>
  </si>
  <si>
    <t>-625.014968341842 31.9953533708983 -478.163088227069</t>
  </si>
  <si>
    <t>-620.743483065982 24.5689119264937 -587.348542302402</t>
  </si>
  <si>
    <t>-607.925986288243 17.8686795531698 -695.910403907061</t>
  </si>
  <si>
    <t>-581.23441838633 9.03035843565931 -845.608173582871</t>
  </si>
  <si>
    <t>-540.981776920403 9.10447975738566 -939.217467152851</t>
  </si>
  <si>
    <t>-598.697959097583 44.0983774139736 -782.219161961807</t>
  </si>
  <si>
    <t>-606.508460870075 190.427830785299 -770.026508328784</t>
  </si>
  <si>
    <t>-559.420964587255 264.816975877837 -465.994909092514</t>
  </si>
  <si>
    <t>-337.779168337158 254.083810868539 -330.341763877473</t>
  </si>
  <si>
    <t>-626.514971142303 140.989345500608 -241.189722492303</t>
  </si>
  <si>
    <t>-577.253365384908 200.22958664476 207.944530246378</t>
  </si>
  <si>
    <t>-609.267884643245 238.366376715578 675.051822390963</t>
  </si>
  <si>
    <t>-452.333645871887 267.680286218507 748.915518373633</t>
  </si>
  <si>
    <t>-498.607687624148 1.46098309442482 212.318228235793</t>
  </si>
  <si>
    <t>-613.966106017611 -9.83131169742114 668.141003572983</t>
  </si>
  <si>
    <t>-457.562622175233 -26.1572764270561 746.975782367477</t>
  </si>
  <si>
    <t>9763-20170724T170111.797312200.bin</t>
  </si>
  <si>
    <t>-595.971782498358 50.907435267337 -239.142375655412</t>
  </si>
  <si>
    <t>-621.298561981251 38.2962288310925 -356.901927482566</t>
  </si>
  <si>
    <t>-626.133559315241 29.1305942386596 -477.662720545455</t>
  </si>
  <si>
    <t>-621.952876217887 21.8279746120363 -586.859998284902</t>
  </si>
  <si>
    <t>-609.308701169743 15.1855299932026 -695.445804716553</t>
  </si>
  <si>
    <t>-582.944552230218 6.36507909762668 -845.202701799196</t>
  </si>
  <si>
    <t>-542.946508886791 6.63317971193987 -938.920607751924</t>
  </si>
  <si>
    <t>-600.363126708342 41.4069998488378 -781.786766990227</t>
  </si>
  <si>
    <t>-608.673143182721 187.736552270721 -769.311161835342</t>
  </si>
  <si>
    <t>-559.470345956155 262.554509186287 -465.720102776687</t>
  </si>
  <si>
    <t>-337.282873453168 248.241227629531 -331.295701484189</t>
  </si>
  <si>
    <t>-627.333966991384 137.333413945383 -240.343655687721</t>
  </si>
  <si>
    <t>-576.448543640019 199.189875154203 208.256467005685</t>
  </si>
  <si>
    <t>-609.171395872637 237.952721966678 675.191283615525</t>
  </si>
  <si>
    <t>-452.459857156115 268.343845849007 749.092552899353</t>
  </si>
  <si>
    <t>-502.072992954143 -2.29388665177112 212.986104060732</t>
  </si>
  <si>
    <t>-614.136975997243 -10.8679015780733 669.699406671687</t>
  </si>
  <si>
    <t>-457.487245321672 -26.0622630100693 748.27104655629</t>
  </si>
  <si>
    <t>9763-20170724T170111.861487800.bin</t>
  </si>
  <si>
    <t>-597.501238426715 46.4202640955052 -237.77071381512</t>
  </si>
  <si>
    <t>-622.442667190032 34.0403201312308 -355.63691917875</t>
  </si>
  <si>
    <t>-627.278065137578 24.4410182205502 -476.364141409593</t>
  </si>
  <si>
    <t>-623.273649202963 16.4851775235081 -585.522330189397</t>
  </si>
  <si>
    <t>-610.989555303731 8.9343780109939 -694.089996184573</t>
  </si>
  <si>
    <t>-602.42991511369 34.2802956041023 -780.731119534369</t>
  </si>
  <si>
    <t>-610.926832744129 180.606559213719 -768.791143286123</t>
  </si>
  <si>
    <t>-557.979751453372 256.112115740149 -466.001373814809</t>
  </si>
  <si>
    <t>-334.559879180417 235.149210127798 -334.524450723952</t>
  </si>
  <si>
    <t>-628.704203711596 133.060383289873 -239.163674209241</t>
  </si>
  <si>
    <t>-576.429300208127 197.919477806496 208.852262197289</t>
  </si>
  <si>
    <t>-609.243552752077 238.03793685878 675.187127606134</t>
  </si>
  <si>
    <t>-452.829831818775 269.662825576291 749.201567925338</t>
  </si>
  <si>
    <t>-505.494369607833 -6.29127115844585 214.532327058921</t>
  </si>
  <si>
    <t>-614.303485216499 -11.9046974336322 672.015972149528</t>
  </si>
  <si>
    <t>-457.242043803 -25.7693828743147 750.009502747141</t>
  </si>
  <si>
    <t>9763-20170724T170111.896582400.bin</t>
  </si>
  <si>
    <t>-597.820446417558 45.6289942296269 -237.205334140414</t>
  </si>
  <si>
    <t>-622.595102777439 33.2205596973586 -355.103795644781</t>
  </si>
  <si>
    <t>-627.419286361596 23.1707819502451 -475.794754581157</t>
  </si>
  <si>
    <t>-623.479628287601 14.6391580305158 -584.911821647155</t>
  </si>
  <si>
    <t>-611.340928011001 6.34620451363344 -693.441750054797</t>
  </si>
  <si>
    <t>-602.920942579176 31.0015635780223 -780.295478927315</t>
  </si>
  <si>
    <t>-611.32257370004 177.381940185218 -769.214199544426</t>
  </si>
  <si>
    <t>-556.179041216995 254.118782604134 -467.126871074998</t>
  </si>
  <si>
    <t>-332.463724917365 230.225133215836 -336.65610021541</t>
  </si>
  <si>
    <t>-629.282176598999 132.371750728927 -238.784560119591</t>
  </si>
  <si>
    <t>-577.578361096073 197.731814711306 209.224745461125</t>
  </si>
  <si>
    <t>-609.480133289754 238.318473381235 675.425699430622</t>
  </si>
  <si>
    <t>-453.043554140484 270.081262352891 749.33264368075</t>
  </si>
  <si>
    <t>-504.963160138872 -6.22961680620097 215.158537405143</t>
  </si>
  <si>
    <t>-614.233397852426 -11.9315009747547 672.538502627826</t>
  </si>
  <si>
    <t>-457.109054431012 -25.6848140732418 750.4249157076</t>
  </si>
  <si>
    <t>9763-20170724T170111.961746700.bin</t>
  </si>
  <si>
    <t>-597.139250833476 45.9792204315972 -236.420600095872</t>
  </si>
  <si>
    <t>-622.092466945412 32.736098721371 -354.190607729036</t>
  </si>
  <si>
    <t>-627.080816740354 21.2551658953137 -474.746935327926</t>
  </si>
  <si>
    <t>-623.296883972343 11.179762318402 -583.737912892515</t>
  </si>
  <si>
    <t>-611.33036438538 1.08715697450498 -692.134441678211</t>
  </si>
  <si>
    <t>-603.08027295844 24.1256914607518 -779.447127603242</t>
  </si>
  <si>
    <t>-611.742563512345 170.65159843341 -770.655465921622</t>
  </si>
  <si>
    <t>-552.34754200543 251.960919990079 -470.576731699551</t>
  </si>
  <si>
    <t>-328.055027098488 220.80940596866 -342.652940334404</t>
  </si>
  <si>
    <t>-630.195015864381 133.065926314921 -238.774863400504</t>
  </si>
  <si>
    <t>-580.254167264283 197.73119456035 209.535253637116</t>
  </si>
  <si>
    <t>-609.99640216025 239.5708925102 675.528519117733</t>
  </si>
  <si>
    <t>-453.418281709111 270.759123099232 749.380345238687</t>
  </si>
  <si>
    <t>-500.727610022639 -2.88411745820031 215.764035081884</t>
  </si>
  <si>
    <t>-613.585601539019 -11.6736975202493 672.136180210358</t>
  </si>
  <si>
    <t>-456.609412204646 -25.5632152729361 750.296663602366</t>
  </si>
  <si>
    <t>9763-20170724T170111.993831700.bin</t>
  </si>
  <si>
    <t>-596.373377310069 47.2115038071224 -236.527294282671</t>
  </si>
  <si>
    <t>-621.354019865424 33.3872693831163 -354.224732180189</t>
  </si>
  <si>
    <t>-626.366690060139 21.1380863562415 -474.704518862122</t>
  </si>
  <si>
    <t>-622.607709478668 10.2842560681913 -583.621495169151</t>
  </si>
  <si>
    <t>-602.492235242178 21.5892169111291 -779.456459341019</t>
  </si>
  <si>
    <t>-611.340078661824 168.136276975467 -771.859260262612</t>
  </si>
  <si>
    <t>-550.210096742734 252.209437832012 -472.892668324078</t>
  </si>
  <si>
    <t>-325.348334771319 217.595418675797 -346.872334582903</t>
  </si>
  <si>
    <t>-630.540506830178 134.513750786049 -239.152277767833</t>
  </si>
  <si>
    <t>-581.205607358791 198.445707731101 209.33003075285</t>
  </si>
  <si>
    <t>-610.186900928506 240.319415178016 675.445556367013</t>
  </si>
  <si>
    <t>-453.537538851339 271.090075861508 749.321493570145</t>
  </si>
  <si>
    <t>-497.878126618364 -0.0994112105859131 215.734734230271</t>
  </si>
  <si>
    <t>-613.187980131342 -11.0708242200426 671.457633827431</t>
  </si>
  <si>
    <t>-456.456653533417 -25.9091669893851 749.934567978051</t>
  </si>
  <si>
    <t>9763-20170724T170112.065729300.bin</t>
  </si>
  <si>
    <t>-594.542171383354 51.2638192935483 -237.484751191065</t>
  </si>
  <si>
    <t>-619.206754906315 36.4288324303932 -355.125672691261</t>
  </si>
  <si>
    <t>-624.151348689209 23.018568736029 -475.484681012414</t>
  </si>
  <si>
    <t>-620.436645396065 11.0452241990592 -584.285787364083</t>
  </si>
  <si>
    <t>-600.791142715477 20.0990247870502 -780.300089516292</t>
  </si>
  <si>
    <t>-610.232056704457 166.698353210211 -774.723868422639</t>
  </si>
  <si>
    <t>-545.937747854329 255.846339082636 -477.898859290144</t>
  </si>
  <si>
    <t>-319.760242053581 217.207079870468 -355.453794519873</t>
  </si>
  <si>
    <t>-630.564917294354 138.710861751292 -240.459752489656</t>
  </si>
  <si>
    <t>-582.26452225539 201.429067092617 208.306550083075</t>
  </si>
  <si>
    <t>-610.426970021009 241.948010184376 674.880958257001</t>
  </si>
  <si>
    <t>-453.780534901711 272.064064782408 749.032315259804</t>
  </si>
  <si>
    <t>-492.985735461129 5.00283821737412 215.16089611721</t>
  </si>
  <si>
    <t>-612.409229670029 -10.5304209241203 670.162719598099</t>
  </si>
  <si>
    <t>-455.996193251732 -25.5832879889531 749.231585138339</t>
  </si>
  <si>
    <t>9763-20170724T170112.098801600.bin</t>
  </si>
  <si>
    <t>-593.865278044975 53.8047119583755 -237.95200407523</t>
  </si>
  <si>
    <t>-618.379680589592 38.5337456718421 -355.568469790858</t>
  </si>
  <si>
    <t>-623.333518060752 24.7447995836749 -475.884310823474</t>
  </si>
  <si>
    <t>-619.690736631972 12.4585380019137 -584.653028080811</t>
  </si>
  <si>
    <t>-608.041308814761 0.0198277943059111 -692.839961880255</t>
  </si>
  <si>
    <t>-600.418539374976 21.0043477308191 -780.725701114159</t>
  </si>
  <si>
    <t>-610.321292499447 167.60923844367 -775.991800645903</t>
  </si>
  <si>
    <t>-545.129879815322 258.173521267886 -479.791814460164</t>
  </si>
  <si>
    <t>-318.003616329477 218.403453389798 -359.483624237358</t>
  </si>
  <si>
    <t>-630.311155390683 141.377057770102 -241.28072289054</t>
  </si>
  <si>
    <t>-583.006033978179 203.15063735737 207.722534986225</t>
  </si>
  <si>
    <t>-610.535504812676 242.890074324585 674.51992053069</t>
  </si>
  <si>
    <t>-453.940794558312 272.711280022228 748.899538839222</t>
  </si>
  <si>
    <t>-490.995141563646 7.14616774291108 214.951168179188</t>
  </si>
  <si>
    <t>-612.035739344827 -10.4856453276493 669.518846520042</t>
  </si>
  <si>
    <t>-455.761791952055 -25.5508180492527 748.859880415784</t>
  </si>
  <si>
    <t>9763-20170724T170112.164554000.bin</t>
  </si>
  <si>
    <t>-592.548155268454 58.6609020008179 -238.995243723266</t>
  </si>
  <si>
    <t>-616.815443188051 42.7255560017163 -356.574862874565</t>
  </si>
  <si>
    <t>-621.95621506202 28.4881708348121 -476.830583344443</t>
  </si>
  <si>
    <t>-618.651933589628 15.9003600111773 -585.575712570649</t>
  </si>
  <si>
    <t>-607.502977081605 3.27188184714191 -693.793308268617</t>
  </si>
  <si>
    <t>-600.514157534038 24.1455101284505 -781.758164778654</t>
  </si>
  <si>
    <t>-611.20055893511 170.786286608312 -777.708119006417</t>
  </si>
  <si>
    <t>-545.710443847287 260.008357592819 -481.167033227825</t>
  </si>
  <si>
    <t>-316.203453432347 218.949059865213 -365.916198459901</t>
  </si>
  <si>
    <t>-629.702196220625 146.6134355365 -242.722509625194</t>
  </si>
  <si>
    <t>-584.236618301376 207.026297151463 206.655779089251</t>
  </si>
  <si>
    <t>-610.568544359346 244.610610290886 673.71570796451</t>
  </si>
  <si>
    <t>-454.07393830333 273.840135737967 748.539434355015</t>
  </si>
  <si>
    <t>-488.255603363949 10.4534177721766 214.477010264164</t>
  </si>
  <si>
    <t>-611.587154183225 -10.0126543566448 668.440088218286</t>
  </si>
  <si>
    <t>-455.512017393984 -25.5473614598595 748.081464443295</t>
  </si>
  <si>
    <t>9763-20170724T170112.197683800.bin</t>
  </si>
  <si>
    <t>-591.814010515028 60.5560420651314 -239.546783248542</t>
  </si>
  <si>
    <t>-615.838932822433 44.3790654954348 -357.143206624787</t>
  </si>
  <si>
    <t>-620.987992451404 30.1796944185016 -477.403108761356</t>
  </si>
  <si>
    <t>-617.785434831843 17.745796705844 -586.168967297273</t>
  </si>
  <si>
    <t>-606.825987361438 5.39395905055812 -694.437888390412</t>
  </si>
  <si>
    <t>-600.088234839805 26.5600428578109 -782.352239017246</t>
  </si>
  <si>
    <t>-611.02537582858 173.135600016371 -778.0201087375</t>
  </si>
  <si>
    <t>-545.256687483986 258.563522114554 -480.425281967235</t>
  </si>
  <si>
    <t>-314.598566744534 217.146226910818 -367.626706339475</t>
  </si>
  <si>
    <t>-629.002526263168 148.565072665112 -243.491400743623</t>
  </si>
  <si>
    <t>-584.539705386525 208.54303116564 206.045439121939</t>
  </si>
  <si>
    <t>-610.597311636844 245.438592582524 673.25778593041</t>
  </si>
  <si>
    <t>-454.170409606885 274.458983549154 748.304150249427</t>
  </si>
  <si>
    <t>-487.351186606679 11.5621754528713 214.235557467186</t>
  </si>
  <si>
    <t>-611.401665267451 -9.98898821946409 667.985571083989</t>
  </si>
  <si>
    <t>-455.3988319177 -25.7199190971478 747.729989145341</t>
  </si>
  <si>
    <t>9763-20170724T170112.261627800.bin</t>
  </si>
  <si>
    <t>-590.886325072736 63.1108664550907 -240.15705008464</t>
  </si>
  <si>
    <t>-614.593077210303 46.9332477872847 -357.817968606505</t>
  </si>
  <si>
    <t>-620.052120925638 33.4657047205069 -478.148316688258</t>
  </si>
  <si>
    <t>-617.363005573087 21.9993334514791 -587.034215298228</t>
  </si>
  <si>
    <t>-607.132942308214 10.925683031885 -695.51265144243</t>
  </si>
  <si>
    <t>-601.156365273273 33.3156566979924 -783.178711556101</t>
  </si>
  <si>
    <t>-612.152824942887 179.846689613823 -776.994331940353</t>
  </si>
  <si>
    <t>-545.545583928797 255.426836887745 -476.93220309375</t>
  </si>
  <si>
    <t>-312.9652251338 214.76990595098 -367.865854084418</t>
  </si>
  <si>
    <t>-628.303723637442 150.857091075773 -244.114989296392</t>
  </si>
  <si>
    <t>-585.870920916955 209.546755443573 205.78796256697</t>
  </si>
  <si>
    <t>-610.837674136365 245.282022516164 673.420152384127</t>
  </si>
  <si>
    <t>-454.333892003726 274.720487072701 748.142694173801</t>
  </si>
  <si>
    <t>-486.78167975914 12.2856718501289 213.921988105792</t>
  </si>
  <si>
    <t>-611.14570857848 -10.4335503542516 667.534943961495</t>
  </si>
  <si>
    <t>-455.123389041595 -25.7420670662461 747.323407859656</t>
  </si>
  <si>
    <t>9763-20170724T170112.301719600.bin</t>
  </si>
  <si>
    <t>-590.589430085115 63.9282154081193 -240.387510360274</t>
  </si>
  <si>
    <t>-614.06359964299 47.8836256359714 -358.113196589045</t>
  </si>
  <si>
    <t>-619.734423384257 35.0154225044762 -478.499281681701</t>
  </si>
  <si>
    <t>-617.403100102661 24.2822753569101 -587.468162803992</t>
  </si>
  <si>
    <t>-607.686174533072 14.1350425389805 -696.084217643396</t>
  </si>
  <si>
    <t>-586.490265411215 0.376015215769257 -846.288932580462</t>
  </si>
  <si>
    <t>-602.199612618175 37.3974518709231 -783.555053841926</t>
  </si>
  <si>
    <t>-613.083563132101 183.843990569036 -775.857618695033</t>
  </si>
  <si>
    <t>-545.680871340026 252.777372530676 -474.375799057593</t>
  </si>
  <si>
    <t>-312.546255288892 212.807127968155 -366.243123492795</t>
  </si>
  <si>
    <t>-628.06761208955 151.455737714271 -244.220937091884</t>
  </si>
  <si>
    <t>-586.836256740428 209.777549371935 205.841534375661</t>
  </si>
  <si>
    <t>-610.967916203935 245.271207371883 673.484385611103</t>
  </si>
  <si>
    <t>-454.430056304307 274.904775944113 748.058143945009</t>
  </si>
  <si>
    <t>-487.102423709513 12.2736628618343 213.791453262887</t>
  </si>
  <si>
    <t>-611.076900605045 -10.4873607607578 667.418262258421</t>
  </si>
  <si>
    <t>-455.012231944315 -25.5167606720604 747.176970632324</t>
  </si>
  <si>
    <t>9763-20170724T170112.362594700.bin</t>
  </si>
  <si>
    <t>-589.132540185468 65.1682373039605 -240.777196799491</t>
  </si>
  <si>
    <t>-612.087349151982 49.6631203424472 -358.67751899496</t>
  </si>
  <si>
    <t>-618.155205216317 38.4357565158139 -479.208425206154</t>
  </si>
  <si>
    <t>-616.524175870732 29.6493498174198 -588.364083303987</t>
  </si>
  <si>
    <t>-607.825525725632 21.9230392453953 -697.26549135187</t>
  </si>
  <si>
    <t>-588.351343521371 12.0332072149199 -848.006787219188</t>
  </si>
  <si>
    <t>-553.848135310613 10.9165634837073 -943.877752516357</t>
  </si>
  <si>
    <t>-603.342249396937 47.4260581838998 -784.166933120927</t>
  </si>
  <si>
    <t>-613.934763730665 193.645195279311 -772.591579414213</t>
  </si>
  <si>
    <t>-544.25974490931 252.340169385678 -469.46375872135</t>
  </si>
  <si>
    <t>-310.489128939457 210.764731563463 -363.327787942318</t>
  </si>
  <si>
    <t>-626.185741110124 152.81665772875 -244.588471573938</t>
  </si>
  <si>
    <t>-589.347061887225 210.046278003965 205.994855845285</t>
  </si>
  <si>
    <t>-611.304376149708 245.730135613127 673.539324793183</t>
  </si>
  <si>
    <t>-454.667389794926 275.149207491603 747.989761324545</t>
  </si>
  <si>
    <t>-487.125216805808 12.0484900261959 213.569756633142</t>
  </si>
  <si>
    <t>-610.99217436754 -10.3275820314402 667.112698774223</t>
  </si>
  <si>
    <t>-454.981373636014 -25.9817847032436 746.856610958258</t>
  </si>
  <si>
    <t>9763-20170724T170112.399686500.bin</t>
  </si>
  <si>
    <t>-587.971420445611 65.7833354505385 -241.070671819455</t>
  </si>
  <si>
    <t>-610.818669734449 50.5957226068415 -359.033086392211</t>
  </si>
  <si>
    <t>-617.164244499389 40.2950995110609 -479.632504636365</t>
  </si>
  <si>
    <t>-615.923178358255 32.599665924977 -588.875700020336</t>
  </si>
  <si>
    <t>-607.741207311708 26.2219653099155 -697.904261048735</t>
  </si>
  <si>
    <t>-589.105262549532 18.4779842578187 -848.876970653841</t>
  </si>
  <si>
    <t>-555.130518312406 18.4371683510158 -944.943037156868</t>
  </si>
  <si>
    <t>-603.740363878771 52.9585254643425 -784.45779137286</t>
  </si>
  <si>
    <t>-614.129246908505 199.026241683714 -770.931202350323</t>
  </si>
  <si>
    <t>-543.693617922327 253.156080300306 -467.130334136202</t>
  </si>
  <si>
    <t>-309.386037917851 210.044225180722 -362.807114448684</t>
  </si>
  <si>
    <t>-624.923630347357 153.717133418541 -244.910036252656</t>
  </si>
  <si>
    <t>-590.767578062362 209.738695596648 206.036361777268</t>
  </si>
  <si>
    <t>-611.428535795561 246.187912718405 673.469595138515</t>
  </si>
  <si>
    <t>-454.747190003901 275.206320497032 747.983958253276</t>
  </si>
  <si>
    <t>-487.021037314129 11.6867226650722 213.304805340328</t>
  </si>
  <si>
    <t>-610.966763076993 -10.449865861799 666.906461910138</t>
  </si>
  <si>
    <t>-454.95342679757 -26.2418424173804 746.618223960455</t>
  </si>
  <si>
    <t>9763-20170724T170112.428795700.bin</t>
  </si>
  <si>
    <t>-586.607497139377 66.108787093754 -241.545601409626</t>
  </si>
  <si>
    <t>-609.536818441454 51.2646901671947 -359.535893316137</t>
  </si>
  <si>
    <t>-616.297966787737 41.9444234092782 -480.192373701989</t>
  </si>
  <si>
    <t>-615.549758460771 35.4015232751169 -589.515271288649</t>
  </si>
  <si>
    <t>-607.965617119782 30.4478246842825 -698.660826593981</t>
  </si>
  <si>
    <t>-590.257991960263 24.9711227733121 -849.844484499842</t>
  </si>
  <si>
    <t>-556.817675302726 26.0962225520605 -946.091270793648</t>
  </si>
  <si>
    <t>-604.515586208617 58.4761510407518 -784.828700991082</t>
  </si>
  <si>
    <t>-614.597361169403 204.380417237099 -769.365683758247</t>
  </si>
  <si>
    <t>-543.633801898014 253.138554991433 -464.77915384726</t>
  </si>
  <si>
    <t>-308.505484514961 209.30749601385 -362.624530309659</t>
  </si>
  <si>
    <t>-623.375030932169 154.088512395467 -245.192896057534</t>
  </si>
  <si>
    <t>-592.005637702875 209.595966032541 206.01932842766</t>
  </si>
  <si>
    <t>-611.560488057105 246.697974564713 673.383382565729</t>
  </si>
  <si>
    <t>-454.860614364182 275.356796342348 747.997915242304</t>
  </si>
  <si>
    <t>-486.799577988209 11.2466195368281 212.909439222023</t>
  </si>
  <si>
    <t>-610.979794345502 -10.5194580193117 666.625316227051</t>
  </si>
  <si>
    <t>-454.968221018811 -26.4220827882571 746.318554797457</t>
  </si>
  <si>
    <t>9763-20170724T170112.498580700.bin</t>
  </si>
  <si>
    <t>-584.497066529725 66.3361580898511 -242.585606165227</t>
  </si>
  <si>
    <t>-607.931942656173 52.1717082635544 -360.560040497871</t>
  </si>
  <si>
    <t>-615.767715623782 44.9134964404336 -481.293210891567</t>
  </si>
  <si>
    <t>-616.186510592052 40.8202852407483 -590.736909706449</t>
  </si>
  <si>
    <t>-609.941780040267 38.9183932550959 -700.063134820887</t>
  </si>
  <si>
    <t>-594.253128536363 38.3253429488555 -851.567318569673</t>
  </si>
  <si>
    <t>-561.829876932657 42.1010841867867 -948.094356375987</t>
  </si>
  <si>
    <t>-607.745465719689 69.6891132480725 -785.331437018478</t>
  </si>
  <si>
    <t>-617.784367686037 214.953079216916 -765.373048367239</t>
  </si>
  <si>
    <t>-545.346183991362 253.794035427714 -459.709276542655</t>
  </si>
  <si>
    <t>-308.500902924173 209.323934950355 -361.889316773384</t>
  </si>
  <si>
    <t>-594.644303638891 7.48636192825938 -783.731287916777</t>
  </si>
  <si>
    <t>-620.068459692355 154.238816916131 -245.576138600033</t>
  </si>
  <si>
    <t>-594.263663634496 208.970900920898 206.08324883054</t>
  </si>
  <si>
    <t>-611.757490792916 246.696512675103 673.603920501217</t>
  </si>
  <si>
    <t>-454.988086272042 275.427115176328 748.044605551668</t>
  </si>
  <si>
    <t>-487.80525964031 9.54918864710112 211.82205945242</t>
  </si>
  <si>
    <t>-611.069218078648 -10.8688460203693 666.137096579112</t>
  </si>
  <si>
    <t>-455.007604981465 -27.0096554767665 745.684316968387</t>
  </si>
  <si>
    <t>9763-20170724T170112.568591400.bin</t>
  </si>
  <si>
    <t>-583.235372456789 67.3288191983243 -242.823391197274</t>
  </si>
  <si>
    <t>-606.414540466847 53.9871119019849 -360.944139477555</t>
  </si>
  <si>
    <t>-614.788840780308 48.5058921246625 -481.734983780503</t>
  </si>
  <si>
    <t>-616.005063565964 46.443258624236 -591.229835030919</t>
  </si>
  <si>
    <t>-610.857715343815 47.022110597359 -700.628247412895</t>
  </si>
  <si>
    <t>-596.99444398596 50.3702908778464 -852.274458486855</t>
  </si>
  <si>
    <t>-565.204313683091 56.3407448600351 -948.901128331409</t>
  </si>
  <si>
    <t>-609.807452419728 79.973094559879 -785.100034246676</t>
  </si>
  <si>
    <t>-620.324695012989 224.77166231021 -761.322654973265</t>
  </si>
  <si>
    <t>-546.551495588601 255.807318651399 -455.086742359322</t>
  </si>
  <si>
    <t>-308.140889415211 210.807624958422 -361.398564685211</t>
  </si>
  <si>
    <t>-596.449597513004 17.8044884800238 -785.251502790827</t>
  </si>
  <si>
    <t>-617.282571782457 155.5378797016 -245.643251567581</t>
  </si>
  <si>
    <t>-594.933946267948 209.115145522399 206.338653021768</t>
  </si>
  <si>
    <t>-612.026918507508 246.420631302699 673.907745384736</t>
  </si>
  <si>
    <t>-455.133022044501 275.139670110475 748.09029077164</t>
  </si>
  <si>
    <t>-488.149497963245 8.26054106942638 211.574999926152</t>
  </si>
  <si>
    <t>-611.278571268968 -11.4705002068645 665.89981591218</t>
  </si>
  <si>
    <t>-454.977633623402 -27.1392301858191 745.070636040106</t>
  </si>
  <si>
    <t>9763-20170724T170112.599672900.bin</t>
  </si>
  <si>
    <t>-582.462818171983 68.3376665630992 -242.642137058822</t>
  </si>
  <si>
    <t>-605.491598533199 55.0964086282329 -360.803703540768</t>
  </si>
  <si>
    <t>-613.871445892927 50.2108492332375 -481.619525160724</t>
  </si>
  <si>
    <t>-615.146879615233 48.8931551482672 -591.125239258619</t>
  </si>
  <si>
    <t>-610.107417642306 50.4277356044411 -700.519387941929</t>
  </si>
  <si>
    <t>-596.439659144733 55.3269622132348 -852.141405890074</t>
  </si>
  <si>
    <t>-564.690786490348 62.1715759058081 -948.72358478597</t>
  </si>
  <si>
    <t>-609.128605321478 84.2490028240672 -784.647412149812</t>
  </si>
  <si>
    <t>-619.383870872983 228.756769954136 -759.426196084077</t>
  </si>
  <si>
    <t>-545.45279405679 256.007119289156 -452.868193673587</t>
  </si>
  <si>
    <t>-306.635420180444 210.727483139602 -360.358257504305</t>
  </si>
  <si>
    <t>-595.845820388607 22.0694098778647 -785.459310861265</t>
  </si>
  <si>
    <t>-616.074936646052 156.70696831938 -245.586676595998</t>
  </si>
  <si>
    <t>-594.703822965407 209.535638596038 206.530559463886</t>
  </si>
  <si>
    <t>-612.183795824396 246.275384780025 674.061351347555</t>
  </si>
  <si>
    <t>-455.218494670961 274.904541189175 748.127302350883</t>
  </si>
  <si>
    <t>-487.81897737382 9.14045140047597 211.627496977031</t>
  </si>
  <si>
    <t>-611.224897505514 -11.2215765524256 665.499975211481</t>
  </si>
  <si>
    <t>-454.975199604207 -27.519636665181 744.644891715627</t>
  </si>
  <si>
    <t>9763-20170724T170112.663510700.bin</t>
  </si>
  <si>
    <t>-580.690808683218 71.4494751590598 -242.900003470915</t>
  </si>
  <si>
    <t>-603.535916384429 58.349912176719 -361.112988611116</t>
  </si>
  <si>
    <t>-611.560453542215 54.4668648786915 -481.98940232629</t>
  </si>
  <si>
    <t>-612.418359515734 54.3827366935407 -591.506953211026</t>
  </si>
  <si>
    <t>-606.852233720026 57.4642125755081 -700.843028579013</t>
  </si>
  <si>
    <t>-592.328452848246 64.8264935019072 -852.285677203193</t>
  </si>
  <si>
    <t>-560.240399863896 73.0630369147382 -948.646966504904</t>
  </si>
  <si>
    <t>-605.102878724183 92.7094536609686 -784.371861911558</t>
  </si>
  <si>
    <t>-613.929924334211 236.903436576455 -756.843714082257</t>
  </si>
  <si>
    <t>-539.717750589374 259.211910452221 -449.954354823392</t>
  </si>
  <si>
    <t>-300.456966839718 210.987431106487 -360.11706074231</t>
  </si>
  <si>
    <t>-592.406654877354 30.4285175924747 -786.181980842343</t>
  </si>
  <si>
    <t>-614.309544272422 160.334142631543 -245.854449380337</t>
  </si>
  <si>
    <t>-593.724420873276 210.788473141856 206.570400435826</t>
  </si>
  <si>
    <t>-612.411303590255 246.443472257988 674.067404543796</t>
  </si>
  <si>
    <t>-455.399370159251 274.631510979368 748.203755243117</t>
  </si>
  <si>
    <t>-486.061813466424 11.3006101673252 211.328930616291</t>
  </si>
  <si>
    <t>-610.89525087137 -11.3027486725227 664.664256771268</t>
  </si>
  <si>
    <t>-454.612600259398 -27.0198822126576 743.861532307324</t>
  </si>
  <si>
    <t>9763-20170724T170112.699608400.bin</t>
  </si>
  <si>
    <t>-579.996410784849 73.6262452763503 -243.010640489165</t>
  </si>
  <si>
    <t>-602.608292537619 60.4897840107226 -361.264229809875</t>
  </si>
  <si>
    <t>-610.153525602904 56.8719682666065 -482.179627854541</t>
  </si>
  <si>
    <t>-610.464765581593 57.1289373187233 -591.699926945618</t>
  </si>
  <si>
    <t>-604.232870515207 60.6386710126683 -700.98724837725</t>
  </si>
  <si>
    <t>-588.65589358257 68.6731972941632 -852.290918310554</t>
  </si>
  <si>
    <t>-556.132019234826 77.2866978219236 -948.472962653365</t>
  </si>
  <si>
    <t>-601.689591709793 96.296547206771 -784.320286332361</t>
  </si>
  <si>
    <t>-609.614487311791 240.457601239696 -756.279029654898</t>
  </si>
  <si>
    <t>-535.184693605259 260.672399833732 -449.297290881765</t>
  </si>
  <si>
    <t>-296.022939916147 210.928846991992 -360.026448508041</t>
  </si>
  <si>
    <t>-589.406804922882 33.939842051712 -786.367024056206</t>
  </si>
  <si>
    <t>-613.510068299643 162.827589380875 -246.127382593237</t>
  </si>
  <si>
    <t>-593.759032143049 212.115889593711 206.463146904583</t>
  </si>
  <si>
    <t>-612.549972500195 246.91421846854 673.948068815717</t>
  </si>
  <si>
    <t>-455.533372068997 274.746072062004 748.20902380405</t>
  </si>
  <si>
    <t>-484.555898385113 12.9066570555237 211.219508977793</t>
  </si>
  <si>
    <t>-610.682572791424 -11.1111561825071 664.070245034782</t>
  </si>
  <si>
    <t>-454.514029917736 -27.200793447405 743.417726857439</t>
  </si>
  <si>
    <t>9763-20170724T170112.762782600.bin</t>
  </si>
  <si>
    <t>-578.714830946692 78.5029330852074 -243.845125151456</t>
  </si>
  <si>
    <t>-601.229603917752 65.2880623652266 -362.108746227051</t>
  </si>
  <si>
    <t>-607.876623154853 62.0467105019088 -483.08756827913</t>
  </si>
  <si>
    <t>-607.030861430589 62.7866431323396 -592.602660938363</t>
  </si>
  <si>
    <t>-599.291036146774 66.8954121461129 -701.772559049694</t>
  </si>
  <si>
    <t>-581.250897686052 75.8558414584577 -852.750302903608</t>
  </si>
  <si>
    <t>-547.862676060017 84.909762785481 -948.595150638472</t>
  </si>
  <si>
    <t>-594.974721963621 103.140468524738 -784.778809974749</t>
  </si>
  <si>
    <t>-600.842581619122 247.303313320057 -756.43022462995</t>
  </si>
  <si>
    <t>-527.446351307316 263.455456249879 -448.959355568873</t>
  </si>
  <si>
    <t>-288.416583853845 210.539244063124 -361.171590302723</t>
  </si>
  <si>
    <t>-583.491467398006 40.6417926790584 -787.115847235238</t>
  </si>
  <si>
    <t>-612.182835939171 168.396549934538 -247.038276241705</t>
  </si>
  <si>
    <t>-594.189655841918 214.342525325656 205.977020376238</t>
  </si>
  <si>
    <t>-612.781357479696 247.853098314606 673.619121365483</t>
  </si>
  <si>
    <t>-455.773122213893 274.885848315332 748.192257957041</t>
  </si>
  <si>
    <t>-482.112630668041 16.0385449848245 210.575429822691</t>
  </si>
  <si>
    <t>-610.330088380291 -10.4930546992655 662.918016477342</t>
  </si>
  <si>
    <t>-454.412957524679 -27.7499802555471 742.514244381533</t>
  </si>
  <si>
    <t>9763-20170724T170112.794867900.bin</t>
  </si>
  <si>
    <t>-578.705160689772 81.0956202733264 -244.223739294632</t>
  </si>
  <si>
    <t>-600.925181550449 67.8967150235221 -362.544722694446</t>
  </si>
  <si>
    <t>-606.876982179537 64.8369548818271 -483.564610759016</t>
  </si>
  <si>
    <t>-605.23744915036 65.7932914779783 -593.069103979063</t>
  </si>
  <si>
    <t>-596.539754251019 70.1605293736625 -702.156845427341</t>
  </si>
  <si>
    <t>-576.999588323656 79.5144919810293 -852.923780445984</t>
  </si>
  <si>
    <t>-543.004741458823 88.6388261379243 -948.548525777335</t>
  </si>
  <si>
    <t>-591.185542265678 106.659160549576 -784.991247640947</t>
  </si>
  <si>
    <t>-596.104402209053 250.842642192131 -756.564652909509</t>
  </si>
  <si>
    <t>-523.461844924772 264.923851136177 -448.813094405809</t>
  </si>
  <si>
    <t>-284.304562855634 210.860845946383 -362.077594174178</t>
  </si>
  <si>
    <t>-580.105501696327 44.092074348237 -787.437028158484</t>
  </si>
  <si>
    <t>-611.770703688976 171.416837469063 -247.591674897336</t>
  </si>
  <si>
    <t>-595.111160398227 215.482073844995 205.661530862188</t>
  </si>
  <si>
    <t>-612.907289373086 248.390074721434 673.460511950095</t>
  </si>
  <si>
    <t>-455.866278901219 274.738843265314 748.209239018085</t>
  </si>
  <si>
    <t>-481.043907045378 17.6880119631642 210.269034623781</t>
  </si>
  <si>
    <t>-610.185870991522 -10.0974820447468 662.253866413098</t>
  </si>
  <si>
    <t>-454.413518440234 -28.0571622834038 741.977988087969</t>
  </si>
  <si>
    <t>9763-20170724T170112.866061300.bin</t>
  </si>
  <si>
    <t>-578.989652295519 85.3126044709491 -244.966259379081</t>
  </si>
  <si>
    <t>-600.727422886581 72.3111416973843 -363.398716956529</t>
  </si>
  <si>
    <t>-605.306834802907 69.5406306986936 -484.485228103306</t>
  </si>
  <si>
    <t>-602.069905684502 70.7673222994972 -593.951460988236</t>
  </si>
  <si>
    <t>-591.426402285606 75.3976040966579 -702.855690862714</t>
  </si>
  <si>
    <t>-568.829378909558 85.0914695026988 -853.173383059738</t>
  </si>
  <si>
    <t>-533.690300302843 94.1851753447072 -948.386392321336</t>
  </si>
  <si>
    <t>-583.871251845218 112.168041836582 -785.397927654114</t>
  </si>
  <si>
    <t>-586.388747953335 256.360710868869 -756.570285428247</t>
  </si>
  <si>
    <t>-516.305172671825 265.486199358214 -448.039454209269</t>
  </si>
  <si>
    <t>-277.303032899752 209.24008649623 -362.269971827963</t>
  </si>
  <si>
    <t>-573.784462796115 49.4365051937393 -787.927168063089</t>
  </si>
  <si>
    <t>-610.994687607227 176.803478588599 -248.603970370287</t>
  </si>
  <si>
    <t>-597.115609804633 217.784602123088 205.032016605596</t>
  </si>
  <si>
    <t>-613.173816387715 249.478951246714 673.108886809111</t>
  </si>
  <si>
    <t>-456.069886102572 274.618118177206 748.141475143854</t>
  </si>
  <si>
    <t>-480.136220816729 19.7802501604638 209.513878750938</t>
  </si>
  <si>
    <t>-610.002555321624 -10.0436027316953 661.325884743668</t>
  </si>
  <si>
    <t>-454.312386282057 -28.5148504643932 741.09366299772</t>
  </si>
  <si>
    <t>9763-20170724T170112.893132700.bin</t>
  </si>
  <si>
    <t>-579.32898632556 87.3421888921343 -245.257596925291</t>
  </si>
  <si>
    <t>-600.746146492296 74.5465584478843 -363.770793898535</t>
  </si>
  <si>
    <t>-604.747254179596 71.8741624594459 -484.879785450821</t>
  </si>
  <si>
    <t>-600.888436738465 73.13426084393 -594.325556420183</t>
  </si>
  <si>
    <t>-589.529026871514 77.7365332721126 -703.158572403992</t>
  </si>
  <si>
    <t>-565.844008766196 87.3218666434479 -853.315653747753</t>
  </si>
  <si>
    <t>-530.386095770016 96.3274157105398 -948.418891685226</t>
  </si>
  <si>
    <t>-581.072001140756 114.49285096481 -785.619693766428</t>
  </si>
  <si>
    <t>-582.59492407243 258.607509976509 -756.419991634639</t>
  </si>
  <si>
    <t>-513.745293256049 266.178870980873 -447.569483855098</t>
  </si>
  <si>
    <t>-275.12198874966 208.417238641564 -361.752577024392</t>
  </si>
  <si>
    <t>-571.575799998663 51.6684321041007 -788.132139168536</t>
  </si>
  <si>
    <t>-610.621889632111 179.505367962203 -248.998916411284</t>
  </si>
  <si>
    <t>-598.324309319333 218.801108226167 204.831709580726</t>
  </si>
  <si>
    <t>-613.332359622767 250.049560872527 672.973313912998</t>
  </si>
  <si>
    <t>-456.169538969488 274.49902779763 748.110459904447</t>
  </si>
  <si>
    <t>-479.815968429029 20.6341596338973 209.244383442868</t>
  </si>
  <si>
    <t>-609.96989468786 -9.95949732911686 660.890818086583</t>
  </si>
  <si>
    <t>-454.330458947265 -28.7877373624156 740.67412021191</t>
  </si>
  <si>
    <t>9763-20170724T170112.929733300.bin</t>
  </si>
  <si>
    <t>-579.574951819805 89.6611584674745 -245.603124565459</t>
  </si>
  <si>
    <t>-600.602770562968 77.0814583746651 -364.209117030165</t>
  </si>
  <si>
    <t>-604.034301773433 74.4504173875303 -485.336699120803</t>
  </si>
  <si>
    <t>-599.595567254418 75.6681335930321 -594.760890680415</t>
  </si>
  <si>
    <t>-587.596854412455 80.1449665077434 -703.530466594643</t>
  </si>
  <si>
    <t>-562.966802895481 89.4653070665674 -853.552210653095</t>
  </si>
  <si>
    <t>-527.183112573788 98.2792090659041 -948.551213037701</t>
  </si>
  <si>
    <t>-578.336556319437 116.79554719815 -785.952318996341</t>
  </si>
  <si>
    <t>-579.038821808488 260.880933603648 -756.529862322262</t>
  </si>
  <si>
    <t>-511.38052706127 267.651903907904 -447.397527832828</t>
  </si>
  <si>
    <t>-273.44901776319 208.267708846032 -360.771043834269</t>
  </si>
  <si>
    <t>-569.393077096067 53.8872794637257 -788.392332264522</t>
  </si>
  <si>
    <t>-610.097735877982 182.34688279833 -249.441169009999</t>
  </si>
  <si>
    <t>-599.708205872331 219.975550190739 204.578381837392</t>
  </si>
  <si>
    <t>-613.496785227906 250.673574448573 672.802676491076</t>
  </si>
  <si>
    <t>-456.290213715716 274.46202861491 748.060428381086</t>
  </si>
  <si>
    <t>-479.587070316948 21.4773579770738 208.859642765982</t>
  </si>
  <si>
    <t>-609.998829226656 -9.66268404045991 660.496650448101</t>
  </si>
  <si>
    <t>-454.406022734918 -28.9519957719037 740.260761319647</t>
  </si>
  <si>
    <t>9763-20170724T170113.015468600.bin</t>
  </si>
  <si>
    <t>-579.583301128908 91.9772506949478 -246.156406694109</t>
  </si>
  <si>
    <t>-600.290847775686 79.6537035117658 -364.845576980537</t>
  </si>
  <si>
    <t>-603.210367831905 77.0214510604931 -485.986499732333</t>
  </si>
  <si>
    <t>-598.241264655144 78.126223934963 -595.389079056707</t>
  </si>
  <si>
    <t>-585.651744919593 82.3748800892395 -704.101153321487</t>
  </si>
  <si>
    <t>-560.144055076544 91.2547205264675 -854.002791050263</t>
  </si>
  <si>
    <t>-524.03865882143 99.8061517879519 -948.904117155443</t>
  </si>
  <si>
    <t>-575.657940126851 118.816302942371 -786.529968152218</t>
  </si>
  <si>
    <t>-575.616985573721 262.911918358434 -757.172462568288</t>
  </si>
  <si>
    <t>-509.049548685297 269.408793191229 -447.797630411836</t>
  </si>
  <si>
    <t>-271.760900191984 208.298935992972 -360.609645271413</t>
  </si>
  <si>
    <t>-567.202947375255 55.8348354421428 -788.822102220981</t>
  </si>
  <si>
    <t>-609.51947391354 184.823246774143 -250.003466551084</t>
  </si>
  <si>
    <t>-601.02966166633 221.241963235749 204.154338484967</t>
  </si>
  <si>
    <t>-613.630356489419 251.235058659451 672.546319159307</t>
  </si>
  <si>
    <t>-456.392766869663 274.408683351293 747.930750662206</t>
  </si>
  <si>
    <t>-479.468062209517 22.4624513582316 207.949715692177</t>
  </si>
  <si>
    <t>-610.008815283649 -9.41950809064861 658.991128835692</t>
  </si>
  <si>
    <t>-454.54075842619 -29.6655933876909 738.761367838082</t>
  </si>
  <si>
    <t>9763-20170724T170113.060279900.bin</t>
  </si>
  <si>
    <t>-577.985505607648 98.2431613648137 -247.909694358803</t>
  </si>
  <si>
    <t>-597.894856069811 86.6721212435368 -366.811047968889</t>
  </si>
  <si>
    <t>-599.860773272602 84.0704686940471 -487.971865964177</t>
  </si>
  <si>
    <t>-593.989295843277 84.889860697813 -597.332176610694</t>
  </si>
  <si>
    <t>-580.470764946613 88.5334786283781 -705.954667452578</t>
  </si>
  <si>
    <t>-553.656074067119 96.2319766478327 -855.69352955884</t>
  </si>
  <si>
    <t>-517.084792935323 103.762187121594 -950.502877033897</t>
  </si>
  <si>
    <t>-569.106534326914 124.4014422357 -788.457444372891</t>
  </si>
  <si>
    <t>-566.190494407883 268.562829751797 -759.721887869732</t>
  </si>
  <si>
    <t>-502.140778161041 272.73542825614 -449.776049539733</t>
  </si>
  <si>
    <t>-266.274560110844 207.52339306049 -361.704642263744</t>
  </si>
  <si>
    <t>-561.934972016085 61.2497840229048 -790.419927348826</t>
  </si>
  <si>
    <t>-606.375978827866 191.999245457292 -251.631871857066</t>
  </si>
  <si>
    <t>-604.088257307401 225.095259892393 202.853637376849</t>
  </si>
  <si>
    <t>-613.805377280675 253.201929315867 671.529520428827</t>
  </si>
  <si>
    <t>-456.665870781854 275.234475507337 747.458738034949</t>
  </si>
  <si>
    <t>-549.367317057363 4.49741683267598 -243.589585480471</t>
  </si>
  <si>
    <t>-478.342102975405 25.3581624494341 206.052476289431</t>
  </si>
  <si>
    <t>-609.73065482528 -8.80590290741134 657.088658077683</t>
  </si>
  <si>
    <t>-454.385427476707 -29.8971644062394 736.879209323958</t>
  </si>
  <si>
    <t>9763-20170724T170113.099385800.bin</t>
  </si>
  <si>
    <t>-577.483504582794 100.165955916229 -248.433942875622</t>
  </si>
  <si>
    <t>-596.963220663843 88.8084782467492 -367.426998484126</t>
  </si>
  <si>
    <t>-598.676957503187 86.3261621526749 -488.594043400178</t>
  </si>
  <si>
    <t>-592.652615477543 87.2143078046438 -597.945734754358</t>
  </si>
  <si>
    <t>-579.057226806212 90.8874584194002 -706.557581322032</t>
  </si>
  <si>
    <t>-552.214420776365 98.5873520983475 -856.291228673341</t>
  </si>
  <si>
    <t>-515.588890423385 105.913517863803 -951.095657851866</t>
  </si>
  <si>
    <t>-567.524613523227 126.772099405922 -789.029628190324</t>
  </si>
  <si>
    <t>-563.558941286339 270.892829544048 -760.122903203112</t>
  </si>
  <si>
    <t>-499.11914972256 272.9026430363 -450.23637473305</t>
  </si>
  <si>
    <t>-263.592641759941 206.513671112926 -362.135361827686</t>
  </si>
  <si>
    <t>-560.658545434116 63.5883863233307 -791.047853548446</t>
  </si>
  <si>
    <t>-605.439334919632 193.989595777487 -252.092439674904</t>
  </si>
  <si>
    <t>-604.819036443078 226.227277236946 202.460130227992</t>
  </si>
  <si>
    <t>-613.895691855953 253.645491608462 671.30261672927</t>
  </si>
  <si>
    <t>-456.752275908947 275.363086553618 747.314514433345</t>
  </si>
  <si>
    <t>-549.375616733164 6.41923418128931 -244.005809275256</t>
  </si>
  <si>
    <t>-478.605339681023 26.2345154375594 205.723709340128</t>
  </si>
  <si>
    <t>-609.681651301851 -8.56011799083967 656.82280737768</t>
  </si>
  <si>
    <t>-454.347375754219 -29.9100063581643 736.565932524061</t>
  </si>
  <si>
    <t>9763-20170724T170113.165577300.bin</t>
  </si>
  <si>
    <t>-577.000737525839 103.188936522031 -249.074791335711</t>
  </si>
  <si>
    <t>-595.605671416705 92.3424806301223 -368.255307300313</t>
  </si>
  <si>
    <t>-596.83711764541 90.2398826769363 -489.435523199951</t>
  </si>
  <si>
    <t>-590.542116958894 91.4191039501115 -598.769078387238</t>
  </si>
  <si>
    <t>-576.842202541105 95.3343734848634 -707.359331804846</t>
  </si>
  <si>
    <t>-550.025883895192 103.323280425022 -857.08261461602</t>
  </si>
  <si>
    <t>-513.387990160907 110.512770804927 -951.892691935239</t>
  </si>
  <si>
    <t>-565.119854263728 131.398576598911 -789.726442071773</t>
  </si>
  <si>
    <t>-559.864950344637 275.327607701454 -760.063709444188</t>
  </si>
  <si>
    <t>-493.157889573281 272.327727676925 -450.665228808543</t>
  </si>
  <si>
    <t>-258.169641702192 203.849142982885 -362.726173363625</t>
  </si>
  <si>
    <t>-558.662642936101 68.1784146358561 -791.94306382971</t>
  </si>
  <si>
    <t>-604.457329508382 196.722050458992 -252.582605614187</t>
  </si>
  <si>
    <t>-605.01998704143 228.016858487731 202.035966768877</t>
  </si>
  <si>
    <t>-614.059250363664 253.921809644491 671.099277245909</t>
  </si>
  <si>
    <t>-456.943022665571 275.747519918202 747.136384586919</t>
  </si>
  <si>
    <t>-549.594502859611 9.71171068037052 -244.834227932826</t>
  </si>
  <si>
    <t>-480.074891541366 26.9749351711168 205.195500329189</t>
  </si>
  <si>
    <t>-609.61143748956 -8.48671778484663 656.698305266479</t>
  </si>
  <si>
    <t>-454.170501773371 -29.8849347403609 736.220289701867</t>
  </si>
  <si>
    <t>9763-20170724T170113.196654200.bin</t>
  </si>
  <si>
    <t>-576.697777432874 104.448518738189 -249.383581249072</t>
  </si>
  <si>
    <t>-595.196346659443 93.9150407479056 -368.608809795901</t>
  </si>
  <si>
    <t>-596.271932604807 92.1026468668208 -489.795202941289</t>
  </si>
  <si>
    <t>-589.816199598381 93.5267482139866 -599.11640506971</t>
  </si>
  <si>
    <t>-575.936295288914 97.665228461218 -707.675511259188</t>
  </si>
  <si>
    <t>-548.850787063148 105.936779649893 -857.335071531769</t>
  </si>
  <si>
    <t>-512.070438053819 113.162964148995 -952.087121629577</t>
  </si>
  <si>
    <t>-563.963252956674 133.894407328332 -789.933960747662</t>
  </si>
  <si>
    <t>-558.185296548156 277.710927383372 -759.786915106212</t>
  </si>
  <si>
    <t>-490.841102743448 272.067766996538 -450.563651636875</t>
  </si>
  <si>
    <t>-255.876741395991 202.957214624419 -363.056127760234</t>
  </si>
  <si>
    <t>-557.707332705934 70.6593216859915 -792.296644112246</t>
  </si>
  <si>
    <t>-603.83198966442 197.963445986773 -252.707703892742</t>
  </si>
  <si>
    <t>-604.775772701796 228.76732439638 201.943806957148</t>
  </si>
  <si>
    <t>-614.137539425388 254.010345750407 670.990331361773</t>
  </si>
  <si>
    <t>-457.019476685503 275.703524155718 747.061607718934</t>
  </si>
  <si>
    <t>-549.686822037711 11.1453220383207 -245.343117112833</t>
  </si>
  <si>
    <t>-481.369840216431 27.0261125198106 204.921584317417</t>
  </si>
  <si>
    <t>-609.594725042939 -8.4825897053322 656.754327847043</t>
  </si>
  <si>
    <t>-454.088832182989 -29.798314457691 736.171397245205</t>
  </si>
  <si>
    <t>9763-20170724T170113.261856600.bin</t>
  </si>
  <si>
    <t>-575.800992683429 106.482161865604 -249.767572118861</t>
  </si>
  <si>
    <t>-594.038350222066 96.5419066221671 -369.083853924775</t>
  </si>
  <si>
    <t>-595.005610106103 95.2751131603302 -490.278065792723</t>
  </si>
  <si>
    <t>-588.519813533436 97.1799860348472 -599.590184682573</t>
  </si>
  <si>
    <t>-574.679507388409 101.792833052233 -708.135173502553</t>
  </si>
  <si>
    <t>-547.722043126808 110.722794880189 -857.779941727285</t>
  </si>
  <si>
    <t>-510.854096269582 118.205494660902 -952.47826933676</t>
  </si>
  <si>
    <t>-562.767317603199 138.38453341942 -790.24187763849</t>
  </si>
  <si>
    <t>-556.606789053384 282.013291699421 -759.29648760073</t>
  </si>
  <si>
    <t>-488.003601053402 273.392341723946 -450.418762986647</t>
  </si>
  <si>
    <t>-252.91670243678 203.510122157702 -363.858370669632</t>
  </si>
  <si>
    <t>-556.532448478808 75.1586674055347 -792.891664944151</t>
  </si>
  <si>
    <t>-602.237745488212 199.695772486525 -252.730314870596</t>
  </si>
  <si>
    <t>-603.757429540107 229.471834508055 201.987975627429</t>
  </si>
  <si>
    <t>-614.278751819474 253.797799074366 670.97711016824</t>
  </si>
  <si>
    <t>-457.172482732163 275.368513945817 747.107437929549</t>
  </si>
  <si>
    <t>-549.259087686732 13.2447362967789 -245.976846026808</t>
  </si>
  <si>
    <t>-482.949716106589 26.7969061282888 204.663797157763</t>
  </si>
  <si>
    <t>-609.607515535973 -8.6695375131153 656.980608665719</t>
  </si>
  <si>
    <t>-453.930152574924 -29.7073451578033 736.135404159346</t>
  </si>
  <si>
    <t>9763-20170724T170113.295947300.bin</t>
  </si>
  <si>
    <t>-575.129266481266 107.447695614791 -249.66420969873</t>
  </si>
  <si>
    <t>-593.390359685399 97.5860112751902 -368.983535109274</t>
  </si>
  <si>
    <t>-594.223958591747 96.4893412732761 -490.180339272785</t>
  </si>
  <si>
    <t>-587.553104414556 98.5822524256992 -599.477979100815</t>
  </si>
  <si>
    <t>-573.464446345523 103.414702362519 -707.981414516768</t>
  </si>
  <si>
    <t>-546.097002102216 112.681284662702 -857.531432193639</t>
  </si>
  <si>
    <t>-508.989013094962 120.296032028946 -952.125176761347</t>
  </si>
  <si>
    <t>-561.311782411416 140.192406648935 -789.969717435454</t>
  </si>
  <si>
    <t>-554.976699180452 283.778497774501 -758.740060187115</t>
  </si>
  <si>
    <t>-486.519296939307 274.05405438286 -449.862558575146</t>
  </si>
  <si>
    <t>-251.201056394732 204.068616037097 -364.017480472573</t>
  </si>
  <si>
    <t>-555.100702832949 76.9698006084809 -792.750464347901</t>
  </si>
  <si>
    <t>-601.358432996184 200.618771249072 -252.672998714829</t>
  </si>
  <si>
    <t>-603.362950860611 229.841397921252 202.079409090383</t>
  </si>
  <si>
    <t>-614.375927749152 253.778546297286 670.995301479673</t>
  </si>
  <si>
    <t>-457.264668152396 275.139940518166 747.174466056644</t>
  </si>
  <si>
    <t>-548.852267867146 14.1853675987745 -245.902961530718</t>
  </si>
  <si>
    <t>-482.578222257312 26.9992783841897 204.764513794272</t>
  </si>
  <si>
    <t>-609.57436844651 -8.38466768988269 656.911084818566</t>
  </si>
  <si>
    <t>-453.946171641244 -30.0920022121102 735.981719297051</t>
  </si>
  <si>
    <t>9763-20170724T170113.365152900.bin</t>
  </si>
  <si>
    <t>-573.365039952002 109.161171815052 -249.395277706478</t>
  </si>
  <si>
    <t>-591.491217412066 99.190671877757 -368.72606892795</t>
  </si>
  <si>
    <t>-592.194303931516 98.2276299664259 -489.924953159635</t>
  </si>
  <si>
    <t>-585.402303333083 100.540246951239 -599.210563582659</t>
  </si>
  <si>
    <t>-571.186663778516 105.691683905899 -707.682726730474</t>
  </si>
  <si>
    <t>-543.634600049154 115.50424931712 -857.16394278143</t>
  </si>
  <si>
    <t>-506.071238800113 123.449161863253 -951.550736853597</t>
  </si>
  <si>
    <t>-558.906475558158 142.770892920804 -789.516190958376</t>
  </si>
  <si>
    <t>-552.211139542171 286.152174678457 -757.552360170797</t>
  </si>
  <si>
    <t>-483.019011745693 274.844310139533 -448.892799278249</t>
  </si>
  <si>
    <t>-247.44826522599 205.144731072781 -363.508506596522</t>
  </si>
  <si>
    <t>-552.744556048321 79.5541934609319 -792.530196476334</t>
  </si>
  <si>
    <t>-599.534788807062 202.569177314776 -252.570029323107</t>
  </si>
  <si>
    <t>-603.028339892213 230.788630107599 202.236661708903</t>
  </si>
  <si>
    <t>-614.561869360629 253.764210605402 671.054327697408</t>
  </si>
  <si>
    <t>-457.44081538056 274.875314984232 747.283067834159</t>
  </si>
  <si>
    <t>-546.990382512716 15.7746269084591 -245.514916398115</t>
  </si>
  <si>
    <t>-480.826433665168 28.3563155128509 205.175331691954</t>
  </si>
  <si>
    <t>-609.52744641332 -7.90425796912268 656.711772934317</t>
  </si>
  <si>
    <t>-453.576035232098 -29.762902482498 735.100974402468</t>
  </si>
  <si>
    <t>9763-20170724T170113.400246800.bin</t>
  </si>
  <si>
    <t>-572.219604443393 110.346113252832 -249.337649415017</t>
  </si>
  <si>
    <t>-590.168143287793 100.286766166185 -368.687873641078</t>
  </si>
  <si>
    <t>-590.883697439433 99.3307272760699 -489.886615363151</t>
  </si>
  <si>
    <t>-584.179227297761 101.697575923633 -599.176600227553</t>
  </si>
  <si>
    <t>-570.125467898515 106.957006294675 -707.664681318704</t>
  </si>
  <si>
    <t>-542.873117021559 116.981510767892 -857.186783037907</t>
  </si>
  <si>
    <t>-505.268793718613 125.09875759633 -951.542561137998</t>
  </si>
  <si>
    <t>-558.054376342221 144.148096999631 -789.478420006109</t>
  </si>
  <si>
    <t>-551.340324821582 287.489973037789 -757.358744588792</t>
  </si>
  <si>
    <t>-481.545881311007 275.057518932359 -448.877880843972</t>
  </si>
  <si>
    <t>-246.061441768863 205.417159037418 -363.207824677484</t>
  </si>
  <si>
    <t>-551.808521290442 80.9438007767237 -792.577400425605</t>
  </si>
  <si>
    <t>-598.386691981962 203.744814133477 -252.611355798262</t>
  </si>
  <si>
    <t>-602.823031462328 231.441021042359 202.219365027002</t>
  </si>
  <si>
    <t>-614.657795785537 253.857716722605 671.044690789801</t>
  </si>
  <si>
    <t>-457.536775869292 274.866385788446 747.301697740638</t>
  </si>
  <si>
    <t>-545.835716252716 17.0599091689587 -245.278987715235</t>
  </si>
  <si>
    <t>-479.660908093759 29.5325701669151 205.412626169236</t>
  </si>
  <si>
    <t>-609.65800926743 -7.24064438272626 656.631957765991</t>
  </si>
  <si>
    <t>-453.485898123145 -29.8346597740142 734.370582657477</t>
  </si>
  <si>
    <t>9763-20170724T170113.463423100.bin</t>
  </si>
  <si>
    <t>-570.313623201579 113.062731045869 -249.156562176487</t>
  </si>
  <si>
    <t>-587.98634856403 102.845145351279 -368.534431483123</t>
  </si>
  <si>
    <t>-588.569735418799 101.905346291075 -489.734155929896</t>
  </si>
  <si>
    <t>-581.806850739818 104.375736035178 -599.018202029858</t>
  </si>
  <si>
    <t>-567.755726037942 109.838479017757 -707.496614809515</t>
  </si>
  <si>
    <t>-540.569870462324 120.259034304371 -857.003580158748</t>
  </si>
  <si>
    <t>-502.876049058155 128.633942167091 -951.301209437536</t>
  </si>
  <si>
    <t>-555.91103290312 147.228640489331 -789.252565172314</t>
  </si>
  <si>
    <t>-549.778835765206 290.570524428564 -757.074926716894</t>
  </si>
  <si>
    <t>-479.177655989375 278.098741804429 -448.779394660144</t>
  </si>
  <si>
    <t>-243.940050012039 207.717476171887 -363.036808439421</t>
  </si>
  <si>
    <t>-549.286483203577 84.067883830993 -792.450268198877</t>
  </si>
  <si>
    <t>-596.550917074001 206.168475971509 -252.709255572847</t>
  </si>
  <si>
    <t>-602.502987726562 232.729994116919 202.171705802541</t>
  </si>
  <si>
    <t>-614.829018493541 253.929068661939 671.045358078416</t>
  </si>
  <si>
    <t>-457.710395283414 274.731151128247 747.364010342058</t>
  </si>
  <si>
    <t>-543.979836585017 19.9477189195491 -244.939905115132</t>
  </si>
  <si>
    <t>-477.718222300317 31.8058253215579 205.755614224851</t>
  </si>
  <si>
    <t>-609.793315034771 -6.10456424657946 656.272922730579</t>
  </si>
  <si>
    <t>-453.342371350066 -30.0430696312653 733.042431478171</t>
  </si>
  <si>
    <t>9763-20170724T170113.498519700.bin</t>
  </si>
  <si>
    <t>-569.377033200402 114.295624970421 -249.067759793838</t>
  </si>
  <si>
    <t>-587.064642440565 103.980753879735 -368.435158837957</t>
  </si>
  <si>
    <t>-587.807426226274 103.048343974375 -489.633892468248</t>
  </si>
  <si>
    <t>-581.247263701259 105.580285244743 -598.928852018753</t>
  </si>
  <si>
    <t>-567.456244707158 111.166919226312 -707.434433788178</t>
  </si>
  <si>
    <t>-540.689932155765 121.831717255528 -856.999901405934</t>
  </si>
  <si>
    <t>-503.151893420566 130.334560485544 -951.34811487853</t>
  </si>
  <si>
    <t>-555.98979762256 148.676081306542 -789.189846856687</t>
  </si>
  <si>
    <t>-549.867342278737 292.108849609691 -757.239388743694</t>
  </si>
  <si>
    <t>-479.924166186318 279.818158107744 -448.786731807113</t>
  </si>
  <si>
    <t>-244.886009376431 209.346187000992 -362.572872874443</t>
  </si>
  <si>
    <t>-549.076626743207 85.5495375513469 -792.453818299932</t>
  </si>
  <si>
    <t>-310.143460582938 0.782232279229902 -480.418348223692</t>
  </si>
  <si>
    <t>-595.683240490498 207.447723313926 -252.738303403739</t>
  </si>
  <si>
    <t>-602.249635515282 233.339813765902 202.172890962214</t>
  </si>
  <si>
    <t>-614.863025066134 253.937871082308 671.02010069828</t>
  </si>
  <si>
    <t>-457.778903698056 274.646083142553 747.435163169563</t>
  </si>
  <si>
    <t>-542.888717931545 21.1971536538963 -244.736068977996</t>
  </si>
  <si>
    <t>-476.55731348186 32.9697771754199 205.951401133315</t>
  </si>
  <si>
    <t>-609.837742217538 -5.92414955845356 656.093167760486</t>
  </si>
  <si>
    <t>-453.119025037787 -29.7012719536515 732.36502728272</t>
  </si>
  <si>
    <t>9763-20170724T170113.562376600.bin</t>
  </si>
  <si>
    <t>-567.712922456379 116.972959669175 -248.652815224795</t>
  </si>
  <si>
    <t>-585.774319230514 106.221725445831 -367.925513366335</t>
  </si>
  <si>
    <t>-586.921141411604 104.983874491175 -489.118555954806</t>
  </si>
  <si>
    <t>-580.740854194761 107.315502245626 -598.440069930103</t>
  </si>
  <si>
    <t>-567.345129610832 112.791033092012 -707.000847200969</t>
  </si>
  <si>
    <t>-541.144188336415 123.407252756278 -856.669753860017</t>
  </si>
  <si>
    <t>-503.77900799989 131.801793088438 -951.096276304352</t>
  </si>
  <si>
    <t>-556.342753941571 150.257859312816 -788.839443865144</t>
  </si>
  <si>
    <t>-549.821674073589 293.823900293003 -757.732845882212</t>
  </si>
  <si>
    <t>-482.356227731191 283.989279702453 -448.640952705232</t>
  </si>
  <si>
    <t>-249.721570250024 212.057748269486 -357.267872200491</t>
  </si>
  <si>
    <t>-549.131815671182 87.1620490197356 -792.05250228179</t>
  </si>
  <si>
    <t>-310.755059022895 3.9242669805576 -479.802662530856</t>
  </si>
  <si>
    <t>-593.976827748285 210.104081990042 -252.762710898624</t>
  </si>
  <si>
    <t>-601.96917472757 234.886822898258 202.187515272168</t>
  </si>
  <si>
    <t>-614.922046923566 254.194336481879 670.945403653471</t>
  </si>
  <si>
    <t>-457.914299142676 274.330247698672 747.669745081306</t>
  </si>
  <si>
    <t>-541.389453264048 23.6695673579245 -243.9380757138</t>
  </si>
  <si>
    <t>-473.156960322179 36.1095081814542 206.447665239911</t>
  </si>
  <si>
    <t>-609.848868196236 -4.74422671079788 655.213974055644</t>
  </si>
  <si>
    <t>-452.981661362679 -29.8758005020336 730.742762287121</t>
  </si>
  <si>
    <t>9763-20170724T170113.600501200.bin</t>
  </si>
  <si>
    <t>-566.964721876417 118.489139018469 -248.615783938863</t>
  </si>
  <si>
    <t>-585.370130634436 107.44901407083 -367.809662402708</t>
  </si>
  <si>
    <t>-586.788816625394 105.940892861662 -488.996504176805</t>
  </si>
  <si>
    <t>-580.825433090272 108.042776045349 -598.334886993352</t>
  </si>
  <si>
    <t>-567.618331569834 113.307543871451 -706.929135145571</t>
  </si>
  <si>
    <t>-541.650793836165 123.654043362052 -856.657587786803</t>
  </si>
  <si>
    <t>-504.231060412124 131.890424287328 -951.076412916776</t>
  </si>
  <si>
    <t>-556.758323460778 150.625274814048 -788.854663056092</t>
  </si>
  <si>
    <t>-550.033933075541 294.296462659521 -758.199298821745</t>
  </si>
  <si>
    <t>-483.538947368462 286.6577764641 -448.834967796184</t>
  </si>
  <si>
    <t>-252.025356224891 213.312368778845 -355.754514341586</t>
  </si>
  <si>
    <t>-549.522943132291 87.5268747596003 -791.960137629055</t>
  </si>
  <si>
    <t>-310.98395686125 6.08987893754261 -478.969049104753</t>
  </si>
  <si>
    <t>-593.310278283758 211.635710428971 -252.875807934241</t>
  </si>
  <si>
    <t>-601.831621713339 235.893308104722 202.09301574747</t>
  </si>
  <si>
    <t>-614.976592227002 254.393357311613 670.898504028524</t>
  </si>
  <si>
    <t>-457.985441146925 274.150717739529 747.755191439347</t>
  </si>
  <si>
    <t>-540.514635252368 25.2320148819399 -243.820827089326</t>
  </si>
  <si>
    <t>-471.649649136162 37.5356025613119 206.472222065317</t>
  </si>
  <si>
    <t>-609.793008227776 -4.42479775063225 654.7253962426</t>
  </si>
  <si>
    <t>-452.933476512561 -30.0962014934983 730.088376068699</t>
  </si>
  <si>
    <t>9763-20170724T170113.665699300.bin</t>
  </si>
  <si>
    <t>-565.834125324874 121.314613659642 -248.713758272318</t>
  </si>
  <si>
    <t>-584.659123344454 109.669030525939 -367.784481728949</t>
  </si>
  <si>
    <t>-586.53792261508 107.397453502889 -488.953225002159</t>
  </si>
  <si>
    <t>-581.011532461403 108.76139484949 -598.326256123557</t>
  </si>
  <si>
    <t>-568.264384786924 113.251387417909 -707.010143157809</t>
  </si>
  <si>
    <t>-542.961406875674 122.492081358146 -856.924677640919</t>
  </si>
  <si>
    <t>-505.549349532595 130.02426463011 -951.405339103853</t>
  </si>
  <si>
    <t>-557.787335571009 149.961221359482 -789.259697710223</t>
  </si>
  <si>
    <t>-550.670602240729 293.925329800759 -760.009384098036</t>
  </si>
  <si>
    <t>-484.979194061785 289.534965623069 -450.410368875338</t>
  </si>
  <si>
    <t>-254.9093495133 214.430112067694 -355.178129398027</t>
  </si>
  <si>
    <t>-550.527065813292 86.8454752886876 -791.924666724407</t>
  </si>
  <si>
    <t>-311.510202210871 9.18472162903299 -477.676721823793</t>
  </si>
  <si>
    <t>-592.339909476001 214.784665034089 -253.249888349827</t>
  </si>
  <si>
    <t>-601.547190087921 238.02357341093 201.758791814293</t>
  </si>
  <si>
    <t>-615.098380711329 254.81019536991 670.75858913385</t>
  </si>
  <si>
    <t>-458.129146149172 273.974752735748 747.809740388948</t>
  </si>
  <si>
    <t>-539.366996949421 27.7957935724708 -243.379076663907</t>
  </si>
  <si>
    <t>-468.565620476651 40.1552312537385 206.612069502423</t>
  </si>
  <si>
    <t>-609.614065555796 -3.68368112879375 653.661640859145</t>
  </si>
  <si>
    <t>-452.836103122066 -30.1332598280405 728.925210721186</t>
  </si>
  <si>
    <t>9763-20170724T170113.696749700.bin</t>
  </si>
  <si>
    <t>-565.474407783763 122.702095466345 -248.761543178509</t>
  </si>
  <si>
    <t>-584.471930350521 110.780310918241 -367.777343014377</t>
  </si>
  <si>
    <t>-586.687607901573 108.080964252391 -488.931691719347</t>
  </si>
  <si>
    <t>-581.533238626243 109.003542963605 -598.3274998955</t>
  </si>
  <si>
    <t>-569.224989069252 113.001911085267 -707.081183126168</t>
  </si>
  <si>
    <t>-544.60053327342 121.511338197087 -857.151967825261</t>
  </si>
  <si>
    <t>-507.367604558277 128.536188838666 -951.742397379593</t>
  </si>
  <si>
    <t>-559.113868353941 149.310902720528 -789.5541164581</t>
  </si>
  <si>
    <t>-551.757729853445 293.381958928753 -761.067292844591</t>
  </si>
  <si>
    <t>-486.013077629632 290.71937106457 -451.459901214183</t>
  </si>
  <si>
    <t>-256.281006487857 214.752779892472 -356.095855442388</t>
  </si>
  <si>
    <t>-551.878293375802 86.1814984064897 -791.946524793651</t>
  </si>
  <si>
    <t>-312.553769462369 10.5612629418442 -477.026912170934</t>
  </si>
  <si>
    <t>-592.052612017244 216.233810173834 -253.455850106933</t>
  </si>
  <si>
    <t>-601.508796797485 238.909011360258 201.576143989586</t>
  </si>
  <si>
    <t>-615.161482209755 254.979261721426 670.670582511251</t>
  </si>
  <si>
    <t>-458.197155713956 273.913146963262 747.788793151149</t>
  </si>
  <si>
    <t>-538.838021924095 29.2088650667988 -243.380373923773</t>
  </si>
  <si>
    <t>-467.638381616715 41.3212293092367 206.5547481482</t>
  </si>
  <si>
    <t>-609.485875808812 -3.74448549901103 653.223207582703</t>
  </si>
  <si>
    <t>-452.693754165577 -30.1655706021268 728.46729810312</t>
  </si>
  <si>
    <t>9763-20170724T170113.765941700.bin</t>
  </si>
  <si>
    <t>-564.985595485101 125.852562828861 -249.208270354401</t>
  </si>
  <si>
    <t>-584.362280891189 113.544885311431 -368.123693585464</t>
  </si>
  <si>
    <t>-587.171268699545 110.12532173175 -489.247425889388</t>
  </si>
  <si>
    <t>-582.640374193179 110.263963796394 -598.674641935566</t>
  </si>
  <si>
    <t>-571.041712100599 113.347802046741 -707.53613044007</t>
  </si>
  <si>
    <t>-547.491683947546 120.452102783438 -857.852129848241</t>
  </si>
  <si>
    <t>-510.610842627842 126.523977790509 -952.646223068535</t>
  </si>
  <si>
    <t>-561.492905203382 148.886533135767 -790.410585728225</t>
  </si>
  <si>
    <t>-553.33873911917 293.212513971402 -763.533396492983</t>
  </si>
  <si>
    <t>-487.136477159445 293.351406119829 -454.012095723041</t>
  </si>
  <si>
    <t>-258.25850282772 216.149740238487 -357.591911805618</t>
  </si>
  <si>
    <t>-554.330736620206 85.7308627807786 -792.273309236582</t>
  </si>
  <si>
    <t>-314.705198678525 13.5220860574154 -476.854306495525</t>
  </si>
  <si>
    <t>-592.016445238638 219.377430601917 -253.892824816982</t>
  </si>
  <si>
    <t>-601.057065232566 240.900809369762 201.203411032165</t>
  </si>
  <si>
    <t>-615.253386112592 255.232977957958 670.452759793091</t>
  </si>
  <si>
    <t>-458.319125874283 273.95195853419 747.684469831897</t>
  </si>
  <si>
    <t>-537.957178352686 32.4866714123086 -243.738465929106</t>
  </si>
  <si>
    <t>-467.192862539277 43.3775749628624 206.296484258798</t>
  </si>
  <si>
    <t>-609.258534901827 -3.61643711517149 652.579315744503</t>
  </si>
  <si>
    <t>-452.505412446334 -29.982374154348 727.923886165243</t>
  </si>
  <si>
    <t>9763-20170724T170113.796022000.bin</t>
  </si>
  <si>
    <t>-565.070499657902 127.502481615487 -249.356155697684</t>
  </si>
  <si>
    <t>-584.556726982822 115.015615719056 -368.235030850223</t>
  </si>
  <si>
    <t>-587.700202650071 111.311904009193 -489.342337897744</t>
  </si>
  <si>
    <t>-583.561136991846 111.153555459111 -598.784900081227</t>
  </si>
  <si>
    <t>-572.441625598437 113.90225304688 -707.705280625181</t>
  </si>
  <si>
    <t>-549.646075740308 120.502939987025 -858.160518135908</t>
  </si>
  <si>
    <t>-513.025207513708 126.12749111686 -953.082935016572</t>
  </si>
  <si>
    <t>-563.282548100173 149.166066858866 -790.740967667429</t>
  </si>
  <si>
    <t>-554.685178999246 293.59354314581 -764.534434522757</t>
  </si>
  <si>
    <t>-488.156804207839 294.637084664602 -455.084856132474</t>
  </si>
  <si>
    <t>-259.545871700008 216.897615994468 -358.463583305346</t>
  </si>
  <si>
    <t>-556.182229319788 85.998737736101 -792.436545171926</t>
  </si>
  <si>
    <t>-316.521815664201 15.4356545442356 -477.477040009465</t>
  </si>
  <si>
    <t>-592.089427726681 220.937764853306 -254.125810581384</t>
  </si>
  <si>
    <t>-600.88142476745 241.887036135431 201.002205216553</t>
  </si>
  <si>
    <t>-615.290359942922 255.340055155713 670.330875501201</t>
  </si>
  <si>
    <t>-458.372767817422 273.947992500746 747.623403192257</t>
  </si>
  <si>
    <t>-537.951836523129 34.0791757255417 -243.800865729942</t>
  </si>
  <si>
    <t>-467.089575059513 44.326698318361 206.233722592494</t>
  </si>
  <si>
    <t>-609.167151964847 -3.62439249410454 652.392495252955</t>
  </si>
  <si>
    <t>-452.37105661804 -29.7044510064425 727.747168159648</t>
  </si>
  <si>
    <t>9763-20170724T170113.863762600.bin</t>
  </si>
  <si>
    <t>-565.486261111781 130.756963850051 -249.34679090699</t>
  </si>
  <si>
    <t>-585.082497036774 117.802678911816 -368.157384733699</t>
  </si>
  <si>
    <t>-588.657898060477 113.603176329282 -489.236518440914</t>
  </si>
  <si>
    <t>-585.037244296047 112.995760381497 -598.696065599421</t>
  </si>
  <si>
    <t>-574.561252440623 115.300310026089 -707.690514583801</t>
  </si>
  <si>
    <t>-552.78667418132 121.295730006679 -858.322313508623</t>
  </si>
  <si>
    <t>-516.556332909276 126.287282832327 -953.42969291543</t>
  </si>
  <si>
    <t>-565.959139897819 150.230489640602 -790.926463005072</t>
  </si>
  <si>
    <t>-556.60457704256 294.797902994848 -765.714302327683</t>
  </si>
  <si>
    <t>-489.521335843487 298.252341047579 -456.401981146344</t>
  </si>
  <si>
    <t>-261.829530110938 219.213214260642 -358.671115691499</t>
  </si>
  <si>
    <t>-558.883368686555 87.0552310070566 -792.418168455992</t>
  </si>
  <si>
    <t>-319.443689436903 17.3061083658429 -479.250755982068</t>
  </si>
  <si>
    <t>-592.57448285698 223.91626306594 -254.440352958489</t>
  </si>
  <si>
    <t>-600.341550213214 244.152924901261 200.738522341824</t>
  </si>
  <si>
    <t>-615.352974165331 255.59983438171 670.093706870686</t>
  </si>
  <si>
    <t>-458.475668226689 273.952711990878 747.528806467218</t>
  </si>
  <si>
    <t>-538.233757303998 37.552978502599 -243.572442089207</t>
  </si>
  <si>
    <t>-466.940848770468 46.3500844621369 206.424897810037</t>
  </si>
  <si>
    <t>-609.038624978329 -3.25968077606763 652.167910650875</t>
  </si>
  <si>
    <t>-452.308369413181 -29.7771270960056 727.506906463854</t>
  </si>
  <si>
    <t>9763-20170724T170113.896850000.bin</t>
  </si>
  <si>
    <t>-565.553214623731 132.284261091193 -249.39212147814</t>
  </si>
  <si>
    <t>-585.311751687484 119.113276642814 -368.152045111211</t>
  </si>
  <si>
    <t>-589.158244907152 114.706087799039 -489.215536475161</t>
  </si>
  <si>
    <t>-585.825720172517 113.920498729013 -598.682903063383</t>
  </si>
  <si>
    <t>-575.679833185779 116.060743168902 -707.712022769498</t>
  </si>
  <si>
    <t>-554.40641498483 121.845271094809 -858.423549390938</t>
  </si>
  <si>
    <t>-518.330116266486 126.52410205955 -953.605515829777</t>
  </si>
  <si>
    <t>-567.351550507457 150.874755937215 -791.024514891495</t>
  </si>
  <si>
    <t>-557.669959492099 295.492126647626 -766.171995449058</t>
  </si>
  <si>
    <t>-490.239728217486 299.802361047898 -456.945961822526</t>
  </si>
  <si>
    <t>-262.892429977669 219.826862155577 -359.174945723965</t>
  </si>
  <si>
    <t>-560.286959272608 87.6967880109178 -792.452229343875</t>
  </si>
  <si>
    <t>-320.460759838471 18.0788314130989 -480.407753108458</t>
  </si>
  <si>
    <t>-592.546800420933 225.466197403888 -254.611113218783</t>
  </si>
  <si>
    <t>-600.092450159032 245.183750575477 200.594323853815</t>
  </si>
  <si>
    <t>-615.399909430127 255.80842230035 669.961697325826</t>
  </si>
  <si>
    <t>-458.539005247143 273.982631521574 747.472291349052</t>
  </si>
  <si>
    <t>-538.397535366942 39.0681668246802 -243.513538671379</t>
  </si>
  <si>
    <t>-466.904174308468 47.2658383806918 206.463389859829</t>
  </si>
  <si>
    <t>-608.926852202898 -3.1152553373563 652.081366989202</t>
  </si>
  <si>
    <t>-452.299401490717 -29.9660929121187 727.515978876295</t>
  </si>
  <si>
    <t>9763-20170724T170113.965899800.bin</t>
  </si>
  <si>
    <t>-566.173821878957 134.835745581348 -249.370410895616</t>
  </si>
  <si>
    <t>-586.162534209614 121.235537388806 -368.043391887165</t>
  </si>
  <si>
    <t>-590.516980573082 116.552030086216 -489.079211856345</t>
  </si>
  <si>
    <t>-587.750681928502 115.589715520957 -598.561088088906</t>
  </si>
  <si>
    <t>-578.273639286668 117.633999712402 -707.65209800578</t>
  </si>
  <si>
    <t>-558.032204424081 123.376028907207 -858.507477380628</t>
  </si>
  <si>
    <t>-522.048681367293 127.607964510678 -953.745424291729</t>
  </si>
  <si>
    <t>-570.479162516381 152.428426517796 -791.024510699796</t>
  </si>
  <si>
    <t>-560.289282083461 297.049003074115 -766.457773692522</t>
  </si>
  <si>
    <t>-492.272103753999 301.493485037075 -457.362068700301</t>
  </si>
  <si>
    <t>-265.275027601862 220.125709532746 -359.926642552871</t>
  </si>
  <si>
    <t>-563.497697886251 89.2421721572723 -792.492736886214</t>
  </si>
  <si>
    <t>-323.140287738034 19.4319790648915 -482.995555883243</t>
  </si>
  <si>
    <t>-593.088966638531 228.198835751387 -254.913748214307</t>
  </si>
  <si>
    <t>-599.964851169377 247.318404294455 200.327724211224</t>
  </si>
  <si>
    <t>-615.529954890174 256.271153782297 669.759012379394</t>
  </si>
  <si>
    <t>-458.676809699864 273.986700109949 747.391270444787</t>
  </si>
  <si>
    <t>-539.190642935525 41.4531279629196 -243.126310306783</t>
  </si>
  <si>
    <t>-466.310018656504 48.868864607562 206.641565171313</t>
  </si>
  <si>
    <t>-608.625036893905 -3.24989025987452 651.916264765083</t>
  </si>
  <si>
    <t>-452.075942042656 -29.6881271662646 727.658643498517</t>
  </si>
  <si>
    <t>9763-20170724T170113.993975600.bin</t>
  </si>
  <si>
    <t>-566.675557905629 135.967650079693 -249.35778558526</t>
  </si>
  <si>
    <t>-586.770114625062 122.20661221872 -367.994429332288</t>
  </si>
  <si>
    <t>-591.320372643 117.452803759005 -489.020224776807</t>
  </si>
  <si>
    <t>-588.765262372224 116.46879438486 -598.507020967793</t>
  </si>
  <si>
    <t>-579.531970192874 118.536359172676 -707.618550180203</t>
  </si>
  <si>
    <t>-559.661636688963 124.36024063443 -858.52001914954</t>
  </si>
  <si>
    <t>-523.638873097739 128.449182884153 -953.749370837583</t>
  </si>
  <si>
    <t>-571.930643746878 153.377319644285 -790.989259509753</t>
  </si>
  <si>
    <t>-561.455190034723 297.984217837441 -766.364478859475</t>
  </si>
  <si>
    <t>-493.332036808139 301.819725240468 -457.283879429784</t>
  </si>
  <si>
    <t>-266.465385031692 220.040972338169 -359.888722407086</t>
  </si>
  <si>
    <t>-564.976664609323 90.1893250356968 -792.512319591288</t>
  </si>
  <si>
    <t>-324.512955395078 20.3083084572222 -485.256460264568</t>
  </si>
  <si>
    <t>-593.473959486499 229.442264765089 -255.023996860305</t>
  </si>
  <si>
    <t>-600.060179871901 248.326675387207 200.231727332417</t>
  </si>
  <si>
    <t>-615.610572154157 256.526450571519 669.675484330018</t>
  </si>
  <si>
    <t>-458.749060414587 274.011884095077 747.342818720734</t>
  </si>
  <si>
    <t>-539.783448995982 42.5639234956 -243.011142909775</t>
  </si>
  <si>
    <t>-466.279927042327 49.5221320230394 206.662686518871</t>
  </si>
  <si>
    <t>-608.548237792014 -3.18071905845795 651.91821546753</t>
  </si>
  <si>
    <t>-452.008427618326 -29.6295455996822 727.676075612017</t>
  </si>
  <si>
    <t>9763-20170724T170114.061164600.bin</t>
  </si>
  <si>
    <t>-567.769977719798 137.893641101802 -249.192453382194</t>
  </si>
  <si>
    <t>-588.163241658571 123.845690732867 -367.744577935358</t>
  </si>
  <si>
    <t>-593.090484586171 118.985969522126 -488.751438318936</t>
  </si>
  <si>
    <t>-590.902915019306 117.9861736582 -598.246021503222</t>
  </si>
  <si>
    <t>-582.060916157171 120.122172082185 -707.38867852256</t>
  </si>
  <si>
    <t>-562.756364935035 126.132798994101 -858.356186995916</t>
  </si>
  <si>
    <t>-526.598043199125 130.137071128563 -953.53774761856</t>
  </si>
  <si>
    <t>-574.753133909563 155.068278549066 -790.741678681004</t>
  </si>
  <si>
    <t>-564.094544952495 299.631866737411 -765.997492973998</t>
  </si>
  <si>
    <t>-495.875953341539 303.116598162217 -456.934024334749</t>
  </si>
  <si>
    <t>-269.64504580534 220.323387913146 -358.918980237278</t>
  </si>
  <si>
    <t>-567.842922034109 91.8782883469498 -792.373734657938</t>
  </si>
  <si>
    <t>-327.523036726961 21.973335776157 -491.327254448692</t>
  </si>
  <si>
    <t>-594.536471684481 231.565491934866 -255.122396803162</t>
  </si>
  <si>
    <t>-600.356646296789 249.900315850311 200.166160953657</t>
  </si>
  <si>
    <t>-615.762836613451 256.785092157604 669.64383861773</t>
  </si>
  <si>
    <t>-458.875357776984 273.945942895496 747.331234183226</t>
  </si>
  <si>
    <t>-540.931957381391 44.2815188267348 -242.476077458659</t>
  </si>
  <si>
    <t>-465.909396780472 51.0037170871799 206.950240697548</t>
  </si>
  <si>
    <t>-608.562454423933 -2.79144474995542 651.980486621019</t>
  </si>
  <si>
    <t>-452.029044634943 -29.7459631216936 727.573168604624</t>
  </si>
  <si>
    <t>9763-20170724T170114.095256300.bin</t>
  </si>
  <si>
    <t>-568.494045415716 138.630797285277 -248.984404626758</t>
  </si>
  <si>
    <t>-588.980880934966 124.4215093134 -367.500974921412</t>
  </si>
  <si>
    <t>-594.004107550221 119.520734935414 -488.502379568295</t>
  </si>
  <si>
    <t>-591.901666603878 118.535689657732 -597.998746763687</t>
  </si>
  <si>
    <t>-583.141984862687 120.740038159286 -707.146549415239</t>
  </si>
  <si>
    <t>-563.947873665802 126.902480379747 -858.122091124605</t>
  </si>
  <si>
    <t>-527.705759798025 130.914571235491 -953.271460169281</t>
  </si>
  <si>
    <t>-575.884869308161 155.77105414684 -790.468329243541</t>
  </si>
  <si>
    <t>-565.158150740338 300.325610587017 -765.633079444807</t>
  </si>
  <si>
    <t>-497.048905020854 303.741841451362 -456.544690935101</t>
  </si>
  <si>
    <t>-271.01379994591 220.60739383972 -358.367001998924</t>
  </si>
  <si>
    <t>-568.996536106813 92.5803748721307 -792.171812968533</t>
  </si>
  <si>
    <t>-328.891071514271 22.7271113798274 -493.647519115579</t>
  </si>
  <si>
    <t>-595.209082887945 232.399221308326 -255.091267788392</t>
  </si>
  <si>
    <t>-600.698106893586 250.599653130057 200.206838002229</t>
  </si>
  <si>
    <t>-615.820740175884 256.926503158731 669.641798851464</t>
  </si>
  <si>
    <t>-458.922264275362 273.878427842352 747.35285430496</t>
  </si>
  <si>
    <t>-541.733214918438 44.868938631316 -242.142060749023</t>
  </si>
  <si>
    <t>-465.489167146093 51.6244016076639 207.078262611962</t>
  </si>
  <si>
    <t>-608.522492268308 -2.79541096988146 651.891094452854</t>
  </si>
  <si>
    <t>-451.994002624076 -29.8870074423814 727.444974238363</t>
  </si>
  <si>
    <t>9763-20170724T170114.166478600.bin</t>
  </si>
  <si>
    <t>-569.64568048379 139.876184704611 -248.854828761576</t>
  </si>
  <si>
    <t>-590.327760013351 125.527364321896 -367.320728489163</t>
  </si>
  <si>
    <t>-595.478522321562 120.587223544802 -488.315127347192</t>
  </si>
  <si>
    <t>-593.462764457237 119.611151918081 -597.813205390381</t>
  </si>
  <si>
    <t>-584.760966538537 121.870932583363 -706.964614999673</t>
  </si>
  <si>
    <t>-565.617177185683 128.161191474309 -857.941152082467</t>
  </si>
  <si>
    <t>-529.246232210937 132.226956468459 -953.039030145841</t>
  </si>
  <si>
    <t>-577.529906377286 156.972703046391 -790.258743450736</t>
  </si>
  <si>
    <t>-567.057107932421 301.489350586238 -765.128158245362</t>
  </si>
  <si>
    <t>-498.826783959705 305.542301407648 -456.074083806286</t>
  </si>
  <si>
    <t>-272.979088224277 222.032427858691 -357.783791689159</t>
  </si>
  <si>
    <t>-570.645519949324 93.7832233821312 -792.01856624625</t>
  </si>
  <si>
    <t>-331.238778108449 22.7271166419221 -494.994148849186</t>
  </si>
  <si>
    <t>-596.384799128896 234.073759755955 -255.066261750984</t>
  </si>
  <si>
    <t>-601.613609761808 251.638447862422 200.259653148657</t>
  </si>
  <si>
    <t>-615.996043840248 257.206841259667 669.695313886484</t>
  </si>
  <si>
    <t>-459.040283008983 273.712270666254 747.386877659317</t>
  </si>
  <si>
    <t>-542.84492786887 45.793890061236 -241.909900740225</t>
  </si>
  <si>
    <t>-465.129937602651 52.5196333448725 207.058578489924</t>
  </si>
  <si>
    <t>-608.430275923421 -2.7798161708231 651.673246819607</t>
  </si>
  <si>
    <t>-451.969015569319 -30.0788407698999 727.291739414377</t>
  </si>
  <si>
    <t>9763-20170724T170114.197563600.bin</t>
  </si>
  <si>
    <t>-570.15487172906 140.531234680812 -248.761025159653</t>
  </si>
  <si>
    <t>-590.834962326301 126.154591117125 -367.223993718231</t>
  </si>
  <si>
    <t>-595.946014193662 121.19001074769 -488.218939170799</t>
  </si>
  <si>
    <t>-593.878974294736 120.19192853353 -597.715950366354</t>
  </si>
  <si>
    <t>-585.110549554886 122.429512923653 -706.862426258111</t>
  </si>
  <si>
    <t>-565.858519391658 128.687578270466 -857.826686982767</t>
  </si>
  <si>
    <t>-529.430594210432 132.821047732991 -952.89974068113</t>
  </si>
  <si>
    <t>-577.792266702014 157.516314570421 -790.155327267261</t>
  </si>
  <si>
    <t>-567.323916531796 302.003797002186 -765.009335085619</t>
  </si>
  <si>
    <t>-499.251202213536 306.538135386386 -455.927294382298</t>
  </si>
  <si>
    <t>-273.69966621853 222.906900113954 -357.061902033792</t>
  </si>
  <si>
    <t>-570.961659622846 94.3208073427672 -791.90396014602</t>
  </si>
  <si>
    <t>-331.743242431211 22.555985754047 -495.376763569285</t>
  </si>
  <si>
    <t>-596.868334091253 234.83489259426 -255.061226808743</t>
  </si>
  <si>
    <t>-602.067248523671 252.104045066754 200.276539544116</t>
  </si>
  <si>
    <t>-616.076363467955 257.337195369992 669.729729306981</t>
  </si>
  <si>
    <t>-459.089634679057 273.641131180693 747.401285468925</t>
  </si>
  <si>
    <t>-543.314919495336 46.3306494143751 -241.774625896142</t>
  </si>
  <si>
    <t>-464.795505566717 52.9214865587469 207.055898381025</t>
  </si>
  <si>
    <t>-608.41932177788 -2.75948986359504 651.57773853703</t>
  </si>
  <si>
    <t>-452.014253193238 -30.3287455224795 727.214432404738</t>
  </si>
  <si>
    <t>9763-20170724T170114.260750100.bin</t>
  </si>
  <si>
    <t>-571.077693184464 141.800879323303 -248.623908868464</t>
  </si>
  <si>
    <t>-591.747770813088 127.296982390192 -367.073124465256</t>
  </si>
  <si>
    <t>-596.766320530677 122.313669123239 -488.071211404299</t>
  </si>
  <si>
    <t>-594.579064021719 121.339929820067 -597.566053204207</t>
  </si>
  <si>
    <t>-585.65281030328 123.640771564894 -706.698450942648</t>
  </si>
  <si>
    <t>-566.141555044504 130.025480550903 -857.624156104132</t>
  </si>
  <si>
    <t>-529.611949091943 134.392669552596 -952.647699252617</t>
  </si>
  <si>
    <t>-578.119311447877 158.805003719864 -789.939549621115</t>
  </si>
  <si>
    <t>-567.359907108113 303.264177356485 -764.599727064827</t>
  </si>
  <si>
    <t>-500.216465976455 307.812540466017 -455.314626186649</t>
  </si>
  <si>
    <t>-275.637893842163 223.81817479318 -354.560091763067</t>
  </si>
  <si>
    <t>-571.430026084147 95.5959724237889 -791.748769861253</t>
  </si>
  <si>
    <t>-332.738607918464 22.3487402469625 -495.000314619735</t>
  </si>
  <si>
    <t>-597.739374315192 236.360058641123 -255.060203577724</t>
  </si>
  <si>
    <t>-602.873314358376 253.211714883501 200.293853822156</t>
  </si>
  <si>
    <t>-616.215080209068 257.66810502521 669.731003609368</t>
  </si>
  <si>
    <t>-459.182895452624 273.460508478834 747.416383771726</t>
  </si>
  <si>
    <t>-544.327612378566 47.3056240606802 -241.505483295721</t>
  </si>
  <si>
    <t>-464.351068963589 53.9153585790491 207.067544324556</t>
  </si>
  <si>
    <t>-608.394022644504 -2.56126025593449 651.289501915928</t>
  </si>
  <si>
    <t>-452.039310041002 -30.5260418558389 726.885023472561</t>
  </si>
  <si>
    <t>9763-20170724T170114.294840700.bin</t>
  </si>
  <si>
    <t>-571.377603322582 142.658183286459 -248.634357945639</t>
  </si>
  <si>
    <t>-592.026733201883 128.126307207744 -367.083744657207</t>
  </si>
  <si>
    <t>-597.020926826377 123.138885991994 -488.082704555568</t>
  </si>
  <si>
    <t>-594.810183212053 122.171463735477 -597.577055092276</t>
  </si>
  <si>
    <t>-585.85893122743 124.489293785284 -706.707075619312</t>
  </si>
  <si>
    <t>-566.311370136832 130.908779356861 -857.626467869721</t>
  </si>
  <si>
    <t>-529.743726056085 135.341309628267 -952.632653216794</t>
  </si>
  <si>
    <t>-578.271097815719 159.676117241008 -789.933641204211</t>
  </si>
  <si>
    <t>-567.426824116569 304.087182734746 -764.475994413182</t>
  </si>
  <si>
    <t>-500.445115747527 308.697051030239 -455.156687103634</t>
  </si>
  <si>
    <t>-277.088616190862 224.67027832038 -351.747647942055</t>
  </si>
  <si>
    <t>-571.650040428689 96.4604990177086 -791.764997182449</t>
  </si>
  <si>
    <t>-332.375639507775 21.5712806134816 -493.336141985468</t>
  </si>
  <si>
    <t>-597.963518104129 237.242637369088 -255.123156138704</t>
  </si>
  <si>
    <t>-603.168664879033 253.817902451451 200.240197809246</t>
  </si>
  <si>
    <t>-616.24902335923 257.825445220828 669.68440161034</t>
  </si>
  <si>
    <t>-459.22144424903 273.42535430398 747.417964683786</t>
  </si>
  <si>
    <t>-544.705925197516 48.2253473207934 -241.481116762941</t>
  </si>
  <si>
    <t>-464.280281343981 54.5817253239879 207.015142438437</t>
  </si>
  <si>
    <t>-608.397153405296 -2.29576411525909 651.14155254818</t>
  </si>
  <si>
    <t>-452.09101453599 -30.6597201023674 726.688842077012</t>
  </si>
  <si>
    <t>9763-20170724T170114.362841500.bin</t>
  </si>
  <si>
    <t>-571.812003960525 144.287432383935 -248.757063945426</t>
  </si>
  <si>
    <t>-592.441007953628 129.786492397101 -367.213651638037</t>
  </si>
  <si>
    <t>-597.422381822336 124.800572244788 -488.213218315863</t>
  </si>
  <si>
    <t>-595.20498101619 123.824594811418 -597.707470439455</t>
  </si>
  <si>
    <t>-586.253064963773 126.126012276735 -706.837724409073</t>
  </si>
  <si>
    <t>-566.711669113357 132.51557725414 -857.759225331988</t>
  </si>
  <si>
    <t>-530.020446643251 136.99926083949 -952.71526297097</t>
  </si>
  <si>
    <t>-578.631880162292 161.299975792349 -790.066729789743</t>
  </si>
  <si>
    <t>-567.660593567759 305.713585838486 -764.533188059588</t>
  </si>
  <si>
    <t>-501.735442220916 311.29603002455 -455.003137818022</t>
  </si>
  <si>
    <t>-281.647211133218 226.762944303657 -345.196955600792</t>
  </si>
  <si>
    <t>-572.084416247257 98.0766696571916 -791.895693094289</t>
  </si>
  <si>
    <t>-331.059270704903 19.192431671551 -489.165508298559</t>
  </si>
  <si>
    <t>-598.205972098735 238.951453807349 -255.283102035348</t>
  </si>
  <si>
    <t>-603.346008301341 254.922980526335 200.102673137364</t>
  </si>
  <si>
    <t>-616.282552542902 258.025649173804 669.6011534849</t>
  </si>
  <si>
    <t>-459.27120216327 273.372960488973 747.417633869812</t>
  </si>
  <si>
    <t>-545.376799818406 49.6949778204287 -241.573702503362</t>
  </si>
  <si>
    <t>-464.176966047507 55.4546366255629 206.791250638458</t>
  </si>
  <si>
    <t>-608.363512911609 -2.16764760827937 650.845679396301</t>
  </si>
  <si>
    <t>-452.049455734871 -30.6040943654914 726.349315961207</t>
  </si>
  <si>
    <t>9763-20170724T170114.393918700.bin</t>
  </si>
  <si>
    <t>-571.997202868022 144.919407304313 -248.821857327979</t>
  </si>
  <si>
    <t>-592.681579237765 130.422438651438 -367.269398433176</t>
  </si>
  <si>
    <t>-597.685371118968 125.405415163143 -488.266689382104</t>
  </si>
  <si>
    <t>-595.476346751103 124.387539809651 -597.760603440817</t>
  </si>
  <si>
    <t>-586.521631084388 126.63403817934 -706.891813800502</t>
  </si>
  <si>
    <t>-566.965478522083 132.934545352752 -857.815321696846</t>
  </si>
  <si>
    <t>-530.2012480345 137.419653121487 -952.742911169968</t>
  </si>
  <si>
    <t>-578.882389930544 161.75991293227 -790.139580785219</t>
  </si>
  <si>
    <t>-567.915826990215 306.173805236956 -764.658418787777</t>
  </si>
  <si>
    <t>-503.181022835182 312.752240117768 -454.896661261201</t>
  </si>
  <si>
    <t>-285.172306962498 230.131581589892 -339.622675557097</t>
  </si>
  <si>
    <t>-572.354578887545 98.5336180011138 -791.933207138633</t>
  </si>
  <si>
    <t>-330.759488078627 18.5812620297031 -488.868806115288</t>
  </si>
  <si>
    <t>-598.288450872543 239.682238198405 -255.340456943555</t>
  </si>
  <si>
    <t>-603.433822494403 255.315756920039 200.056871802207</t>
  </si>
  <si>
    <t>-616.29150055008 258.074607855907 669.563219524584</t>
  </si>
  <si>
    <t>-459.293522047225 273.339150160358 747.423082145827</t>
  </si>
  <si>
    <t>-545.624808919013 50.2021149747723 -241.609672613232</t>
  </si>
  <si>
    <t>-464.062467106648 55.7860491168044 206.69161645147</t>
  </si>
  <si>
    <t>-608.278903486777 -2.37483140225254 650.65174107719</t>
  </si>
  <si>
    <t>-451.951430706335 -30.4985556818999 726.244641551426</t>
  </si>
  <si>
    <t>9763-20170724T170114.459755800.bin</t>
  </si>
  <si>
    <t>-572.178377445518 146.321904093832 -248.893994258788</t>
  </si>
  <si>
    <t>-592.907345895313 131.811491244802 -367.332073771869</t>
  </si>
  <si>
    <t>-597.996665672944 126.60967457048 -488.318077338969</t>
  </si>
  <si>
    <t>-595.886278342624 125.359067003041 -597.811538130783</t>
  </si>
  <si>
    <t>-587.053899245216 127.310406317417 -706.958514662472</t>
  </si>
  <si>
    <t>-567.694088181098 133.138590052598 -857.926066015644</t>
  </si>
  <si>
    <t>-530.846176835065 137.43712001262 -952.829787758578</t>
  </si>
  <si>
    <t>-579.451233088687 162.182748472065 -790.315986067649</t>
  </si>
  <si>
    <t>-568.57662574793 306.680052151602 -765.298057754427</t>
  </si>
  <si>
    <t>-506.930941498653 317.899885379425 -455.039867474138</t>
  </si>
  <si>
    <t>-293.239007964939 243.24890116099 -326.957730460528</t>
  </si>
  <si>
    <t>-573.069138198921 98.9369370273 -791.939221913021</t>
  </si>
  <si>
    <t>-331.834795037046 20.12042528809 -489.884987294214</t>
  </si>
  <si>
    <t>-598.259568861708 241.215939673547 -255.449772260513</t>
  </si>
  <si>
    <t>-603.645341134956 256.41417369796 199.959557522634</t>
  </si>
  <si>
    <t>-616.355476494999 258.324637549113 669.471411337218</t>
  </si>
  <si>
    <t>-459.362033314247 273.250943366271 747.405831539282</t>
  </si>
  <si>
    <t>-546.018987359039 51.4624866365227 -241.650615001012</t>
  </si>
  <si>
    <t>-463.570635221145 56.4564757681703 206.495624182516</t>
  </si>
  <si>
    <t>-608.089600124176 -2.3367287052256 650.23533220198</t>
  </si>
  <si>
    <t>-451.953906611981 -30.4907335591431 726.212361465863</t>
  </si>
  <si>
    <t>9763-20170724T170114.497856500.bin</t>
  </si>
  <si>
    <t>-572.202755923508 147.000452561699 -248.926568278996</t>
  </si>
  <si>
    <t>-592.930722636905 132.447607697724 -367.359614957912</t>
  </si>
  <si>
    <t>-598.032152799109 127.121861030129 -488.33960414935</t>
  </si>
  <si>
    <t>-595.940846066866 125.728812379193 -597.831853264581</t>
  </si>
  <si>
    <t>-587.13716780408 127.50923682528 -706.98391772643</t>
  </si>
  <si>
    <t>-567.828351850507 133.072040114271 -857.968133618475</t>
  </si>
  <si>
    <t>-530.935294248314 137.258387343487 -952.859453588965</t>
  </si>
  <si>
    <t>-579.527177099482 162.238394266736 -790.400462005867</t>
  </si>
  <si>
    <t>-568.705187783593 306.791934508757 -765.695340438499</t>
  </si>
  <si>
    <t>-509.132958168242 320.314564422705 -455.124259007312</t>
  </si>
  <si>
    <t>-296.559028786944 253.713639129039 -320.890507347715</t>
  </si>
  <si>
    <t>-573.216648993544 98.982959049026 -791.924072533902</t>
  </si>
  <si>
    <t>-332.096734933648 20.7985772397037 -490.987865920997</t>
  </si>
  <si>
    <t>-598.166533209615 241.937875521571 -255.539068652108</t>
  </si>
  <si>
    <t>-603.655092173006 256.899160038648 199.876888136724</t>
  </si>
  <si>
    <t>-616.379418272102 258.41239539234 669.423913445328</t>
  </si>
  <si>
    <t>-459.389410317288 273.161718454297 747.398926481588</t>
  </si>
  <si>
    <t>-546.124859887816 51.9894618927858 -241.631189789605</t>
  </si>
  <si>
    <t>-463.316260043926 56.9494380731928 206.448860071194</t>
  </si>
  <si>
    <t>-608.068833450968 -2.09084431259362 650.103826474045</t>
  </si>
  <si>
    <t>-452.12211590937 -30.9996597695222 726.185391189293</t>
  </si>
  <si>
    <t>9763-20170724T170114.563013700.bin</t>
  </si>
  <si>
    <t>-572.105191960396 148.284760714667 -248.928096925099</t>
  </si>
  <si>
    <t>-592.931124662039 133.65613943925 -367.334611038624</t>
  </si>
  <si>
    <t>-598.084741741947 127.975540775069 -488.296416556921</t>
  </si>
  <si>
    <t>-596.031291277689 126.155575652862 -597.783029965611</t>
  </si>
  <si>
    <t>-587.261225413803 127.408023364451 -706.945100538661</t>
  </si>
  <si>
    <t>-567.998855801077 132.136361606312 -857.963647862428</t>
  </si>
  <si>
    <t>-531.109625295428 135.977764205886 -952.871093839566</t>
  </si>
  <si>
    <t>-579.633837983988 161.679906880219 -790.549023115173</t>
  </si>
  <si>
    <t>-568.938219916982 306.381005824794 -766.678807183709</t>
  </si>
  <si>
    <t>-511.462893717362 323.999615691304 -455.917819460766</t>
  </si>
  <si>
    <t>-300.07214207806 276.27831896711 -312.117018806414</t>
  </si>
  <si>
    <t>-573.409820714008 98.40867563299 -791.736281466196</t>
  </si>
  <si>
    <t>-332.316986355101 21.8360864742867 -493.025030055315</t>
  </si>
  <si>
    <t>-597.799364751091 243.500080453433 -255.661144730425</t>
  </si>
  <si>
    <t>-603.429604998987 257.844114227319 199.772937397678</t>
  </si>
  <si>
    <t>-616.401125745971 258.608535954988 669.309981782054</t>
  </si>
  <si>
    <t>-459.43264417168 272.923495643609 747.409217526018</t>
  </si>
  <si>
    <t>-546.331919508596 53.2381724438974 -241.472999371031</t>
  </si>
  <si>
    <t>-462.799589453491 57.5939585187227 206.478972900888</t>
  </si>
  <si>
    <t>-608.08473112745 -1.88948706126052 649.914972853646</t>
  </si>
  <si>
    <t>-452.140164756498 -31.0206952159242 725.916175204785</t>
  </si>
  <si>
    <t>9763-20170724T170114.596102300.bin</t>
  </si>
  <si>
    <t>-572.038788336309 148.925173533517 -248.89265795523</t>
  </si>
  <si>
    <t>-592.893375702748 134.23647485688 -367.286685326854</t>
  </si>
  <si>
    <t>-598.070318688762 128.416480453563 -488.240729569134</t>
  </si>
  <si>
    <t>-596.038647817615 126.441169476474 -597.72511105194</t>
  </si>
  <si>
    <t>-587.292522914585 127.510908636903 -706.891048336693</t>
  </si>
  <si>
    <t>-568.066762737645 131.958976740595 -857.922856126627</t>
  </si>
  <si>
    <t>-531.190134370502 135.709294412641 -952.838756655301</t>
  </si>
  <si>
    <t>-579.689871597259 161.627081031416 -790.560926030093</t>
  </si>
  <si>
    <t>-568.975804683872 306.386637520083 -767.052971881168</t>
  </si>
  <si>
    <t>-511.243222551774 324.705981811288 -456.380270000761</t>
  </si>
  <si>
    <t>-300.217940152913 283.611754482607 -310.018868764391</t>
  </si>
  <si>
    <t>-573.457289816366 98.3545577846965 -791.631036012058</t>
  </si>
  <si>
    <t>-332.572117493501 23.3275375125866 -493.36689687243</t>
  </si>
  <si>
    <t>-597.668857971748 244.174243266635 -255.710142247307</t>
  </si>
  <si>
    <t>-603.255221430408 258.357300935258 199.729635390118</t>
  </si>
  <si>
    <t>-616.394192331622 258.669225222441 669.26551745584</t>
  </si>
  <si>
    <t>-459.442118221229 272.847499667239 747.422694104905</t>
  </si>
  <si>
    <t>-546.34969793184 53.8073103322008 -241.371543951771</t>
  </si>
  <si>
    <t>-462.473056896386 57.9312543462522 206.518403499412</t>
  </si>
  <si>
    <t>-608.098405002242 -1.87664071987479 649.809053253944</t>
  </si>
  <si>
    <t>-452.125680447867 -31.0995373836859 725.717159425285</t>
  </si>
  <si>
    <t>9763-20170724T170114.663316700.bin</t>
  </si>
  <si>
    <t>-571.766556226946 150.403550550575 -248.976747928517</t>
  </si>
  <si>
    <t>-592.495406564813 135.604253021291 -367.378944503002</t>
  </si>
  <si>
    <t>-597.69688195364 129.587631426239 -488.322444172545</t>
  </si>
  <si>
    <t>-595.750376076162 127.403428143544 -597.804370590821</t>
  </si>
  <si>
    <t>-587.15269255486 128.235857155387 -706.984252658126</t>
  </si>
  <si>
    <t>-568.198982072712 132.326824587991 -858.060393495926</t>
  </si>
  <si>
    <t>-531.413625000941 135.919762135576 -953.017890884659</t>
  </si>
  <si>
    <t>-579.714481006162 162.152857264652 -790.749819792007</t>
  </si>
  <si>
    <t>-568.947383972126 306.945218505085 -767.536898996588</t>
  </si>
  <si>
    <t>-508.589189922032 326.5001930564 -457.438910338134</t>
  </si>
  <si>
    <t>-299.294312779953 285.10658928873 -308.696724494964</t>
  </si>
  <si>
    <t>-573.456322705109 98.8806284668956 -791.67800089432</t>
  </si>
  <si>
    <t>-332.501932923527 26.4968148419737 -493.254527382001</t>
  </si>
  <si>
    <t>-597.429996629788 245.459167244062 -255.814368134759</t>
  </si>
  <si>
    <t>-603.171291252302 259.268996891193 199.63486398257</t>
  </si>
  <si>
    <t>-616.413047114763 258.714744914138 669.191259996295</t>
  </si>
  <si>
    <t>-459.482527818091 272.804941238254 747.407577701719</t>
  </si>
  <si>
    <t>-546.01992843048 55.4715498051467 -241.439700403361</t>
  </si>
  <si>
    <t>-462.42696824958 58.8512739345879 206.50936162308</t>
  </si>
  <si>
    <t>-608.10925264936 -1.67550761282064 649.621158820581</t>
  </si>
  <si>
    <t>-452.077072170889 -31.0710908254086 725.340151418783</t>
  </si>
  <si>
    <t>9763-20170724T170114.695403500.bin</t>
  </si>
  <si>
    <t>-571.621674491078 151.142606427188 -249.04261584504</t>
  </si>
  <si>
    <t>-592.214647424548 136.347716730444 -367.46909472194</t>
  </si>
  <si>
    <t>-597.408588156587 130.264864805943 -488.409530306418</t>
  </si>
  <si>
    <t>-595.509463933378 127.995460531098 -597.890653495954</t>
  </si>
  <si>
    <t>-587.013976885457 128.718881742703 -707.079209545783</t>
  </si>
  <si>
    <t>-568.259284198766 132.636056411156 -858.184962051015</t>
  </si>
  <si>
    <t>-531.536802541577 136.144711505321 -953.169849816532</t>
  </si>
  <si>
    <t>-579.704783219107 162.537668438669 -790.89578473843</t>
  </si>
  <si>
    <t>-568.961997551842 307.366133779921 -767.757915055928</t>
  </si>
  <si>
    <t>-507.354256347403 326.683935863482 -457.891089361956</t>
  </si>
  <si>
    <t>-298.074144006759 282.948350434896 -309.79949884056</t>
  </si>
  <si>
    <t>-573.410490178918 99.2680632195791 -791.754793996711</t>
  </si>
  <si>
    <t>-332.439758962955 27.707602501823 -492.804008857233</t>
  </si>
  <si>
    <t>-597.328192201481 246.071677663112 -255.882605895738</t>
  </si>
  <si>
    <t>-603.13172474573 259.672204569448 199.572138883546</t>
  </si>
  <si>
    <t>-616.42217225397 258.709261339799 669.153347833511</t>
  </si>
  <si>
    <t>-459.500218579397 272.799121444683 747.386933322975</t>
  </si>
  <si>
    <t>-545.862943625037 56.304127903147 -241.485426438104</t>
  </si>
  <si>
    <t>-462.427931576625 59.2428039936935 206.496293918203</t>
  </si>
  <si>
    <t>-608.096087841906 -1.60594560795039 649.55297700386</t>
  </si>
  <si>
    <t>-452.019884846814 -30.9250546831217 725.210933118468</t>
  </si>
  <si>
    <t>9763-20170724T170114.764623200.bin</t>
  </si>
  <si>
    <t>-571.00316543927 152.557155513189 -249.117698426804</t>
  </si>
  <si>
    <t>-591.454761498028 137.757055428159 -367.568050425778</t>
  </si>
  <si>
    <t>-596.585946786371 131.584920666177 -488.506666532604</t>
  </si>
  <si>
    <t>-594.665383579522 129.203991378564 -597.984961013702</t>
  </si>
  <si>
    <t>-586.18505056778 129.787575834453 -707.175560697111</t>
  </si>
  <si>
    <t>-567.490384429875 133.48292588956 -858.294326932607</t>
  </si>
  <si>
    <t>-530.862141232167 136.882839624874 -953.319573815644</t>
  </si>
  <si>
    <t>-578.950423933414 163.479167853467 -791.049837251756</t>
  </si>
  <si>
    <t>-568.334372023049 308.301952701756 -767.887973700095</t>
  </si>
  <si>
    <t>-506.010403879883 328.390302841201 -458.213313454769</t>
  </si>
  <si>
    <t>-295.786842117919 281.20607926883 -312.536482861505</t>
  </si>
  <si>
    <t>-572.573916048895 100.216608033813 -791.808037309081</t>
  </si>
  <si>
    <t>-332.42256823177 29.8536608752099 -492.137596898416</t>
  </si>
  <si>
    <t>-596.70489712134 247.360307798669 -255.980684159578</t>
  </si>
  <si>
    <t>-602.696568586385 260.535100809753 199.484124527731</t>
  </si>
  <si>
    <t>-616.433212142904 258.766822106053 669.05336167059</t>
  </si>
  <si>
    <t>-459.538275644525 272.813927845759 747.348786521648</t>
  </si>
  <si>
    <t>-545.200720238175 57.8927808511055 -241.566775490974</t>
  </si>
  <si>
    <t>-462.350477294936 59.9529114065572 206.528362449783</t>
  </si>
  <si>
    <t>-608.051719538127 -1.54555570528714 649.435545031958</t>
  </si>
  <si>
    <t>-451.891499407347 -30.5867911573719 725.027200540552</t>
  </si>
  <si>
    <t>9763-20170724T170114.795674000.bin</t>
  </si>
  <si>
    <t>-570.557509520985 153.348495686327 -249.148923673215</t>
  </si>
  <si>
    <t>-591.021683803112 138.534771781753 -367.595449041437</t>
  </si>
  <si>
    <t>-596.175196785329 132.317727799751 -488.530844637448</t>
  </si>
  <si>
    <t>-594.279681160642 129.884449277786 -598.008329926431</t>
  </si>
  <si>
    <t>-585.829613472289 130.404717974623 -707.201580176945</t>
  </si>
  <si>
    <t>-567.182772896935 134.001121561585 -858.328600064297</t>
  </si>
  <si>
    <t>-530.602701828541 137.358299884992 -953.373968304819</t>
  </si>
  <si>
    <t>-578.637807635154 164.039712652267 -791.102302279031</t>
  </si>
  <si>
    <t>-568.014039609753 308.874856983605 -767.957626707408</t>
  </si>
  <si>
    <t>-505.790279640521 329.514524720755 -458.299032876651</t>
  </si>
  <si>
    <t>-295.323217143556 279.713045282028 -313.850208707624</t>
  </si>
  <si>
    <t>-572.229093835787 100.779740341102 -791.81685037229</t>
  </si>
  <si>
    <t>-332.37920752182 31.0743167142491 -492.230734596809</t>
  </si>
  <si>
    <t>-596.26045997364 248.046348327667 -256.028967389151</t>
  </si>
  <si>
    <t>-602.313942955767 261.0061405879 199.441233799154</t>
  </si>
  <si>
    <t>-616.426314493463 258.79261900971 668.992477032305</t>
  </si>
  <si>
    <t>-459.555878893849 272.827847553734 747.339136501947</t>
  </si>
  <si>
    <t>-544.78009571561 58.7484558435258 -241.590510495575</t>
  </si>
  <si>
    <t>-462.174306494687 60.394242682635 206.551569246311</t>
  </si>
  <si>
    <t>-608.023343480264 -1.3868261724208 649.363051292715</t>
  </si>
  <si>
    <t>-451.908144264138 -30.6637880222513 724.956807482215</t>
  </si>
  <si>
    <t>9763-20170724T170114.862859200.bin</t>
  </si>
  <si>
    <t>-569.801371906261 154.749972634322 -249.159463863506</t>
  </si>
  <si>
    <t>-590.221332724575 139.849990914872 -367.602740430712</t>
  </si>
  <si>
    <t>-595.387328148929 133.507000986858 -488.531081987324</t>
  </si>
  <si>
    <t>-593.526119416158 130.944401719804 -598.006288583571</t>
  </si>
  <si>
    <t>-585.133319735341 131.319528603376 -707.204624277026</t>
  </si>
  <si>
    <t>-566.589612941523 134.698275825302 -858.349240254029</t>
  </si>
  <si>
    <t>-530.036078773446 137.979100426104 -953.407456455061</t>
  </si>
  <si>
    <t>-577.994107358749 164.834224007134 -791.1578748262</t>
  </si>
  <si>
    <t>-567.25843992581 309.661870330806 -768.068364522183</t>
  </si>
  <si>
    <t>-505.374859536353 329.773270712534 -458.307036223211</t>
  </si>
  <si>
    <t>-294.955073680975 270.56940291601 -317.379821350122</t>
  </si>
  <si>
    <t>-571.595130600579 101.57238465681 -791.786876836789</t>
  </si>
  <si>
    <t>-331.556225798545 32.9363201774922 -491.847134426509</t>
  </si>
  <si>
    <t>-595.508129203569 249.246431748548 -256.108377699821</t>
  </si>
  <si>
    <t>-601.526648726332 261.903612313317 199.370799364152</t>
  </si>
  <si>
    <t>-616.41408964144 258.82738315238 668.899588236048</t>
  </si>
  <si>
    <t>-459.59188754032 272.881285520408 747.339351738702</t>
  </si>
  <si>
    <t>-543.997976936496 60.2715738078684 -241.531863724592</t>
  </si>
  <si>
    <t>-461.610483680174 61.1594142412189 206.652413785152</t>
  </si>
  <si>
    <t>-607.939855221234 -1.19119135228493 649.203395312173</t>
  </si>
  <si>
    <t>-451.874922613781 -30.6072799146898 724.846923363438</t>
  </si>
  <si>
    <t>9763-20170724T170114.895948700.bin</t>
  </si>
  <si>
    <t>-569.403770417666 155.254360385114 -249.124824045146</t>
  </si>
  <si>
    <t>-589.83630665361 140.276149163812 -367.556099129856</t>
  </si>
  <si>
    <t>-594.998668847959 133.859541116778 -488.480693380169</t>
  </si>
  <si>
    <t>-593.128155254863 131.233343898944 -597.954183820408</t>
  </si>
  <si>
    <t>-584.720125139248 131.549166182798 -707.151481765757</t>
  </si>
  <si>
    <t>-566.149431213469 134.850419842993 -858.294538045472</t>
  </si>
  <si>
    <t>-529.589303655573 138.115421255402 -953.35076563957</t>
  </si>
  <si>
    <t>-577.577081682457 165.019629336326 -791.122113549421</t>
  </si>
  <si>
    <t>-566.846528765528 309.861841816336 -768.055750181423</t>
  </si>
  <si>
    <t>-505.004994705673 330.204519901775 -458.301042301532</t>
  </si>
  <si>
    <t>-294.792215562725 262.791126181727 -320.794350980766</t>
  </si>
  <si>
    <t>-571.155722556214 101.75980413789 -791.71480375299</t>
  </si>
  <si>
    <t>-330.917991708978 33.3532857129433 -491.334442624426</t>
  </si>
  <si>
    <t>-595.118552889579 249.723682298855 -256.128265229211</t>
  </si>
  <si>
    <t>-601.153781650557 262.299255297808 199.352938102413</t>
  </si>
  <si>
    <t>-616.422148734024 258.855045384292 668.864960911152</t>
  </si>
  <si>
    <t>-459.614838979616 272.886342052459 747.338560285698</t>
  </si>
  <si>
    <t>-543.590982410436 60.738726903086 -241.42773296853</t>
  </si>
  <si>
    <t>-461.187612224297 61.3865096953107 206.75415268542</t>
  </si>
  <si>
    <t>-607.881475642681 -1.3627428052348 649.139244783001</t>
  </si>
  <si>
    <t>-451.777497035406 -30.5533146751147 724.789553036756</t>
  </si>
  <si>
    <t>9763-20170724T170114.965045500.bin</t>
  </si>
  <si>
    <t>-568.594338454636 156.239487162921 -249.098472054888</t>
  </si>
  <si>
    <t>-589.009771158532 141.110349982197 -367.513464778676</t>
  </si>
  <si>
    <t>-594.169866651621 134.572310858795 -488.431630579136</t>
  </si>
  <si>
    <t>-592.302331219626 131.84918140485 -597.902894987686</t>
  </si>
  <si>
    <t>-583.90185006324 132.080893970092 -707.100930378922</t>
  </si>
  <si>
    <t>-565.345900280242 135.278748712179 -858.248155954479</t>
  </si>
  <si>
    <t>-528.813063099213 138.573537404266 -953.313809439934</t>
  </si>
  <si>
    <t>-576.766903787457 165.493996537216 -791.095048247328</t>
  </si>
  <si>
    <t>-566.006333609789 310.320089721177 -768.008813814536</t>
  </si>
  <si>
    <t>-504.00949467632 330.878668246741 -458.299502726863</t>
  </si>
  <si>
    <t>-292.982456959367 258.709777305174 -324.503783673884</t>
  </si>
  <si>
    <t>-570.345762252451 102.233649555556 -791.645321247689</t>
  </si>
  <si>
    <t>-330.115765526242 34.0618338342772 -489.71749695036</t>
  </si>
  <si>
    <t>-594.363096618914 250.72984885534 -256.186800720116</t>
  </si>
  <si>
    <t>-600.466970951923 263.029116441289 199.30098067812</t>
  </si>
  <si>
    <t>-616.428456235704 258.915816506601 668.786043990933</t>
  </si>
  <si>
    <t>-459.651946132398 272.890025984411 747.331298287089</t>
  </si>
  <si>
    <t>-542.723646088148 61.8557258854182 -241.300814707811</t>
  </si>
  <si>
    <t>-460.566357494404 61.9443416366048 206.926656748924</t>
  </si>
  <si>
    <t>-607.812252026306 -1.17572501094537 649.031109694501</t>
  </si>
  <si>
    <t>-451.7838284561 -30.6841584865274 724.713989793543</t>
  </si>
  <si>
    <t>9763-20170724T170114.995124700.bin</t>
  </si>
  <si>
    <t>-568.231448120413 156.695749426571 -249.114226754149</t>
  </si>
  <si>
    <t>-588.555476898735 141.521091154706 -367.538999500382</t>
  </si>
  <si>
    <t>-593.671079803022 134.924020923905 -488.455934909873</t>
  </si>
  <si>
    <t>-591.782583733116 132.142565648854 -597.925286061529</t>
  </si>
  <si>
    <t>-583.380337217734 132.311314320207 -707.123312225167</t>
  </si>
  <si>
    <t>-564.841768016198 135.417024152315 -858.27452316455</t>
  </si>
  <si>
    <t>-528.339408126664 138.705391242011 -953.3521504976</t>
  </si>
  <si>
    <t>-576.260631486586 165.672504270449 -791.139455575691</t>
  </si>
  <si>
    <t>-565.411870431537 310.495942090799 -768.036078036195</t>
  </si>
  <si>
    <t>-503.320363762119 331.131169425685 -458.350761938782</t>
  </si>
  <si>
    <t>-291.895452199971 255.851255716434 -326.918172480199</t>
  </si>
  <si>
    <t>-569.828393370382 102.413091542985 -791.650308067491</t>
  </si>
  <si>
    <t>-329.828245522251 34.5010461554612 -489.198225030801</t>
  </si>
  <si>
    <t>-594.005741944564 251.115134146951 -256.229219676459</t>
  </si>
  <si>
    <t>-600.232950537605 263.322335824245 199.259315253301</t>
  </si>
  <si>
    <t>-616.440332101955 258.931392115413 668.752494182103</t>
  </si>
  <si>
    <t>-459.671180020626 272.874489083723 747.317913189262</t>
  </si>
  <si>
    <t>-542.385744310559 62.335069620741 -241.288402410373</t>
  </si>
  <si>
    <t>-460.349065336576 62.1388414275789 206.961111237441</t>
  </si>
  <si>
    <t>-607.765017200176 -1.1430097899588 648.991303652577</t>
  </si>
  <si>
    <t>-451.718715754327 -30.4983519437094 724.696827611803</t>
  </si>
  <si>
    <t>9763-20170724T170115.059111000.bin</t>
  </si>
  <si>
    <t>-567.694618206143 157.59647520501 -249.148253660832</t>
  </si>
  <si>
    <t>-587.965124783803 142.403218982717 -367.580062921712</t>
  </si>
  <si>
    <t>-593.091217180891 135.765174003537 -488.494165344442</t>
  </si>
  <si>
    <t>-591.237288601611 132.936022113241 -597.962976960119</t>
  </si>
  <si>
    <t>-582.894007988131 133.045272444588 -707.165676360959</t>
  </si>
  <si>
    <t>-564.461915879651 136.055367968122 -858.331725548867</t>
  </si>
  <si>
    <t>-528.018208354287 139.392205560945 -953.430112759986</t>
  </si>
  <si>
    <t>-575.839651979384 166.352795116638 -791.208527021026</t>
  </si>
  <si>
    <t>-564.913052524572 311.146440177605 -767.986671418432</t>
  </si>
  <si>
    <t>-501.89724538721 331.104511239457 -458.443701472385</t>
  </si>
  <si>
    <t>-289.53008599386 255.116013845934 -328.952435643415</t>
  </si>
  <si>
    <t>-569.395421956221 103.094242232881 -791.68230991466</t>
  </si>
  <si>
    <t>-329.66781327958 35.728085802823 -488.413827917468</t>
  </si>
  <si>
    <t>-593.605453055416 251.927412659827 -256.270978047601</t>
  </si>
  <si>
    <t>-599.729046298511 263.849253722685 199.226645101522</t>
  </si>
  <si>
    <t>-616.463546050805 258.877727545069 668.71100436811</t>
  </si>
  <si>
    <t>-459.714357184769 272.953879086606 747.292608500974</t>
  </si>
  <si>
    <t>-541.715400282596 63.3819697414492 -241.359620003817</t>
  </si>
  <si>
    <t>-460.267980764063 62.6738234143588 206.996900481515</t>
  </si>
  <si>
    <t>-607.679585469137 -0.990877000961063 648.961665046671</t>
  </si>
  <si>
    <t>-451.689824065808 -30.5007436865146 724.723642120694</t>
  </si>
  <si>
    <t>9763-20170724T170115.097213400.bin</t>
  </si>
  <si>
    <t>-567.549656923583 158.018530768686 -249.178039651226</t>
  </si>
  <si>
    <t>-587.783973715251 142.814717101447 -367.614643358321</t>
  </si>
  <si>
    <t>-592.936384633404 136.155895096902 -488.526585846736</t>
  </si>
  <si>
    <t>-591.130842400863 133.303122031455 -597.995573701745</t>
  </si>
  <si>
    <t>-582.859725401781 133.383871888928 -707.203730629926</t>
  </si>
  <si>
    <t>-564.55225159251 136.348446277273 -858.385817958302</t>
  </si>
  <si>
    <t>-528.148863655608 139.701632049077 -953.49920113001</t>
  </si>
  <si>
    <t>-575.8660394462 166.666877931132 -791.261212547547</t>
  </si>
  <si>
    <t>-564.88417332322 311.451992590306 -767.978523099999</t>
  </si>
  <si>
    <t>-501.198374666966 330.999002961008 -458.546307803502</t>
  </si>
  <si>
    <t>-288.707003049557 255.889442410591 -328.74655139353</t>
  </si>
  <si>
    <t>-569.439452696621 103.406499348736 -791.723582430164</t>
  </si>
  <si>
    <t>-329.586584804858 36.4978876352973 -488.161284281624</t>
  </si>
  <si>
    <t>-593.484417575303 252.276029861441 -256.292392704303</t>
  </si>
  <si>
    <t>-599.539018682252 264.087033167489 199.20900764575</t>
  </si>
  <si>
    <t>-616.465885913001 258.861466655135 668.679677809946</t>
  </si>
  <si>
    <t>-459.732671891866 272.975966414115 747.286296660082</t>
  </si>
  <si>
    <t>-541.544339940685 63.8367364478086 -241.392704866228</t>
  </si>
  <si>
    <t>-460.375482811867 62.8124886422038 207.013582930133</t>
  </si>
  <si>
    <t>-607.631916509325 -1.06329340625575 648.982644924795</t>
  </si>
  <si>
    <t>-451.618209500189 -30.4191204620124 724.755114206025</t>
  </si>
  <si>
    <t>9763-20170724T170115.162429900.bin</t>
  </si>
  <si>
    <t>-567.60073037186 158.757710675992 -249.221179885218</t>
  </si>
  <si>
    <t>-587.802965165036 143.584747195581 -367.667110788642</t>
  </si>
  <si>
    <t>-592.974406543696 136.898574524256 -488.576743166234</t>
  </si>
  <si>
    <t>-591.20869551023 133.999055745024 -598.045152953009</t>
  </si>
  <si>
    <t>-583.000840971235 134.01249358158 -707.258130961452</t>
  </si>
  <si>
    <t>-564.805983176309 136.863604611453 -858.455994649621</t>
  </si>
  <si>
    <t>-528.434910419458 140.268587010054 -953.57989851727</t>
  </si>
  <si>
    <t>-576.060086448419 167.233501931831 -791.344627830358</t>
  </si>
  <si>
    <t>-564.998937232751 312.000402655881 -768.015880349273</t>
  </si>
  <si>
    <t>-500.186687293516 331.290513476298 -458.801614660906</t>
  </si>
  <si>
    <t>-287.555826529157 257.528626208822 -328.458416251612</t>
  </si>
  <si>
    <t>-569.653174179583 103.970690998259 -791.76666416331</t>
  </si>
  <si>
    <t>-329.443297848634 37.4677100090646 -487.712116073546</t>
  </si>
  <si>
    <t>-593.439744567551 252.984021425593 -256.324555071851</t>
  </si>
  <si>
    <t>-599.469352539995 264.547052059804 199.183552780481</t>
  </si>
  <si>
    <t>-616.495824881923 258.879757737002 668.638644196154</t>
  </si>
  <si>
    <t>-459.77672093679 272.953113784896 747.280673403973</t>
  </si>
  <si>
    <t>-541.713562217936 64.5829121809631 -241.40525197824</t>
  </si>
  <si>
    <t>-460.537923625959 62.8992243468226 206.997775891179</t>
  </si>
  <si>
    <t>-607.559847915684 -1.13367181004469 649.042141163537</t>
  </si>
  <si>
    <t>-451.508886193528 -30.2678504570654 724.823487298495</t>
  </si>
  <si>
    <t>9763-20170724T170115.200531200.bin</t>
  </si>
  <si>
    <t>-567.742570847039 159.023578538487 -249.227601294798</t>
  </si>
  <si>
    <t>-587.964060707833 143.843665049967 -367.669390822125</t>
  </si>
  <si>
    <t>-593.140405856426 137.147728038877 -488.578124756138</t>
  </si>
  <si>
    <t>-591.373536394352 134.238897566842 -598.04634770232</t>
  </si>
  <si>
    <t>-583.159102090221 134.242548004284 -707.258827967428</t>
  </si>
  <si>
    <t>-564.949733714297 137.079934293438 -858.455275284997</t>
  </si>
  <si>
    <t>-528.578052019094 140.532595786917 -953.577065491037</t>
  </si>
  <si>
    <t>-576.203335959878 167.456560917708 -791.346900416648</t>
  </si>
  <si>
    <t>-565.031637969345 312.212796347075 -767.976426210378</t>
  </si>
  <si>
    <t>-499.862291712292 331.351547245791 -458.827879742815</t>
  </si>
  <si>
    <t>-287.14121772571 257.279053713717 -328.808307434813</t>
  </si>
  <si>
    <t>-569.81027017339 104.192418064697 -791.764266244698</t>
  </si>
  <si>
    <t>-329.426626282179 37.6270056355395 -487.420542428877</t>
  </si>
  <si>
    <t>-593.523223204554 253.272122215452 -256.34259994924</t>
  </si>
  <si>
    <t>-599.507258217931 264.7257113422 199.16884753099</t>
  </si>
  <si>
    <t>-616.532228094924 258.903383010219 668.634711858206</t>
  </si>
  <si>
    <t>-459.806996813028 272.885589870293 747.280886466528</t>
  </si>
  <si>
    <t>-541.9045393286 64.7391690317634 -241.393962839132</t>
  </si>
  <si>
    <t>-460.646755362039 62.9804062171686 206.993976579914</t>
  </si>
  <si>
    <t>-607.521763644104 -1.22401603179424 649.072797563917</t>
  </si>
  <si>
    <t>-451.507787066913 -30.5277992996214 724.864860809493</t>
  </si>
  <si>
    <t>9763-20170724T170115.266292500.bin</t>
  </si>
  <si>
    <t>-568.263297675356 159.557978872019 -249.31689773567</t>
  </si>
  <si>
    <t>-588.423448786441 144.424278621823 -367.775032141998</t>
  </si>
  <si>
    <t>-593.549665857289 137.797145120983 -488.689763125047</t>
  </si>
  <si>
    <t>-591.74240596328 134.960233297125 -598.159076026136</t>
  </si>
  <si>
    <t>-583.49269649341 135.046215105405 -707.368934087674</t>
  </si>
  <si>
    <t>-565.239492246114 138.009608650338 -858.557771138361</t>
  </si>
  <si>
    <t>-528.86453639229 141.580806097083 -953.673894613395</t>
  </si>
  <si>
    <t>-576.517655710246 168.329769183982 -791.427854955245</t>
  </si>
  <si>
    <t>-565.334348771054 313.042021023831 -767.87417400653</t>
  </si>
  <si>
    <t>-498.803822517833 331.477999000948 -458.972905861248</t>
  </si>
  <si>
    <t>-285.912352198644 256.614678691146 -329.687363946682</t>
  </si>
  <si>
    <t>-570.11429794041 105.066920592348 -791.894728832365</t>
  </si>
  <si>
    <t>-329.850036177605 38.0501617268365 -486.91989992494</t>
  </si>
  <si>
    <t>-593.997479939236 253.8610412277 -256.384756816372</t>
  </si>
  <si>
    <t>-599.78955481374 265.069183310728 199.135260772682</t>
  </si>
  <si>
    <t>-616.605364427392 258.935477923165 668.62195963002</t>
  </si>
  <si>
    <t>-459.865780348537 272.799774650825 747.260335762802</t>
  </si>
  <si>
    <t>-542.371188554997 65.3320974401138 -241.54302538025</t>
  </si>
  <si>
    <t>-461.343182758981 63.0844667660638 206.88430420446</t>
  </si>
  <si>
    <t>-607.504564274793 -1.05284008940794 649.204112331441</t>
  </si>
  <si>
    <t>-451.516001800117 -30.5096307004385 724.989176372715</t>
  </si>
  <si>
    <t>9763-20170724T170115.298374300.bin</t>
  </si>
  <si>
    <t>-568.584483438314 159.771231165907 -249.292797856499</t>
  </si>
  <si>
    <t>-588.716137812243 144.663332113103 -367.759033475</t>
  </si>
  <si>
    <t>-593.805535419371 138.098576147525 -488.678895236589</t>
  </si>
  <si>
    <t>-591.961370453933 135.333022967147 -598.149406996822</t>
  </si>
  <si>
    <t>-583.670951890356 135.5054319156 -707.355955267191</t>
  </si>
  <si>
    <t>-565.357186598122 138.604609160945 -858.534706243292</t>
  </si>
  <si>
    <t>-528.957989327382 142.262923164228 -953.638286473611</t>
  </si>
  <si>
    <t>-576.670045843898 168.863756991113 -791.383272350448</t>
  </si>
  <si>
    <t>-565.533209756155 313.576944364637 -767.703487832508</t>
  </si>
  <si>
    <t>-498.154821315819 331.385140987654 -458.949331485416</t>
  </si>
  <si>
    <t>-285.194099273073 256.44892242869 -329.820088587121</t>
  </si>
  <si>
    <t>-570.250826271242 105.602974534381 -791.902433547406</t>
  </si>
  <si>
    <t>-330.038342098918 38.2789977987973 -486.694581834838</t>
  </si>
  <si>
    <t>-594.322627695049 254.074969245063 -256.372997469464</t>
  </si>
  <si>
    <t>-600.03905532665 265.201453892218 199.150035690342</t>
  </si>
  <si>
    <t>-616.65190166468 258.922694779701 668.642461720978</t>
  </si>
  <si>
    <t>-459.899975853706 272.833401146585 747.248002901035</t>
  </si>
  <si>
    <t>-542.764189455753 65.5293698711387 -241.511138752143</t>
  </si>
  <si>
    <t>-461.537207174232 63.1168245130123 206.879419851227</t>
  </si>
  <si>
    <t>-607.496379696159 -0.947744593896687 649.26801745985</t>
  </si>
  <si>
    <t>-451.546396709366 -30.5973647569056 725.057288968675</t>
  </si>
  <si>
    <t>9763-20170724T170115.362048100.bin</t>
  </si>
  <si>
    <t>-569.319336666901 160.111062355885 -249.192088742128</t>
  </si>
  <si>
    <t>-589.451439229253 144.992178450436 -367.657063086063</t>
  </si>
  <si>
    <t>-594.505145591551 138.503281793465 -488.582345323252</t>
  </si>
  <si>
    <t>-592.611515216817 135.839305654742 -598.054499442753</t>
  </si>
  <si>
    <t>-584.253177779325 136.144921495807 -707.255676536634</t>
  </si>
  <si>
    <t>-565.825028558679 139.460192392818 -858.415964570226</t>
  </si>
  <si>
    <t>-529.354203261629 143.255675531199 -953.486787016191</t>
  </si>
  <si>
    <t>-577.192087029873 169.622847494616 -791.230224656711</t>
  </si>
  <si>
    <t>-566.155878294698 314.301503577689 -767.328109797204</t>
  </si>
  <si>
    <t>-496.383578576611 331.018245366462 -459.044907589193</t>
  </si>
  <si>
    <t>-284.206550374473 258.118694816794 -327.482769655407</t>
  </si>
  <si>
    <t>-570.765735639618 106.36366329505 -791.834223436015</t>
  </si>
  <si>
    <t>-331.3890116968 38.7182717522498 -486.27751542796</t>
  </si>
  <si>
    <t>-595.144081602321 254.511885564333 -256.298267867559</t>
  </si>
  <si>
    <t>-600.732181899655 265.445553193165 199.230975182661</t>
  </si>
  <si>
    <t>-616.762574720798 258.940391677252 668.701932225534</t>
  </si>
  <si>
    <t>-459.969695914762 272.838452362348 747.22802153808</t>
  </si>
  <si>
    <t>-543.417160599144 65.7835135759817 -241.393238349874</t>
  </si>
  <si>
    <t>-461.718744561439 63.2991756326535 206.911246008321</t>
  </si>
  <si>
    <t>-607.4296221505 -1.05366355300453 649.327329818879</t>
  </si>
  <si>
    <t>-451.403887144527 -30.300065809372 725.117428672316</t>
  </si>
  <si>
    <t>9763-20170724T170115.397139900.bin</t>
  </si>
  <si>
    <t>-569.627831245879 160.331430888961 -249.142459279457</t>
  </si>
  <si>
    <t>-589.716421593162 145.186053097091 -367.611361802785</t>
  </si>
  <si>
    <t>-594.717007527562 138.732253579951 -488.540578809547</t>
  </si>
  <si>
    <t>-592.769582924575 136.123200011028 -598.013265428261</t>
  </si>
  <si>
    <t>-584.350664576949 136.505744182909 -707.209518134894</t>
  </si>
  <si>
    <t>-565.830649023272 139.949543211009 -858.355627426278</t>
  </si>
  <si>
    <t>-529.288520177206 143.84396720944 -953.395068955359</t>
  </si>
  <si>
    <t>-577.227325296413 170.056322444867 -791.149772272146</t>
  </si>
  <si>
    <t>-566.157395613184 314.697479254826 -767.073934295838</t>
  </si>
  <si>
    <t>-495.149559369765 331.123327989399 -459.057237120527</t>
  </si>
  <si>
    <t>-283.539497573788 258.253445010927 -326.568694940096</t>
  </si>
  <si>
    <t>-570.82303090421 106.795231792154 -791.806591313324</t>
  </si>
  <si>
    <t>-331.533953011801 38.7828662600198 -486.343548793071</t>
  </si>
  <si>
    <t>-595.508928103254 254.72318342482 -256.269540133003</t>
  </si>
  <si>
    <t>-601.087822962384 265.605940654896 199.261051725572</t>
  </si>
  <si>
    <t>-616.83023554929 258.943311295954 668.747675862867</t>
  </si>
  <si>
    <t>-460.005571019369 272.82405276453 747.213292535395</t>
  </si>
  <si>
    <t>-543.616784146649 66.0285628684326 -241.338118948736</t>
  </si>
  <si>
    <t>-461.789728367402 63.4114885300762 206.942018567233</t>
  </si>
  <si>
    <t>-607.407005602299 -1.10617178178427 649.368370254437</t>
  </si>
  <si>
    <t>-451.320204085885 -30.0892346912563 725.133801594378</t>
  </si>
  <si>
    <t>9763-20170724T170115.462327800.bin</t>
  </si>
  <si>
    <t>-570.068601920422 160.800665098495 -249.029649289196</t>
  </si>
  <si>
    <t>-590.137716404818 145.610567225241 -367.496185733073</t>
  </si>
  <si>
    <t>-595.140046128712 139.276027666403 -488.431796459739</t>
  </si>
  <si>
    <t>-593.196996014748 136.837610809499 -597.908373660305</t>
  </si>
  <si>
    <t>-584.782227760866 137.451208661698 -707.103890643222</t>
  </si>
  <si>
    <t>-566.265153298588 141.27680320354 -858.2412570058</t>
  </si>
  <si>
    <t>-529.627723940691 145.414738795563 -953.23364771175</t>
  </si>
  <si>
    <t>-577.625904268888 171.217087570384 -790.955007627927</t>
  </si>
  <si>
    <t>-566.269768681042 315.791253555449 -766.539685241897</t>
  </si>
  <si>
    <t>-493.620246093848 331.293563281564 -458.858006139071</t>
  </si>
  <si>
    <t>-282.614955896707 257.386335106058 -325.980045342921</t>
  </si>
  <si>
    <t>-571.290887096639 107.951052118144 -791.780216679251</t>
  </si>
  <si>
    <t>-332.533051312192 39.7032146945683 -486.964492685707</t>
  </si>
  <si>
    <t>-596.106503562962 255.19641636485 -256.200709801009</t>
  </si>
  <si>
    <t>-601.591557611413 265.911699452099 199.334906690283</t>
  </si>
  <si>
    <t>-616.94167391942 258.9353398009 668.824912730043</t>
  </si>
  <si>
    <t>-460.068128969004 272.821620525348 747.191771697011</t>
  </si>
  <si>
    <t>-543.948287835573 66.4164634317085 -241.162935285013</t>
  </si>
  <si>
    <t>-461.725838497906 63.9522773910696 207.045771968545</t>
  </si>
  <si>
    <t>-607.407510654572 -0.767443514837396 649.412335970919</t>
  </si>
  <si>
    <t>-451.406430430091 -30.3056909277666 725.13995674223</t>
  </si>
  <si>
    <t>9763-20170724T170115.497420600.bin</t>
  </si>
  <si>
    <t>-570.248766158106 160.948252898754 -248.961834290276</t>
  </si>
  <si>
    <t>-590.32889616389 145.729083575912 -367.422633242294</t>
  </si>
  <si>
    <t>-595.353993273697 139.436661793112 -488.359576238315</t>
  </si>
  <si>
    <t>-593.434508725204 137.065275289489 -597.838065988821</t>
  </si>
  <si>
    <t>-585.045384541791 137.77475854593 -707.034905497411</t>
  </si>
  <si>
    <t>-566.565211498881 141.763888858898 -858.172653259799</t>
  </si>
  <si>
    <t>-529.888080164697 145.993769539322 -953.145583594549</t>
  </si>
  <si>
    <t>-577.901410140187 171.6320826956 -790.850191557367</t>
  </si>
  <si>
    <t>-566.489264701601 316.16704984382 -766.24160132155</t>
  </si>
  <si>
    <t>-493.157890605319 331.251952195535 -458.701115095441</t>
  </si>
  <si>
    <t>-282.121018861071 256.675846600379 -326.247781235886</t>
  </si>
  <si>
    <t>-571.582839292376 108.365479223125 -791.7475098563</t>
  </si>
  <si>
    <t>-332.960517892171 40.0743933399865 -486.798559915294</t>
  </si>
  <si>
    <t>-596.248901693966 255.346937398224 -256.164098252915</t>
  </si>
  <si>
    <t>-601.726420151802 266.060647084969 199.37165987982</t>
  </si>
  <si>
    <t>-616.982905569079 258.959128038109 668.838617037054</t>
  </si>
  <si>
    <t>-460.097103487608 272.8153854742 747.186317567374</t>
  </si>
  <si>
    <t>-544.204496226354 66.5591813543645 -241.070840346512</t>
  </si>
  <si>
    <t>-461.633817556779 64.1442274994743 207.074097316937</t>
  </si>
  <si>
    <t>-607.39004780535 -0.682569835081267 649.396992799377</t>
  </si>
  <si>
    <t>-451.459692389971 -30.5925835949183 725.124392934409</t>
  </si>
  <si>
    <t>9763-20170724T170115.564609300.bin</t>
  </si>
  <si>
    <t>-570.337690318359 161.21355365887 -248.908511578709</t>
  </si>
  <si>
    <t>-590.472962957559 146.00761601158 -367.361842029221</t>
  </si>
  <si>
    <t>-595.490077174195 139.830377255512 -488.304930368015</t>
  </si>
  <si>
    <t>-593.536526942476 137.604974047686 -597.785852790124</t>
  </si>
  <si>
    <t>-585.08599256428 138.502714343075 -706.976604870954</t>
  </si>
  <si>
    <t>-566.49190568184 142.797417529454 -858.091948591974</t>
  </si>
  <si>
    <t>-529.763555086584 147.235893452635 -953.035595301542</t>
  </si>
  <si>
    <t>-577.880058993987 172.529294161359 -790.717914820567</t>
  </si>
  <si>
    <t>-566.541042881167 317.023209011496 -765.810455226597</t>
  </si>
  <si>
    <t>-492.062649946059 331.758208677713 -458.52876374048</t>
  </si>
  <si>
    <t>-280.584816502969 256.311109014058 -327.277336045232</t>
  </si>
  <si>
    <t>-571.558405013511 109.26487057852 -791.738186132439</t>
  </si>
  <si>
    <t>-333.01023386216 40.7691710445242 -486.601555099202</t>
  </si>
  <si>
    <t>-596.274544410364 255.725398222714 -256.132610238506</t>
  </si>
  <si>
    <t>-601.6821042101 266.29494765448 199.407521526426</t>
  </si>
  <si>
    <t>-617.032937686823 258.980571458217 668.860803507133</t>
  </si>
  <si>
    <t>-460.137079995551 272.745330319701 747.204544564881</t>
  </si>
  <si>
    <t>-544.306831291662 66.8027271554322 -241.002467104878</t>
  </si>
  <si>
    <t>-461.406835300943 64.1924013311766 207.080629153289</t>
  </si>
  <si>
    <t>-607.33814018071 -0.781939373365958 649.360583956781</t>
  </si>
  <si>
    <t>-451.367023878854 -30.4484942691511 725.099699607346</t>
  </si>
  <si>
    <t>9763-20170724T170115.597697500.bin</t>
  </si>
  <si>
    <t>-570.316859739293 161.296314626691 -248.884135611241</t>
  </si>
  <si>
    <t>-590.490451679903 146.08917517681 -367.330599599597</t>
  </si>
  <si>
    <t>-595.50930491844 139.965170007642 -488.276392895833</t>
  </si>
  <si>
    <t>-593.541590275526 137.810577251504 -597.758439266445</t>
  </si>
  <si>
    <t>-585.061160159524 138.801529133836 -706.946158058599</t>
  </si>
  <si>
    <t>-566.408895207056 143.249458131503 -858.049803339838</t>
  </si>
  <si>
    <t>-529.67381235021 147.813337667504 -952.985017278832</t>
  </si>
  <si>
    <t>-577.823649077642 172.913020175275 -790.650324492509</t>
  </si>
  <si>
    <t>-566.530664874779 317.371143361317 -765.582768981043</t>
  </si>
  <si>
    <t>-491.559239861934 331.947515683861 -458.413399552921</t>
  </si>
  <si>
    <t>-279.811633250843 256.028132669135 -327.871329810904</t>
  </si>
  <si>
    <t>-571.500266114699 109.649699888939 -791.732018095</t>
  </si>
  <si>
    <t>-333.093808605866 41.005780722915 -486.50629948404</t>
  </si>
  <si>
    <t>-596.175164024631 255.835489314439 -256.11873269176</t>
  </si>
  <si>
    <t>-601.599937969156 266.394848181773 199.421394084091</t>
  </si>
  <si>
    <t>-617.04214673321 258.979067512877 668.857175848347</t>
  </si>
  <si>
    <t>-460.154511460813 272.730772034071 747.219634350758</t>
  </si>
  <si>
    <t>-544.400289457144 66.8050261955345 -240.942687693028</t>
  </si>
  <si>
    <t>-461.212602219677 64.2606719155806 207.087448177422</t>
  </si>
  <si>
    <t>-607.308529078541 -0.824790781872025 649.306713477796</t>
  </si>
  <si>
    <t>-451.357708685233 -30.5752738888164 725.054757338974</t>
  </si>
  <si>
    <t>9763-20170724T170115.663409800.bin</t>
  </si>
  <si>
    <t>-570.031922174455 161.681436802872 -248.883456007545</t>
  </si>
  <si>
    <t>-590.170137895779 146.521120916987 -367.342073687857</t>
  </si>
  <si>
    <t>-595.196607369899 140.506263874021 -488.292831204783</t>
  </si>
  <si>
    <t>-593.251244538331 138.474469713695 -597.777827419238</t>
  </si>
  <si>
    <t>-584.807355475206 139.61146456373 -706.966857158134</t>
  </si>
  <si>
    <t>-566.219501884186 144.286529852965 -858.071597383775</t>
  </si>
  <si>
    <t>-529.573552878393 149.013567230103 -953.033337851269</t>
  </si>
  <si>
    <t>-577.580974599952 173.851217341269 -790.619639573507</t>
  </si>
  <si>
    <t>-566.191656833008 318.242524554943 -765.269136969921</t>
  </si>
  <si>
    <t>-490.59182845182 332.478853779384 -458.238049092834</t>
  </si>
  <si>
    <t>-278.299352752194 255.897932160006 -328.973340479442</t>
  </si>
  <si>
    <t>-571.307129127927 110.584753643884 -791.805334359347</t>
  </si>
  <si>
    <t>-332.979651433149 41.4162023392075 -486.792893881015</t>
  </si>
  <si>
    <t>-595.858929784026 256.169561293758 -256.097618351188</t>
  </si>
  <si>
    <t>-601.452954023326 266.591274955937 199.443535444204</t>
  </si>
  <si>
    <t>-617.079630132304 258.987126247009 668.867391376066</t>
  </si>
  <si>
    <t>-460.195835881782 272.666706177266 747.250201804964</t>
  </si>
  <si>
    <t>-544.113042701766 67.3287996020333 -241.004670332019</t>
  </si>
  <si>
    <t>-460.96148328085 64.4570084777181 207.030261777136</t>
  </si>
  <si>
    <t>-607.285890992843 -0.589159545778784 649.198179446379</t>
  </si>
  <si>
    <t>-451.423526067169 -30.7790839336403 724.95439864942</t>
  </si>
  <si>
    <t>9763-20170724T170115.696496600.bin</t>
  </si>
  <si>
    <t>-569.859498022043 161.866796015765 -248.912577498091</t>
  </si>
  <si>
    <t>-589.942769110507 146.746925657005 -367.385587473497</t>
  </si>
  <si>
    <t>-594.979222293512 140.796826412962 -488.339287551821</t>
  </si>
  <si>
    <t>-593.067814794809 138.832790766721 -597.825973229168</t>
  </si>
  <si>
    <t>-584.681780123103 140.046620914838 -707.018766908438</t>
  </si>
  <si>
    <t>-566.198336579065 144.837197463097 -858.132697527934</t>
  </si>
  <si>
    <t>-529.622316896972 149.626368638144 -953.11819190872</t>
  </si>
  <si>
    <t>-577.497568982505 174.35180465797 -790.648336521609</t>
  </si>
  <si>
    <t>-565.994563860914 318.719238305486 -765.153384427207</t>
  </si>
  <si>
    <t>-489.864486701567 332.643170092577 -458.238885148454</t>
  </si>
  <si>
    <t>-277.445828909866 256.42601363911 -328.966695163054</t>
  </si>
  <si>
    <t>-571.255764985669 111.083406353242 -791.890656159047</t>
  </si>
  <si>
    <t>-332.681786018026 41.580932583536 -486.91826395767</t>
  </si>
  <si>
    <t>-595.666084901531 256.326369998166 -256.092179143785</t>
  </si>
  <si>
    <t>-601.397049300416 266.682184525571 199.448892821939</t>
  </si>
  <si>
    <t>-617.101115635478 258.955265861955 668.877335142382</t>
  </si>
  <si>
    <t>-460.218653383944 272.687578553928 747.253486820839</t>
  </si>
  <si>
    <t>-543.959427446948 67.4804193569973 -241.064688945606</t>
  </si>
  <si>
    <t>-460.951095893481 64.4961805043645 206.996014718179</t>
  </si>
  <si>
    <t>-607.272320993588 -0.509905296868965 649.157390349407</t>
  </si>
  <si>
    <t>-451.425664221715 -30.7841097068115 724.912279371281</t>
  </si>
  <si>
    <t>9763-20170724T170115.766824300.bin</t>
  </si>
  <si>
    <t>-569.544382417241 162.261778250302 -248.942760936131</t>
  </si>
  <si>
    <t>-589.54876922662 147.200598144231 -367.436698901022</t>
  </si>
  <si>
    <t>-594.637727959509 141.357815571406 -488.393383402821</t>
  </si>
  <si>
    <t>-592.825020000955 139.510813394851 -597.883753659334</t>
  </si>
  <si>
    <t>-584.587330633274 140.862433741582 -707.086212577663</t>
  </si>
  <si>
    <t>-566.360157056026 145.866172934599 -858.224249564002</t>
  </si>
  <si>
    <t>-529.954565012954 150.729794938323 -953.271584115503</t>
  </si>
  <si>
    <t>-577.512500321836 175.288603935074 -790.675327004212</t>
  </si>
  <si>
    <t>-565.855831041651 319.584914023442 -764.907878614165</t>
  </si>
  <si>
    <t>-488.361887670502 332.700051214813 -458.299253877285</t>
  </si>
  <si>
    <t>-275.849162141541 256.980245478036 -328.889399287542</t>
  </si>
  <si>
    <t>-571.337733711832 112.015693759132 -792.02540144986</t>
  </si>
  <si>
    <t>-332.542165108713 42.3401967194818 -487.660958453084</t>
  </si>
  <si>
    <t>-595.288725450391 256.671766204664 -256.101456604303</t>
  </si>
  <si>
    <t>-601.18307600386 266.870455888574 199.440974104889</t>
  </si>
  <si>
    <t>-617.139082188726 258.942372071746 668.863780272053</t>
  </si>
  <si>
    <t>-460.259545966733 272.619632657844 747.255516787546</t>
  </si>
  <si>
    <t>-543.774433925265 67.9234054234969 -241.114650804638</t>
  </si>
  <si>
    <t>-460.806091879876 64.6562888981109 206.95154569291</t>
  </si>
  <si>
    <t>-607.231720021775 -0.33910046181154 649.073667076948</t>
  </si>
  <si>
    <t>-451.434459199829 -30.8493032700276 724.835493541927</t>
  </si>
  <si>
    <t>9763-20170724T170115.795898200.bin</t>
  </si>
  <si>
    <t>-569.358654282384 162.483732521072 -248.987413681306</t>
  </si>
  <si>
    <t>-589.368165859338 147.443175892811 -367.483020031447</t>
  </si>
  <si>
    <t>-594.508649904415 141.665053310738 -488.44070441573</t>
  </si>
  <si>
    <t>-592.760337939329 139.89497172278 -597.933390303371</t>
  </si>
  <si>
    <t>-584.604052376877 141.342451674476 -707.140720886397</t>
  </si>
  <si>
    <t>-566.506858027049 146.500411070561 -858.289343779512</t>
  </si>
  <si>
    <t>-530.216823860817 151.415383104565 -953.378001418303</t>
  </si>
  <si>
    <t>-577.588791403977 175.854961247855 -790.699194076437</t>
  </si>
  <si>
    <t>-565.817422901179 320.12571733239 -764.765175739792</t>
  </si>
  <si>
    <t>-487.745422716209 332.937833943955 -458.290311687127</t>
  </si>
  <si>
    <t>-275.146216824693 258.116169346644 -328.500740543323</t>
  </si>
  <si>
    <t>-571.439819959395 112.581382418789 -792.122148271782</t>
  </si>
  <si>
    <t>-332.336239807627 42.9290155232864 -487.891335959732</t>
  </si>
  <si>
    <t>-595.029029351503 256.921825071354 -256.122744575967</t>
  </si>
  <si>
    <t>-601.00092390696 267.009341389452 199.421199902794</t>
  </si>
  <si>
    <t>-617.146784681591 258.93944948457 668.838195448379</t>
  </si>
  <si>
    <t>-460.278367215061 272.590534995873 747.256604151861</t>
  </si>
  <si>
    <t>-543.609428855147 68.1064011206347 -241.172962105313</t>
  </si>
  <si>
    <t>-460.790143738989 64.7270875290058 206.919936596467</t>
  </si>
  <si>
    <t>-607.194758422998 -0.385868114615505 649.042651233371</t>
  </si>
  <si>
    <t>-451.396641843134 -30.8684899906737 724.813816248661</t>
  </si>
  <si>
    <t>9763-20170724T170115.860621800.bin</t>
  </si>
  <si>
    <t>-568.960999587306 162.978189306475 -249.068971929808</t>
  </si>
  <si>
    <t>-588.98841080195 147.986452624931 -367.567710429165</t>
  </si>
  <si>
    <t>-594.210835518561 142.278282263504 -488.525094559432</t>
  </si>
  <si>
    <t>-592.562843787665 140.582624943063 -598.020612572886</t>
  </si>
  <si>
    <t>-584.533010175552 142.11804292814 -707.236056771265</t>
  </si>
  <si>
    <t>-566.638418634004 147.41415454077 -858.404065059541</t>
  </si>
  <si>
    <t>-530.593790989339 152.387746785764 -953.582957018637</t>
  </si>
  <si>
    <t>-577.61306390472 176.708444111915 -790.770253058702</t>
  </si>
  <si>
    <t>-565.712085850553 320.928250430208 -764.643052501232</t>
  </si>
  <si>
    <t>-486.268867027748 333.302023485011 -458.502668052465</t>
  </si>
  <si>
    <t>-273.405303790943 260.227353022466 -328.152121496198</t>
  </si>
  <si>
    <t>-571.499398416769 113.432991258411 -792.263403805337</t>
  </si>
  <si>
    <t>-331.99786980753 43.7521784207095 -487.960275559109</t>
  </si>
  <si>
    <t>-594.487534680425 257.439341714448 -256.178124790347</t>
  </si>
  <si>
    <t>-600.554419713276 267.313870979292 199.369145675572</t>
  </si>
  <si>
    <t>-617.141805416484 258.896555700736 668.772731859408</t>
  </si>
  <si>
    <t>-460.304037748028 272.489490934557 747.262566111005</t>
  </si>
  <si>
    <t>-543.38161713819 68.6163378738727 -241.268268142539</t>
  </si>
  <si>
    <t>-460.547632349857 64.7383688134448 206.817840841099</t>
  </si>
  <si>
    <t>-607.144381781802 -0.412053135294855 648.858105717945</t>
  </si>
  <si>
    <t>-451.311674138261 -30.6850792722323 724.642146874232</t>
  </si>
  <si>
    <t>9763-20170724T170115.893709600.bin</t>
  </si>
  <si>
    <t>-568.78803397656 163.243077827431 -249.069264174017</t>
  </si>
  <si>
    <t>-588.799852247414 148.2648709649 -367.572421075804</t>
  </si>
  <si>
    <t>-594.05459190341 142.598822849 -488.530437425881</t>
  </si>
  <si>
    <t>-592.455053413358 140.954796167009 -598.027355498173</t>
  </si>
  <si>
    <t>-584.492663765301 142.556387878862 -707.246823549136</t>
  </si>
  <si>
    <t>-566.711241598716 147.960794798269 -858.424273088285</t>
  </si>
  <si>
    <t>-530.780263814867 152.982319983366 -953.643738299819</t>
  </si>
  <si>
    <t>-577.640868531129 177.206209151236 -790.762128415522</t>
  </si>
  <si>
    <t>-565.681302752844 321.407430738819 -764.559547233923</t>
  </si>
  <si>
    <t>-485.307701382219 333.571146619227 -458.653763943596</t>
  </si>
  <si>
    <t>-272.240114351335 262.143139369996 -327.725344174938</t>
  </si>
  <si>
    <t>-571.517096410033 113.93276841023 -792.303820809689</t>
  </si>
  <si>
    <t>-332.021600213097 44.224951856186 -487.640976491957</t>
  </si>
  <si>
    <t>-594.253344460041 257.720456040038 -256.190604793373</t>
  </si>
  <si>
    <t>-600.413148446168 267.493245398752 199.357692211924</t>
  </si>
  <si>
    <t>-617.156426981816 258.922248059457 668.753448396683</t>
  </si>
  <si>
    <t>-460.327743917913 272.452535260191 747.272301407839</t>
  </si>
  <si>
    <t>-543.254009660818 68.8492306969642 -241.251899180016</t>
  </si>
  <si>
    <t>-460.401339109077 64.8066265984867 206.829206571754</t>
  </si>
  <si>
    <t>-607.107851685037 -0.511754830694827 648.8358349669</t>
  </si>
  <si>
    <t>-451.265783982814 -30.7108597524418 724.630119140141</t>
  </si>
  <si>
    <t>9763-20170724T170115.962446300.bin</t>
  </si>
  <si>
    <t>-568.465296948969 163.973617511613 -248.993299693827</t>
  </si>
  <si>
    <t>-588.430981754743 148.967547513026 -367.500687303893</t>
  </si>
  <si>
    <t>-593.772531313836 143.314093432354 -488.455611205531</t>
  </si>
  <si>
    <t>-592.303764424356 141.700091532917 -597.954801823144</t>
  </si>
  <si>
    <t>-584.523196731857 143.351700338773 -707.186609497715</t>
  </si>
  <si>
    <t>-567.046082070896 148.847962185176 -858.396110123479</t>
  </si>
  <si>
    <t>-531.299003091693 153.910611650807 -953.682606816697</t>
  </si>
  <si>
    <t>-577.839488284016 178.0522142065 -790.694468346653</t>
  </si>
  <si>
    <t>-565.822941076504 322.216484331822 -764.336339924949</t>
  </si>
  <si>
    <t>-483.017728357042 334.230610601484 -459.073904679728</t>
  </si>
  <si>
    <t>-269.490967397482 263.099052066056 -328.733365688415</t>
  </si>
  <si>
    <t>-571.718867463797 114.779816968492 -792.286903462885</t>
  </si>
  <si>
    <t>-332.170576070072 45.0405726767042 -486.072458552015</t>
  </si>
  <si>
    <t>-593.947335557526 258.404379283971 -256.179262150217</t>
  </si>
  <si>
    <t>-600.229629174855 267.933774871437 199.372414580224</t>
  </si>
  <si>
    <t>-617.18318314495 258.93418171807 668.737635721556</t>
  </si>
  <si>
    <t>-460.36745172894 272.414101194822 747.290940251261</t>
  </si>
  <si>
    <t>-542.908485384857 69.643733653525 -241.155505641168</t>
  </si>
  <si>
    <t>-459.963594885083 65.229459937045 206.905120952467</t>
  </si>
  <si>
    <t>-607.052801648945 -0.353642440956037 648.734979295755</t>
  </si>
  <si>
    <t>-451.245260267685 -30.6657418226791 724.55516368439</t>
  </si>
  <si>
    <t>9763-20170724T170115.994531600.bin</t>
  </si>
  <si>
    <t>-568.265318865915 164.476690417993 -248.973104028505</t>
  </si>
  <si>
    <t>-588.255294571429 149.428621045685 -367.471042325138</t>
  </si>
  <si>
    <t>-593.683171356072 143.762078808855 -488.421408417238</t>
  </si>
  <si>
    <t>-592.316156909029 142.148682733001 -597.922067769364</t>
  </si>
  <si>
    <t>-584.659956357053 143.81401359218 -707.162327211648</t>
  </si>
  <si>
    <t>-567.37839998438 149.343126348553 -858.393287270133</t>
  </si>
  <si>
    <t>-531.711038041456 154.412005732193 -953.709162002235</t>
  </si>
  <si>
    <t>-578.07909658368 178.533214431766 -790.670591716838</t>
  </si>
  <si>
    <t>-565.950800784078 322.691664509944 -764.278716371886</t>
  </si>
  <si>
    <t>-482.017789694659 334.641447080464 -459.321939525297</t>
  </si>
  <si>
    <t>-268.553772417506 262.369050413023 -329.507282012353</t>
  </si>
  <si>
    <t>-571.970791097723 115.260149921524 -792.285916816541</t>
  </si>
  <si>
    <t>-332.597411094795 46.2110976788297 -485.31503368148</t>
  </si>
  <si>
    <t>-593.77490913395 258.860428000039 -256.174794246639</t>
  </si>
  <si>
    <t>-600.126458026166 268.228359659476 199.379334328251</t>
  </si>
  <si>
    <t>-617.202440623649 258.96025681211 668.729127030224</t>
  </si>
  <si>
    <t>-460.389886890741 272.393518946034 747.296879078943</t>
  </si>
  <si>
    <t>-542.654241384206 70.2027274802338 -241.106437669688</t>
  </si>
  <si>
    <t>-459.734490766602 65.6145455806511 206.95711359519</t>
  </si>
  <si>
    <t>-607.018274052993 -0.248940344464927 648.666567701161</t>
  </si>
  <si>
    <t>-451.352043237552 -31.1927684958932 724.521842189734</t>
  </si>
  <si>
    <t>9763-20170724T170116.061734500.bin</t>
  </si>
  <si>
    <t>-567.887413896994 165.275775189558 -248.940449466317</t>
  </si>
  <si>
    <t>-587.831135829487 150.126754099773 -367.433263189756</t>
  </si>
  <si>
    <t>-593.407563574747 144.392163245231 -488.373722797347</t>
  </si>
  <si>
    <t>-592.25210861187 142.73396464836 -597.876159225823</t>
  </si>
  <si>
    <t>-584.882987656674 144.373750273227 -707.136553432119</t>
  </si>
  <si>
    <t>-568.077139700111 149.889831861707 -858.421560193477</t>
  </si>
  <si>
    <t>-532.571857062528 154.918288750593 -953.800183569023</t>
  </si>
  <si>
    <t>-578.575965268268 179.084749757496 -790.669504254126</t>
  </si>
  <si>
    <t>-566.371513786322 323.212597424839 -764.163104260627</t>
  </si>
  <si>
    <t>-479.99287387061 334.472763210976 -459.863739683957</t>
  </si>
  <si>
    <t>-266.964385046491 259.345842124003 -330.957144769215</t>
  </si>
  <si>
    <t>-572.450434202547 115.813635245665 -792.295986441704</t>
  </si>
  <si>
    <t>-332.721671761318 48.1537533453622 -485.551895533478</t>
  </si>
  <si>
    <t>-593.479851049546 259.656212369083 -256.197689014027</t>
  </si>
  <si>
    <t>-599.902442651014 268.738179323533 199.361321204889</t>
  </si>
  <si>
    <t>-617.225854566442 258.980344182009 668.693380807228</t>
  </si>
  <si>
    <t>-460.426719777783 272.37196655963 747.295036363216</t>
  </si>
  <si>
    <t>-542.19800100088 70.9717495938132 -241.026119804109</t>
  </si>
  <si>
    <t>-459.326967336176 66.064456694297 207.043014158084</t>
  </si>
  <si>
    <t>-606.937634885338 -0.294080721953605 648.558248883816</t>
  </si>
  <si>
    <t>-451.2325895465 -30.99878611807 724.43094145009</t>
  </si>
  <si>
    <t>9763-20170724T170116.095823700.bin</t>
  </si>
  <si>
    <t>-567.718445062929 165.801112019572 -248.953802315815</t>
  </si>
  <si>
    <t>-587.652661502556 150.639072894218 -367.446508204611</t>
  </si>
  <si>
    <t>-593.326284243442 144.884167714008 -488.381487305633</t>
  </si>
  <si>
    <t>-592.300988005884 143.205563802738 -597.884742222597</t>
  </si>
  <si>
    <t>-585.103333616116 144.823703113243 -707.157065882906</t>
  </si>
  <si>
    <t>-568.577796689678 150.30905255731 -858.473924504951</t>
  </si>
  <si>
    <t>-533.16090306516 155.284335214367 -953.888236669193</t>
  </si>
  <si>
    <t>-578.937962194488 179.518825891205 -790.707038635772</t>
  </si>
  <si>
    <t>-566.632113578378 323.642524219882 -764.216787255436</t>
  </si>
  <si>
    <t>-479.091600523331 334.581677136302 -460.237921402623</t>
  </si>
  <si>
    <t>-266.162910980134 262.309611658183 -329.546732380228</t>
  </si>
  <si>
    <t>-572.841741074902 116.244999605751 -792.334996265162</t>
  </si>
  <si>
    <t>-332.31234247993 49.0676267794113 -486.175833010103</t>
  </si>
  <si>
    <t>-593.35386014068 260.157860172694 -256.217636669216</t>
  </si>
  <si>
    <t>-599.77747522127 269.04216847362 199.345196056435</t>
  </si>
  <si>
    <t>-617.234506769781 258.964587033083 668.677642073858</t>
  </si>
  <si>
    <t>-460.445486425712 272.362821335917 747.298225359018</t>
  </si>
  <si>
    <t>-541.998534089081 71.5548288133925 -241.005110331688</t>
  </si>
  <si>
    <t>-459.136546324545 66.3040040241606 207.061851964651</t>
  </si>
  <si>
    <t>-606.899104613803 -0.240224154233601 648.506623683598</t>
  </si>
  <si>
    <t>-451.223040432763 -31.0223777304186 724.407469104367</t>
  </si>
  <si>
    <t>9763-20170724T170116.162636900.bin</t>
  </si>
  <si>
    <t>-567.471195829561 166.794763015382 -248.920965565641</t>
  </si>
  <si>
    <t>-587.392220485015 151.5920361579 -367.410939869923</t>
  </si>
  <si>
    <t>-593.265862924203 145.750257122139 -488.332043939393</t>
  </si>
  <si>
    <t>-592.506675201009 143.976586053061 -597.836142044627</t>
  </si>
  <si>
    <t>-585.659122236995 145.484601740792 -707.13239754155</t>
  </si>
  <si>
    <t>-569.705954096453 150.803128602048 -858.516819541832</t>
  </si>
  <si>
    <t>-534.489310062459 155.5106031787 -954.018640521658</t>
  </si>
  <si>
    <t>-579.775216561339 180.090916229292 -790.739521713484</t>
  </si>
  <si>
    <t>-567.257449358966 324.21524532503 -764.384247822053</t>
  </si>
  <si>
    <t>-477.422357713902 334.68311955853 -461.058692124804</t>
  </si>
  <si>
    <t>-264.508423091476 265.907460604516 -328.470564125918</t>
  </si>
  <si>
    <t>-573.754243381221 116.808834590236 -792.328238476643</t>
  </si>
  <si>
    <t>-332.484256615495 50.570596488966 -486.191977151834</t>
  </si>
  <si>
    <t>-593.053275043873 261.118579200471 -256.230944511955</t>
  </si>
  <si>
    <t>-599.55730319087 269.689227000624 199.336734856833</t>
  </si>
  <si>
    <t>-617.258844404627 259.051200273222 668.62681070199</t>
  </si>
  <si>
    <t>-460.492287168726 272.357723993728 747.307846724267</t>
  </si>
  <si>
    <t>-541.827789282091 72.4768242632342 -240.944331184253</t>
  </si>
  <si>
    <t>-458.776200673641 66.8287486769664 207.082695988935</t>
  </si>
  <si>
    <t>-606.813379233139 -0.219291416282658 648.374109180867</t>
  </si>
  <si>
    <t>-451.147539359474 -30.9360445082912 724.322381577074</t>
  </si>
  <si>
    <t>9763-20170724T170116.195726500.bin</t>
  </si>
  <si>
    <t>-567.318150018022 167.369987340989 -248.945854012217</t>
  </si>
  <si>
    <t>-587.243022684946 152.137182711411 -367.431171976759</t>
  </si>
  <si>
    <t>-593.184832568013 146.256654899228 -488.347115446333</t>
  </si>
  <si>
    <t>-592.513169037088 144.445615573204 -597.851152794909</t>
  </si>
  <si>
    <t>-585.778712996357 145.914968696497 -707.154975044804</t>
  </si>
  <si>
    <t>-570.009014940635 151.179248246363 -858.560496602653</t>
  </si>
  <si>
    <t>-534.876277642263 155.744414720829 -954.100141198091</t>
  </si>
  <si>
    <t>-579.99055834253 180.491754564975 -790.78100263789</t>
  </si>
  <si>
    <t>-567.351106534395 324.610149335079 -764.474554142326</t>
  </si>
  <si>
    <t>-476.465929991566 335.193960318289 -461.466116878506</t>
  </si>
  <si>
    <t>-263.595129493252 266.419178023572 -328.808325980934</t>
  </si>
  <si>
    <t>-573.982711846509 117.208085809315 -792.355537687359</t>
  </si>
  <si>
    <t>-332.656775792267 51.3866031979574 -486.138181065779</t>
  </si>
  <si>
    <t>-592.904920026578 261.698166928077 -256.266283150491</t>
  </si>
  <si>
    <t>-599.38299015748 270.021528857262 199.306342702673</t>
  </si>
  <si>
    <t>-617.273712035359 259.074575695768 668.604476779369</t>
  </si>
  <si>
    <t>-460.51550508655 272.312645643647 747.313750365355</t>
  </si>
  <si>
    <t>-541.631458382872 73.104785389329 -240.963039225493</t>
  </si>
  <si>
    <t>-458.678608035205 67.100518486408 207.077660787354</t>
  </si>
  <si>
    <t>-606.782345749201 -0.202367589984988 648.334353670715</t>
  </si>
  <si>
    <t>-451.173312304686 -31.1613082325437 724.300645301994</t>
  </si>
  <si>
    <t>9763-20170724T170116.263420100.bin</t>
  </si>
  <si>
    <t>-567.156725903735 168.496443594014 -248.881126744142</t>
  </si>
  <si>
    <t>-587.1156020125 153.190057966604 -367.351119972661</t>
  </si>
  <si>
    <t>-593.15147316164 147.22749960585 -488.258475270595</t>
  </si>
  <si>
    <t>-592.587797492639 145.338524369297 -597.761723914555</t>
  </si>
  <si>
    <t>-585.983332749529 146.726441736299 -707.074655108296</t>
  </si>
  <si>
    <t>-570.416361463026 151.873495294993 -858.505052775746</t>
  </si>
  <si>
    <t>-535.402946540791 156.216507581555 -954.098883242921</t>
  </si>
  <si>
    <t>-580.258663307927 181.243004094246 -790.729860913776</t>
  </si>
  <si>
    <t>-567.286231855374 325.34990401599 -764.470443835956</t>
  </si>
  <si>
    <t>-474.408569001168 336.178474767228 -462.075567750037</t>
  </si>
  <si>
    <t>-261.227600730643 269.697407064231 -328.748101489201</t>
  </si>
  <si>
    <t>-574.349830171307 117.949254727899 -792.273688065036</t>
  </si>
  <si>
    <t>-333.018154965984 52.6120313031304 -486.425000621377</t>
  </si>
  <si>
    <t>-592.67087477638 262.79389393379 -256.279339957022</t>
  </si>
  <si>
    <t>-598.971021435478 270.7917900707 199.301550838964</t>
  </si>
  <si>
    <t>-617.284435002313 259.129045136471 668.546501327611</t>
  </si>
  <si>
    <t>-460.555250039189 272.263396694953 747.330819895288</t>
  </si>
  <si>
    <t>-541.551970553013 74.2599998758433 -240.808974695601</t>
  </si>
  <si>
    <t>-458.286161488525 67.6585714241248 207.165174718832</t>
  </si>
  <si>
    <t>-606.715855875403 -0.0316171722988656 648.217532368933</t>
  </si>
  <si>
    <t>-451.159626456093 -31.1460100396473 724.228516188305</t>
  </si>
  <si>
    <t>9763-20170724T170116.296509000.bin</t>
  </si>
  <si>
    <t>-567.05758038354 169.061320032197 -248.881275651809</t>
  </si>
  <si>
    <t>-587.016550151125 153.718749373032 -367.346594635296</t>
  </si>
  <si>
    <t>-593.119489907264 147.662111401224 -488.245888626639</t>
  </si>
  <si>
    <t>-592.643565567429 145.664404665072 -597.747692986539</t>
  </si>
  <si>
    <t>-586.153790832139 146.919914778982 -707.06902346245</t>
  </si>
  <si>
    <t>-570.773961876191 151.858453751768 -858.525545590279</t>
  </si>
  <si>
    <t>-535.86841904164 156.039252371239 -954.166139542884</t>
  </si>
  <si>
    <t>-580.481829044855 181.325700127089 -790.773442930663</t>
  </si>
  <si>
    <t>-567.289022161749 325.453847798196 -764.633552056719</t>
  </si>
  <si>
    <t>-473.487434477917 336.178486217332 -462.520360526202</t>
  </si>
  <si>
    <t>-260.273245508806 270.184193364382 -329.004339414377</t>
  </si>
  <si>
    <t>-574.676289503697 118.020815514508 -792.248144172933</t>
  </si>
  <si>
    <t>-333.403940074168 53.0653307613807 -486.493207083116</t>
  </si>
  <si>
    <t>-592.524183503468 263.352979858 -256.297625509511</t>
  </si>
  <si>
    <t>-598.78611593063 271.184923012415 199.286592170635</t>
  </si>
  <si>
    <t>-617.291014728364 259.183929202949 668.512020669395</t>
  </si>
  <si>
    <t>-460.575146839636 272.233118035296 747.336860919175</t>
  </si>
  <si>
    <t>-541.500143876482 74.7973983876698 -240.787372564551</t>
  </si>
  <si>
    <t>-458.209645818853 68.0188283229897 207.179608811929</t>
  </si>
  <si>
    <t>-606.681195749211 0.147717226024042 648.161085402622</t>
  </si>
  <si>
    <t>-451.208845769795 -31.3215053495971 724.197598641719</t>
  </si>
  <si>
    <t>9763-20170724T170116.363762200.bin</t>
  </si>
  <si>
    <t>-566.86960948518 170.154485067906 -248.849041289231</t>
  </si>
  <si>
    <t>-586.833291647162 154.814121695305 -367.313882951236</t>
  </si>
  <si>
    <t>-593.096383851472 148.553667176698 -488.194663432388</t>
  </si>
  <si>
    <t>-592.830522629897 146.287797432887 -597.691866983977</t>
  </si>
  <si>
    <t>-586.616843661233 147.19222677239 -707.032733311668</t>
  </si>
  <si>
    <t>-571.689877468531 151.556940161463 -858.552158443807</t>
  </si>
  <si>
    <t>-537.014169045052 155.32801184916 -954.293234798601</t>
  </si>
  <si>
    <t>-581.064047857542 181.292276471189 -790.870187635757</t>
  </si>
  <si>
    <t>-567.356016191315 325.419170761943 -765.142670175785</t>
  </si>
  <si>
    <t>-471.855696979593 336.059463835948 -463.55900765788</t>
  </si>
  <si>
    <t>-258.049850377108 276.336527159589 -328.051585848857</t>
  </si>
  <si>
    <t>-575.525130903035 117.959115618304 -792.148922414836</t>
  </si>
  <si>
    <t>-334.130419852375 53.9496650378564 -486.812701976088</t>
  </si>
  <si>
    <t>-592.165050378841 264.521086312647 -256.324517551358</t>
  </si>
  <si>
    <t>-598.534838584228 271.86669377215 199.266361088753</t>
  </si>
  <si>
    <t>-617.323383104067 259.2556275891 668.460337296798</t>
  </si>
  <si>
    <t>-460.630398745943 272.18474577545 747.350430374827</t>
  </si>
  <si>
    <t>-541.481513011133 75.8138132276779 -240.741727066707</t>
  </si>
  <si>
    <t>-458.047402351479 68.4933539415074 207.189907257498</t>
  </si>
  <si>
    <t>-606.61354610923 0.0804634724563584 648.094186998809</t>
  </si>
  <si>
    <t>-451.123474917087 -31.2384324030268 724.156475409927</t>
  </si>
  <si>
    <t>9763-20170724T170116.395846800.bin</t>
  </si>
  <si>
    <t>-566.795295988727 170.649340967862 -248.859442170365</t>
  </si>
  <si>
    <t>-586.834129811481 155.299581026469 -367.310309970676</t>
  </si>
  <si>
    <t>-593.218454812194 148.921660359367 -488.178610698732</t>
  </si>
  <si>
    <t>-593.082191511116 146.505971099579 -597.672882142826</t>
  </si>
  <si>
    <t>-587.018830766922 147.217090297233 -707.023570200069</t>
  </si>
  <si>
    <t>-572.322756388673 151.268629916286 -858.574321883762</t>
  </si>
  <si>
    <t>-537.757829587146 154.780606820267 -954.365315309221</t>
  </si>
  <si>
    <t>-581.528383791035 181.149321133223 -790.93318937706</t>
  </si>
  <si>
    <t>-567.551958066928 325.321350089971 -765.468944925165</t>
  </si>
  <si>
    <t>-471.464899087546 335.937301132101 -464.070990138738</t>
  </si>
  <si>
    <t>-257.089151411553 280.674018543364 -327.575249741861</t>
  </si>
  <si>
    <t>-576.122238928238 117.802647559793 -792.10236782287</t>
  </si>
  <si>
    <t>-334.519862218322 54.1011898846268 -486.867182421212</t>
  </si>
  <si>
    <t>-591.948830744047 265.086032654165 -256.350018546862</t>
  </si>
  <si>
    <t>-598.329008745285 272.20576557966 199.244293610849</t>
  </si>
  <si>
    <t>-617.322137178275 259.298795131035 668.417049264709</t>
  </si>
  <si>
    <t>-460.649247541926 272.125784159597 747.363719412083</t>
  </si>
  <si>
    <t>-541.564479766736 76.2329823800308 -240.724868976725</t>
  </si>
  <si>
    <t>-458.025425403411 68.639862155708 207.182813663748</t>
  </si>
  <si>
    <t>-606.566974753547 -0.0506285285184731 648.057868493198</t>
  </si>
  <si>
    <t>-451.07945553737 -31.3192715404537 724.146097692793</t>
  </si>
  <si>
    <t>9763-20170724T170116.461528100.bin</t>
  </si>
  <si>
    <t>-566.898592491461 171.839709815364 -248.826978394292</t>
  </si>
  <si>
    <t>-587.110124639271 156.475938794451 -367.2467890517</t>
  </si>
  <si>
    <t>-593.686990875234 149.861754871854 -488.09196444386</t>
  </si>
  <si>
    <t>-593.7356608645 147.140239439934 -597.579150114013</t>
  </si>
  <si>
    <t>-587.869798259881 147.453163907591 -706.942539763361</t>
  </si>
  <si>
    <t>-573.462809156253 150.854027610715 -858.536948917525</t>
  </si>
  <si>
    <t>-539.042324932028 153.822025902911 -954.39844114622</t>
  </si>
  <si>
    <t>-582.364556574419 181.038994338885 -790.990348172355</t>
  </si>
  <si>
    <t>-567.746865061691 325.191294643057 -765.929479094516</t>
  </si>
  <si>
    <t>-470.737942755787 336.174511364835 -464.840156819392</t>
  </si>
  <si>
    <t>-255.599171293383 286.612083005436 -327.359546635176</t>
  </si>
  <si>
    <t>-577.310378040667 117.659461558243 -791.931997942761</t>
  </si>
  <si>
    <t>-335.466990483192 54.0188365360279 -487.387390353029</t>
  </si>
  <si>
    <t>-591.684492037296 266.353055273436 -256.40081577385</t>
  </si>
  <si>
    <t>-597.965162831982 273.036837389618 199.201517144376</t>
  </si>
  <si>
    <t>-617.310675160724 259.433420435214 668.31800749458</t>
  </si>
  <si>
    <t>-460.68973540079 271.99613274146 747.410226463603</t>
  </si>
  <si>
    <t>-542.101409942363 77.391577752991 -240.608972214623</t>
  </si>
  <si>
    <t>-457.868332071272 68.9897880402118 207.154181322297</t>
  </si>
  <si>
    <t>-606.505353471949 0.0329170290765433 647.945621799152</t>
  </si>
  <si>
    <t>-451.079429610398 -31.417041063798 724.084934081255</t>
  </si>
  <si>
    <t>9763-20170724T170116.493613400.bin</t>
  </si>
  <si>
    <t>-566.993551627702 172.447534147494 -248.856581430841</t>
  </si>
  <si>
    <t>-587.309705295331 157.078622250158 -367.257826932719</t>
  </si>
  <si>
    <t>-593.962980085394 150.378168479255 -488.094072223972</t>
  </si>
  <si>
    <t>-594.07007130258 147.544668251446 -597.578437614328</t>
  </si>
  <si>
    <t>-588.252928051464 147.710666943927 -706.94472424415</t>
  </si>
  <si>
    <t>-573.904052896234 150.870750823477 -858.549918503703</t>
  </si>
  <si>
    <t>-539.490438972448 153.589910074009 -954.421101689049</t>
  </si>
  <si>
    <t>-582.685983855949 181.170254049593 -791.038890922237</t>
  </si>
  <si>
    <t>-567.660340026074 325.307217574009 -766.112861652037</t>
  </si>
  <si>
    <t>-470.338074294976 336.823473952717 -465.144635067743</t>
  </si>
  <si>
    <t>-255.024844543698 288.416956967978 -327.525330713552</t>
  </si>
  <si>
    <t>-577.819970946238 117.774831164009 -791.899658205779</t>
  </si>
  <si>
    <t>-335.947328327663 53.9407417520424 -487.774341140154</t>
  </si>
  <si>
    <t>-591.56614913755 267.000563951799 -256.445683039442</t>
  </si>
  <si>
    <t>-597.741801731158 273.43977012334 199.161638906333</t>
  </si>
  <si>
    <t>-617.303355305231 259.496994984007 668.268381074656</t>
  </si>
  <si>
    <t>-460.706605349632 271.87614033861 747.437358638675</t>
  </si>
  <si>
    <t>-542.324250260666 77.9307658386228 -240.634263920989</t>
  </si>
  <si>
    <t>-457.930394985277 69.2624012719732 207.093552621516</t>
  </si>
  <si>
    <t>-606.478159008425 0.11133137517777 647.886691410759</t>
  </si>
  <si>
    <t>-451.085016778014 -31.4452426552552 724.048716701243</t>
  </si>
  <si>
    <t>9763-20170724T170116.562819800.bin</t>
  </si>
  <si>
    <t>-567.177441714286 173.323040972824 -248.874583437115</t>
  </si>
  <si>
    <t>-587.710667287189 157.908969505082 -367.232442014839</t>
  </si>
  <si>
    <t>-594.529255173101 150.959905594165 -488.045478887224</t>
  </si>
  <si>
    <t>-594.76900203438 147.818711308261 -597.52124072364</t>
  </si>
  <si>
    <t>-589.070319902185 147.595156292835 -706.893671510943</t>
  </si>
  <si>
    <t>-574.87367454385 150.128888196409 -858.524806872488</t>
  </si>
  <si>
    <t>-540.431629942701 152.262153258981 -954.40064115714</t>
  </si>
  <si>
    <t>-583.40542793749 180.72035841836 -791.11346494851</t>
  </si>
  <si>
    <t>-567.574067498414 324.842003343686 -766.498309197755</t>
  </si>
  <si>
    <t>-470.282140080431 337.80876481617 -465.579216466427</t>
  </si>
  <si>
    <t>-255.962790461498 281.303957885025 -329.504000409182</t>
  </si>
  <si>
    <t>-578.905049392936 117.29530020132 -791.751924996825</t>
  </si>
  <si>
    <t>-337.175005488278 52.9996566041914 -487.836759310602</t>
  </si>
  <si>
    <t>-591.225324886071 268.10822293084 -256.554275942718</t>
  </si>
  <si>
    <t>-597.15208556318 274.175719669629 199.0614873063</t>
  </si>
  <si>
    <t>-617.28065067246 259.693417190939 668.129149340313</t>
  </si>
  <si>
    <t>-460.745796340047 271.689202395219 747.479329351153</t>
  </si>
  <si>
    <t>-543.00601363359 78.5383200317201 -240.52410715753</t>
  </si>
  <si>
    <t>-457.88386630921 69.7985250019451 207.064482545372</t>
  </si>
  <si>
    <t>-606.418645443708 0.136118352351104 647.777159331055</t>
  </si>
  <si>
    <t>-451.136613966882 -31.8287934085633 723.995596574328</t>
  </si>
  <si>
    <t>9763-20170724T170116.596909800.bin</t>
  </si>
  <si>
    <t>-567.24778602116 173.771289721535 -248.894797564584</t>
  </si>
  <si>
    <t>-587.870146911886 158.33473136661 -367.234330839831</t>
  </si>
  <si>
    <t>-594.731699751334 151.244839712511 -488.036563798817</t>
  </si>
  <si>
    <t>-594.993560622956 147.926068013072 -597.506973498263</t>
  </si>
  <si>
    <t>-589.301529346941 147.474103456577 -706.879094059644</t>
  </si>
  <si>
    <t>-575.099226817051 149.636557249731 -858.51553639365</t>
  </si>
  <si>
    <t>-540.585793018737 151.474091487588 -954.371861831835</t>
  </si>
  <si>
    <t>-583.532117930557 180.399918580352 -791.170125616631</t>
  </si>
  <si>
    <t>-567.061294876066 324.487316124354 -766.893293965325</t>
  </si>
  <si>
    <t>-470.945486902466 338.539299043959 -465.645103052045</t>
  </si>
  <si>
    <t>-257.666111039322 274.821510022541 -331.131166817068</t>
  </si>
  <si>
    <t>-579.234477192696 116.959570644101 -791.672227125127</t>
  </si>
  <si>
    <t>-337.652593144326 52.3274154630867 -487.578358268355</t>
  </si>
  <si>
    <t>-591.079736542733 268.6458627614 -256.608409395029</t>
  </si>
  <si>
    <t>-596.937249670896 274.560854888846 199.010245502019</t>
  </si>
  <si>
    <t>-617.274839968083 259.799155347799 668.062494797444</t>
  </si>
  <si>
    <t>-460.767791560606 271.596295303974 747.497317905004</t>
  </si>
  <si>
    <t>-543.298061227214 78.9306865012095 -240.507352908827</t>
  </si>
  <si>
    <t>-457.897800411864 70.1009165965831 207.02643119614</t>
  </si>
  <si>
    <t>-606.408284682208 0.324823059078199 647.742592216522</t>
  </si>
  <si>
    <t>-451.260975407376 -32.2446829685348 723.979408290988</t>
  </si>
  <si>
    <t>9763-20170724T170116.665107300.bin</t>
  </si>
  <si>
    <t>-567.747081152228 174.454908559674 -248.99789358412</t>
  </si>
  <si>
    <t>-588.505611265059 159.090738081625 -367.322950888097</t>
  </si>
  <si>
    <t>-595.40826312939 151.794610957034 -488.110893488426</t>
  </si>
  <si>
    <t>-595.674080317364 148.172364321163 -597.57155719097</t>
  </si>
  <si>
    <t>-589.956365284174 147.29827309628 -706.939768315607</t>
  </si>
  <si>
    <t>-575.690639935016 148.74863431701 -858.578759317847</t>
  </si>
  <si>
    <t>-540.91422357581 149.982164340069 -954.34962246539</t>
  </si>
  <si>
    <t>-583.977792917421 179.839107456015 -791.365430961808</t>
  </si>
  <si>
    <t>-566.633301680114 323.892871753711 -767.556203653759</t>
  </si>
  <si>
    <t>-472.390942730415 338.537058807823 -465.744823379798</t>
  </si>
  <si>
    <t>-261.297139887488 259.146013300141 -336.212992598459</t>
  </si>
  <si>
    <t>-580.02777998176 116.374649706754 -791.600904471454</t>
  </si>
  <si>
    <t>-338.829046531711 51.4842239686038 -487.204493046409</t>
  </si>
  <si>
    <t>-591.206068096265 269.594875161172 -256.683243695259</t>
  </si>
  <si>
    <t>-596.797309755087 275.088620662097 198.944026898489</t>
  </si>
  <si>
    <t>-617.291219755663 259.8928382978 667.989960886128</t>
  </si>
  <si>
    <t>-460.81482699273 271.397202309644 747.527967790208</t>
  </si>
  <si>
    <t>-544.260375560022 79.3798008904926 -240.563925615695</t>
  </si>
  <si>
    <t>-458.187650118839 70.243908199097 206.834829592409</t>
  </si>
  <si>
    <t>-606.388161992256 0.261451098900352 647.686316437388</t>
  </si>
  <si>
    <t>-451.235120086107 -32.2631287661281 723.930689768653</t>
  </si>
  <si>
    <t>9763-20170724T170116.698194800.bin</t>
  </si>
  <si>
    <t>-568.109850122883 174.846893473187 -249.005049970955</t>
  </si>
  <si>
    <t>-588.856546330407 159.543481478518 -367.340190167146</t>
  </si>
  <si>
    <t>-595.742771545858 152.194486730639 -488.125583422621</t>
  </si>
  <si>
    <t>-595.994598740929 148.477353051125 -597.583319937737</t>
  </si>
  <si>
    <t>-590.26522481316 147.461337935343 -706.949573408268</t>
  </si>
  <si>
    <t>-575.987108967142 148.66504980184 -858.589573893009</t>
  </si>
  <si>
    <t>-541.062792676162 149.621642097833 -954.309849725215</t>
  </si>
  <si>
    <t>-584.209193964863 179.869054980535 -791.42099961775</t>
  </si>
  <si>
    <t>-566.592202747053 323.921804058851 -767.7270782342</t>
  </si>
  <si>
    <t>-472.822279481637 338.843832034161 -465.782203082371</t>
  </si>
  <si>
    <t>-261.867392190638 258.298095926879 -336.737699258981</t>
  </si>
  <si>
    <t>-580.400285989437 116.39577560252 -791.566166947218</t>
  </si>
  <si>
    <t>-339.374855015208 51.3590692243499 -487.202159189819</t>
  </si>
  <si>
    <t>-591.378716688505 270.07587683656 -256.699460817066</t>
  </si>
  <si>
    <t>-596.884718356628 275.356829341073 198.931370019299</t>
  </si>
  <si>
    <t>-617.305016031589 259.940255400496 667.964108451074</t>
  </si>
  <si>
    <t>-460.838376496727 271.32941451792 747.537866114069</t>
  </si>
  <si>
    <t>-544.754135927124 79.7855130529113 -240.595980157355</t>
  </si>
  <si>
    <t>-458.432587853272 70.3339560920945 206.748393465944</t>
  </si>
  <si>
    <t>-606.391992079199 0.309147446072529 647.675205951471</t>
  </si>
  <si>
    <t>-451.207971234248 -32.0847339446132 723.912114181041</t>
  </si>
  <si>
    <t>9763-20170724T170116.765937100.bin</t>
  </si>
  <si>
    <t>-568.819271710355 175.653905740801 -248.974670472163</t>
  </si>
  <si>
    <t>-589.606048591017 160.40631134381 -367.310017143299</t>
  </si>
  <si>
    <t>-596.562734344473 152.919083543661 -488.08297597669</t>
  </si>
  <si>
    <t>-596.89348501146 148.995436966334 -597.533035455954</t>
  </si>
  <si>
    <t>-591.260020633053 147.690470277545 -706.901346142158</t>
  </si>
  <si>
    <t>-577.134355568164 148.405429010463 -858.558665344809</t>
  </si>
  <si>
    <t>-541.92934214242 148.737977601232 -954.180290922999</t>
  </si>
  <si>
    <t>-585.128975928049 179.835060312088 -791.467814568581</t>
  </si>
  <si>
    <t>-567.120838436478 323.898586816048 -768.059799165662</t>
  </si>
  <si>
    <t>-474.26665588493 339.426033197409 -465.862506631635</t>
  </si>
  <si>
    <t>-262.164764954896 269.085708629873 -332.794590195625</t>
  </si>
  <si>
    <t>-581.640056728291 116.343102152857 -791.442264838078</t>
  </si>
  <si>
    <t>-340.670970661358 50.5302399976056 -486.898749431281</t>
  </si>
  <si>
    <t>-591.736106056654 271.006080591611 -256.707115267875</t>
  </si>
  <si>
    <t>-597.28902533986 275.89893104582 198.92749854374</t>
  </si>
  <si>
    <t>-617.369076865947 260.100121773729 667.933021454269</t>
  </si>
  <si>
    <t>-460.907888397772 271.226045136311 747.554698715373</t>
  </si>
  <si>
    <t>-545.843913348273 80.3557964962633 -240.523011137344</t>
  </si>
  <si>
    <t>-458.589788759844 70.5007044436547 206.63154439829</t>
  </si>
  <si>
    <t>-606.374719366839 0.154872843080057 647.598324651677</t>
  </si>
  <si>
    <t>-451.139775775509 -32.0299437827564 723.820110190367</t>
  </si>
  <si>
    <t>9763-20170724T170116.797018500.bin</t>
  </si>
  <si>
    <t>-569.085716133937 175.98453210145 -248.951561134968</t>
  </si>
  <si>
    <t>-589.852272278005 160.734148024672 -367.290112070851</t>
  </si>
  <si>
    <t>-596.834173096717 153.117485506044 -488.053531888265</t>
  </si>
  <si>
    <t>-597.208749578974 149.025598874117 -597.497219787181</t>
  </si>
  <si>
    <t>-591.641643132922 147.501108249152 -706.866161018128</t>
  </si>
  <si>
    <t>-577.632637977027 147.858253185571 -858.535593766918</t>
  </si>
  <si>
    <t>-542.31575638404 147.836439635023 -954.116434092755</t>
  </si>
  <si>
    <t>-585.494749015701 179.450391968411 -791.505389534496</t>
  </si>
  <si>
    <t>-567.361718783904 323.548344367943 -768.400944995579</t>
  </si>
  <si>
    <t>-475.313151812753 339.432815513733 -465.975899142737</t>
  </si>
  <si>
    <t>-262.554357651744 272.651991209277 -332.124931876263</t>
  </si>
  <si>
    <t>-582.167655226891 115.949930130247 -791.347642311215</t>
  </si>
  <si>
    <t>-341.093389632413 49.8268084226002 -486.877079966744</t>
  </si>
  <si>
    <t>-591.813636880469 271.412852977401 -256.719834512028</t>
  </si>
  <si>
    <t>-597.487873513742 276.15159386126 198.914838807622</t>
  </si>
  <si>
    <t>-617.408023908135 260.190246714416 667.914954668446</t>
  </si>
  <si>
    <t>-460.945949029853 271.154547221074 747.557302527073</t>
  </si>
  <si>
    <t>-546.230141491022 80.5525903522312 -240.479925544752</t>
  </si>
  <si>
    <t>-458.58245974401 70.8910247218193 206.601966377686</t>
  </si>
  <si>
    <t>-606.358630652268 0.301972080476617 647.531019068769</t>
  </si>
  <si>
    <t>-451.209079668766 -32.2818249296215 723.757139927767</t>
  </si>
  <si>
    <t>9763-20170724T170116.861219100.bin</t>
  </si>
  <si>
    <t>-569.261802153308 176.707499565774 -248.986882809465</t>
  </si>
  <si>
    <t>-590.056220042302 161.520481400795 -367.328450711782</t>
  </si>
  <si>
    <t>-597.117353516354 153.703933233973 -488.074447801615</t>
  </si>
  <si>
    <t>-597.592455279695 149.328751223812 -597.506974146124</t>
  </si>
  <si>
    <t>-592.158974976027 147.422637786237 -706.876591633024</t>
  </si>
  <si>
    <t>-578.373627120938 147.150057007842 -858.566699283909</t>
  </si>
  <si>
    <t>-542.911817617316 146.526743642688 -954.091857516029</t>
  </si>
  <si>
    <t>-586.056977439459 179.02444744607 -791.649575967492</t>
  </si>
  <si>
    <t>-567.72436688824 323.180106850015 -769.172972490577</t>
  </si>
  <si>
    <t>-477.610016089036 340.013638854178 -466.217105806561</t>
  </si>
  <si>
    <t>-264.730389387424 273.029167854816 -332.660456762335</t>
  </si>
  <si>
    <t>-582.88947231495 115.51690759986 -791.247581908771</t>
  </si>
  <si>
    <t>-341.123048753132 49.4988001909512 -486.843966510867</t>
  </si>
  <si>
    <t>-591.71669761498 272.27652219185 -256.757257083474</t>
  </si>
  <si>
    <t>-597.552853993735 276.606590795311 198.879610777589</t>
  </si>
  <si>
    <t>-617.481402780516 260.277263110023 667.901679610857</t>
  </si>
  <si>
    <t>-461.011928093563 270.914215492749 747.57389407211</t>
  </si>
  <si>
    <t>-546.733429476665 81.2521083072006 -240.517047988421</t>
  </si>
  <si>
    <t>-458.601423665088 71.2553382275275 206.462207310284</t>
  </si>
  <si>
    <t>-606.309503943855 0.425794838685761 647.394782200899</t>
  </si>
  <si>
    <t>-451.233122464004 -32.4457204101388 723.646306080559</t>
  </si>
  <si>
    <t>9763-20170724T170116.899320800.bin</t>
  </si>
  <si>
    <t>-569.307826434504 177.009834993013 -248.985935317896</t>
  </si>
  <si>
    <t>-590.129549091978 161.878949834444 -367.329996534133</t>
  </si>
  <si>
    <t>-597.237151395371 153.951661164569 -488.066046134674</t>
  </si>
  <si>
    <t>-597.767365249975 149.412267556993 -597.49166050959</t>
  </si>
  <si>
    <t>-592.405010096072 147.279883456411 -706.86059981109</t>
  </si>
  <si>
    <t>-578.737505159546 146.630519351094 -858.56011732189</t>
  </si>
  <si>
    <t>-543.278020286849 145.697934419093 -954.083631201356</t>
  </si>
  <si>
    <t>-586.348301736505 178.671974698773 -791.714608012471</t>
  </si>
  <si>
    <t>-568.035698419846 322.898217824395 -769.52322191321</t>
  </si>
  <si>
    <t>-478.605973738552 340.660163173995 -466.417525024262</t>
  </si>
  <si>
    <t>-266.251642598796 271.975366081058 -332.888249488654</t>
  </si>
  <si>
    <t>-583.221610667193 115.163656297333 -791.161130340098</t>
  </si>
  <si>
    <t>-341.616738080359 50.2371537117087 -487.266265618639</t>
  </si>
  <si>
    <t>-591.581943956532 272.616935946474 -256.751826605803</t>
  </si>
  <si>
    <t>-597.453140045238 276.801106837952 198.885795336255</t>
  </si>
  <si>
    <t>-617.515568766518 260.28339708149 667.904663337201</t>
  </si>
  <si>
    <t>-461.044513743302 270.791132575494 747.590977169309</t>
  </si>
  <si>
    <t>-547.008863619481 81.482644660887 -240.503032682746</t>
  </si>
  <si>
    <t>-458.530576203892 71.3272856846538 206.404337799533</t>
  </si>
  <si>
    <t>-606.284396606231 0.489629845394575 647.326170164787</t>
  </si>
  <si>
    <t>-451.245068747299 -32.4792284453208 723.610986442857</t>
  </si>
  <si>
    <t>9763-20170724T170116.962494300.bin</t>
  </si>
  <si>
    <t>-569.145091880164 177.512367515143 -248.971633767793</t>
  </si>
  <si>
    <t>-590.091282763476 162.455252148457 -367.303249965226</t>
  </si>
  <si>
    <t>-597.140346777767 154.22858949847 -488.022795992876</t>
  </si>
  <si>
    <t>-597.553920404708 149.266584985087 -597.430439810814</t>
  </si>
  <si>
    <t>-592.01749062526 146.559963831415 -706.778003390619</t>
  </si>
  <si>
    <t>-578.053946629221 144.954418973505 -858.443629780474</t>
  </si>
  <si>
    <t>-542.489142937521 143.399201075956 -953.91982483693</t>
  </si>
  <si>
    <t>-585.750214677318 177.418891396621 -791.812191186783</t>
  </si>
  <si>
    <t>-567.254997810949 321.73544911698 -770.407562637201</t>
  </si>
  <si>
    <t>-479.299971971159 341.545385362591 -466.997567179243</t>
  </si>
  <si>
    <t>-267.926811007296 271.585503697652 -332.576446140467</t>
  </si>
  <si>
    <t>-582.714542652026 113.910812659156 -790.860282885026</t>
  </si>
  <si>
    <t>-341.160253425427 51.8215947858141 -489.067231329632</t>
  </si>
  <si>
    <t>-591.186819673656 273.249977045851 -256.717919497713</t>
  </si>
  <si>
    <t>-597.121548348582 277.14004693398 198.921587943235</t>
  </si>
  <si>
    <t>-617.555057639337 260.278667190564 667.88031732823</t>
  </si>
  <si>
    <t>-461.097725555823 270.587467390949 747.619524230183</t>
  </si>
  <si>
    <t>-547.038956834905 81.8718724139762 -240.563593323446</t>
  </si>
  <si>
    <t>-458.445136680866 71.4342736853316 206.314374427555</t>
  </si>
  <si>
    <t>-606.252050360549 0.41339127685319 647.222145987273</t>
  </si>
  <si>
    <t>-451.210847614643 -32.5159962019522 723.520201651037</t>
  </si>
  <si>
    <t>9763-20170724T170116.997587400.bin</t>
  </si>
  <si>
    <t>-569.076416505385 177.838061395488 -248.975264397802</t>
  </si>
  <si>
    <t>-590.081335861024 162.788524898082 -367.297316080778</t>
  </si>
  <si>
    <t>-597.180980809849 154.389825454849 -488.00197566306</t>
  </si>
  <si>
    <t>-597.641383204292 149.199850965098 -597.399119026589</t>
  </si>
  <si>
    <t>-592.155427618913 146.193481474807 -706.741266829718</t>
  </si>
  <si>
    <t>-578.267961486542 144.097113072616 -858.407769792394</t>
  </si>
  <si>
    <t>-542.78820629618 142.276842241118 -953.910932502097</t>
  </si>
  <si>
    <t>-585.893674666853 176.778861503823 -791.874514804821</t>
  </si>
  <si>
    <t>-567.362180027025 321.122126227138 -770.834439547111</t>
  </si>
  <si>
    <t>-479.80763658469 341.780543582639 -467.365063530066</t>
  </si>
  <si>
    <t>-268.848885244306 272.044026575158 -332.1789799857</t>
  </si>
  <si>
    <t>-582.931758054082 113.270662297785 -790.725513960247</t>
  </si>
  <si>
    <t>-341.49497175531 53.1809338168143 -490.399235016366</t>
  </si>
  <si>
    <t>-591.023811981778 273.625098398201 -256.714079212682</t>
  </si>
  <si>
    <t>-596.930705229196 277.341386132976 198.927109640042</t>
  </si>
  <si>
    <t>-617.557295977831 260.245085033042 667.865866347767</t>
  </si>
  <si>
    <t>-461.113553032218 270.504154647078 747.63817031534</t>
  </si>
  <si>
    <t>-547.10179699923 82.1334010604987 -240.513289226584</t>
  </si>
  <si>
    <t>-458.295779560534 71.5584913557182 206.319318657503</t>
  </si>
  <si>
    <t>-606.236915253986 0.530642799927591 647.152563118002</t>
  </si>
  <si>
    <t>-451.225896375249 -32.4887283152989 723.473029712902</t>
  </si>
  <si>
    <t>9763-20170724T170117.062308200.bin</t>
  </si>
  <si>
    <t>-568.857905905547 178.666358780676 -249.000310099067</t>
  </si>
  <si>
    <t>-589.720479560535 163.628859891655 -367.349133442115</t>
  </si>
  <si>
    <t>-596.795722848411 154.942594077742 -488.034918709006</t>
  </si>
  <si>
    <t>-597.291207728696 149.377844675275 -597.41337880251</t>
  </si>
  <si>
    <t>-591.902208499293 145.886152755636 -706.745911252675</t>
  </si>
  <si>
    <t>-578.217487902762 143.004488296225 -858.418048257576</t>
  </si>
  <si>
    <t>-542.863020545637 140.723409805053 -953.957755123442</t>
  </si>
  <si>
    <t>-585.750570340782 176.030396460613 -792.044515280484</t>
  </si>
  <si>
    <t>-567.356125556415 320.510529527817 -771.715430757103</t>
  </si>
  <si>
    <t>-479.81773101958 342.606173943511 -468.34276654967</t>
  </si>
  <si>
    <t>-269.211821089398 273.527806578805 -332.271430624035</t>
  </si>
  <si>
    <t>-582.79457870948 112.528553594364 -790.571193778835</t>
  </si>
  <si>
    <t>-340.884963966333 53.5988461671495 -491.880187450852</t>
  </si>
  <si>
    <t>-590.629539103911 274.542912847843 -256.764557154732</t>
  </si>
  <si>
    <t>-596.800413396914 277.866005331231 198.876149990106</t>
  </si>
  <si>
    <t>-617.57768680383 260.274219148127 667.807770484676</t>
  </si>
  <si>
    <t>-461.153674440365 270.384585153596 747.637666965128</t>
  </si>
  <si>
    <t>-546.950973858333 82.9484194803094 -240.577675910136</t>
  </si>
  <si>
    <t>-458.362947350494 71.781539414281 206.283720383192</t>
  </si>
  <si>
    <t>-606.197671400129 0.591326124085754 647.087657670617</t>
  </si>
  <si>
    <t>-451.258013000179 -32.6871329539783 723.440493104488</t>
  </si>
  <si>
    <t>9763-20170724T170117.098395300.bin</t>
  </si>
  <si>
    <t>-568.739171686562 179.107949982654 -248.971009602595</t>
  </si>
  <si>
    <t>-589.594469161985 164.064239809002 -367.320302105708</t>
  </si>
  <si>
    <t>-596.623096005992 155.24188936978 -487.998895988665</t>
  </si>
  <si>
    <t>-597.063980253423 149.501518725938 -597.36850106031</t>
  </si>
  <si>
    <t>-591.610039813386 145.781348477237 -706.690394187826</t>
  </si>
  <si>
    <t>-577.826083315518 142.527210760237 -858.345909542987</t>
  </si>
  <si>
    <t>-542.488765662677 140.043003901868 -953.886900489124</t>
  </si>
  <si>
    <t>-585.39762575744 175.716331752917 -792.058100251248</t>
  </si>
  <si>
    <t>-567.187733778911 320.240028483705 -772.027250660555</t>
  </si>
  <si>
    <t>-479.403846216293 343.127343637196 -468.784145740858</t>
  </si>
  <si>
    <t>-268.793063493146 274.147795714562 -332.670307635574</t>
  </si>
  <si>
    <t>-582.452496991474 112.217770016355 -790.427965209181</t>
  </si>
  <si>
    <t>-340.386195186043 52.6594315387524 -491.058145799821</t>
  </si>
  <si>
    <t>-590.515446475283 275.030358051466 -256.77726673631</t>
  </si>
  <si>
    <t>-596.728525185212 278.157202269783 198.864330017447</t>
  </si>
  <si>
    <t>-617.601862648424 260.278186745226 667.791115211975</t>
  </si>
  <si>
    <t>-461.182306224875 270.349196765953 747.634806364721</t>
  </si>
  <si>
    <t>-546.879466256945 83.3074672774585 -240.490644969214</t>
  </si>
  <si>
    <t>-458.123149324968 71.944954949023 206.332503582348</t>
  </si>
  <si>
    <t>-606.180614938534 0.572507950347472 647.075562587776</t>
  </si>
  <si>
    <t>-451.223119576148 -32.6305304995594 723.425036302211</t>
  </si>
  <si>
    <t>9763-20170724T170117.134004000.bin</t>
  </si>
  <si>
    <t>-568.659852185751 179.386581947568 -248.904464381314</t>
  </si>
  <si>
    <t>-589.52379396506 164.265686644862 -367.242406984868</t>
  </si>
  <si>
    <t>-596.524165952398 155.321964753584 -487.913771427859</t>
  </si>
  <si>
    <t>-596.924925139433 149.451726975746 -597.276598797857</t>
  </si>
  <si>
    <t>-591.416526255811 145.580784217022 -706.590482909726</t>
  </si>
  <si>
    <t>-577.54260923122 142.093237004361 -858.23269172604</t>
  </si>
  <si>
    <t>-542.214160706084 139.477162969493 -953.773452485542</t>
  </si>
  <si>
    <t>-585.135382426996 175.385109470214 -791.998942505262</t>
  </si>
  <si>
    <t>-566.902072086311 319.950004360581 -772.164307171985</t>
  </si>
  <si>
    <t>-479.086993249279 343.720235773605 -468.998338882853</t>
  </si>
  <si>
    <t>-268.453483766654 273.874377016334 -333.362278933633</t>
  </si>
  <si>
    <t>-582.227382864462 111.887562873374 -790.272355735806</t>
  </si>
  <si>
    <t>-340.124857205212 51.5942997893283 -489.866014813436</t>
  </si>
  <si>
    <t>-590.453469456635 275.35676267422 -256.769806536801</t>
  </si>
  <si>
    <t>-596.688425530277 278.382465015512 198.8722135959</t>
  </si>
  <si>
    <t>-617.610376110113 260.294124079203 667.762013239025</t>
  </si>
  <si>
    <t>-461.203568256232 270.33693487369 747.63411902559</t>
  </si>
  <si>
    <t>-546.823626521299 83.4359212380493 -240.332375782955</t>
  </si>
  <si>
    <t>-457.782026434968 72.0652700513972 206.433841028361</t>
  </si>
  <si>
    <t>-606.141343611119 0.437767771211838 647.017946885542</t>
  </si>
  <si>
    <t>-451.087354856152 -32.3489765032605 723.351419690571</t>
  </si>
  <si>
    <t>9763-20170724T170117.193299000.bin</t>
  </si>
  <si>
    <t>-568.29386947727 180.250480293017 -248.914883605609</t>
  </si>
  <si>
    <t>-589.06876947065 165.026670006994 -367.255380066629</t>
  </si>
  <si>
    <t>-595.927493212061 155.877863785805 -487.919478801148</t>
  </si>
  <si>
    <t>-596.179938408287 149.775267488184 -597.270086854308</t>
  </si>
  <si>
    <t>-590.50399592675 145.621002491797 -706.564948203599</t>
  </si>
  <si>
    <t>-576.378228827834 141.683235383661 -858.172954961326</t>
  </si>
  <si>
    <t>-540.977251877003 138.85318604547 -953.680725507241</t>
  </si>
  <si>
    <t>-584.01746605534 175.1746979879 -792.045086781137</t>
  </si>
  <si>
    <t>-565.445521213066 319.750884293179 -772.625024562396</t>
  </si>
  <si>
    <t>-477.898354797212 344.411327366741 -469.452610880962</t>
  </si>
  <si>
    <t>-268.02240917926 269.856347482204 -335.155588842634</t>
  </si>
  <si>
    <t>-581.239471750868 111.67634945049 -790.13701941052</t>
  </si>
  <si>
    <t>-339.131661602667 51.1517370917038 -490.139898248656</t>
  </si>
  <si>
    <t>-590.222260782864 276.060186972684 -256.812163041675</t>
  </si>
  <si>
    <t>-596.606786816518 278.838195130733 198.829278624991</t>
  </si>
  <si>
    <t>-617.640805526671 260.264264069228 667.728288931312</t>
  </si>
  <si>
    <t>-461.242126373518 270.298120182507 747.61745863262</t>
  </si>
  <si>
    <t>-546.225941024296 84.5463001617629 -240.346828465807</t>
  </si>
  <si>
    <t>-457.567430525822 72.7441352314279 206.484178244943</t>
  </si>
  <si>
    <t>-606.076945361395 0.798220850439748 646.917445315445</t>
  </si>
  <si>
    <t>-451.199075102099 -32.733841991263 723.284716956268</t>
  </si>
  <si>
    <t>9763-20170724T170117.263489200.bin</t>
  </si>
  <si>
    <t>-568.185720344997 180.66530947501 -248.875518514281</t>
  </si>
  <si>
    <t>-588.912098888269 165.461661190442 -367.226999677378</t>
  </si>
  <si>
    <t>-595.668308460355 156.221290160368 -487.890001588896</t>
  </si>
  <si>
    <t>-595.808939683121 149.988271582798 -597.233268847373</t>
  </si>
  <si>
    <t>-590.00393491273 145.6545469028 -706.514452475214</t>
  </si>
  <si>
    <t>-575.682366301112 141.415380624731 -858.095796436497</t>
  </si>
  <si>
    <t>-539.975778797079 138.4047171085 -953.484356531803</t>
  </si>
  <si>
    <t>-583.352130160484 175.040838472269 -792.039653779005</t>
  </si>
  <si>
    <t>-564.650893264684 319.605420560902 -772.720960081845</t>
  </si>
  <si>
    <t>-477.68039874275 344.193554328797 -469.37659236257</t>
  </si>
  <si>
    <t>-268.569763953118 267.51058547548 -335.083840570065</t>
  </si>
  <si>
    <t>-580.686297879249 111.541359987614 -790.01193404733</t>
  </si>
  <si>
    <t>-338.874299781444 51.0849033859506 -489.873818116598</t>
  </si>
  <si>
    <t>-589.993909636812 276.500251955104 -256.792886812998</t>
  </si>
  <si>
    <t>-596.46295128344 279.098885011536 198.848556110949</t>
  </si>
  <si>
    <t>-617.665443024803 260.198769100291 667.70367030385</t>
  </si>
  <si>
    <t>-461.276056799132 270.210061164374 747.613865907103</t>
  </si>
  <si>
    <t>-546.315484941045 84.8813586792082 -240.259632321877</t>
  </si>
  <si>
    <t>-457.376314537932 72.9457822715597 206.512103134631</t>
  </si>
  <si>
    <t>-606.018806105602 0.849988317343332 646.874486969007</t>
  </si>
  <si>
    <t>-451.055951136885 -32.3266297077228 723.22465950732</t>
  </si>
  <si>
    <t>9763-20170724T170117.297580600.bin</t>
  </si>
  <si>
    <t>-568.064144545062 180.911392722439 -248.92267281884</t>
  </si>
  <si>
    <t>-588.763308508393 165.756487620376 -367.285091898837</t>
  </si>
  <si>
    <t>-595.414684874454 156.527186039359 -487.954592976366</t>
  </si>
  <si>
    <t>-595.43025118568 150.286430536583 -597.297765096806</t>
  </si>
  <si>
    <t>-589.470703867492 145.925978473093 -706.569523335423</t>
  </si>
  <si>
    <t>-574.90462937057 141.628495309096 -858.125975830802</t>
  </si>
  <si>
    <t>-539.06662324885 138.590912691585 -953.464222429077</t>
  </si>
  <si>
    <t>-582.657612179788 175.280373141715 -792.092983948143</t>
  </si>
  <si>
    <t>-563.897303931849 319.831472573777 -772.764662361246</t>
  </si>
  <si>
    <t>-477.497466917496 344.326951469017 -469.249886798912</t>
  </si>
  <si>
    <t>-268.561226830345 267.267452498334 -334.901407329084</t>
  </si>
  <si>
    <t>-580.041725128703 111.77957821204 -790.040883354626</t>
  </si>
  <si>
    <t>-338.058078714383 50.5264285413011 -489.67953115654</t>
  </si>
  <si>
    <t>-589.782073210464 276.72968090115 -256.80039161714</t>
  </si>
  <si>
    <t>-596.407801365461 279.211939562872 198.839409512894</t>
  </si>
  <si>
    <t>-617.691141116146 260.19548211643 667.69605000231</t>
  </si>
  <si>
    <t>-461.302125317079 270.149234035629 747.614196104876</t>
  </si>
  <si>
    <t>-546.269594302416 85.198073398825 -240.362191783633</t>
  </si>
  <si>
    <t>-457.541952422787 72.9473184668716 206.443139652193</t>
  </si>
  <si>
    <t>-605.998593125769 0.7983253695852 646.872476079567</t>
  </si>
  <si>
    <t>-451.049968796076 -32.4517639140593 723.219529132698</t>
  </si>
  <si>
    <t>9763-20170724T170117.367771800.bin</t>
  </si>
  <si>
    <t>-567.927647372239 181.547576884353 -249.02972164972</t>
  </si>
  <si>
    <t>-588.632197361208 166.546735274373 -367.410864021987</t>
  </si>
  <si>
    <t>-595.112588171174 157.377110607659 -488.094272205092</t>
  </si>
  <si>
    <t>-594.904915559951 151.147315969399 -597.4376928314</t>
  </si>
  <si>
    <t>-588.655618737791 146.752276380579 -706.691851422973</t>
  </si>
  <si>
    <t>-573.619927864714 142.356410190173 -858.199754978253</t>
  </si>
  <si>
    <t>-537.36993453646 139.262793247048 -953.380342429966</t>
  </si>
  <si>
    <t>-581.543256892838 176.05257160803 -792.209542488541</t>
  </si>
  <si>
    <t>-562.692937444501 320.612129204424 -772.906198663623</t>
  </si>
  <si>
    <t>-477.233370023826 344.936446601772 -469.11149317795</t>
  </si>
  <si>
    <t>-268.890052086463 265.482203621439 -335.237926111522</t>
  </si>
  <si>
    <t>-579.002287824768 112.550257078086 -790.114955920436</t>
  </si>
  <si>
    <t>-337.516831234433 50.9145863433935 -490.717746751434</t>
  </si>
  <si>
    <t>-589.495327553843 277.220211465717 -256.804425523603</t>
  </si>
  <si>
    <t>-596.211505446565 279.464537765776 198.835242101803</t>
  </si>
  <si>
    <t>-617.721379913226 260.112167741996 667.679446432898</t>
  </si>
  <si>
    <t>-461.345180638547 270.053395229882 747.624305803691</t>
  </si>
  <si>
    <t>-546.297104816786 86.0008837201674 -240.540825096337</t>
  </si>
  <si>
    <t>-457.837440530298 73.131928708965 206.300263525312</t>
  </si>
  <si>
    <t>-605.961438726233 1.06148029757082 646.852764594346</t>
  </si>
  <si>
    <t>-451.094719193894 -32.5078367577019 723.226272209176</t>
  </si>
  <si>
    <t>9763-20170724T170117.396847900.bin</t>
  </si>
  <si>
    <t>-567.893082210449 181.78858154606 -249.010177404834</t>
  </si>
  <si>
    <t>-588.707975398093 166.81122625291 -367.374964081085</t>
  </si>
  <si>
    <t>-595.170890629038 157.666197678287 -488.061171704152</t>
  </si>
  <si>
    <t>-594.895886578361 151.458157625816 -597.405765599005</t>
  </si>
  <si>
    <t>-588.528419162739 147.083468921282 -706.653920413098</t>
  </si>
  <si>
    <t>-573.276259795552 142.71396024994 -858.140830062185</t>
  </si>
  <si>
    <t>-536.824714590698 139.645864923896 -953.245266999868</t>
  </si>
  <si>
    <t>-581.294742824561 176.398746719383 -792.156300736379</t>
  </si>
  <si>
    <t>-562.501245862182 320.95006245168 -772.808739872234</t>
  </si>
  <si>
    <t>-477.54318032698 345.379257164587 -468.881777041916</t>
  </si>
  <si>
    <t>-269.282245733178 266.066676797961 -334.796316558773</t>
  </si>
  <si>
    <t>-578.754978374968 112.896014713106 -790.068870572778</t>
  </si>
  <si>
    <t>-337.529793846091 50.7006645692695 -491.183935139136</t>
  </si>
  <si>
    <t>-589.353288805032 277.400397120369 -256.774689467864</t>
  </si>
  <si>
    <t>-596.144758064509 279.584172500638 198.864199959623</t>
  </si>
  <si>
    <t>-617.732018422184 260.075309604194 667.679152511103</t>
  </si>
  <si>
    <t>-461.365260245987 269.992632413317 747.645400232731</t>
  </si>
  <si>
    <t>-546.370818746981 86.2322482360667 -240.497102083204</t>
  </si>
  <si>
    <t>-457.716113627195 73.2601283997874 206.302302374683</t>
  </si>
  <si>
    <t>-605.924477496717 1.0990708965362 646.805669104698</t>
  </si>
  <si>
    <t>-451.094877193361 -32.5995100447944 723.19747402651</t>
  </si>
  <si>
    <t>9763-20170724T170117.459534800.bin</t>
  </si>
  <si>
    <t>-567.745193420489 182.184958002639 -248.940472067211</t>
  </si>
  <si>
    <t>-588.612154492876 167.183777921303 -367.292961073038</t>
  </si>
  <si>
    <t>-594.909135778175 158.050542702779 -487.988920175971</t>
  </si>
  <si>
    <t>-594.395223993169 151.863572521153 -597.333823779995</t>
  </si>
  <si>
    <t>-587.700557951267 147.517838283491 -706.563695458749</t>
  </si>
  <si>
    <t>-571.902589892951 143.194201295142 -857.99577761345</t>
  </si>
  <si>
    <t>-535.064761816853 140.238464228054 -952.954931652714</t>
  </si>
  <si>
    <t>-580.118994079295 176.860751034566 -792.026368566377</t>
  </si>
  <si>
    <t>-561.390776148194 321.406803733646 -772.526604108007</t>
  </si>
  <si>
    <t>-477.972951642458 345.658399883687 -468.159181020288</t>
  </si>
  <si>
    <t>-269.708684627538 266.898064894359 -333.753641762837</t>
  </si>
  <si>
    <t>-577.666360544848 113.354003298756 -789.957299683838</t>
  </si>
  <si>
    <t>-337.208132560329 50.3570141832511 -491.438356523943</t>
  </si>
  <si>
    <t>-589.054910812801 277.793626020383 -256.765391640938</t>
  </si>
  <si>
    <t>-596.117342161056 279.790580370061 198.870299043405</t>
  </si>
  <si>
    <t>-617.776450488981 260.108775702457 667.671961593668</t>
  </si>
  <si>
    <t>-461.417909836021 269.843776553473 747.676667427834</t>
  </si>
  <si>
    <t>-546.35172003062 86.5958166685775 -240.427777008915</t>
  </si>
  <si>
    <t>-457.352958471716 73.5404008130004 206.300792486778</t>
  </si>
  <si>
    <t>-605.835975042252 0.990930848661492 646.675169975661</t>
  </si>
  <si>
    <t>-451.005880081065 -32.6231659237812 723.103229506617</t>
  </si>
  <si>
    <t>9763-20170724T170117.499641100.bin</t>
  </si>
  <si>
    <t>-567.668811061828 182.384048234579 -248.915134556029</t>
  </si>
  <si>
    <t>-588.534125905142 167.399311600385 -367.270037404535</t>
  </si>
  <si>
    <t>-594.73697865952 158.280759557861 -487.97196548233</t>
  </si>
  <si>
    <t>-594.100822568833 152.104317549691 -597.316876918384</t>
  </si>
  <si>
    <t>-587.247254422307 147.764874512959 -706.537059786516</t>
  </si>
  <si>
    <t>-571.190907987406 143.444542100648 -857.94220755209</t>
  </si>
  <si>
    <t>-534.191256538552 140.57040857141 -952.840831136672</t>
  </si>
  <si>
    <t>-579.511706146763 177.109904124664 -791.985127457968</t>
  </si>
  <si>
    <t>-560.814777375266 321.65549573156 -772.444305183574</t>
  </si>
  <si>
    <t>-478.102533082179 345.925212646916 -467.885892460618</t>
  </si>
  <si>
    <t>-270.090302859749 267.060034815473 -333.151804679449</t>
  </si>
  <si>
    <t>-577.078999287619 113.602370780681 -789.914976566108</t>
  </si>
  <si>
    <t>-337.23047962499 50.1367656930513 -491.326023483583</t>
  </si>
  <si>
    <t>-588.958373001402 278.054132296703 -256.752520929675</t>
  </si>
  <si>
    <t>-596.082435058343 279.882853707005 198.882771348301</t>
  </si>
  <si>
    <t>-617.786763789487 260.049640635837 667.671375414428</t>
  </si>
  <si>
    <t>-461.435869429353 269.784727487823 747.690891614696</t>
  </si>
  <si>
    <t>-546.271994275921 86.7769893896543 -240.447387037702</t>
  </si>
  <si>
    <t>-457.277218014706 73.5996608247835 206.278494267243</t>
  </si>
  <si>
    <t>-605.791449476176 0.861258523837023 646.611840443523</t>
  </si>
  <si>
    <t>-450.888032912649 -32.4067917200964 723.042773011176</t>
  </si>
  <si>
    <t>9763-20170724T170117.560840600.bin</t>
  </si>
  <si>
    <t>-567.426119683074 183.074871308046 -248.921663410648</t>
  </si>
  <si>
    <t>-588.238505175028 168.146018554686 -367.293097736968</t>
  </si>
  <si>
    <t>-594.25084873502 159.041810262944 -488.005576094321</t>
  </si>
  <si>
    <t>-593.388348519865 152.857553407991 -597.348431284629</t>
  </si>
  <si>
    <t>-586.255729831899 148.487801372713 -706.549523294139</t>
  </si>
  <si>
    <t>-569.758285707906 144.099179739305 -857.905371537543</t>
  </si>
  <si>
    <t>-532.390619196517 141.340917538112 -952.663046909322</t>
  </si>
  <si>
    <t>-578.229743044969 177.795901404606 -791.983623654225</t>
  </si>
  <si>
    <t>-559.592523507495 322.33304320023 -772.379784676707</t>
  </si>
  <si>
    <t>-478.260238595973 346.991635355688 -467.481102955326</t>
  </si>
  <si>
    <t>-270.696480677474 266.487575052185 -333.025012449678</t>
  </si>
  <si>
    <t>-575.8860535742 114.286035693487 -789.88660219116</t>
  </si>
  <si>
    <t>-337.068897116077 49.5340177817914 -491.562172756912</t>
  </si>
  <si>
    <t>-588.587384068759 278.644748613111 -256.712947174187</t>
  </si>
  <si>
    <t>-596.042975813629 280.098087820582 198.918412886064</t>
  </si>
  <si>
    <t>-617.810562914267 259.878363781842 667.691744905013</t>
  </si>
  <si>
    <t>-461.465832597052 269.60899709297 747.723894964733</t>
  </si>
  <si>
    <t>-546.169956103818 87.5274315830577 -240.445202765105</t>
  </si>
  <si>
    <t>-457.070848913843 74.086446242356 206.25194666306</t>
  </si>
  <si>
    <t>-605.732511328293 1.2263418336961 646.483880050078</t>
  </si>
  <si>
    <t>-450.909735515034 -32.3426027160117 722.946586691526</t>
  </si>
  <si>
    <t>9763-20170724T170117.595933400.bin</t>
  </si>
  <si>
    <t>-567.354298243291 183.472063376398 -248.858117045632</t>
  </si>
  <si>
    <t>-588.175506869686 168.557309555363 -367.229587255805</t>
  </si>
  <si>
    <t>-594.11692370309 159.464873491608 -487.946664072183</t>
  </si>
  <si>
    <t>-593.158669535884 153.289616010095 -597.289175040334</t>
  </si>
  <si>
    <t>-585.899267166209 148.926873919786 -706.482283654714</t>
  </si>
  <si>
    <t>-569.193932903782 144.545875247321 -857.815525622923</t>
  </si>
  <si>
    <t>-531.682927834626 141.849551830301 -952.518386719668</t>
  </si>
  <si>
    <t>-577.732945248976 178.240129325685 -791.901131453687</t>
  </si>
  <si>
    <t>-559.004114151458 322.772622067903 -772.277410059573</t>
  </si>
  <si>
    <t>-478.461266873267 347.349711825467 -467.162583147978</t>
  </si>
  <si>
    <t>-271.102687028063 265.646109157324 -333.114290431049</t>
  </si>
  <si>
    <t>-575.438141158213 114.728405746676 -789.809320785708</t>
  </si>
  <si>
    <t>-336.782983847596 49.6450377761294 -490.125560610674</t>
  </si>
  <si>
    <t>-588.443014844684 279.00859441563 -256.659552252605</t>
  </si>
  <si>
    <t>-596.039717943962 280.146604381763 198.970324546474</t>
  </si>
  <si>
    <t>-617.829214471426 259.620179527265 667.754681363507</t>
  </si>
  <si>
    <t>-461.467447472618 269.378809633117 747.750108665269</t>
  </si>
  <si>
    <t>-546.186757475883 87.9774394746976 -240.336047104685</t>
  </si>
  <si>
    <t>-456.818316437122 74.3469871835061 206.301579278311</t>
  </si>
  <si>
    <t>-605.696980594934 1.24601434782335 646.42370985684</t>
  </si>
  <si>
    <t>-450.942070944837 -32.5880799279998 722.906871828099</t>
  </si>
  <si>
    <t>9763-20170724T170117.663619600.bin</t>
  </si>
  <si>
    <t>-567.586350636852 184.266819531255 -248.386672551651</t>
  </si>
  <si>
    <t>-588.552834780187 169.310814159295 -366.727378839805</t>
  </si>
  <si>
    <t>-594.333178515191 160.074942350899 -487.441328576676</t>
  </si>
  <si>
    <t>-593.109268614051 153.728132816511 -596.771462344782</t>
  </si>
  <si>
    <t>-585.467806037339 149.151497544947 -705.929691717322</t>
  </si>
  <si>
    <t>-568.113815434211 144.428601750097 -857.179630136682</t>
  </si>
  <si>
    <t>-530.310381818856 141.710218353383 -951.765591198085</t>
  </si>
  <si>
    <t>-576.876854109775 178.274090587336 -791.3721625798</t>
  </si>
  <si>
    <t>-558.109375532767 322.802597016107 -771.852815207831</t>
  </si>
  <si>
    <t>-479.414848245914 347.56259984077 -466.271005467539</t>
  </si>
  <si>
    <t>-272.466197288745 263.280672723256 -333.188751148992</t>
  </si>
  <si>
    <t>-574.7079655015 114.762572733263 -789.140213867453</t>
  </si>
  <si>
    <t>-336.931874423065 49.0307076786289 -483.123196343831</t>
  </si>
  <si>
    <t>-588.549528628101 279.753265275329 -256.303800543618</t>
  </si>
  <si>
    <t>-596.323058022531 279.89606121816 199.324600000703</t>
  </si>
  <si>
    <t>-617.899880603449 258.448709128917 668.117417181752</t>
  </si>
  <si>
    <t>-461.433847301196 268.220140557733 747.907146558672</t>
  </si>
  <si>
    <t>-546.5673443278 88.7053097561068 -239.760951048493</t>
  </si>
  <si>
    <t>-455.89394306296 75.0759817075957 206.613566882215</t>
  </si>
  <si>
    <t>-605.622810450398 1.4613391526691 646.230696068414</t>
  </si>
  <si>
    <t>-450.929324234917 -32.5964466766734 722.738837764425</t>
  </si>
  <si>
    <t>9763-20170724T170117.695704600.bin</t>
  </si>
  <si>
    <t>-567.805011943019 184.622853465214 -248.059300602125</t>
  </si>
  <si>
    <t>-588.883539152045 169.647419615599 -366.377534724395</t>
  </si>
  <si>
    <t>-594.609182780219 160.276793130025 -487.083752739402</t>
  </si>
  <si>
    <t>-593.271784983777 153.761087842948 -596.402610452502</t>
  </si>
  <si>
    <t>-585.455362489502 148.968870334956 -705.539087005849</t>
  </si>
  <si>
    <t>-567.796961786812 143.897077510172 -856.742516821166</t>
  </si>
  <si>
    <t>-529.837249314145 141.122938895875 -951.26427827744</t>
  </si>
  <si>
    <t>-576.638790147988 177.896395872231 -791.024877177953</t>
  </si>
  <si>
    <t>-557.655114771146 322.436434547868 -771.720951574543</t>
  </si>
  <si>
    <t>-479.863981909839 347.68989480914 -465.94820121272</t>
  </si>
  <si>
    <t>-273.373600450437 261.25479931188 -333.536810606971</t>
  </si>
  <si>
    <t>-574.581716020538 114.386064984944 -788.654528911045</t>
  </si>
  <si>
    <t>-337.169140415642 48.5325346122904 -479.167533411767</t>
  </si>
  <si>
    <t>-588.762299897266 280.124019403029 -256.020978976194</t>
  </si>
  <si>
    <t>-596.523002412025 279.508103703099 199.6072901971</t>
  </si>
  <si>
    <t>-617.926841430076 257.593924625207 668.396188684783</t>
  </si>
  <si>
    <t>-461.379956097553 267.335797205167 748.030820768146</t>
  </si>
  <si>
    <t>-546.829645380949 88.9342602798495 -239.41911624843</t>
  </si>
  <si>
    <t>-455.389354200787 75.5551481545544 206.806546405804</t>
  </si>
  <si>
    <t>-605.580114755536 1.64804694705663 646.098875995487</t>
  </si>
  <si>
    <t>-450.987538803476 -32.7957808960941 722.638180512185</t>
  </si>
  <si>
    <t>9763-20170724T170117.766902200.bin</t>
  </si>
  <si>
    <t>-568.408253973387 185.857909543535 -247.495098275872</t>
  </si>
  <si>
    <t>-589.708900038321 170.957885038496 -365.783342234995</t>
  </si>
  <si>
    <t>-595.412064886892 161.078021127176 -486.449934620132</t>
  </si>
  <si>
    <t>-593.969494859263 153.860836794579 -595.723331197292</t>
  </si>
  <si>
    <t>-585.97215158386 148.12599455283 -704.801332065911</t>
  </si>
  <si>
    <t>-567.992029861832 141.491550268435 -855.906257683051</t>
  </si>
  <si>
    <t>-529.765699678713 138.227361940578 -950.304779424606</t>
  </si>
  <si>
    <t>-576.718517403523 176.176913184938 -790.532687541157</t>
  </si>
  <si>
    <t>-556.562684029365 320.731777008136 -772.350285583612</t>
  </si>
  <si>
    <t>-480.63183818891 347.647436184323 -466.251811387008</t>
  </si>
  <si>
    <t>-275.737620416249 256.544007820639 -334.492350858652</t>
  </si>
  <si>
    <t>-575.176809032143 112.677345975059 -787.561301029946</t>
  </si>
  <si>
    <t>-337.492169475363 47.8654008749547 -475.035405916683</t>
  </si>
  <si>
    <t>-589.126779623503 281.536671044309 -255.442819603276</t>
  </si>
  <si>
    <t>-596.780696954003 279.194726516062 200.181579720695</t>
  </si>
  <si>
    <t>-618.025139201594 256.092510058798 668.974797387933</t>
  </si>
  <si>
    <t>-461.285779662095 265.519711583127 748.267994062009</t>
  </si>
  <si>
    <t>-547.645642938449 90.1739944268418 -238.8981769186</t>
  </si>
  <si>
    <t>-455.042002649059 76.6102194836506 207.081986045689</t>
  </si>
  <si>
    <t>-605.51042908857 1.78197834707498 645.905592820465</t>
  </si>
  <si>
    <t>-451.026434011214 -32.9758940856154 722.522121951886</t>
  </si>
  <si>
    <t>9763-20170724T170117.798987900.bin</t>
  </si>
  <si>
    <t>-568.672606504606 186.794211514729 -247.226602043581</t>
  </si>
  <si>
    <t>-589.983804663102 171.977418603072 -365.523229116917</t>
  </si>
  <si>
    <t>-595.665466664523 161.692524483579 -486.156982039269</t>
  </si>
  <si>
    <t>-594.202824171608 153.912502509059 -595.391559665338</t>
  </si>
  <si>
    <t>-586.192247385609 147.419059005253 -704.425967953414</t>
  </si>
  <si>
    <t>-568.206988003612 139.528155308869 -855.469854857894</t>
  </si>
  <si>
    <t>-529.85486276563 135.778087837517 -949.799331504748</t>
  </si>
  <si>
    <t>-576.775319958535 174.760521980247 -790.368568355891</t>
  </si>
  <si>
    <t>-555.877181925289 319.326342943689 -773.189088035139</t>
  </si>
  <si>
    <t>-480.817270987977 347.567592050918 -466.995285586172</t>
  </si>
  <si>
    <t>-277.173310293964 253.974504884641 -335.042412030935</t>
  </si>
  <si>
    <t>-575.554440639782 111.278877357364 -786.906725582429</t>
  </si>
  <si>
    <t>-338.025463620569 48.7986303332823 -473.712666101059</t>
  </si>
  <si>
    <t>-588.9899901053 282.575038176074 -255.199262403919</t>
  </si>
  <si>
    <t>-596.750709786742 279.382679610204 200.418167692771</t>
  </si>
  <si>
    <t>-618.044206972228 255.57600482924 669.174062964139</t>
  </si>
  <si>
    <t>-461.240020818162 264.892633301829 748.352024482748</t>
  </si>
  <si>
    <t>-548.218696695272 91.0077930641717 -238.625616245528</t>
  </si>
  <si>
    <t>-455.00244637358 77.112158873922 207.216617240171</t>
  </si>
  <si>
    <t>-605.4968785036 1.69465179906251 645.881379302686</t>
  </si>
  <si>
    <t>-451.024494944092 -33.0592742619465 722.523146604263</t>
  </si>
  <si>
    <t>9763-20170724T170117.864691400.bin</t>
  </si>
  <si>
    <t>-568.718592690059 189.425597990956 -246.750536390234</t>
  </si>
  <si>
    <t>-589.945792334657 174.634360175588 -365.0655063563</t>
  </si>
  <si>
    <t>-595.541432047289 163.423390851574 -485.620766253692</t>
  </si>
  <si>
    <t>-594.025739791424 154.428887735968 -594.761327218481</t>
  </si>
  <si>
    <t>-586.001259539256 146.351932575371 -703.688776323499</t>
  </si>
  <si>
    <t>-568.049842898232 135.881905285455 -854.579937243076</t>
  </si>
  <si>
    <t>-529.583498502947 130.969194053286 -948.809392154421</t>
  </si>
  <si>
    <t>-576.257399126472 172.228861178342 -790.047388957275</t>
  </si>
  <si>
    <t>-553.812689139035 316.744833399663 -774.922060158803</t>
  </si>
  <si>
    <t>-480.255191675321 348.320609692434 -468.68935227995</t>
  </si>
  <si>
    <t>-278.996665060133 251.229747537275 -335.608859609117</t>
  </si>
  <si>
    <t>-575.728172675597 108.800289004829 -785.583147382976</t>
  </si>
  <si>
    <t>-340.014227656864 51.7482247474734 -473.166097734276</t>
  </si>
  <si>
    <t>-587.761211138841 285.642278943693 -255.010280208226</t>
  </si>
  <si>
    <t>-596.230964185668 281.186077606565 200.583971613384</t>
  </si>
  <si>
    <t>-617.96647945496 255.762809642258 669.091538333306</t>
  </si>
  <si>
    <t>-461.21291345402 264.282406050833 748.45928441028</t>
  </si>
  <si>
    <t>-549.441423161985 93.1752892873865 -237.86691848299</t>
  </si>
  <si>
    <t>-454.404109351975 78.6712561267875 207.571354263353</t>
  </si>
  <si>
    <t>-605.47793898355 1.87803188172961 645.752792008181</t>
  </si>
  <si>
    <t>-451.083028441493 -33.0496486246598 722.471643941609</t>
  </si>
  <si>
    <t>9763-20170724T170117.899784500.bin</t>
  </si>
  <si>
    <t>-568.554763484509 191.224311436782 -246.499605900142</t>
  </si>
  <si>
    <t>-589.686215689851 176.345666300304 -364.82079714103</t>
  </si>
  <si>
    <t>-595.164482630319 164.705762598534 -485.340607983899</t>
  </si>
  <si>
    <t>-593.54339904409 155.188665515918 -594.435439563893</t>
  </si>
  <si>
    <t>-585.419717724427 146.457419605684 -703.305053109772</t>
  </si>
  <si>
    <t>-567.341538139443 134.943393543374 -854.105025142833</t>
  </si>
  <si>
    <t>-528.872318821535 129.489949588728 -948.303541583498</t>
  </si>
  <si>
    <t>-575.418940277308 171.738802687085 -789.81058656803</t>
  </si>
  <si>
    <t>-552.127326083518 316.21195443471 -775.517024297885</t>
  </si>
  <si>
    <t>-479.108525860521 349.437313823888 -469.329954833666</t>
  </si>
  <si>
    <t>-278.723443335421 251.923888555875 -335.244128095605</t>
  </si>
  <si>
    <t>-575.262195797603 108.337182475994 -784.950827393032</t>
  </si>
  <si>
    <t>-341.209427264477 53.0639228476489 -473.36856008259</t>
  </si>
  <si>
    <t>-587.050002105638 287.750020125226 -255.016820783631</t>
  </si>
  <si>
    <t>-595.962144299707 282.49448344655 200.560475757229</t>
  </si>
  <si>
    <t>-617.900558573125 256.077330148611 668.975671508206</t>
  </si>
  <si>
    <t>-461.20790167824 264.017091891241 748.523731058317</t>
  </si>
  <si>
    <t>-549.824731515964 94.7728884614426 -237.380525512209</t>
  </si>
  <si>
    <t>-453.758608227056 79.8375317418634 207.822725862684</t>
  </si>
  <si>
    <t>-605.486657439422 2.05347899081085 645.661423527806</t>
  </si>
  <si>
    <t>-451.216899621045 -33.3334064980791 722.421600856913</t>
  </si>
  <si>
    <t>9763-20170724T170117.961993900.bin</t>
  </si>
  <si>
    <t>-568.460712636264 195.307374961559 -245.770515163754</t>
  </si>
  <si>
    <t>-589.321782112815 180.078045330773 -364.095036888428</t>
  </si>
  <si>
    <t>-594.483343331418 167.657593048281 -484.551022511982</t>
  </si>
  <si>
    <t>-592.569200256999 157.262413905077 -593.560738795773</t>
  </si>
  <si>
    <t>-584.15309486656 147.483956097972 -702.319215582603</t>
  </si>
  <si>
    <t>-565.675587408347 134.339476238765 -852.93731280786</t>
  </si>
  <si>
    <t>-527.149952615375 127.849885935178 -947.047016826132</t>
  </si>
  <si>
    <t>-573.489396584622 171.830584459062 -789.013374879122</t>
  </si>
  <si>
    <t>-548.222798891859 316.087238352259 -775.924710260987</t>
  </si>
  <si>
    <t>-475.674997001046 351.747101442041 -469.899741182695</t>
  </si>
  <si>
    <t>-276.86102541884 252.864280305412 -334.484591930096</t>
  </si>
  <si>
    <t>-574.213298106208 108.480146730056 -783.573544925612</t>
  </si>
  <si>
    <t>-344.25198588936 54.4582857880559 -472.421834464717</t>
  </si>
  <si>
    <t>-585.947818137469 292.408219226773 -254.954500621931</t>
  </si>
  <si>
    <t>-596.096844870725 285.623526597425 200.576705028099</t>
  </si>
  <si>
    <t>-617.816000071317 256.801252793477 668.801477832023</t>
  </si>
  <si>
    <t>-461.231349346292 263.493613016903 748.676171357258</t>
  </si>
  <si>
    <t>-550.849790866955 98.2101817312575 -235.857125242065</t>
  </si>
  <si>
    <t>-451.215816986102 82.6194635808292 208.538762452229</t>
  </si>
  <si>
    <t>-605.438842414954 2.3813209968082 645.134999466833</t>
  </si>
  <si>
    <t>-451.369961273291 -33.5745667736308 722.034071525262</t>
  </si>
  <si>
    <t>9763-20170724T170117.995077500.bin</t>
  </si>
  <si>
    <t>-568.477245761878 197.293546845995 -245.302331076436</t>
  </si>
  <si>
    <t>-589.137984008884 181.811394738347 -363.629147090335</t>
  </si>
  <si>
    <t>-594.139468036766 169.043892995844 -484.055618472202</t>
  </si>
  <si>
    <t>-592.099829539947 158.295883604318 -593.02885068652</t>
  </si>
  <si>
    <t>-583.579162453131 148.12603746941 -701.743305944221</t>
  </si>
  <si>
    <t>-564.979505707444 134.397270697803 -852.294226853663</t>
  </si>
  <si>
    <t>-526.422734621623 127.499527646034 -946.362188210608</t>
  </si>
  <si>
    <t>-572.595648919103 172.135085181984 -788.491593195581</t>
  </si>
  <si>
    <t>-546.080002332579 316.230748246984 -775.823481972282</t>
  </si>
  <si>
    <t>-473.711219090233 352.452332186691 -469.821976115485</t>
  </si>
  <si>
    <t>-275.582855778643 252.147525315916 -334.447733847321</t>
  </si>
  <si>
    <t>-573.822958521139 108.808402151918 -782.86858644468</t>
  </si>
  <si>
    <t>-345.638984989363 55.444726070436 -471.858265007628</t>
  </si>
  <si>
    <t>-585.558101410054 294.754840305723 -254.875366023227</t>
  </si>
  <si>
    <t>-596.528362947995 287.218896507719 200.624862633999</t>
  </si>
  <si>
    <t>-617.774986549083 257.109219867507 668.744738456602</t>
  </si>
  <si>
    <t>-461.233764630229 263.223224442061 748.75080834992</t>
  </si>
  <si>
    <t>-551.214997217414 99.7850171362222 -235.040186870256</t>
  </si>
  <si>
    <t>-449.649836199277 84.3410507340236 208.923470320097</t>
  </si>
  <si>
    <t>-605.385173148116 2.57384889770265 644.731320059765</t>
  </si>
  <si>
    <t>-451.455201692046 -33.7322013389089 721.743940755515</t>
  </si>
  <si>
    <t>9763-20170724T170118.063772200.bin</t>
  </si>
  <si>
    <t>-568.979194404356 201.320943102189 -244.233506848009</t>
  </si>
  <si>
    <t>-589.234647024524 185.26708742086 -362.554418942922</t>
  </si>
  <si>
    <t>-593.958302898462 171.816832607106 -482.917727487516</t>
  </si>
  <si>
    <t>-591.723174069543 160.407726808687 -591.819950311814</t>
  </si>
  <si>
    <t>-583.064715059728 149.535865730873 -700.455493896027</t>
  </si>
  <si>
    <t>-564.334909532022 134.790258943651 -850.894014625073</t>
  </si>
  <si>
    <t>-525.729299075436 127.186448206976 -944.887554562561</t>
  </si>
  <si>
    <t>-571.515487239901 172.950930604697 -787.292742269124</t>
  </si>
  <si>
    <t>-542.787712502446 316.653207623122 -775.190090905775</t>
  </si>
  <si>
    <t>-470.445413702308 352.695884440334 -469.161055128551</t>
  </si>
  <si>
    <t>-273.657092868955 247.582545046265 -335.491362396732</t>
  </si>
  <si>
    <t>-573.729019200594 109.678609023798 -781.366459005508</t>
  </si>
  <si>
    <t>-348.279003486226 57.4800238122577 -470.604398316332</t>
  </si>
  <si>
    <t>-585.1898643211 299.634806482787 -254.647906907709</t>
  </si>
  <si>
    <t>-598.139505755372 290.605618543161 200.773323840072</t>
  </si>
  <si>
    <t>-617.777184945901 257.962274334262 668.676721497138</t>
  </si>
  <si>
    <t>-461.295732281316 262.418493910921 748.908889074218</t>
  </si>
  <si>
    <t>-552.627225078154 102.967209147036 -233.120406966131</t>
  </si>
  <si>
    <t>-445.843109774487 87.8825091722479 209.629338060984</t>
  </si>
  <si>
    <t>-605.199134721236 3.32689705042299 643.569570711169</t>
  </si>
  <si>
    <t>-451.767628990487 -34.2868470571239 720.94847828886</t>
  </si>
  <si>
    <t>9763-20170724T170118.095855100.bin</t>
  </si>
  <si>
    <t>-568.970598621061 202.901233277006 -243.765211583898</t>
  </si>
  <si>
    <t>-589.02463618841 186.566348350203 -362.081780373284</t>
  </si>
  <si>
    <t>-593.635070382813 172.835535492197 -482.417882072649</t>
  </si>
  <si>
    <t>-591.334287302522 161.177047014427 -591.292363530796</t>
  </si>
  <si>
    <t>-582.646877937396 150.063897958954 -699.901157912995</t>
  </si>
  <si>
    <t>-563.914731068708 134.993949607714 -850.307284148405</t>
  </si>
  <si>
    <t>-525.295235587954 127.137928739009 -944.274381460429</t>
  </si>
  <si>
    <t>-570.897095787862 173.286393755076 -786.763194448695</t>
  </si>
  <si>
    <t>-541.199440412351 316.818439019177 -774.796574994002</t>
  </si>
  <si>
    <t>-468.842407359967 352.363657199391 -468.712902237594</t>
  </si>
  <si>
    <t>-272.705033011528 245.055302739194 -335.832776536752</t>
  </si>
  <si>
    <t>-573.509140698388 110.037536691681 -780.751349910747</t>
  </si>
  <si>
    <t>-349.194325858632 58.3980194684807 -470.060160231569</t>
  </si>
  <si>
    <t>-584.896106479252 301.748704231987 -254.553751101185</t>
  </si>
  <si>
    <t>-598.966447301111 292.050326182311 200.820404984047</t>
  </si>
  <si>
    <t>-617.77453950981 258.356188281314 668.647631764444</t>
  </si>
  <si>
    <t>-461.315044325615 261.928162365917 748.966874623842</t>
  </si>
  <si>
    <t>-552.832703953567 103.926607164762 -232.354383176604</t>
  </si>
  <si>
    <t>-443.992044199254 89.614766211278 209.919885428238</t>
  </si>
  <si>
    <t>-605.082772858664 3.67825600656238 642.947380762971</t>
  </si>
  <si>
    <t>-451.944278415777 -34.6808364838162 720.540540931077</t>
  </si>
  <si>
    <t>9763-20170724T170118.163812500.bin</t>
  </si>
  <si>
    <t>-568.863593827562 205.833422718439 -243.204701056963</t>
  </si>
  <si>
    <t>-588.536587990925 189.146873681138 -361.536140586776</t>
  </si>
  <si>
    <t>-592.936935139917 175.076399981834 -481.84086826926</t>
  </si>
  <si>
    <t>-590.51713003279 163.122693258302 -590.680778984456</t>
  </si>
  <si>
    <t>-581.781446345083 151.732566555815 -699.257007795089</t>
  </si>
  <si>
    <t>-563.055100104494 136.301237522613 -849.627229387704</t>
  </si>
  <si>
    <t>-524.390884924609 128.069095443963 -943.543577419423</t>
  </si>
  <si>
    <t>-569.6857067757 174.734380720194 -786.130266317874</t>
  </si>
  <si>
    <t>-538.435516692809 317.926537503541 -774.249674265871</t>
  </si>
  <si>
    <t>-465.650870095647 352.950807431825 -468.207446042576</t>
  </si>
  <si>
    <t>-270.704377365642 242.625832595008 -336.047296032469</t>
  </si>
  <si>
    <t>-572.996128758761 111.524013430517 -780.055860403764</t>
  </si>
  <si>
    <t>-350.498299518968 59.1685643924177 -470.379179541378</t>
  </si>
  <si>
    <t>-584.236874517914 305.761273607059 -254.505887606496</t>
  </si>
  <si>
    <t>-600.356599824106 294.656229538328 200.768221437332</t>
  </si>
  <si>
    <t>-617.702272326427 259.124759674961 668.486408438496</t>
  </si>
  <si>
    <t>-461.333640058787 260.944335194892 749.041065256079</t>
  </si>
  <si>
    <t>-553.38013315705 106.100217711472 -231.269382217679</t>
  </si>
  <si>
    <t>-441.343117206961 92.6763992480958 210.233916815237</t>
  </si>
  <si>
    <t>-604.968090506076 4.28220901223949 641.821607261893</t>
  </si>
  <si>
    <t>-452.291572456156 -35.1670642093659 719.777649837048</t>
  </si>
  <si>
    <t>9763-20170724T170118.196900000.bin</t>
  </si>
  <si>
    <t>-568.897586577974 207.220160110245 -243.064846787935</t>
  </si>
  <si>
    <t>-588.37055240601 190.443101270145 -361.416583266747</t>
  </si>
  <si>
    <t>-592.69785244214 176.288414810694 -481.713987982987</t>
  </si>
  <si>
    <t>-590.264015852753 164.263809680558 -590.545816061565</t>
  </si>
  <si>
    <t>-581.566214747599 152.810027101996 -699.118434093598</t>
  </si>
  <si>
    <t>-562.94567785458 137.300468196403 -849.493678442499</t>
  </si>
  <si>
    <t>-524.306437316053 128.937402139886 -943.408767821949</t>
  </si>
  <si>
    <t>-569.388391309812 175.760547478232 -785.993675179132</t>
  </si>
  <si>
    <t>-537.485717513327 318.827582989966 -774.148955951782</t>
  </si>
  <si>
    <t>-464.368917087619 353.527486384256 -468.148902568918</t>
  </si>
  <si>
    <t>-269.888401208814 242.24525897209 -336.104760322687</t>
  </si>
  <si>
    <t>-572.980948911493 112.565471810926 -779.920658172719</t>
  </si>
  <si>
    <t>-350.928606147625 58.8833165511364 -470.306597032676</t>
  </si>
  <si>
    <t>-584.049768211334 307.533281494166 -254.529781779694</t>
  </si>
  <si>
    <t>-600.874175530083 295.795185342729 200.702971055105</t>
  </si>
  <si>
    <t>-617.625772629644 259.355484605855 668.399777085864</t>
  </si>
  <si>
    <t>-461.305287534082 260.534140458762 749.059784527251</t>
  </si>
  <si>
    <t>-553.742520218207 107.144055467406 -230.965508333679</t>
  </si>
  <si>
    <t>-440.327036976173 93.8480383604081 210.189603506856</t>
  </si>
  <si>
    <t>-604.888158927703 4.65431675224795 641.233569756205</t>
  </si>
  <si>
    <t>-452.498637041362 -35.4695142933597 719.406642013853</t>
  </si>
  <si>
    <t>9763-20170724T170118.264084100.bin</t>
  </si>
  <si>
    <t>-569.209986652588 209.825017215785 -242.964550251404</t>
  </si>
  <si>
    <t>-588.585198257548 193.129462374474 -361.34380698716</t>
  </si>
  <si>
    <t>-592.924589421271 178.99250964945 -481.642932665234</t>
  </si>
  <si>
    <t>-590.547939197785 166.959139740372 -590.474869984907</t>
  </si>
  <si>
    <t>-581.954125004372 155.474267928726 -699.0526256302</t>
  </si>
  <si>
    <t>-563.527214517573 139.899090164685 -849.444915972634</t>
  </si>
  <si>
    <t>-524.941913701115 131.328302402175 -943.363435018041</t>
  </si>
  <si>
    <t>-569.654531291367 178.375517467068 -785.923832353868</t>
  </si>
  <si>
    <t>-536.777178409391 321.203166744293 -773.981724651769</t>
  </si>
  <si>
    <t>-462.791628343643 355.500858841384 -468.14516062526</t>
  </si>
  <si>
    <t>-269.025773720761 242.595051263337 -336.429101415731</t>
  </si>
  <si>
    <t>-573.706578498716 115.205653032342 -779.878138509385</t>
  </si>
  <si>
    <t>-350.908907453871 56.0649209191445 -468.243385955958</t>
  </si>
  <si>
    <t>-583.857146716808 310.612043793979 -254.48032708446</t>
  </si>
  <si>
    <t>-601.604636323853 297.601215643246 200.682695446158</t>
  </si>
  <si>
    <t>-617.506219095367 259.628793725718 668.298429453523</t>
  </si>
  <si>
    <t>-461.242922551861 259.57693620217 749.077679643291</t>
  </si>
  <si>
    <t>-554.674264384645 109.278461070612 -230.800868334866</t>
  </si>
  <si>
    <t>-439.4297537968 95.8076080962001 209.874664243551</t>
  </si>
  <si>
    <t>-604.831983178303 5.26768588851837 640.299495545943</t>
  </si>
  <si>
    <t>-452.890796249257 -35.8950187399107 718.804416637078</t>
  </si>
  <si>
    <t>9763-20170724T170118.303189300.bin</t>
  </si>
  <si>
    <t>-569.425821909165 210.971028146335 -242.99811956172</t>
  </si>
  <si>
    <t>-588.807641297428 194.364729286102 -361.38891556149</t>
  </si>
  <si>
    <t>-593.163578812707 180.27641158048 -481.693048878852</t>
  </si>
  <si>
    <t>-590.806976400359 168.27001301751 -590.528487361979</t>
  </si>
  <si>
    <t>-582.238695317362 156.795904625414 -699.109279010699</t>
  </si>
  <si>
    <t>-563.853587083327 141.218564968794 -849.506531503688</t>
  </si>
  <si>
    <t>-525.2716557438 132.588520594898 -943.421164784621</t>
  </si>
  <si>
    <t>-569.882485588702 179.691466606437 -785.974016873628</t>
  </si>
  <si>
    <t>-536.580226222241 322.419055451801 -773.97540358759</t>
  </si>
  <si>
    <t>-462.4754484679 356.517393493985 -468.145469869339</t>
  </si>
  <si>
    <t>-269.140625564283 242.046091861793 -337.149172373259</t>
  </si>
  <si>
    <t>-574.094436431178 116.530361469576 -779.947019121966</t>
  </si>
  <si>
    <t>-350.733808611521 54.2784448692908 -467.488078214046</t>
  </si>
  <si>
    <t>-583.814444387042 311.886828645195 -254.466755041493</t>
  </si>
  <si>
    <t>-601.68326428523 298.311721415738 200.675123305616</t>
  </si>
  <si>
    <t>-617.419646856536 259.612774172721 668.248671731847</t>
  </si>
  <si>
    <t>-461.183176464608 259.14515085032 749.078456386604</t>
  </si>
  <si>
    <t>-555.114091034545 110.284061057714 -230.857027271028</t>
  </si>
  <si>
    <t>-439.397672929594 96.5605432991515 209.686918993716</t>
  </si>
  <si>
    <t>-604.898731340319 5.4555087533206 639.984840770988</t>
  </si>
  <si>
    <t>-453.027033660862 -35.8331522876708 718.557959069725</t>
  </si>
  <si>
    <t>9763-20170724T170118.364898000.bin</t>
  </si>
  <si>
    <t>-569.805154870905 213.044874498395 -243.096338108692</t>
  </si>
  <si>
    <t>-589.284859134139 196.6161665943 -361.495868749466</t>
  </si>
  <si>
    <t>-593.708411160061 182.642619063428 -481.8110710022</t>
  </si>
  <si>
    <t>-591.401763165948 170.713211598688 -590.65592924476</t>
  </si>
  <si>
    <t>-582.87333257449 159.288876059312 -699.245096164791</t>
  </si>
  <si>
    <t>-564.533827070129 143.752330394421 -849.652258636379</t>
  </si>
  <si>
    <t>-525.938739502798 135.09421249455 -943.558724516495</t>
  </si>
  <si>
    <t>-570.413256169539 182.200832212611 -786.090649184491</t>
  </si>
  <si>
    <t>-536.350413167741 324.741996361711 -773.96695542211</t>
  </si>
  <si>
    <t>-462.106651615983 358.112051750617 -468.090377156424</t>
  </si>
  <si>
    <t>-269.472551621977 240.284860521753 -339.052042859969</t>
  </si>
  <si>
    <t>-574.883736080592 119.052686711713 -780.11284802914</t>
  </si>
  <si>
    <t>-351.651105003329 51.9437814863638 -468.960139990152</t>
  </si>
  <si>
    <t>-583.702140575671 314.059307115322 -254.446740075914</t>
  </si>
  <si>
    <t>-601.55456098939 299.528742993153 200.666268503026</t>
  </si>
  <si>
    <t>-617.244721746096 259.615405924361 668.136060106065</t>
  </si>
  <si>
    <t>-461.065198295013 258.576057947321 749.070481845695</t>
  </si>
  <si>
    <t>-555.921792770477 112.147119513209 -231.032143594208</t>
  </si>
  <si>
    <t>-439.451929049161 97.4412179341114 209.28158970797</t>
  </si>
  <si>
    <t>-605.047185227459 5.57742802587336 639.434243145739</t>
  </si>
  <si>
    <t>-453.28201450685 -35.9153826605923 718.10567974728</t>
  </si>
  <si>
    <t>9763-20170724T170118.395984400.bin</t>
  </si>
  <si>
    <t>-570.128533763025 214.052021539139 -243.154465614791</t>
  </si>
  <si>
    <t>-589.651527927233 197.732091817384 -361.561981259402</t>
  </si>
  <si>
    <t>-594.123274761191 183.825029518846 -481.88310939406</t>
  </si>
  <si>
    <t>-591.862835061067 171.936354109676 -590.73345642158</t>
  </si>
  <si>
    <t>-583.383682805072 160.532673277532 -699.328614349789</t>
  </si>
  <si>
    <t>-565.116368553239 145.003115252864 -849.745032073925</t>
  </si>
  <si>
    <t>-526.520488572622 136.358929673648 -943.652721029713</t>
  </si>
  <si>
    <t>-570.892268647014 183.444349764571 -786.16963522766</t>
  </si>
  <si>
    <t>-536.428156795802 325.870910332639 -773.964796110929</t>
  </si>
  <si>
    <t>-461.789848383796 358.858487759943 -468.142761434799</t>
  </si>
  <si>
    <t>-269.573989477411 239.189853457449 -340.179677675566</t>
  </si>
  <si>
    <t>-575.505850527696 120.304725890105 -780.211233636033</t>
  </si>
  <si>
    <t>-352.379523800244 51.2285744570358 -470.552500082425</t>
  </si>
  <si>
    <t>-583.733836776374 315.007467277808 -254.428948155133</t>
  </si>
  <si>
    <t>-601.526120049128 300.036849889668 200.672236409759</t>
  </si>
  <si>
    <t>-617.14342254199 259.528071464942 668.08409239679</t>
  </si>
  <si>
    <t>-460.993469153615 258.252255871893 749.072254830506</t>
  </si>
  <si>
    <t>-556.59018409532 113.293627465702 -231.140936570822</t>
  </si>
  <si>
    <t>-439.637011486478 97.806466327135 209.017856019736</t>
  </si>
  <si>
    <t>-605.109935860253 5.82790684748306 639.175924622311</t>
  </si>
  <si>
    <t>-453.512501838593 -36.1697588836723 717.90278169312</t>
  </si>
  <si>
    <t>9763-20170724T170118.464671700.bin</t>
  </si>
  <si>
    <t>-570.628116537137 215.650014101206 -243.306814408258</t>
  </si>
  <si>
    <t>-590.176337507283 199.581758970564 -361.744456363461</t>
  </si>
  <si>
    <t>-594.73607003589 185.815197567841 -482.078280293717</t>
  </si>
  <si>
    <t>-592.5824055346 174.002092600058 -590.939081469395</t>
  </si>
  <si>
    <t>-584.23847578286 162.619805594814 -699.547019839801</t>
  </si>
  <si>
    <t>-566.190057178249 147.060298143446 -849.986824777335</t>
  </si>
  <si>
    <t>-527.562071592677 138.391286552132 -943.878901611831</t>
  </si>
  <si>
    <t>-571.687132210372 185.502128076227 -786.387218943042</t>
  </si>
  <si>
    <t>-536.195389170377 327.687264722521 -774.127600391918</t>
  </si>
  <si>
    <t>-460.443753428146 359.315461433736 -468.435785251079</t>
  </si>
  <si>
    <t>-269.178240892535 236.762949767165 -341.785049678342</t>
  </si>
  <si>
    <t>-576.664743737578 122.387642334808 -780.456664169704</t>
  </si>
  <si>
    <t>-354.103231580386 51.5018244740897 -474.153622922716</t>
  </si>
  <si>
    <t>-583.680357567481 316.551110432008 -254.407532186968</t>
  </si>
  <si>
    <t>-601.435799078473 300.882945037507 200.671517561549</t>
  </si>
  <si>
    <t>-616.967506932816 259.437920873278 667.99383289178</t>
  </si>
  <si>
    <t>-460.865713303947 257.953657991794 749.07113408775</t>
  </si>
  <si>
    <t>-557.456083726956 114.835999415726 -231.511760450308</t>
  </si>
  <si>
    <t>-440.152449453316 98.2620457427054 208.514211028638</t>
  </si>
  <si>
    <t>-605.266666500698 5.88376747958705 638.780214928077</t>
  </si>
  <si>
    <t>-453.67003705645 -36.0094588096283 717.564266557115</t>
  </si>
  <si>
    <t>9763-20170724T170118.496755600.bin</t>
  </si>
  <si>
    <t>-570.791059656686 216.260063400212 -243.391765739324</t>
  </si>
  <si>
    <t>-590.385540656363 200.307113222563 -361.837326066418</t>
  </si>
  <si>
    <t>-594.978754744019 186.611802647175 -482.178072878142</t>
  </si>
  <si>
    <t>-592.85102698427 174.842697754846 -591.044173507359</t>
  </si>
  <si>
    <t>-584.529321367035 163.483023228873 -699.656163672489</t>
  </si>
  <si>
    <t>-566.50849078311 147.931895900022 -850.100096439845</t>
  </si>
  <si>
    <t>-527.83969263143 139.211770062028 -943.970725489908</t>
  </si>
  <si>
    <t>-571.914869786805 186.364919528127 -786.48731685524</t>
  </si>
  <si>
    <t>-535.973058487145 328.40876946364 -774.176319300391</t>
  </si>
  <si>
    <t>-459.474577502436 359.195555742751 -468.584506134483</t>
  </si>
  <si>
    <t>-268.384230842045 235.945465260138 -342.346929313062</t>
  </si>
  <si>
    <t>-577.049392946127 123.260769900278 -780.579266651039</t>
  </si>
  <si>
    <t>-355.016560826333 52.0930171915691 -475.481477994736</t>
  </si>
  <si>
    <t>-583.601390440252 317.172058886596 -254.413598643008</t>
  </si>
  <si>
    <t>-601.350362259236 301.190628576607 200.65478971444</t>
  </si>
  <si>
    <t>-616.878044447051 259.354288531945 667.943234586082</t>
  </si>
  <si>
    <t>-460.800769577453 257.715097101807 749.064830098241</t>
  </si>
  <si>
    <t>-557.862653572499 115.369043042318 -231.695671118773</t>
  </si>
  <si>
    <t>-440.414628210761 98.4635713782018 208.279160719109</t>
  </si>
  <si>
    <t>-605.324926860317 6.02039648575305 638.597781705907</t>
  </si>
  <si>
    <t>-453.776160803982 -35.9640442866771 717.425380333122</t>
  </si>
  <si>
    <t>9763-20170724T170118.565533500.bin</t>
  </si>
  <si>
    <t>-571.25176654699 217.360560133013 -243.562284916707</t>
  </si>
  <si>
    <t>-590.928649995625 201.625164723916 -362.023411364357</t>
  </si>
  <si>
    <t>-595.589171205469 187.977401663998 -482.366999016406</t>
  </si>
  <si>
    <t>-593.519598560442 176.176442800169 -591.230656479575</t>
  </si>
  <si>
    <t>-585.255865897028 164.707214574803 -699.835502855421</t>
  </si>
  <si>
    <t>-567.317944260716 148.919862876026 -850.264907125174</t>
  </si>
  <si>
    <t>-528.656029959046 139.993365176557 -944.118894796365</t>
  </si>
  <si>
    <t>-572.499491011607 187.438949267707 -786.685421319878</t>
  </si>
  <si>
    <t>-535.772777071889 329.302871481262 -774.38927163816</t>
  </si>
  <si>
    <t>-457.637987494368 358.35118017758 -469.041284750261</t>
  </si>
  <si>
    <t>-266.796157079866 234.673818723976 -342.845561926873</t>
  </si>
  <si>
    <t>-578.010359777486 124.371568935137 -780.723821055433</t>
  </si>
  <si>
    <t>-358.062284304444 55.4060648685511 -479.444657784428</t>
  </si>
  <si>
    <t>-583.598194892163 318.310331255735 -254.431601368611</t>
  </si>
  <si>
    <t>-601.204147697464 301.78588288156 200.622992119523</t>
  </si>
  <si>
    <t>-616.705246267107 259.191657121287 667.853875979159</t>
  </si>
  <si>
    <t>-460.671141973334 257.350265743304 749.054169098704</t>
  </si>
  <si>
    <t>-558.820810221995 116.537795831747 -231.968684720991</t>
  </si>
  <si>
    <t>-441.001650785601 98.9373099320801 207.879595034703</t>
  </si>
  <si>
    <t>-605.496487011935 6.33876014731482 638.358423220038</t>
  </si>
  <si>
    <t>-454.050122708319 -35.9751492124765 717.206653933621</t>
  </si>
  <si>
    <t>9763-20170724T170118.594610300.bin</t>
  </si>
  <si>
    <t>-571.431975173301 217.901126447611 -243.598874418362</t>
  </si>
  <si>
    <t>-591.066640436898 202.241796900265 -362.077017299276</t>
  </si>
  <si>
    <t>-595.728112933571 188.60603621782 -482.421964345941</t>
  </si>
  <si>
    <t>-593.678326291547 176.786656630113 -591.283992022</t>
  </si>
  <si>
    <t>-585.454198237604 165.26826391719 -699.886743025703</t>
  </si>
  <si>
    <t>-567.592786914401 149.37921407632 -850.31453441317</t>
  </si>
  <si>
    <t>-528.926720177804 140.344902118793 -944.156260704178</t>
  </si>
  <si>
    <t>-572.632037760977 187.932868814943 -786.744407922598</t>
  </si>
  <si>
    <t>-535.34850215604 329.6375894398 -774.583810405889</t>
  </si>
  <si>
    <t>-456.381972694515 358.225880111997 -469.406627327084</t>
  </si>
  <si>
    <t>-265.735602814826 235.12093328703 -342.358748441049</t>
  </si>
  <si>
    <t>-578.359747839659 124.886423207906 -780.765234168482</t>
  </si>
  <si>
    <t>-358.876700834904 57.518591534239 -479.947332536763</t>
  </si>
  <si>
    <t>-583.569641520029 318.850148539251 -254.435025282719</t>
  </si>
  <si>
    <t>-601.193981473256 302.094508211117 200.610276505679</t>
  </si>
  <si>
    <t>-616.641757646193 259.174570035256 667.819635565172</t>
  </si>
  <si>
    <t>-460.626679709899 256.987732328665 749.047878790603</t>
  </si>
  <si>
    <t>-559.153628347418 117.024195241853 -232.059771005</t>
  </si>
  <si>
    <t>-441.188984670162 99.1893069288558 207.740091715387</t>
  </si>
  <si>
    <t>-605.574814229303 6.47817726688686 638.251046718043</t>
  </si>
  <si>
    <t>-454.223798498241 -36.1305299366545 717.123589374602</t>
  </si>
  <si>
    <t>9763-20170724T170118.663321300.bin</t>
  </si>
  <si>
    <t>-571.792991120874 218.748261037031 -243.663876470349</t>
  </si>
  <si>
    <t>-591.509507533868 203.203150981977 -362.143535974062</t>
  </si>
  <si>
    <t>-596.311617305381 189.544107971061 -482.480312447344</t>
  </si>
  <si>
    <t>-594.415426572985 177.646526641059 -591.336652379747</t>
  </si>
  <si>
    <t>-586.37313596619 165.991943237601 -699.938399679579</t>
  </si>
  <si>
    <t>-568.795112268241 149.853366108344 -850.372922985247</t>
  </si>
  <si>
    <t>-530.194073795833 140.532942776198 -944.213578555503</t>
  </si>
  <si>
    <t>-573.589673170356 188.502213828354 -786.842016467211</t>
  </si>
  <si>
    <t>-535.821030128744 330.117935484478 -774.912213434365</t>
  </si>
  <si>
    <t>-454.816177705915 357.295176231747 -470.140428126648</t>
  </si>
  <si>
    <t>-264.116720101139 235.823220639305 -341.609081768011</t>
  </si>
  <si>
    <t>-579.555998337663 125.486135043064 -780.778760826184</t>
  </si>
  <si>
    <t>-360.333851481861 59.7345459899493 -480.212957547345</t>
  </si>
  <si>
    <t>-583.592892581688 319.709158870979 -254.436000727886</t>
  </si>
  <si>
    <t>-601.121110583633 302.546483146704 200.597918322748</t>
  </si>
  <si>
    <t>-616.508122228507 259.013396674269 667.760001654811</t>
  </si>
  <si>
    <t>-460.513407423904 256.63514567336 749.022017267868</t>
  </si>
  <si>
    <t>-559.943216923106 117.938158617433 -232.178445471054</t>
  </si>
  <si>
    <t>-441.437803250335 99.5814588118421 207.454530660464</t>
  </si>
  <si>
    <t>-605.678816560348 6.86837851170617 638.024282154139</t>
  </si>
  <si>
    <t>-454.433885060151 -36.0009563015904 716.959057869951</t>
  </si>
  <si>
    <t>9763-20170724T170118.696409500.bin</t>
  </si>
  <si>
    <t>-571.946901478354 219.192991771862 -243.629157717898</t>
  </si>
  <si>
    <t>-591.71723601853 203.682951739706 -362.104249565881</t>
  </si>
  <si>
    <t>-596.549840088587 190.006599455959 -482.437949580209</t>
  </si>
  <si>
    <t>-594.672859189519 178.071629249363 -591.290506267628</t>
  </si>
  <si>
    <t>-586.64213090628 166.357957316242 -699.88674163512</t>
  </si>
  <si>
    <t>-569.073225364837 150.113901281964 -850.311040487551</t>
  </si>
  <si>
    <t>-530.492991417766 140.687656401863 -944.149729751498</t>
  </si>
  <si>
    <t>-573.834665097276 188.804886069275 -786.803090761031</t>
  </si>
  <si>
    <t>-536.019177847347 330.383639859175 -774.882330432565</t>
  </si>
  <si>
    <t>-453.739401488773 357.090157675529 -470.410690755031</t>
  </si>
  <si>
    <t>-262.736987872459 236.555682812378 -341.447184005806</t>
  </si>
  <si>
    <t>-579.859162985457 125.79793185527 -780.702714816957</t>
  </si>
  <si>
    <t>-360.222444844355 59.4346787115517 -479.882084443738</t>
  </si>
  <si>
    <t>-583.650014156474 320.112337559827 -254.399617660021</t>
  </si>
  <si>
    <t>-601.12283740485 302.729711446869 200.628021832624</t>
  </si>
  <si>
    <t>-616.42811318132 258.809690471557 667.753458177915</t>
  </si>
  <si>
    <t>-460.429229145599 256.637277239175 749.013178229175</t>
  </si>
  <si>
    <t>-560.187063378578 118.439492176405 -232.161270551359</t>
  </si>
  <si>
    <t>-441.481006954919 99.7706429979637 207.404443246107</t>
  </si>
  <si>
    <t>-605.766954482691 6.91424324161903 637.955392452808</t>
  </si>
  <si>
    <t>-454.545140182702 -36.0489092490382 716.883484108273</t>
  </si>
  <si>
    <t>9763-20170724T170118.765639800.bin</t>
  </si>
  <si>
    <t>-572.399914315885 220.29405167908 -243.590540986466</t>
  </si>
  <si>
    <t>-592.246390598773 204.737414828595 -362.046867530192</t>
  </si>
  <si>
    <t>-597.110442661511 191.050340770687 -482.377862938821</t>
  </si>
  <si>
    <t>-595.242385179611 179.115041828348 -591.23071070056</t>
  </si>
  <si>
    <t>-587.200532448695 167.408051598216 -699.826886993134</t>
  </si>
  <si>
    <t>-569.595182277283 151.177708127958 -850.248273362302</t>
  </si>
  <si>
    <t>-530.926057505655 141.658729652412 -944.041131657629</t>
  </si>
  <si>
    <t>-574.329604316798 189.859448066388 -786.732733694966</t>
  </si>
  <si>
    <t>-536.260599634551 331.384283937279 -774.796789942944</t>
  </si>
  <si>
    <t>-451.870867210151 357.02530973338 -470.811496709372</t>
  </si>
  <si>
    <t>-259.79544123675 238.909501365746 -341.205577005482</t>
  </si>
  <si>
    <t>-580.440370410455 126.858899644972 -780.650270502555</t>
  </si>
  <si>
    <t>-360.946246714465 58.4850721246628 -481.320433544576</t>
  </si>
  <si>
    <t>-584.048406856296 321.123229223129 -254.380562724173</t>
  </si>
  <si>
    <t>-601.316762957052 303.375108353761 200.640790756291</t>
  </si>
  <si>
    <t>-616.292418536446 258.738987682076 667.699050231813</t>
  </si>
  <si>
    <t>-460.324444111546 256.235424890356 749.008546304382</t>
  </si>
  <si>
    <t>-560.720989019995 119.590428144633 -232.074676360889</t>
  </si>
  <si>
    <t>-441.438649803185 100.405013347052 207.31276302418</t>
  </si>
  <si>
    <t>-605.888341484426 7.04888204078134 637.726325881071</t>
  </si>
  <si>
    <t>-454.65371285618 -35.8574064450108 716.660729552411</t>
  </si>
  <si>
    <t>9763-20170724T170118.797724100.bin</t>
  </si>
  <si>
    <t>-572.666036041899 220.804713182988 -243.569760900355</t>
  </si>
  <si>
    <t>-592.499608527146 205.222245689465 -362.024808121348</t>
  </si>
  <si>
    <t>-597.382534062329 191.540395475784 -482.355760294274</t>
  </si>
  <si>
    <t>-595.543164061473 179.620947562009 -591.2106805884</t>
  </si>
  <si>
    <t>-587.541234954878 167.939003649265 -699.812548887878</t>
  </si>
  <si>
    <t>-570.002547924223 151.75215066958 -850.246474051467</t>
  </si>
  <si>
    <t>-531.283451212136 142.218837729205 -944.017025409493</t>
  </si>
  <si>
    <t>-574.688910622188 190.413658138704 -786.715014415169</t>
  </si>
  <si>
    <t>-536.365389743654 331.877278764862 -774.761666915361</t>
  </si>
  <si>
    <t>-450.651926941064 357.213516340106 -471.121251351978</t>
  </si>
  <si>
    <t>-258.271575853317 240.241829328225 -340.93103746474</t>
  </si>
  <si>
    <t>-580.83686279999 127.414839758092 -780.653164510388</t>
  </si>
  <si>
    <t>-360.854363211515 58.2606868593152 -482.17942143197</t>
  </si>
  <si>
    <t>-584.328099938134 321.571742270389 -254.378562037376</t>
  </si>
  <si>
    <t>-601.455745303665 303.62607007424 200.64037588289</t>
  </si>
  <si>
    <t>-616.234682429755 258.683626852391 667.681240725262</t>
  </si>
  <si>
    <t>-460.272927440979 256.141090275433 749.001428050474</t>
  </si>
  <si>
    <t>-560.93974126805 120.156022069234 -232.072837144513</t>
  </si>
  <si>
    <t>-441.485849258826 100.779583179656 207.259572460918</t>
  </si>
  <si>
    <t>-605.918267102027 7.21760398991159 637.588945042438</t>
  </si>
  <si>
    <t>-454.685813265374 -35.6582283106532 716.544108724477</t>
  </si>
  <si>
    <t>9763-20170724T170118.864415600.bin</t>
  </si>
  <si>
    <t>-573.174427592656 221.708599276112 -243.645782633161</t>
  </si>
  <si>
    <t>-592.995599569706 206.113559465353 -362.101322784124</t>
  </si>
  <si>
    <t>-597.96471655675 192.35586115438 -482.420080725248</t>
  </si>
  <si>
    <t>-596.244231549082 180.338323798575 -591.266130861456</t>
  </si>
  <si>
    <t>-588.402613351286 168.526826504696 -699.865588236999</t>
  </si>
  <si>
    <t>-571.130453026134 152.124906867568 -850.307187016481</t>
  </si>
  <si>
    <t>-532.397659232848 142.399466466888 -944.052389388909</t>
  </si>
  <si>
    <t>-575.678957492775 190.875268338267 -786.819734501727</t>
  </si>
  <si>
    <t>-537.185075872778 332.305672628569 -775.056511219007</t>
  </si>
  <si>
    <t>-448.449767224757 356.351625556503 -472.180389110669</t>
  </si>
  <si>
    <t>-255.240995535986 241.89955053465 -340.981489872309</t>
  </si>
  <si>
    <t>-581.866690988249 127.889420770822 -780.663098236378</t>
  </si>
  <si>
    <t>-361.282488208333 57.3963011439541 -483.569092065453</t>
  </si>
  <si>
    <t>-584.991367033161 322.324437041611 -254.399663186629</t>
  </si>
  <si>
    <t>-601.687840827187 304.025971975061 200.621312573069</t>
  </si>
  <si>
    <t>-616.12204205109 258.550033767952 667.643155749539</t>
  </si>
  <si>
    <t>-460.165296551569 256.054374453157 748.97439904011</t>
  </si>
  <si>
    <t>-561.258245282508 121.182157977081 -232.240706325976</t>
  </si>
  <si>
    <t>-441.782623081121 101.692125707362 207.080826925375</t>
  </si>
  <si>
    <t>-605.980517732473 7.4893970670264 637.368865965018</t>
  </si>
  <si>
    <t>-454.794837983333 -35.4538043184295 716.377036409226</t>
  </si>
  <si>
    <t>9763-20170724T170118.897503400.bin</t>
  </si>
  <si>
    <t>-573.496456341776 222.125994735657 -243.729269056402</t>
  </si>
  <si>
    <t>-593.314753610435 206.544275782169 -362.187067565691</t>
  </si>
  <si>
    <t>-598.323325763785 192.759764830285 -482.501104304331</t>
  </si>
  <si>
    <t>-596.656432324554 180.700031316699 -591.343396448939</t>
  </si>
  <si>
    <t>-588.886819428645 168.827027272118 -699.941279888532</t>
  </si>
  <si>
    <t>-571.734258995395 152.318987624934 -850.384905971348</t>
  </si>
  <si>
    <t>-533.047336446535 142.485840276668 -944.137849878248</t>
  </si>
  <si>
    <t>-576.228117553453 191.113625693358 -786.920848063008</t>
  </si>
  <si>
    <t>-537.697601442404 332.544750565344 -775.225755565115</t>
  </si>
  <si>
    <t>-447.496215424417 355.996852030232 -472.736169267209</t>
  </si>
  <si>
    <t>-253.850791442493 242.361314374774 -341.471173039359</t>
  </si>
  <si>
    <t>-582.419343237884 128.132931939906 -780.715709667792</t>
  </si>
  <si>
    <t>-361.572920780202 57.224069668931 -484.488447498071</t>
  </si>
  <si>
    <t>-585.392461461793 322.636889822089 -254.422721274157</t>
  </si>
  <si>
    <t>-601.897117265705 304.173584559075 200.598508350202</t>
  </si>
  <si>
    <t>-616.067181823652 258.442199423197 667.624039742078</t>
  </si>
  <si>
    <t>-460.112212279732 255.904270423418 748.957400252385</t>
  </si>
  <si>
    <t>-561.5407118699 121.698816273384 -232.370028692641</t>
  </si>
  <si>
    <t>-442.087111160131 102.09832680834 206.952588015362</t>
  </si>
  <si>
    <t>-606.026631309525 7.72291018593432 637.316728976654</t>
  </si>
  <si>
    <t>-454.930247874852 -35.4932751173417 716.346795002283</t>
  </si>
  <si>
    <t>9763-20170724T170118.964214700.bin</t>
  </si>
  <si>
    <t>-574.360455851041 222.915646649908 -243.797468217756</t>
  </si>
  <si>
    <t>-594.126891845436 207.376620104276 -362.269667223843</t>
  </si>
  <si>
    <t>-599.216288676778 193.523993370734 -482.572496927733</t>
  </si>
  <si>
    <t>-597.678657410033 181.356161482362 -591.404578882984</t>
  </si>
  <si>
    <t>-590.09584932879 169.327406094495 -699.998486085879</t>
  </si>
  <si>
    <t>-573.264014942826 152.552038753189 -850.448815378961</t>
  </si>
  <si>
    <t>-534.716405225272 142.455718222019 -944.231153038378</t>
  </si>
  <si>
    <t>-577.599718609321 191.457487151463 -787.041494839111</t>
  </si>
  <si>
    <t>-539.11310584645 332.919575750201 -775.61979866295</t>
  </si>
  <si>
    <t>-446.455425608007 355.249984207232 -473.788567862125</t>
  </si>
  <si>
    <t>-251.344581676731 245.265556341279 -341.587003946784</t>
  </si>
  <si>
    <t>-583.823447489854 128.491753443543 -780.717070185217</t>
  </si>
  <si>
    <t>-362.327339984745 56.6293696228345 -485.388607567851</t>
  </si>
  <si>
    <t>-586.269066176146 323.258041508866 -254.432056991064</t>
  </si>
  <si>
    <t>-602.414961798667 304.477876677423 200.589136969639</t>
  </si>
  <si>
    <t>-615.960796701384 258.267771764395 667.590094914031</t>
  </si>
  <si>
    <t>-460.00044076053 255.932870475474 748.919238669237</t>
  </si>
  <si>
    <t>-562.408124580847 122.718981221622 -232.462246365428</t>
  </si>
  <si>
    <t>-442.810538970331 102.445813871175 206.790632414642</t>
  </si>
  <si>
    <t>-606.181116797763 7.82813336326535 637.316748185951</t>
  </si>
  <si>
    <t>-454.914308089992 -34.887047553892 716.293195972032</t>
  </si>
  <si>
    <t>9763-20170724T170118.996299300.bin</t>
  </si>
  <si>
    <t>-574.779545366713 223.266319624009 -243.830543953709</t>
  </si>
  <si>
    <t>-594.549881358632 207.731298635382 -362.302399015801</t>
  </si>
  <si>
    <t>-599.68489626887 193.828447938893 -482.597521386901</t>
  </si>
  <si>
    <t>-598.206636249469 181.592745455381 -591.422939544904</t>
  </si>
  <si>
    <t>-590.701956254598 169.473738640983 -700.012280065947</t>
  </si>
  <si>
    <t>-573.998862405498 152.549183418502 -850.460211354879</t>
  </si>
  <si>
    <t>-535.510994714706 142.306130658406 -944.251174618087</t>
  </si>
  <si>
    <t>-578.267945755475 191.516290470495 -787.086291758174</t>
  </si>
  <si>
    <t>-539.84044072389 333.005205365636 -775.744069027686</t>
  </si>
  <si>
    <t>-446.060252521608 355.164046745274 -474.246972583124</t>
  </si>
  <si>
    <t>-250.519747845973 246.239818834298 -341.802721428332</t>
  </si>
  <si>
    <t>-584.511009560591 128.559253429029 -780.697136509311</t>
  </si>
  <si>
    <t>-362.744726171708 56.446094262282 -484.591377103105</t>
  </si>
  <si>
    <t>-586.678162152425 323.516026352052 -254.44128768631</t>
  </si>
  <si>
    <t>-602.648814143583 304.604391192641 200.580657743084</t>
  </si>
  <si>
    <t>-615.911454283945 258.180562931332 667.573615818752</t>
  </si>
  <si>
    <t>-459.952750814143 255.828973903935 748.905391506385</t>
  </si>
  <si>
    <t>-562.82781722419 123.082754263971 -232.513703639687</t>
  </si>
  <si>
    <t>-443.1811889368 102.66049041361 206.718925361783</t>
  </si>
  <si>
    <t>-606.259534072719 7.86433969377276 637.325981090951</t>
  </si>
  <si>
    <t>-454.948414175428 -34.7600269688512 716.266636821723</t>
  </si>
  <si>
    <t>9763-20170724T170119.065526100.bin</t>
  </si>
  <si>
    <t>-575.628567890503 223.865433495278 -243.764308788164</t>
  </si>
  <si>
    <t>-595.472485553507 208.304418380735 -362.220495672168</t>
  </si>
  <si>
    <t>-600.665154564011 194.25332166524 -482.495933620557</t>
  </si>
  <si>
    <t>-599.235335802259 181.833391497661 -591.300988702438</t>
  </si>
  <si>
    <t>-591.77738114169 169.479217311855 -699.867072019626</t>
  </si>
  <si>
    <t>-575.139468839259 152.173852613013 -850.27899307277</t>
  </si>
  <si>
    <t>-536.73434446616 141.687204655296 -944.077001934025</t>
  </si>
  <si>
    <t>-579.331674362697 191.297041578195 -786.996119443576</t>
  </si>
  <si>
    <t>-540.844992878634 332.793864655898 -775.945360344361</t>
  </si>
  <si>
    <t>-446.155137864083 355.94953844336 -474.807760607807</t>
  </si>
  <si>
    <t>-250.513754834119 247.236216443985 -342.339194158267</t>
  </si>
  <si>
    <t>-585.670806950463 128.364863727396 -780.456741522216</t>
  </si>
  <si>
    <t>-362.976386097859 55.315657124283 -482.647338345961</t>
  </si>
  <si>
    <t>-587.380001933483 324.011205000961 -254.441192365161</t>
  </si>
  <si>
    <t>-603.001965519712 304.948158548024 200.586560506499</t>
  </si>
  <si>
    <t>-615.823891451691 258.106104744357 667.546242349605</t>
  </si>
  <si>
    <t>-459.88560333253 255.378388241039 748.905448406843</t>
  </si>
  <si>
    <t>-563.790832796809 123.777998063781 -232.426405213839</t>
  </si>
  <si>
    <t>-443.584755958224 103.124515883434 206.642586808012</t>
  </si>
  <si>
    <t>-606.409259933783 8.1242382205437 637.31836204059</t>
  </si>
  <si>
    <t>-455.048767844842 -34.4598852099061 716.186010174255</t>
  </si>
  <si>
    <t>9763-20170724T170119.098615000.bin</t>
  </si>
  <si>
    <t>-576.00113964792 223.980022846634 -243.739303666259</t>
  </si>
  <si>
    <t>-595.953927362273 208.396757312299 -362.17428217912</t>
  </si>
  <si>
    <t>-601.222061001713 194.260168937892 -482.436321304126</t>
  </si>
  <si>
    <t>-599.848222001187 181.737237207263 -591.230308036507</t>
  </si>
  <si>
    <t>-592.434911064244 169.254257141219 -699.784844810828</t>
  </si>
  <si>
    <t>-575.848090896976 151.743403973431 -850.178479122465</t>
  </si>
  <si>
    <t>-537.465943993726 141.111156631561 -943.969442706384</t>
  </si>
  <si>
    <t>-579.985131563019 190.949930292262 -786.94367493708</t>
  </si>
  <si>
    <t>-541.421434038621 332.440134796922 -776.045606039536</t>
  </si>
  <si>
    <t>-446.710738853509 356.476195908845 -474.983497691855</t>
  </si>
  <si>
    <t>-251.131355659961 247.778126781025 -342.410871540595</t>
  </si>
  <si>
    <t>-586.389387857122 128.032799823509 -780.324192830103</t>
  </si>
  <si>
    <t>-362.971709647122 54.1856876703475 -482.518872887665</t>
  </si>
  <si>
    <t>-587.603535898804 324.072219047532 -254.447211318972</t>
  </si>
  <si>
    <t>-603.095824818577 304.993820809612 200.584265854176</t>
  </si>
  <si>
    <t>-615.773073112593 258.083004949486 667.522740122662</t>
  </si>
  <si>
    <t>-459.845306532323 255.418773822436 748.904232338402</t>
  </si>
  <si>
    <t>-564.351039521123 123.907141446352 -232.359949692859</t>
  </si>
  <si>
    <t>-443.702047272287 103.105940534083 206.580549990814</t>
  </si>
  <si>
    <t>-606.474232801843 8.08063232963741 637.292465027309</t>
  </si>
  <si>
    <t>-455.048719901162 -34.3242476405542 716.131831743024</t>
  </si>
  <si>
    <t>9763-20170724T170119.165893300.bin</t>
  </si>
  <si>
    <t>-576.577532233089 224.07820761345 -243.771898625163</t>
  </si>
  <si>
    <t>-596.641351226218 208.490837883695 -362.187624592666</t>
  </si>
  <si>
    <t>-602.047281471881 194.18366741283 -482.423456934154</t>
  </si>
  <si>
    <t>-600.812657383878 181.440031876616 -591.193506996021</t>
  </si>
  <si>
    <t>-593.555542729131 168.67130964164 -699.725224890083</t>
  </si>
  <si>
    <t>-577.205612266962 150.696005390685 -850.09007982613</t>
  </si>
  <si>
    <t>-538.90738949626 139.72988109474 -943.876924546095</t>
  </si>
  <si>
    <t>-581.159803352843 190.090279529062 -786.960205507792</t>
  </si>
  <si>
    <t>-542.366153692828 331.53406098421 -776.479444931547</t>
  </si>
  <si>
    <t>-447.494445703675 356.896370892136 -475.576909681677</t>
  </si>
  <si>
    <t>-252.086505357662 248.040205623824 -342.88117148265</t>
  </si>
  <si>
    <t>-587.720095831831 127.208793328886 -780.156412780258</t>
  </si>
  <si>
    <t>-362.014956572711 51.6428223381934 -481.06816075087</t>
  </si>
  <si>
    <t>-587.965421508777 324.246289847494 -254.508825395194</t>
  </si>
  <si>
    <t>-603.149538111428 305.12854099129 200.53147673563</t>
  </si>
  <si>
    <t>-615.719709219988 258.177891442101 667.494015927144</t>
  </si>
  <si>
    <t>-459.832241565181 254.790629171057 748.92578817642</t>
  </si>
  <si>
    <t>-565.033461943995 123.940093077519 -232.404719127487</t>
  </si>
  <si>
    <t>-444.120037626335 103.352521710544 206.473125008825</t>
  </si>
  <si>
    <t>-606.629793796825 8.45371475048796 637.293771831434</t>
  </si>
  <si>
    <t>-455.270532095528 -34.3006598255263 716.071623671028</t>
  </si>
  <si>
    <t>9763-20170724T170119.198981800.bin</t>
  </si>
  <si>
    <t>-576.756482542307 223.975923086386 -243.808600058119</t>
  </si>
  <si>
    <t>-596.934686397597 208.392715985185 -362.205402471474</t>
  </si>
  <si>
    <t>-602.487531862026 194.049646526295 -482.430337611312</t>
  </si>
  <si>
    <t>-601.399257073784 181.258820049333 -591.196443273048</t>
  </si>
  <si>
    <t>-594.302185308533 168.429083357041 -699.731586954138</t>
  </si>
  <si>
    <t>-578.189110916435 150.355373286641 -850.11019948083</t>
  </si>
  <si>
    <t>-539.973225812271 139.263378301955 -943.915774931656</t>
  </si>
  <si>
    <t>-582.011546313739 189.787804082087 -786.996001557106</t>
  </si>
  <si>
    <t>-543.02192953372 331.202837288862 -776.656396930136</t>
  </si>
  <si>
    <t>-447.910051437839 357.01716068059 -475.868101044399</t>
  </si>
  <si>
    <t>-252.655387519629 247.889456920295 -343.170152626368</t>
  </si>
  <si>
    <t>-588.625774329708 126.91690471704 -780.148430136414</t>
  </si>
  <si>
    <t>-361.795265810122 51.2486488080788 -481.123028884178</t>
  </si>
  <si>
    <t>-588.069180306359 324.164312759346 -254.540219455308</t>
  </si>
  <si>
    <t>-603.094482025699 305.053368883367 200.505546741398</t>
  </si>
  <si>
    <t>-615.671629961847 258.130262463925 667.472216216505</t>
  </si>
  <si>
    <t>-459.795825411709 254.707017369538 748.924777591137</t>
  </si>
  <si>
    <t>-565.352001722935 123.854061726799 -232.417390748906</t>
  </si>
  <si>
    <t>-444.272198599173 103.325941381473 206.417389289484</t>
  </si>
  <si>
    <t>-606.696091810828 8.48868010923093 637.28318475001</t>
  </si>
  <si>
    <t>-455.322033101548 -34.2478710639871 716.042276532988</t>
  </si>
  <si>
    <t>9763-20170724T170119.264662400.bin</t>
  </si>
  <si>
    <t>-577.445359417918 223.922664979609 -243.750667566261</t>
  </si>
  <si>
    <t>-597.76075994645 208.321527656104 -362.12165074631</t>
  </si>
  <si>
    <t>-603.471649204344 193.82386423794 -482.320550646061</t>
  </si>
  <si>
    <t>-602.537721353733 180.83874585202 -591.065034920338</t>
  </si>
  <si>
    <t>-595.608165392378 167.76136317209 -699.58143745445</t>
  </si>
  <si>
    <t>-579.743227188142 149.288814567595 -849.937977524764</t>
  </si>
  <si>
    <t>-541.698498940121 137.945912498981 -943.7831297658</t>
  </si>
  <si>
    <t>-583.410488885794 188.88386108369 -786.916621294603</t>
  </si>
  <si>
    <t>-544.217128111442 330.242117995638 -776.923391024225</t>
  </si>
  <si>
    <t>-448.728610153204 356.307695306392 -476.276204146424</t>
  </si>
  <si>
    <t>-253.734898528017 246.993669568015 -343.347961683375</t>
  </si>
  <si>
    <t>-590.11549311669 126.040690837249 -779.903198647456</t>
  </si>
  <si>
    <t>-362.307693847431 49.9694993656733 -479.868945930094</t>
  </si>
  <si>
    <t>-588.570124713605 323.995203214081 -254.515165806883</t>
  </si>
  <si>
    <t>-603.271751415197 304.881737316381 200.541161287583</t>
  </si>
  <si>
    <t>-615.603507555724 257.695700839758 667.537625240918</t>
  </si>
  <si>
    <t>-459.696328441381 254.289252728361 748.930886661867</t>
  </si>
  <si>
    <t>-566.243243972537 123.950401819334 -232.297636537425</t>
  </si>
  <si>
    <t>-444.45327975408 103.202503386815 206.330206991922</t>
  </si>
  <si>
    <t>-606.841812094804 8.63498471314165 637.273219930833</t>
  </si>
  <si>
    <t>-455.4208389927 -34.0488499658368 715.970685072224</t>
  </si>
  <si>
    <t>9763-20170724T170119.294742400.bin</t>
  </si>
  <si>
    <t>-577.762595995839 223.720925573275 -243.723233691854</t>
  </si>
  <si>
    <t>-598.187149315012 208.083625976384 -362.070765194156</t>
  </si>
  <si>
    <t>-604.005859998157 193.589980993238 -482.264896014546</t>
  </si>
  <si>
    <t>-603.167047066198 180.621580542446 -591.012207374</t>
  </si>
  <si>
    <t>-596.329544359475 167.572017359863 -699.537801865823</t>
  </si>
  <si>
    <t>-580.588741902143 149.148124926142 -849.91330691973</t>
  </si>
  <si>
    <t>-542.622462114202 137.78260265693 -943.787421594137</t>
  </si>
  <si>
    <t>-584.160066513973 188.718733130194 -786.871003231159</t>
  </si>
  <si>
    <t>-544.627703774376 330.005950066555 -776.856850272672</t>
  </si>
  <si>
    <t>-449.233628951288 355.613903622072 -476.140332372124</t>
  </si>
  <si>
    <t>-254.198711367794 246.235442618894 -343.325463037091</t>
  </si>
  <si>
    <t>-590.947044700613 125.881552125811 -779.882597544545</t>
  </si>
  <si>
    <t>-362.373258279588 50.2193424216355 -479.149930430148</t>
  </si>
  <si>
    <t>-588.972190340354 323.678777174822 -254.458814712013</t>
  </si>
  <si>
    <t>-603.468257839237 304.60298953062 200.605537738219</t>
  </si>
  <si>
    <t>-615.623942028384 257.248254377166 667.654949129552</t>
  </si>
  <si>
    <t>-459.639658297189 254.164235959623 748.913125321455</t>
  </si>
  <si>
    <t>-566.472130638261 123.799317450363 -232.286439092074</t>
  </si>
  <si>
    <t>-444.581015163611 103.17207735531 206.319040874914</t>
  </si>
  <si>
    <t>-606.889668013117 8.71240713544194 637.26374686033</t>
  </si>
  <si>
    <t>-455.445620506355 -33.8950367876603 715.958189587171</t>
  </si>
  <si>
    <t>9763-20170724T170119.364235100.bin</t>
  </si>
  <si>
    <t>-578.740100667081 223.004147320694 -243.446277061123</t>
  </si>
  <si>
    <t>-599.258276790118 207.317119649219 -361.77087382367</t>
  </si>
  <si>
    <t>-605.174987452799 192.740086760823 -481.950136649994</t>
  </si>
  <si>
    <t>-604.426757689584 179.681142729773 -590.687307375361</t>
  </si>
  <si>
    <t>-597.682325967598 166.52451235162 -699.205814178356</t>
  </si>
  <si>
    <t>-582.073955347617 147.933715376854 -849.574694307415</t>
  </si>
  <si>
    <t>-544.276171359008 136.448254268088 -943.502183559329</t>
  </si>
  <si>
    <t>-585.554656858501 187.570887535124 -786.569071469983</t>
  </si>
  <si>
    <t>-545.856190216954 328.806592508317 -776.617378942155</t>
  </si>
  <si>
    <t>-450.173711727543 353.580112684741 -475.922579684834</t>
  </si>
  <si>
    <t>-255.074036021892 244.392657353684 -343.045848036325</t>
  </si>
  <si>
    <t>-592.405706997776 124.748286578554 -779.513171599343</t>
  </si>
  <si>
    <t>-363.331156937704 49.2000659171415 -477.460824361347</t>
  </si>
  <si>
    <t>-590.109543713863 322.519410381256 -254.131746009175</t>
  </si>
  <si>
    <t>-604.042030647612 303.441618200031 200.950288818719</t>
  </si>
  <si>
    <t>-615.74358991828 255.860184316925 668.117511302781</t>
  </si>
  <si>
    <t>-459.469522888656 253.603606021372 748.844417449023</t>
  </si>
  <si>
    <t>-567.320345114352 123.509777622661 -232.021864209089</t>
  </si>
  <si>
    <t>-445.010341170901 102.98141231765 206.47156915397</t>
  </si>
  <si>
    <t>-606.993666293713 8.8129128761459 637.38280152425</t>
  </si>
  <si>
    <t>-455.540754970894 -33.7712838943289 716.07277794158</t>
  </si>
  <si>
    <t>9763-20170724T170119.394299900.bin</t>
  </si>
  <si>
    <t>-579.115414444521 222.770229982034 -243.295130034377</t>
  </si>
  <si>
    <t>-599.733587086186 207.051160695959 -361.598100739708</t>
  </si>
  <si>
    <t>-605.735942644051 192.447515817117 -481.769933647847</t>
  </si>
  <si>
    <t>-605.058691711302 179.365204209142 -590.504786829845</t>
  </si>
  <si>
    <t>-598.378462033259 166.185368952653 -699.02439356915</t>
  </si>
  <si>
    <t>-582.852258792255 147.561530178978 -849.397537718509</t>
  </si>
  <si>
    <t>-545.138734043433 136.073905573192 -943.358684275728</t>
  </si>
  <si>
    <t>-586.288523778168 187.211554821502 -786.397691157953</t>
  </si>
  <si>
    <t>-546.532042810794 328.439507952277 -776.507338779266</t>
  </si>
  <si>
    <t>-450.658343324375 353.016657852936 -475.857313012688</t>
  </si>
  <si>
    <t>-255.552036294116 243.927886640583 -342.909180393774</t>
  </si>
  <si>
    <t>-593.155696335378 124.392545251032 -779.326409502343</t>
  </si>
  <si>
    <t>-364.015398952809 49.0623875790077 -476.730035104663</t>
  </si>
  <si>
    <t>-590.529514170605 322.165309258782 -253.969018108931</t>
  </si>
  <si>
    <t>-604.294812781582 303.127658479397 201.119756913141</t>
  </si>
  <si>
    <t>-615.758714793066 255.469345120334 668.239613536633</t>
  </si>
  <si>
    <t>-459.396920696185 253.326129817787 748.799587164838</t>
  </si>
  <si>
    <t>-567.631699100187 123.509360202051 -231.892214452611</t>
  </si>
  <si>
    <t>-445.221745634894 102.876948309386 206.568499331835</t>
  </si>
  <si>
    <t>-607.064356645683 8.91837091158936 637.501136518026</t>
  </si>
  <si>
    <t>-455.654373934907 -33.847622229647 716.175119499794</t>
  </si>
  <si>
    <t>9763-20170724T170119.464494300.bin</t>
  </si>
  <si>
    <t>-579.61083720373 222.543827492206 -243.117793675852</t>
  </si>
  <si>
    <t>-600.33620181647 206.818712032246 -361.401293129875</t>
  </si>
  <si>
    <t>-606.509587020723 192.185002498965 -481.560795560503</t>
  </si>
  <si>
    <t>-606.012529493868 179.066877402769 -590.292143486889</t>
  </si>
  <si>
    <t>-599.538023099918 165.842976782379 -698.818880838144</t>
  </si>
  <si>
    <t>-584.324187799431 147.149407569244 -849.21545124564</t>
  </si>
  <si>
    <t>-546.754092835353 135.632342545442 -943.230491710767</t>
  </si>
  <si>
    <t>-587.601846248782 186.825980401217 -786.223749788918</t>
  </si>
  <si>
    <t>-547.627391074395 328.005028595036 -776.44110827257</t>
  </si>
  <si>
    <t>-451.290042562215 352.877095921452 -475.963666331821</t>
  </si>
  <si>
    <t>-256.34029288299 244.329475720456 -342.34467974412</t>
  </si>
  <si>
    <t>-594.509835305607 124.015467152169 -779.115572419199</t>
  </si>
  <si>
    <t>-365.074678941992 48.8490612522514 -475.712319097736</t>
  </si>
  <si>
    <t>-590.948087759212 321.843269732458 -253.843287336043</t>
  </si>
  <si>
    <t>-604.43201178937 302.88847518851 201.257397292855</t>
  </si>
  <si>
    <t>-615.734798685084 255.337493821218 668.328012165467</t>
  </si>
  <si>
    <t>-459.309712205316 253.29622027955 748.7676124746</t>
  </si>
  <si>
    <t>-568.150768297151 123.335511736132 -231.740626288489</t>
  </si>
  <si>
    <t>-445.70126075931 102.746847698753 206.711100705002</t>
  </si>
  <si>
    <t>-607.237029578857 9.07795036017751 637.780839499717</t>
  </si>
  <si>
    <t>-455.768856254035 -33.6411967716376 716.368272174485</t>
  </si>
  <si>
    <t>9763-20170724T170119.498586700.bin</t>
  </si>
  <si>
    <t>-579.822865874297 222.526946250632 -243.05150907578</t>
  </si>
  <si>
    <t>-600.611577878918 206.80047961311 -361.323781714543</t>
  </si>
  <si>
    <t>-606.820822055647 192.126616688398 -481.476408026923</t>
  </si>
  <si>
    <t>-606.345915157914 178.956913866594 -590.201690851149</t>
  </si>
  <si>
    <t>-599.883917732003 165.666268737385 -698.720985756397</t>
  </si>
  <si>
    <t>-584.67786914289 146.865034832443 -849.104881251594</t>
  </si>
  <si>
    <t>-547.139598832765 135.29699528779 -943.126362327406</t>
  </si>
  <si>
    <t>-587.937355389563 186.585221658613 -786.139804446882</t>
  </si>
  <si>
    <t>-547.865932478668 327.737507088392 -776.474137269051</t>
  </si>
  <si>
    <t>-451.686225002182 353.202577367696 -475.995888977157</t>
  </si>
  <si>
    <t>-256.953916140131 245.082900679676 -341.714475103082</t>
  </si>
  <si>
    <t>-594.874795294465 123.782768528769 -778.989619706276</t>
  </si>
  <si>
    <t>-365.413002837098 48.1928101959049 -475.289342818724</t>
  </si>
  <si>
    <t>-591.012168471068 321.85750715727 -253.837974691663</t>
  </si>
  <si>
    <t>-604.41841364394 302.997384295082 201.268925167527</t>
  </si>
  <si>
    <t>-615.701348822569 255.492664860419 668.311287704195</t>
  </si>
  <si>
    <t>-459.297997759666 253.140859221581 748.784769865518</t>
  </si>
  <si>
    <t>-568.526327888652 123.343343425931 -231.62249651666</t>
  </si>
  <si>
    <t>-445.839199172694 102.652791522998 206.757986700927</t>
  </si>
  <si>
    <t>-607.322881762903 9.03214590828543 637.877876346846</t>
  </si>
  <si>
    <t>-455.793510588011 -33.5448940480449 716.424414021527</t>
  </si>
  <si>
    <t>9763-20170724T170119.564764500.bin</t>
  </si>
  <si>
    <t>-580.38230177796 222.240690946463 -243.015748198121</t>
  </si>
  <si>
    <t>-601.441977969353 206.506849741953 -361.239091404675</t>
  </si>
  <si>
    <t>-607.8162467081 191.790284569714 -481.377944567802</t>
  </si>
  <si>
    <t>-607.44755393825 178.566921534938 -590.097106412607</t>
  </si>
  <si>
    <t>-601.049008379214 165.20819359853 -698.611911195103</t>
  </si>
  <si>
    <t>-585.887153011843 146.29734337724 -848.986454884889</t>
  </si>
  <si>
    <t>-548.344378347796 134.623002835322 -942.993035833978</t>
  </si>
  <si>
    <t>-589.073485523184 186.058131394138 -786.04325259143</t>
  </si>
  <si>
    <t>-548.806102754085 327.175147226014 -776.45358153205</t>
  </si>
  <si>
    <t>-453.849924751803 353.814308479896 -475.68804516717</t>
  </si>
  <si>
    <t>-259.434992228703 246.724140961747 -340.127752942989</t>
  </si>
  <si>
    <t>-596.118111195594 123.271592951995 -778.857577382316</t>
  </si>
  <si>
    <t>-366.82825419269 48.0349464276615 -474.470938209186</t>
  </si>
  <si>
    <t>-591.328491729246 321.410477037733 -253.831403407974</t>
  </si>
  <si>
    <t>-604.132870321007 302.731382529126 201.300323986892</t>
  </si>
  <si>
    <t>-615.647657155953 255.132413474417 668.424580086712</t>
  </si>
  <si>
    <t>-459.204235085534 252.897122505909 748.823395522162</t>
  </si>
  <si>
    <t>-569.389090336334 123.048638171961 -231.538359669591</t>
  </si>
  <si>
    <t>-446.161483170404 102.438697061723 206.69426268963</t>
  </si>
  <si>
    <t>-607.443620264767 9.17601624231816 637.999313314804</t>
  </si>
  <si>
    <t>-455.95763103919 -33.5997040058153 716.521595433474</t>
  </si>
  <si>
    <t>9763-20170724T170119.596849800.bin</t>
  </si>
  <si>
    <t>-580.624395292567 221.95368569363 -242.980000347161</t>
  </si>
  <si>
    <t>-601.789912094151 206.240683615084 -361.18720274669</t>
  </si>
  <si>
    <t>-608.193731850573 191.504297214103 -481.322095820939</t>
  </si>
  <si>
    <t>-607.821568034348 178.247545482901 -590.037142788534</t>
  </si>
  <si>
    <t>-601.390146051487 164.840327238063 -698.54397082404</t>
  </si>
  <si>
    <t>-586.152588462827 145.847176485209 -848.900456882222</t>
  </si>
  <si>
    <t>-548.57605710256 134.106198941136 -942.885208914918</t>
  </si>
  <si>
    <t>-589.348108309646 185.640209540973 -785.978124986554</t>
  </si>
  <si>
    <t>-549.062839627586 326.724224006503 -776.445576232697</t>
  </si>
  <si>
    <t>-455.296441155645 354.514713153937 -475.411091672537</t>
  </si>
  <si>
    <t>-260.949051191628 248.342289152665 -339.034635635634</t>
  </si>
  <si>
    <t>-596.441346771742 122.862041771324 -778.766763603209</t>
  </si>
  <si>
    <t>-367.382748343897 47.1936301028068 -473.826227685614</t>
  </si>
  <si>
    <t>-591.342092049487 321.032725565086 -253.796292751406</t>
  </si>
  <si>
    <t>-603.913508840154 302.44919682956 201.345793297121</t>
  </si>
  <si>
    <t>-615.574822981907 254.83976938352 668.453432127943</t>
  </si>
  <si>
    <t>-459.118343099915 252.824504674745 748.832737584088</t>
  </si>
  <si>
    <t>-569.856841101358 122.895583018088 -231.501540066062</t>
  </si>
  <si>
    <t>-446.420983171919 102.239124782523 206.670265012416</t>
  </si>
  <si>
    <t>-607.517078286779 9.26071613469821 638.088470112395</t>
  </si>
  <si>
    <t>-456.041749960242 -33.5838533437088 716.59375288639</t>
  </si>
  <si>
    <t>9763-20170724T170119.663043800.bin</t>
  </si>
  <si>
    <t>-580.947784858429 221.505431324844 -242.973763168341</t>
  </si>
  <si>
    <t>-602.359945908458 205.851284270395 -361.144216147104</t>
  </si>
  <si>
    <t>-608.866242204286 191.047791631587 -481.265337544717</t>
  </si>
  <si>
    <t>-608.530884374835 177.681915498143 -589.96727086566</t>
  </si>
  <si>
    <t>-602.082186507019 164.119808888599 -698.453693853384</t>
  </si>
  <si>
    <t>-586.766334040192 144.864853372645 -848.769137062294</t>
  </si>
  <si>
    <t>-549.091288222321 132.900346338804 -942.686141122899</t>
  </si>
  <si>
    <t>-589.955490811552 184.763356032975 -785.913136456569</t>
  </si>
  <si>
    <t>-549.360435605993 325.804639275879 -776.669797558621</t>
  </si>
  <si>
    <t>-459.606320337712 356.955492952018 -474.742650474679</t>
  </si>
  <si>
    <t>-265.525888899686 253.018638012265 -336.279746736948</t>
  </si>
  <si>
    <t>-597.130730788587 122.005846905349 -778.605212386561</t>
  </si>
  <si>
    <t>-368.754212540856 45.87827543199 -473.964287987963</t>
  </si>
  <si>
    <t>-591.23323325773 320.686059948146 -253.803240885137</t>
  </si>
  <si>
    <t>-603.481840411848 302.303353372537 201.355773976944</t>
  </si>
  <si>
    <t>-615.486292906809 254.90759735232 668.43684653764</t>
  </si>
  <si>
    <t>-459.058286609622 252.675950645365 748.865769241198</t>
  </si>
  <si>
    <t>-570.596696297928 122.42869618022 -231.489276001572</t>
  </si>
  <si>
    <t>-446.822807848287 101.754757907426 206.586411545394</t>
  </si>
  <si>
    <t>-607.679404022746 9.3753168204878 638.273959535042</t>
  </si>
  <si>
    <t>-456.201933210935 -33.5751145339711 716.717201933645</t>
  </si>
  <si>
    <t>9763-20170724T170119.697134100.bin</t>
  </si>
  <si>
    <t>-581.07262876122 221.305612328898 -242.986332127458</t>
  </si>
  <si>
    <t>-602.600672760914 205.672494100987 -361.138526399174</t>
  </si>
  <si>
    <t>-609.151395662396 190.793234952967 -481.248059655841</t>
  </si>
  <si>
    <t>-608.829374570502 177.321378433598 -589.936676525803</t>
  </si>
  <si>
    <t>-602.368707050258 163.6168062034 -698.404767217955</t>
  </si>
  <si>
    <t>-587.011202026558 144.127207546102 -848.685392424078</t>
  </si>
  <si>
    <t>-549.271124156998 132.003845041874 -942.556072549152</t>
  </si>
  <si>
    <t>-590.195959898943 184.121512914837 -785.89040905733</t>
  </si>
  <si>
    <t>-549.677685379411 325.186324238308 -776.836663862651</t>
  </si>
  <si>
    <t>-462.462834492718 359.003531500328 -474.452503589834</t>
  </si>
  <si>
    <t>-268.724381508177 256.908991626855 -334.152276070678</t>
  </si>
  <si>
    <t>-597.416898803238 121.37988155308 -778.491350431864</t>
  </si>
  <si>
    <t>-369.516395564569 44.9338610447553 -474.725272175679</t>
  </si>
  <si>
    <t>-591.129685730187 320.568347025806 -253.850780844163</t>
  </si>
  <si>
    <t>-603.165875058499 302.326204436178 201.319433834952</t>
  </si>
  <si>
    <t>-615.426031054884 255.055146957673 668.384435079892</t>
  </si>
  <si>
    <t>-459.044733306324 252.492968472016 748.894286703127</t>
  </si>
  <si>
    <t>-570.91447431891 122.134059942115 -231.459005576031</t>
  </si>
  <si>
    <t>-446.92999063658 101.5917671776 206.563346088784</t>
  </si>
  <si>
    <t>-607.757181100365 9.4063348794989 638.329511750478</t>
  </si>
  <si>
    <t>-456.281664866089 -33.5880963733491 716.75240033378</t>
  </si>
  <si>
    <t>9763-20170724T170119.765328500.bin</t>
  </si>
  <si>
    <t>-580.873518783828 220.728060470837 -243.078340219256</t>
  </si>
  <si>
    <t>-602.675315978992 205.113767793111 -361.182880293488</t>
  </si>
  <si>
    <t>-609.354706365738 190.034988690139 -481.260321171644</t>
  </si>
  <si>
    <t>-609.094906489912 176.295458953975 -589.915793152735</t>
  </si>
  <si>
    <t>-602.645710641023 162.237458022108 -698.339178123722</t>
  </si>
  <si>
    <t>-587.254569157683 142.168463654559 -848.540245612276</t>
  </si>
  <si>
    <t>-549.375565912299 129.685254756184 -942.30766220788</t>
  </si>
  <si>
    <t>-590.374627000368 182.396631174981 -785.891419006585</t>
  </si>
  <si>
    <t>-550.428456043415 323.656637340946 -777.350393020079</t>
  </si>
  <si>
    <t>-470.709994823897 363.73968033694 -473.665498161342</t>
  </si>
  <si>
    <t>-277.975866564388 267.601468730823 -327.881275433588</t>
  </si>
  <si>
    <t>-597.754717912925 119.700138830922 -778.27041869563</t>
  </si>
  <si>
    <t>-370.321732011278 43.2757725031945 -475.742355904432</t>
  </si>
  <si>
    <t>-590.527012124232 320.078434317438 -253.992079917652</t>
  </si>
  <si>
    <t>-602.158474013473 302.164464023517 201.201738016246</t>
  </si>
  <si>
    <t>-615.243930013142 254.986536610352 668.269936631539</t>
  </si>
  <si>
    <t>-458.927451166355 252.715917278908 748.91432137919</t>
  </si>
  <si>
    <t>-571.084713733524 121.400439129827 -231.521346494536</t>
  </si>
  <si>
    <t>-446.924905826485 101.236489663916 206.468842803646</t>
  </si>
  <si>
    <t>-607.791756406315 9.50109765852721 638.285948576174</t>
  </si>
  <si>
    <t>-456.364299528298 -33.5074230582006 716.793920706479</t>
  </si>
  <si>
    <t>9763-20170724T170119.798411000.bin</t>
  </si>
  <si>
    <t>-580.546357085385 220.239318611518 -243.157686180351</t>
  </si>
  <si>
    <t>-602.490815404232 204.660296666574 -361.240569361464</t>
  </si>
  <si>
    <t>-609.188911172275 189.499765417362 -481.306686014757</t>
  </si>
  <si>
    <t>-608.898359144709 175.641108604711 -589.94688447007</t>
  </si>
  <si>
    <t>-602.372585403799 161.420613080244 -698.344419998024</t>
  </si>
  <si>
    <t>-586.829131224125 141.081748445074 -848.493394179059</t>
  </si>
  <si>
    <t>-548.840376303171 128.431046511041 -942.194090345301</t>
  </si>
  <si>
    <t>-589.998984920058 181.420904604856 -785.918601393382</t>
  </si>
  <si>
    <t>-550.267554679942 322.764735982716 -777.840194212268</t>
  </si>
  <si>
    <t>-476.163665888136 366.697353176208 -473.267097480719</t>
  </si>
  <si>
    <t>-283.697590027047 275.873281931168 -323.768460370651</t>
  </si>
  <si>
    <t>-597.414325901941 118.741059493745 -778.195731934885</t>
  </si>
  <si>
    <t>-369.87762437136 42.3237315105616 -475.548672981566</t>
  </si>
  <si>
    <t>-590.052532961267 319.596998659628 -254.051643648359</t>
  </si>
  <si>
    <t>-601.60056996921 301.883194676504 201.152150070941</t>
  </si>
  <si>
    <t>-615.194779655687 254.837588737413 668.284669091391</t>
  </si>
  <si>
    <t>-458.880897670996 252.426927001148 748.929968883272</t>
  </si>
  <si>
    <t>-570.884043764564 120.844402276883 -231.623830998908</t>
  </si>
  <si>
    <t>-446.798535180926 101.104996998034 206.406790908974</t>
  </si>
  <si>
    <t>-607.695408404843 9.71539235200862 638.179559787042</t>
  </si>
  <si>
    <t>-456.461080978224 -33.5492548924897 716.918786683902</t>
  </si>
  <si>
    <t>9763-20170724T170119.859580200.bin</t>
  </si>
  <si>
    <t>-579.891766803062 218.706759901618 -243.32214144648</t>
  </si>
  <si>
    <t>-602.26029795821 203.038975680771 -361.313509081913</t>
  </si>
  <si>
    <t>-608.930597749084 187.443884587316 -481.325514489413</t>
  </si>
  <si>
    <t>-608.439118056938 173.059168186695 -589.896723921258</t>
  </si>
  <si>
    <t>-601.542172193969 158.184182035406 -698.183365599875</t>
  </si>
  <si>
    <t>-585.311519074578 136.805648269102 -848.115199671554</t>
  </si>
  <si>
    <t>-547.029050272224 123.578388297682 -941.616349658703</t>
  </si>
  <si>
    <t>-588.870648494707 177.58808278256 -785.849187984999</t>
  </si>
  <si>
    <t>-549.954629718533 319.233603314075 -779.145817307453</t>
  </si>
  <si>
    <t>-487.781572266991 370.524962532871 -473.057700326074</t>
  </si>
  <si>
    <t>-297.214222516086 290.198759596588 -315.343295948724</t>
  </si>
  <si>
    <t>-596.115504044108 114.941969154879 -777.70082222959</t>
  </si>
  <si>
    <t>-369.526858398415 38.5644929523025 -474.966749383763</t>
  </si>
  <si>
    <t>-589.498832097298 317.92517491849 -254.216993415792</t>
  </si>
  <si>
    <t>-600.098733838629 300.801917226681 201.032477794492</t>
  </si>
  <si>
    <t>-615.095646519115 253.946308560648 668.378769021658</t>
  </si>
  <si>
    <t>-458.63918790795 252.547763050156 748.771180593244</t>
  </si>
  <si>
    <t>-570.169229626687 119.500918597095 -231.82732329084</t>
  </si>
  <si>
    <t>-445.885834728879 101.102081487347 206.205504800007</t>
  </si>
  <si>
    <t>-607.142597918663 10.1974422575188 637.703399900612</t>
  </si>
  <si>
    <t>-456.773440422619 -33.3486370572241 717.930385256437</t>
  </si>
  <si>
    <t>9763-20170724T170119.898685000.bin</t>
  </si>
  <si>
    <t>-579.662580671271 217.460549521141 -243.056281074664</t>
  </si>
  <si>
    <t>-602.280089880791 201.640042238572 -360.979933518679</t>
  </si>
  <si>
    <t>-608.926606026523 185.779222032669 -480.958303466555</t>
  </si>
  <si>
    <t>-608.304842458627 171.109748546068 -589.490703805984</t>
  </si>
  <si>
    <t>-601.171172933248 155.905345403074 -697.716240458878</t>
  </si>
  <si>
    <t>-584.503177275924 134.023020305207 -847.527288191048</t>
  </si>
  <si>
    <t>-546.020725220201 120.527699704486 -940.908044971268</t>
  </si>
  <si>
    <t>-588.329821055864 175.022835930758 -785.420225308253</t>
  </si>
  <si>
    <t>-549.89922520546 316.834828750375 -779.379740696543</t>
  </si>
  <si>
    <t>-493.075979438217 371.599985999646 -472.85398164678</t>
  </si>
  <si>
    <t>-304.421591352562 293.619860924343 -311.699648365143</t>
  </si>
  <si>
    <t>-595.426644051155 112.38781094362 -777.060920042825</t>
  </si>
  <si>
    <t>-369.48518175297 36.336886270157 -474.153124981176</t>
  </si>
  <si>
    <t>-589.588333679426 316.551856513806 -254.010141923068</t>
  </si>
  <si>
    <t>-599.508357772639 299.870876604418 201.271120070521</t>
  </si>
  <si>
    <t>-615.235427212975 253.221433485813 668.719944113103</t>
  </si>
  <si>
    <t>-458.596787181485 252.697094030104 748.767321137727</t>
  </si>
  <si>
    <t>-569.684792192535 118.410675893975 -231.371491004402</t>
  </si>
  <si>
    <t>-445.17197102586 100.710004468121 206.624974842645</t>
  </si>
  <si>
    <t>-607.338263611682 10.0301776040728 638.052441328626</t>
  </si>
  <si>
    <t>-457.124094470019 -33.4883556340167 718.584155191621</t>
  </si>
  <si>
    <t>9763-20170724T170119.966498600.bin</t>
  </si>
  <si>
    <t>-579.634593771362 216.090327240358 -242.336417658091</t>
  </si>
  <si>
    <t>-602.306423297909 199.795210754818 -360.184884272912</t>
  </si>
  <si>
    <t>-608.682070010209 183.413725297996 -480.108081490333</t>
  </si>
  <si>
    <t>-607.685143626144 168.253792283319 -588.570141771439</t>
  </si>
  <si>
    <t>-600.048435357355 152.536849934639 -696.688214784767</t>
  </si>
  <si>
    <t>-582.551145249148 129.917508026415 -846.295086893344</t>
  </si>
  <si>
    <t>-543.621672936676 115.981469937871 -939.42546834216</t>
  </si>
  <si>
    <t>-586.911411035675 171.240224520934 -784.437628707356</t>
  </si>
  <si>
    <t>-549.347946401929 313.281899898826 -779.12569828476</t>
  </si>
  <si>
    <t>-499.977341040725 372.714243377374 -472.17867639409</t>
  </si>
  <si>
    <t>-314.900134672619 296.280825924328 -306.207473400673</t>
  </si>
  <si>
    <t>-593.674870424152 108.611634483278 -775.759751230012</t>
  </si>
  <si>
    <t>-368.829111076245 33.8576673525245 -472.056529624108</t>
  </si>
  <si>
    <t>-590.143924814433 314.802847660771 -253.637079978781</t>
  </si>
  <si>
    <t>-599.012170623534 298.918457463951 201.694342462144</t>
  </si>
  <si>
    <t>-615.113814159503 252.687369784535 668.902924475554</t>
  </si>
  <si>
    <t>-458.351934149157 253.068119340446 748.709386128314</t>
  </si>
  <si>
    <t>-569.061714483079 117.871044348392 -230.117591372108</t>
  </si>
  <si>
    <t>-443.875888106904 100.873748936342 207.714845165325</t>
  </si>
  <si>
    <t>-607.820189355387 12.7410788768411 638.575306841723</t>
  </si>
  <si>
    <t>-458.1998377771 -33.2064138102819 718.862828168875</t>
  </si>
  <si>
    <t>9763-20170724T170119.997580700.bin</t>
  </si>
  <si>
    <t>-579.563453052655 215.964775242859 -242.088788186553</t>
  </si>
  <si>
    <t>-602.191219502583 199.413432599362 -359.910058095571</t>
  </si>
  <si>
    <t>-608.403465498474 182.822052799447 -479.812825795755</t>
  </si>
  <si>
    <t>-607.209993785386 167.488496243439 -588.248558389462</t>
  </si>
  <si>
    <t>-599.328197945097 151.611738789259 -696.325598177237</t>
  </si>
  <si>
    <t>-581.44034966953 128.782943340964 -845.854499872619</t>
  </si>
  <si>
    <t>-542.289168951333 114.68072191597 -938.866879026472</t>
  </si>
  <si>
    <t>-586.050020724346 170.199910673194 -784.078231610288</t>
  </si>
  <si>
    <t>-548.882227512861 312.357617731256 -778.827028377206</t>
  </si>
  <si>
    <t>-500.999290329469 372.359332798457 -471.754930304918</t>
  </si>
  <si>
    <t>-317.228491915329 295.540511920324 -304.514921999645</t>
  </si>
  <si>
    <t>-592.660357949409 107.567995229427 -775.307023225028</t>
  </si>
  <si>
    <t>-368.369307003544 33.7955226856448 -470.630196822145</t>
  </si>
  <si>
    <t>-590.549783145538 314.313232062978 -253.558163425629</t>
  </si>
  <si>
    <t>-599.152156636189 298.835964719489 201.792455985311</t>
  </si>
  <si>
    <t>-615.083565751287 252.637002308492 668.998092953465</t>
  </si>
  <si>
    <t>-458.279401232259 253.033379739817 748.721443190026</t>
  </si>
  <si>
    <t>-568.373128937278 118.127157197007 -229.80701910356</t>
  </si>
  <si>
    <t>-443.385987052453 101.632743901448 208.101456152593</t>
  </si>
  <si>
    <t>-607.934545161861 13.7756550424704 638.72111389312</t>
  </si>
  <si>
    <t>-458.511535105064 -33.1078124058743 718.834872037526</t>
  </si>
  <si>
    <t>9763-20170724T170120.063359700.bin</t>
  </si>
  <si>
    <t>-580.495774484491 215.309268609235 -241.956269746424</t>
  </si>
  <si>
    <t>-603.043982971306 198.329665506345 -359.731866485012</t>
  </si>
  <si>
    <t>-609.007139439063 181.446264711813 -479.606641273557</t>
  </si>
  <si>
    <t>-607.517383405537 165.895798490642 -588.007844836809</t>
  </si>
  <si>
    <t>-599.268080135262 149.842758959707 -696.031354781872</t>
  </si>
  <si>
    <t>-580.79591961 126.805357694603 -845.457187724151</t>
  </si>
  <si>
    <t>-541.288184921031 112.471936095701 -938.283213238867</t>
  </si>
  <si>
    <t>-585.791329451091 168.320717211417 -783.776995639349</t>
  </si>
  <si>
    <t>-549.414251616177 310.698665877345 -778.487044978486</t>
  </si>
  <si>
    <t>-501.354023039336 368.816327416429 -471.080569230544</t>
  </si>
  <si>
    <t>-318.989566804908 289.615159900377 -303.412902509766</t>
  </si>
  <si>
    <t>-592.147223145729 105.676583922988 -774.904783377482</t>
  </si>
  <si>
    <t>-369.307359099344 34.5196990745144 -468.546815041758</t>
  </si>
  <si>
    <t>-592.152356963277 312.933597888701 -253.621334241787</t>
  </si>
  <si>
    <t>-600.33170562429 298.298785211367 201.764741438385</t>
  </si>
  <si>
    <t>-615.049432044807 252.433538954708 669.161657273319</t>
  </si>
  <si>
    <t>-458.134761126435 253.206341626413 748.664454982592</t>
  </si>
  <si>
    <t>-568.81787678059 117.78524573307 -229.669991945649</t>
  </si>
  <si>
    <t>-443.551057901104 101.490530427635 208.16598285609</t>
  </si>
  <si>
    <t>-607.973662268685 13.9041800716218 638.6868582467</t>
  </si>
  <si>
    <t>-458.536962687325 -32.7972022339541 718.881441209857</t>
  </si>
  <si>
    <t>9763-20170724T170120.096450000.bin</t>
  </si>
  <si>
    <t>-581.082166616296 214.234510249748 -242.136127489393</t>
  </si>
  <si>
    <t>-603.420835423162 197.108218896424 -359.930310090743</t>
  </si>
  <si>
    <t>-609.19879581759 180.11978424677 -479.799339669405</t>
  </si>
  <si>
    <t>-607.551788443639 164.490285615238 -588.186758904158</t>
  </si>
  <si>
    <t>-599.155399325665 148.373171564433 -696.189652323413</t>
  </si>
  <si>
    <t>-580.489404607552 125.261429663942 -845.579757167933</t>
  </si>
  <si>
    <t>-540.853140666646 110.905453802041 -938.347533004018</t>
  </si>
  <si>
    <t>-585.648829100728 166.814260585478 -783.938367438116</t>
  </si>
  <si>
    <t>-549.623333691043 309.290142565294 -778.74836324613</t>
  </si>
  <si>
    <t>-500.710276874631 367.479407271297 -471.489996247142</t>
  </si>
  <si>
    <t>-319.277648941228 285.121411575632 -304.33313992285</t>
  </si>
  <si>
    <t>-591.848213812953 104.161085838958 -775.020087179254</t>
  </si>
  <si>
    <t>-369.697535686905 34.7135858660251 -467.936905388302</t>
  </si>
  <si>
    <t>-593.032882130631 311.586631886531 -253.772356395663</t>
  </si>
  <si>
    <t>-600.963014620359 297.442021791399 201.6337304536</t>
  </si>
  <si>
    <t>-615.04913009903 252.156897326469 669.245924100236</t>
  </si>
  <si>
    <t>-458.045519809492 253.324354382332 748.568163841714</t>
  </si>
  <si>
    <t>-569.075963197715 116.84376645751 -229.944420527632</t>
  </si>
  <si>
    <t>-443.996608806512 100.725897092731 207.951701417759</t>
  </si>
  <si>
    <t>-607.870175024358 13.955100789889 638.700921865877</t>
  </si>
  <si>
    <t>-458.387227147852 -32.4763582676721 718.966022225131</t>
  </si>
  <si>
    <t>9763-20170724T170120.166641200.bin</t>
  </si>
  <si>
    <t>-582.110406922434 211.556094233563 -242.544063252966</t>
  </si>
  <si>
    <t>-603.995615832199 194.374063275912 -360.41528689354</t>
  </si>
  <si>
    <t>-609.314007483895 177.267439085848 -480.288692632133</t>
  </si>
  <si>
    <t>-607.253756754532 161.508879796557 -588.650502248477</t>
  </si>
  <si>
    <t>-598.448777573833 145.240929510162 -696.598012746035</t>
  </si>
  <si>
    <t>-579.221711176851 121.89787295751 -845.881116577221</t>
  </si>
  <si>
    <t>-539.331280566469 107.585556413613 -938.546677142936</t>
  </si>
  <si>
    <t>-584.817330705565 163.561717984674 -784.352797442478</t>
  </si>
  <si>
    <t>-549.484397529132 306.227752785217 -779.429383733797</t>
  </si>
  <si>
    <t>-499.750976721176 366.866973129783 -472.777050495645</t>
  </si>
  <si>
    <t>-318.99973679566 279.219558609947 -307.583313897548</t>
  </si>
  <si>
    <t>-590.640841740425 100.891258478411 -775.303177595868</t>
  </si>
  <si>
    <t>-369.450200924199 34.7742947844406 -466.780077667441</t>
  </si>
  <si>
    <t>-594.42961805765 308.296409623815 -253.992178788666</t>
  </si>
  <si>
    <t>-602.099502234633 295.227650714661 201.450576232467</t>
  </si>
  <si>
    <t>-615.111745437179 251.364910666578 669.464050933867</t>
  </si>
  <si>
    <t>-457.886429861327 253.266441279088 748.331584249036</t>
  </si>
  <si>
    <t>-569.636365818023 114.824180303166 -230.614915402202</t>
  </si>
  <si>
    <t>-446.022150653348 98.8476555225286 207.702276136623</t>
  </si>
  <si>
    <t>-608.086419908699 14.0643786792384 639.575297228631</t>
  </si>
  <si>
    <t>-457.986942383665 -31.558926158775 719.15021009758</t>
  </si>
  <si>
    <t>9763-20170724T170120.195718700.bin</t>
  </si>
  <si>
    <t>-582.522864833135 210.047513638524 -242.655263022599</t>
  </si>
  <si>
    <t>-604.192345871411 192.908765122992 -360.572652055849</t>
  </si>
  <si>
    <t>-609.263916950239 175.768870551874 -480.452037396141</t>
  </si>
  <si>
    <t>-606.971412317722 159.952827709606 -588.800765891351</t>
  </si>
  <si>
    <t>-597.926962375805 143.601217326849 -696.715870335886</t>
  </si>
  <si>
    <t>-578.361075552821 120.116482984884 -845.93270203696</t>
  </si>
  <si>
    <t>-538.345897081042 105.846918103782 -938.550883003814</t>
  </si>
  <si>
    <t>-584.222160758329 161.84758524956 -784.474700350528</t>
  </si>
  <si>
    <t>-549.291127501708 304.597059576994 -779.655841031205</t>
  </si>
  <si>
    <t>-499.47100978329 366.099240758289 -473.189494010911</t>
  </si>
  <si>
    <t>-318.725701071102 274.704318942733 -310.032583212735</t>
  </si>
  <si>
    <t>-589.814573004564 99.1679343960723 -775.343005954247</t>
  </si>
  <si>
    <t>-368.94147401784 34.3332326276814 -466.358597221792</t>
  </si>
  <si>
    <t>-594.99566190638 306.53575520749 -254.023375667485</t>
  </si>
  <si>
    <t>-602.399205358538 294.058433765473 201.440291669242</t>
  </si>
  <si>
    <t>-615.157888722386 251.099345639374 669.58547698388</t>
  </si>
  <si>
    <t>-457.835955474207 253.041923963052 748.259186467894</t>
  </si>
  <si>
    <t>-570.072118390855 113.635501218165 -230.698227979173</t>
  </si>
  <si>
    <t>-447.149260925945 97.6391621606369 207.812581563953</t>
  </si>
  <si>
    <t>-608.414139673571 14.0725187856751 640.302836895649</t>
  </si>
  <si>
    <t>-457.825853425614 -31.105228077558 719.205603817604</t>
  </si>
  <si>
    <t>9763-20170724T170120.261897500.bin</t>
  </si>
  <si>
    <t>-583.201978168126 207.013272686103 -242.905249274686</t>
  </si>
  <si>
    <t>-604.564606492704 190.104914646964 -360.911743721993</t>
  </si>
  <si>
    <t>-609.201644500423 173.178842608094 -480.83914554615</t>
  </si>
  <si>
    <t>-606.467631763638 157.550908156565 -589.204961221527</t>
  </si>
  <si>
    <t>-596.934910878447 141.381749552295 -697.105659852413</t>
  </si>
  <si>
    <t>-576.643377349357 118.145425919786 -846.264230730288</t>
  </si>
  <si>
    <t>-536.299161914927 104.115001884235 -938.776344048972</t>
  </si>
  <si>
    <t>-583.083286366448 159.792083343074 -784.807034259696</t>
  </si>
  <si>
    <t>-549.008965833023 302.760784638868 -779.696991799822</t>
  </si>
  <si>
    <t>-498.962009107669 363.646180763373 -473.144340621954</t>
  </si>
  <si>
    <t>-315.312118388563 270.488013491334 -314.284953715635</t>
  </si>
  <si>
    <t>-588.160248139359 97.0613712093486 -775.725337737056</t>
  </si>
  <si>
    <t>-367.54515038984 34.7554592322931 -466.28170808239</t>
  </si>
  <si>
    <t>-595.884603916165 302.920299324474 -253.985425230252</t>
  </si>
  <si>
    <t>-602.589581017131 291.55327092184 201.518058181386</t>
  </si>
  <si>
    <t>-615.161916368774 250.222670366211 669.869204791272</t>
  </si>
  <si>
    <t>-457.667923420474 252.897813507588 748.176309954622</t>
  </si>
  <si>
    <t>-570.552336227015 111.209068005952 -231.187912157356</t>
  </si>
  <si>
    <t>-450.019754971805 95.5250444081416 207.997238567163</t>
  </si>
  <si>
    <t>-609.015802537283 14.1525180890337 641.699286277622</t>
  </si>
  <si>
    <t>-457.704076670478 -30.6485284479625 719.424039056304</t>
  </si>
  <si>
    <t>9763-20170724T170120.297993500.bin</t>
  </si>
  <si>
    <t>-583.427085094891 205.49211648929 -243.109986991857</t>
  </si>
  <si>
    <t>-604.671134329389 188.757453979405 -361.162741336667</t>
  </si>
  <si>
    <t>-609.136938031511 172.005731597788 -481.121031387339</t>
  </si>
  <si>
    <t>-606.227855099853 156.536189203171 -589.504895105117</t>
  </si>
  <si>
    <t>-596.500316586279 140.526315033855 -697.411891109373</t>
  </si>
  <si>
    <t>-575.918140923157 117.512113750651 -846.565269443096</t>
  </si>
  <si>
    <t>-535.411835127134 103.656705369555 -939.032826321949</t>
  </si>
  <si>
    <t>-582.649950324506 159.077264742034 -785.084031925526</t>
  </si>
  <si>
    <t>-549.363715532761 302.204824315938 -779.76656941478</t>
  </si>
  <si>
    <t>-498.376122258236 362.0837272894 -473.170899604451</t>
  </si>
  <si>
    <t>-312.982907469148 269.047192028906 -316.277269986953</t>
  </si>
  <si>
    <t>-587.400247922794 96.3132926998519 -776.055090410768</t>
  </si>
  <si>
    <t>-366.905413305817 35.0271908287809 -466.578761111753</t>
  </si>
  <si>
    <t>-596.305458926718 300.986422894999 -253.94183649809</t>
  </si>
  <si>
    <t>-602.303760317111 290.086215858068 201.582982918537</t>
  </si>
  <si>
    <t>-615.166661875681 249.643947126468 670.054735416007</t>
  </si>
  <si>
    <t>-457.57830044305 253.03272957059 748.144043391911</t>
  </si>
  <si>
    <t>-570.557236909179 110.190060224557 -231.610902997723</t>
  </si>
  <si>
    <t>-451.659001229578 94.2384850316248 208.00986787423</t>
  </si>
  <si>
    <t>-609.261418234536 14.0910886923646 642.398179881953</t>
  </si>
  <si>
    <t>-457.606785506022 -30.301492412668 719.687739514531</t>
  </si>
  <si>
    <t>9763-20170724T170120.354154500.bin</t>
  </si>
  <si>
    <t>-583.628549137202 204.103073550334 -243.265871584196</t>
  </si>
  <si>
    <t>-604.831623627006 187.580111542815 -361.35577105405</t>
  </si>
  <si>
    <t>-609.201690425223 171.045204023821 -481.347746455977</t>
  </si>
  <si>
    <t>-606.184096868368 155.774651277042 -589.756998398871</t>
  </si>
  <si>
    <t>-596.326634293795 139.965198827507 -697.681735326823</t>
  </si>
  <si>
    <t>-575.541872660145 117.231147600412 -846.849886865269</t>
  </si>
  <si>
    <t>-534.905589220696 103.59292747913 -939.292710261556</t>
  </si>
  <si>
    <t>-582.53424685947 158.689904108255 -785.325913229572</t>
  </si>
  <si>
    <t>-549.923377165923 301.974684931871 -779.844882682069</t>
  </si>
  <si>
    <t>-497.677590758101 360.992955137855 -473.294037741144</t>
  </si>
  <si>
    <t>-310.689561425881 269.007355086237 -317.678554994081</t>
  </si>
  <si>
    <t>-586.942735324486 95.8906035398493 -776.369265686353</t>
  </si>
  <si>
    <t>-366.325069781456 35.6801350341132 -466.788476806527</t>
  </si>
  <si>
    <t>-596.706719193427 299.161746836535 -253.874107515985</t>
  </si>
  <si>
    <t>-601.867850800977 288.662801666298 201.670554745245</t>
  </si>
  <si>
    <t>-615.152368489445 248.926881750748 670.094894446672</t>
  </si>
  <si>
    <t>-457.465092138136 252.96639004387 747.953290396717</t>
  </si>
  <si>
    <t>-570.593210328351 109.223324975133 -231.975742664063</t>
  </si>
  <si>
    <t>-453.031183006691 92.9638281295045 207.992959191968</t>
  </si>
  <si>
    <t>-609.451522156651 13.8700563158745 643.029295131591</t>
  </si>
  <si>
    <t>-457.507330719109 -30.0320941556815 720.029821448551</t>
  </si>
  <si>
    <t>9763-20170724T170120.395263300.bin</t>
  </si>
  <si>
    <t>-583.692987732816 201.531752578734 -243.299937243647</t>
  </si>
  <si>
    <t>-605.038876182444 185.293055680837 -361.403515369394</t>
  </si>
  <si>
    <t>-609.390257646885 169.097845772704 -481.442434791536</t>
  </si>
  <si>
    <t>-606.288914117675 154.155446919783 -589.89500213345</t>
  </si>
  <si>
    <t>-596.280184354961 138.694222500673 -697.85625142165</t>
  </si>
  <si>
    <t>-575.215025679308 116.463893310726 -847.061037251451</t>
  </si>
  <si>
    <t>-534.449446976793 103.304739500823 -939.516285994001</t>
  </si>
  <si>
    <t>-582.657209294131 157.729376090438 -785.460058045521</t>
  </si>
  <si>
    <t>-551.290060155971 301.300151056914 -779.874373480863</t>
  </si>
  <si>
    <t>-496.524847047352 358.576505351712 -473.432940289046</t>
  </si>
  <si>
    <t>-307.092158773975 268.014096017161 -319.954101054996</t>
  </si>
  <si>
    <t>-586.414247673194 94.8707495496064 -776.625036236322</t>
  </si>
  <si>
    <t>-365.973946870588 37.0921236298348 -467.376844744623</t>
  </si>
  <si>
    <t>-597.161594124585 295.859847143592 -253.527257209817</t>
  </si>
  <si>
    <t>-600.744826181724 286.258250174653 202.052219933126</t>
  </si>
  <si>
    <t>-615.164403030831 247.781733350754 670.623953678229</t>
  </si>
  <si>
    <t>-457.297527952534 253.355773698952 748.022179211311</t>
  </si>
  <si>
    <t>-570.043708113692 107.177451383936 -232.415580080066</t>
  </si>
  <si>
    <t>-454.739504682346 90.9147228972063 208.150142743209</t>
  </si>
  <si>
    <t>-609.643820021886 13.6690037950232 644.068954902296</t>
  </si>
  <si>
    <t>-457.392308514998 -29.7119284455066 720.75712889386</t>
  </si>
  <si>
    <t>9763-20170724T170120.464281300.bin</t>
  </si>
  <si>
    <t>-583.370873957053 200.161226194148 -242.904227322457</t>
  </si>
  <si>
    <t>-604.778641740515 184.00036623537 -361.007421221138</t>
  </si>
  <si>
    <t>-609.101813446176 167.991370636067 -481.072276517694</t>
  </si>
  <si>
    <t>-605.935479348156 153.263735822841 -589.552273183936</t>
  </si>
  <si>
    <t>-595.820891183006 138.062876103231 -697.540682865874</t>
  </si>
  <si>
    <t>-574.564660208212 116.242859632221 -846.778900692535</t>
  </si>
  <si>
    <t>-533.819940132646 103.563363792133 -939.310497011978</t>
  </si>
  <si>
    <t>-582.365206965233 157.348700265134 -785.115562057682</t>
  </si>
  <si>
    <t>-551.991603869858 301.127088897413 -779.496807767215</t>
  </si>
  <si>
    <t>-494.207968431568 357.166689303591 -473.381125217198</t>
  </si>
  <si>
    <t>-303.063726514288 267.643443052232 -321.422111339951</t>
  </si>
  <si>
    <t>-585.574548606605 94.4464186190767 -776.375708723637</t>
  </si>
  <si>
    <t>-364.698419823626 38.6542047963676 -467.501090261188</t>
  </si>
  <si>
    <t>-597.360836381283 293.980516420212 -252.880127426547</t>
  </si>
  <si>
    <t>-600.03044070001 284.883739214193 202.715947752447</t>
  </si>
  <si>
    <t>-615.379105380776 247.002614789302 671.301159311137</t>
  </si>
  <si>
    <t>-457.25410630712 253.71158253225 748.079893324746</t>
  </si>
  <si>
    <t>-569.237138138372 106.415512267374 -232.2719478461</t>
  </si>
  <si>
    <t>-455.78596937101 89.6501018292329 208.755666826162</t>
  </si>
  <si>
    <t>-609.770530807835 13.6072261632814 645.124365684084</t>
  </si>
  <si>
    <t>-457.321816441913 -29.5037959565723 721.572589403293</t>
  </si>
  <si>
    <t>9763-20170724T170120.497366300.bin</t>
  </si>
  <si>
    <t>-583.030021686841 199.826587182482 -242.675213161321</t>
  </si>
  <si>
    <t>-604.416124992735 183.668585317357 -360.782654915356</t>
  </si>
  <si>
    <t>-608.767644783314 167.742745378713 -480.857591078422</t>
  </si>
  <si>
    <t>-605.64514021874 153.124772787191 -589.353761611403</t>
  </si>
  <si>
    <t>-595.590825758683 138.068720385832 -697.367914297373</t>
  </si>
  <si>
    <t>-574.433931665816 116.487043203498 -846.655030456484</t>
  </si>
  <si>
    <t>-533.738354023266 104.019405726116 -939.236876931319</t>
  </si>
  <si>
    <t>-582.302238925447 157.497550958479 -784.936780359613</t>
  </si>
  <si>
    <t>-552.32910555087 301.348023330341 -779.23847056919</t>
  </si>
  <si>
    <t>-492.991130260703 356.343286801354 -473.230779328439</t>
  </si>
  <si>
    <t>-301.161567009158 267.000027956723 -322.03148258388</t>
  </si>
  <si>
    <t>-585.288196853489 94.5749097710423 -776.263493446855</t>
  </si>
  <si>
    <t>-364.075445850123 39.8816390391044 -467.776170051254</t>
  </si>
  <si>
    <t>-597.21672458605 293.558132970277 -252.6584689057</t>
  </si>
  <si>
    <t>-599.656042752449 284.595461241429 202.941558338842</t>
  </si>
  <si>
    <t>-615.366596535345 246.756668556249 671.4481662752</t>
  </si>
  <si>
    <t>-457.214404209045 254.031428127263 748.11935081793</t>
  </si>
  <si>
    <t>-568.634579407389 106.071187786218 -232.03919616362</t>
  </si>
  <si>
    <t>-455.750372435226 89.2900573601351 209.133421372192</t>
  </si>
  <si>
    <t>-609.801695480338 13.3153371207598 645.532036336784</t>
  </si>
  <si>
    <t>-457.258390527384 -29.5512698084392 721.929072338752</t>
  </si>
  <si>
    <t>9763-20170724T170120.563547300.bin</t>
  </si>
  <si>
    <t>-582.242827909185 199.94134866587 -242.123328021269</t>
  </si>
  <si>
    <t>-603.590825707225 183.624031976891 -360.215749571731</t>
  </si>
  <si>
    <t>-607.955662481284 167.826018040687 -480.307025210847</t>
  </si>
  <si>
    <t>-604.858861628723 153.442293571586 -588.835384685361</t>
  </si>
  <si>
    <t>-594.83893961532 138.739822965136 -696.901441267344</t>
  </si>
  <si>
    <t>-573.734303477649 117.774475947926 -846.283760940355</t>
  </si>
  <si>
    <t>-533.139655377138 105.695331730732 -938.961367816037</t>
  </si>
  <si>
    <t>-581.759458357611 158.534405785965 -784.419758126805</t>
  </si>
  <si>
    <t>-552.299410962199 302.484984221291 -778.369598920038</t>
  </si>
  <si>
    <t>-490.136335852612 354.909483661209 -472.471540886651</t>
  </si>
  <si>
    <t>-296.355682172049 266.534724559601 -323.203256277013</t>
  </si>
  <si>
    <t>-584.385498605772 95.5674644337605 -775.953578200424</t>
  </si>
  <si>
    <t>-362.704671994357 42.3681086623537 -468.289432492769</t>
  </si>
  <si>
    <t>-596.849790600833 293.601810575439 -252.302025662392</t>
  </si>
  <si>
    <t>-599.234819025987 284.692342255873 203.299387544949</t>
  </si>
  <si>
    <t>-615.363635895965 246.745497192125 671.672423422571</t>
  </si>
  <si>
    <t>-457.180176746326 254.43092074242 748.238924261819</t>
  </si>
  <si>
    <t>-567.510207393019 106.246629921828 -231.353223737606</t>
  </si>
  <si>
    <t>-454.867729635524 89.4102266121765 209.878978571263</t>
  </si>
  <si>
    <t>-609.76077002358 13.1207456417594 646.007342524068</t>
  </si>
  <si>
    <t>-457.157219941482 -29.4959993339455 722.42379430879</t>
  </si>
  <si>
    <t>9763-20170724T170120.607674800.bin</t>
  </si>
  <si>
    <t>-581.788588720909 200.232995840428 -241.854734679153</t>
  </si>
  <si>
    <t>-603.203438026361 183.799672787516 -359.918834971455</t>
  </si>
  <si>
    <t>-607.648741403636 168.057854363384 -480.01477982239</t>
  </si>
  <si>
    <t>-604.625232053387 153.796316985257 -588.561155253463</t>
  </si>
  <si>
    <t>-594.676191403323 139.287603269676 -696.660010387749</t>
  </si>
  <si>
    <t>-573.66463777441 118.666676426456 -846.10332237297</t>
  </si>
  <si>
    <t>-533.135023714769 106.771280138921 -938.833114584344</t>
  </si>
  <si>
    <t>-581.712840169258 159.285244190851 -784.149414269715</t>
  </si>
  <si>
    <t>-552.40150425403 303.24964787804 -777.848689909579</t>
  </si>
  <si>
    <t>-488.577780299846 354.428151174435 -472.081606808521</t>
  </si>
  <si>
    <t>-293.738140365617 266.388706414653 -323.998461778396</t>
  </si>
  <si>
    <t>-584.210335283303 96.2964424361205 -775.809006983687</t>
  </si>
  <si>
    <t>-362.303376854475 43.6188625205948 -468.356347551843</t>
  </si>
  <si>
    <t>-596.520782108021 293.897657472269 -252.12378828152</t>
  </si>
  <si>
    <t>-598.982091782463 284.975184051989 203.47694243013</t>
  </si>
  <si>
    <t>-615.306602140197 246.715975497296 671.819578410632</t>
  </si>
  <si>
    <t>-457.134174194687 254.83192436843 748.364574605332</t>
  </si>
  <si>
    <t>-566.949159611556 106.55375982897 -230.941878767031</t>
  </si>
  <si>
    <t>-453.969413629215 89.7288276163497 210.204583280656</t>
  </si>
  <si>
    <t>-609.684824152502 13.207321309613 646.059404795676</t>
  </si>
  <si>
    <t>-457.198032424723 -29.6803808039062 722.557358867761</t>
  </si>
  <si>
    <t>9763-20170724T170120.664475100.bin</t>
  </si>
  <si>
    <t>-581.048125554887 201.546793073348 -241.274467701597</t>
  </si>
  <si>
    <t>-602.532704981274 184.809722877044 -359.283326012414</t>
  </si>
  <si>
    <t>-607.100223149529 169.094036231026 -479.37795975205</t>
  </si>
  <si>
    <t>-604.199545023156 154.993899787136 -587.948786083826</t>
  </si>
  <si>
    <t>-594.379684985379 140.786935117265 -696.099488331872</t>
  </si>
  <si>
    <t>-573.548755985572 120.733211144048 -845.645270278518</t>
  </si>
  <si>
    <t>-533.121112084216 109.160923302872 -938.460515479225</t>
  </si>
  <si>
    <t>-581.592519264679 161.117783619907 -783.53808792672</t>
  </si>
  <si>
    <t>-552.346063515925 305.075478554498 -776.782251523484</t>
  </si>
  <si>
    <t>-484.723048818981 353.867419518002 -471.442034268068</t>
  </si>
  <si>
    <t>-287.817728141804 266.852873049986 -325.500913145855</t>
  </si>
  <si>
    <t>-583.939052400192 98.0949309717644 -775.413619955029</t>
  </si>
  <si>
    <t>-361.880098204141 46.1631710269126 -468.410157900152</t>
  </si>
  <si>
    <t>-595.965617283469 295.466874129494 -251.848673678982</t>
  </si>
  <si>
    <t>-598.901417046695 286.101101791474 203.740360825673</t>
  </si>
  <si>
    <t>-615.331203312598 247.199608213644 671.888965607252</t>
  </si>
  <si>
    <t>-457.151442246583 254.830492499107 748.468675572516</t>
  </si>
  <si>
    <t>-566.051129173915 107.610351024579 -230.088618991642</t>
  </si>
  <si>
    <t>-452.093466283969 90.9349019018355 210.811887399733</t>
  </si>
  <si>
    <t>-609.522617054348 13.2632433532517 645.957009302723</t>
  </si>
  <si>
    <t>-457.194819422533 -29.8320491492541 722.654746104782</t>
  </si>
  <si>
    <t>9763-20170724T170120.703580300.bin</t>
  </si>
  <si>
    <t>-580.764382516591 202.400468015531 -241.032941762021</t>
  </si>
  <si>
    <t>-602.277670688931 185.541964687424 -359.019199840793</t>
  </si>
  <si>
    <t>-606.865089445708 169.844525798517 -479.115538571092</t>
  </si>
  <si>
    <t>-603.975154851992 155.818752437112 -587.696235364038</t>
  </si>
  <si>
    <t>-594.156662735236 141.744252217152 -695.864418758516</t>
  </si>
  <si>
    <t>-573.315813604986 121.935733837595 -845.441458304892</t>
  </si>
  <si>
    <t>-532.897941932241 110.51654335327 -938.279892831615</t>
  </si>
  <si>
    <t>-581.364596760544 162.218494796183 -783.268691805628</t>
  </si>
  <si>
    <t>-552.040859566625 306.138550277748 -776.301919547825</t>
  </si>
  <si>
    <t>-482.204872703545 354.075900147498 -471.324719098172</t>
  </si>
  <si>
    <t>-284.497754644552 267.219402957255 -326.376794453392</t>
  </si>
  <si>
    <t>-583.709916270098 99.1821496891805 -775.247668664292</t>
  </si>
  <si>
    <t>-361.634308751428 47.2846475502606 -468.453577158886</t>
  </si>
  <si>
    <t>-595.683646201474 296.467648196438 -251.756255687812</t>
  </si>
  <si>
    <t>-598.842101551356 286.751834955094 203.823995997148</t>
  </si>
  <si>
    <t>-615.304498939393 247.313712277818 671.910202460114</t>
  </si>
  <si>
    <t>-457.136653014258 254.961093411517 748.512821649212</t>
  </si>
  <si>
    <t>-565.76206515118 108.372792791922 -229.714379027946</t>
  </si>
  <si>
    <t>-451.191300843164 91.5177367849085 211.02033311973</t>
  </si>
  <si>
    <t>-609.444724247195 13.2578694354586 645.82936630803</t>
  </si>
  <si>
    <t>-457.253920949075 -30.0543283023767 722.67680768617</t>
  </si>
  <si>
    <t>9763-20170724T170120.765472300.bin</t>
  </si>
  <si>
    <t>-580.212515230728 204.339575205691 -240.636496663626</t>
  </si>
  <si>
    <t>-601.777715140833 187.291768604607 -358.586140760958</t>
  </si>
  <si>
    <t>-606.446989695124 171.570688353018 -478.676109761223</t>
  </si>
  <si>
    <t>-603.638387863581 157.58907480264 -587.26469493585</t>
  </si>
  <si>
    <t>-593.905838732037 143.623655800251 -695.454775153484</t>
  </si>
  <si>
    <t>-573.186592298231 124.033895163325 -845.077502082304</t>
  </si>
  <si>
    <t>-532.785793994287 112.721501965873 -937.936518716694</t>
  </si>
  <si>
    <t>-581.070063172379 164.223120791017 -782.823434875784</t>
  </si>
  <si>
    <t>-551.22922093996 308.023726680598 -775.490365943277</t>
  </si>
  <si>
    <t>-477.62405925256 353.987103673275 -471.096157348427</t>
  </si>
  <si>
    <t>-279.115515069631 266.23282609753 -327.79374650968</t>
  </si>
  <si>
    <t>-583.638434810751 101.180200062706 -774.924824511483</t>
  </si>
  <si>
    <t>-361.635589262041 48.8695326940699 -468.388002428087</t>
  </si>
  <si>
    <t>-595.012896350764 298.727193582814 -251.585970815579</t>
  </si>
  <si>
    <t>-598.794499907618 288.208898221545 203.971683733765</t>
  </si>
  <si>
    <t>-615.274249372355 247.689166756569 671.916840793283</t>
  </si>
  <si>
    <t>-457.116460205077 254.875084034692 748.584903268696</t>
  </si>
  <si>
    <t>-565.365132399568 109.934591247958 -229.067560648419</t>
  </si>
  <si>
    <t>-449.545114198462 92.5876233391127 211.321441457882</t>
  </si>
  <si>
    <t>-609.230632220279 13.3047113483947 645.413282995251</t>
  </si>
  <si>
    <t>-457.341310347241 -30.0495934031098 722.831303790306</t>
  </si>
  <si>
    <t>9763-20170724T170120.805579300.bin</t>
  </si>
  <si>
    <t>-579.92145740318 205.383675226388 -240.545087324477</t>
  </si>
  <si>
    <t>-601.404862081099 188.304643785105 -358.505135601509</t>
  </si>
  <si>
    <t>-606.05910033986 172.580283156405 -478.595305563643</t>
  </si>
  <si>
    <t>-603.263509578128 158.605904374192 -587.185078889802</t>
  </si>
  <si>
    <t>-593.569899075643 144.657905894862 -695.380943732375</t>
  </si>
  <si>
    <t>-572.931361127597 125.101984911068 -845.019270694154</t>
  </si>
  <si>
    <t>-532.549216161483 113.755842210214 -937.882187605873</t>
  </si>
  <si>
    <t>-580.689066661708 165.275052836328 -782.738780486548</t>
  </si>
  <si>
    <t>-550.389338254128 308.977870527985 -775.322713651861</t>
  </si>
  <si>
    <t>-475.311586132507 353.930671744184 -471.137218378051</t>
  </si>
  <si>
    <t>-276.798609752675 265.681380651965 -328.145314117938</t>
  </si>
  <si>
    <t>-583.437473540134 102.234745486244 -774.879150071944</t>
  </si>
  <si>
    <t>-361.503170609771 49.5346408774287 -468.36365919286</t>
  </si>
  <si>
    <t>-594.586568508777 299.971196473506 -251.536179679553</t>
  </si>
  <si>
    <t>-598.803295222979 288.913631963799 204.004759052873</t>
  </si>
  <si>
    <t>-615.275808378145 247.842301629382 671.920533596279</t>
  </si>
  <si>
    <t>-457.12013416153 255.003557398981 748.595201619496</t>
  </si>
  <si>
    <t>-565.16832874508 110.847045163331 -228.948751084923</t>
  </si>
  <si>
    <t>-449.092140051318 93.0114596593635 211.353363780341</t>
  </si>
  <si>
    <t>-609.154292802619 13.0828895938187 645.243266506365</t>
  </si>
  <si>
    <t>-457.354721110225 -30.1052557211938 722.929776532269</t>
  </si>
  <si>
    <t>9763-20170724T170120.864743200.bin</t>
  </si>
  <si>
    <t>-579.321892995557 207.515438430709 -240.284707340153</t>
  </si>
  <si>
    <t>-600.731433591285 190.500356070448 -358.267408194953</t>
  </si>
  <si>
    <t>-605.439410064819 174.777499029811 -478.355614935435</t>
  </si>
  <si>
    <t>-602.745630617883 160.77896645213 -586.945028690461</t>
  </si>
  <si>
    <t>-593.207488563662 146.782740009085 -695.148456743654</t>
  </si>
  <si>
    <t>-572.840668244674 127.135642706691 -844.811962113089</t>
  </si>
  <si>
    <t>-532.517435127008 115.561559100965 -937.672387567274</t>
  </si>
  <si>
    <t>-580.257944147469 167.339936512282 -782.510163290851</t>
  </si>
  <si>
    <t>-548.875692907069 310.809049961748 -775.05132020012</t>
  </si>
  <si>
    <t>-471.660984614166 353.64177559689 -471.09498154586</t>
  </si>
  <si>
    <t>-273.581317542343 264.279173506071 -328.1935689275</t>
  </si>
  <si>
    <t>-583.446737728088 104.317894855876 -774.670778753188</t>
  </si>
  <si>
    <t>-362.153048664411 50.5851360478064 -468.644313521503</t>
  </si>
  <si>
    <t>-593.416339795234 302.644650282704 -251.392719167118</t>
  </si>
  <si>
    <t>-598.734751287344 290.62522363191 204.11239032017</t>
  </si>
  <si>
    <t>-615.252533388434 248.356541877621 671.86373116979</t>
  </si>
  <si>
    <t>-457.121203985978 254.923198399345 748.641852228583</t>
  </si>
  <si>
    <t>-565.225580634364 112.480650805304 -228.484404825037</t>
  </si>
  <si>
    <t>-447.95178491204 93.8599862387548 211.467643778966</t>
  </si>
  <si>
    <t>-609.02203905592 12.8439963502667 644.881293648759</t>
  </si>
  <si>
    <t>-457.484313662529 -30.5142871787091 722.98310560416</t>
  </si>
  <si>
    <t>9763-20170724T170120.897833800.bin</t>
  </si>
  <si>
    <t>-578.973361436922 208.752931481193 -240.139120118271</t>
  </si>
  <si>
    <t>-600.396464166934 191.764236180361 -358.123274146979</t>
  </si>
  <si>
    <t>-605.14381846836 176.019605674665 -478.207007585929</t>
  </si>
  <si>
    <t>-602.497047259107 161.981501496462 -586.792346552684</t>
  </si>
  <si>
    <t>-593.017859089942 147.926014690813 -694.993367565312</t>
  </si>
  <si>
    <t>-572.745954630733 128.17619378582 -844.656302419522</t>
  </si>
  <si>
    <t>-532.467876502379 116.421832206288 -937.513681411333</t>
  </si>
  <si>
    <t>-579.988057479325 168.418442291109 -782.358252244537</t>
  </si>
  <si>
    <t>-547.912697663979 311.748038822055 -774.934883908389</t>
  </si>
  <si>
    <t>-469.950654152349 353.8245052542 -471.063659898265</t>
  </si>
  <si>
    <t>-272.176864441561 263.76894087462 -328.173740399903</t>
  </si>
  <si>
    <t>-583.443203849067 105.411416422579 -774.511759966254</t>
  </si>
  <si>
    <t>-362.26629210761 50.9687610224296 -468.168572242835</t>
  </si>
  <si>
    <t>-592.707967395225 304.155229120821 -251.319093472436</t>
  </si>
  <si>
    <t>-598.596120549518 291.647733909913 204.165912037904</t>
  </si>
  <si>
    <t>-615.255863216074 248.757939332447 671.804916426487</t>
  </si>
  <si>
    <t>-457.14971481153 254.676908976784 748.687443454598</t>
  </si>
  <si>
    <t>-565.180113141494 113.46225634539 -228.264311508137</t>
  </si>
  <si>
    <t>-447.33503586454 94.5042053470152 211.520597015422</t>
  </si>
  <si>
    <t>-608.998646787427 12.7961578232034 644.690094596967</t>
  </si>
  <si>
    <t>-457.635398920292 -30.9539416168655 722.911582667956</t>
  </si>
  <si>
    <t>9763-20170724T170120.963008700.bin</t>
  </si>
  <si>
    <t>-578.114463350339 211.247876292403 -239.87449207906</t>
  </si>
  <si>
    <t>-599.53422436198 194.317257603748 -357.867633704581</t>
  </si>
  <si>
    <t>-604.364075106436 178.494152732326 -477.937893918741</t>
  </si>
  <si>
    <t>-601.829658252587 164.327312010676 -586.509077695705</t>
  </si>
  <si>
    <t>-592.50232839651 150.085613624515 -694.698902574416</t>
  </si>
  <si>
    <t>-572.483898375402 130.016913112794 -844.353504167905</t>
  </si>
  <si>
    <t>-532.304690743601 117.751733818671 -937.187749504102</t>
  </si>
  <si>
    <t>-579.292887869094 170.377995158768 -782.083630071864</t>
  </si>
  <si>
    <t>-545.722829127328 313.349214355193 -774.732087467938</t>
  </si>
  <si>
    <t>-466.553257333885 354.290607739279 -471.018177626545</t>
  </si>
  <si>
    <t>-269.279742399968 262.866227787219 -328.305840247763</t>
  </si>
  <si>
    <t>-583.389968934432 107.415419549172 -774.188423553789</t>
  </si>
  <si>
    <t>-363.28220845021 51.9211363558027 -467.662833489778</t>
  </si>
  <si>
    <t>-591.016621589039 307.115527838568 -251.230045896474</t>
  </si>
  <si>
    <t>-598.053299703271 293.698071074497 204.212719018618</t>
  </si>
  <si>
    <t>-615.159745289861 249.447238967014 671.608514727079</t>
  </si>
  <si>
    <t>-457.175150454942 254.505234363377 748.801842877847</t>
  </si>
  <si>
    <t>-565.117407151802 115.491883218524 -227.822438397234</t>
  </si>
  <si>
    <t>-446.096268861818 95.7669929155763 211.611978376564</t>
  </si>
  <si>
    <t>-608.977840648851 12.877767235904 644.211968423746</t>
  </si>
  <si>
    <t>-457.893533868866 -31.62729317548 722.546824463089</t>
  </si>
  <si>
    <t>9763-20170724T170120.996095900.bin</t>
  </si>
  <si>
    <t>-577.586465986662 212.627430915864 -239.866934090352</t>
  </si>
  <si>
    <t>-599.010463947108 195.771907310808 -357.870008131231</t>
  </si>
  <si>
    <t>-603.845726250565 179.939199897373 -477.938745202449</t>
  </si>
  <si>
    <t>-601.31873925685 165.72695442233 -586.504406772109</t>
  </si>
  <si>
    <t>-592.002736346955 151.402814701259 -694.684125871419</t>
  </si>
  <si>
    <t>-572.005448098672 131.179883511556 -844.320905861629</t>
  </si>
  <si>
    <t>-531.837810526925 118.660123778028 -937.126050707984</t>
  </si>
  <si>
    <t>-578.637971436207 171.596737526286 -782.068089577553</t>
  </si>
  <si>
    <t>-544.221744883314 314.365179871807 -774.774275037743</t>
  </si>
  <si>
    <t>-464.716578998339 354.813412373489 -471.081922968141</t>
  </si>
  <si>
    <t>-267.730540838787 262.466037997252 -328.567075231085</t>
  </si>
  <si>
    <t>-583.06925677964 108.659213015236 -774.154485816837</t>
  </si>
  <si>
    <t>-363.206362072514 52.6857425245282 -467.520915444829</t>
  </si>
  <si>
    <t>-590.0448656241 308.793639122229 -251.267580421057</t>
  </si>
  <si>
    <t>-597.643321125616 294.87766348852 204.151086453025</t>
  </si>
  <si>
    <t>-615.117165078698 250.059826018388 671.433519305248</t>
  </si>
  <si>
    <t>-457.226626734582 254.276943229963 748.869301079775</t>
  </si>
  <si>
    <t>-564.982335164891 116.568755052737 -227.827666739269</t>
  </si>
  <si>
    <t>-445.781181141376 96.5138438219228 211.542966185674</t>
  </si>
  <si>
    <t>-608.991405804911 13.0049985171795 643.95306144685</t>
  </si>
  <si>
    <t>-457.985828135141 -31.824612792512 722.254613898767</t>
  </si>
  <si>
    <t>9763-20170724T170121.063281000.bin</t>
  </si>
  <si>
    <t>-576.512129158177 215.031246062008 -240.103176119186</t>
  </si>
  <si>
    <t>-597.997518246692 198.423927938342 -358.130201955225</t>
  </si>
  <si>
    <t>-602.914434409078 182.592375750131 -478.195869677542</t>
  </si>
  <si>
    <t>-600.475259674068 168.275702892684 -586.74956014628</t>
  </si>
  <si>
    <t>-591.264932514915 153.740039265097 -694.910281871696</t>
  </si>
  <si>
    <t>-571.436568256988 133.110032107106 -844.513994073426</t>
  </si>
  <si>
    <t>-531.310277611844 120.002055929742 -937.255683842952</t>
  </si>
  <si>
    <t>-577.70004874137 173.679066975149 -782.321895529825</t>
  </si>
  <si>
    <t>-541.918015604398 316.123012853193 -775.267527995905</t>
  </si>
  <si>
    <t>-461.458765300358 355.230289125995 -471.650797532658</t>
  </si>
  <si>
    <t>-263.805261124516 263.244789086487 -329.827640758911</t>
  </si>
  <si>
    <t>-582.719911911172 110.797428605149 -774.315903191056</t>
  </si>
  <si>
    <t>-363.864260087082 54.3051885709704 -467.63752747687</t>
  </si>
  <si>
    <t>-588.284614619978 311.748184489306 -251.446055407536</t>
  </si>
  <si>
    <t>-596.218255951348 296.808730744452 203.934656360039</t>
  </si>
  <si>
    <t>-614.941261384719 250.952140250249 671.05942730355</t>
  </si>
  <si>
    <t>-457.27308401533 254.406135046464 748.984652106271</t>
  </si>
  <si>
    <t>-564.659425466702 118.38629032997 -228.108927559183</t>
  </si>
  <si>
    <t>-445.397577272507 97.6876147354344 211.215370410579</t>
  </si>
  <si>
    <t>-608.996393394055 12.9784471150194 643.404939229411</t>
  </si>
  <si>
    <t>-458.099185294456 -32.2096215654351 721.709338624529</t>
  </si>
  <si>
    <t>9763-20170724T170121.095364900.bin</t>
  </si>
  <si>
    <t>-576.051750836762 216.164495633705 -240.252736883788</t>
  </si>
  <si>
    <t>-597.596455259118 199.693446107867 -358.287981038159</t>
  </si>
  <si>
    <t>-602.521725994612 183.866227127506 -478.353829157625</t>
  </si>
  <si>
    <t>-600.072738272168 169.49815800232 -586.900620943419</t>
  </si>
  <si>
    <t>-590.837411764899 154.855899754669 -695.044830077996</t>
  </si>
  <si>
    <t>-570.960756129553 134.01970578119 -844.613551305029</t>
  </si>
  <si>
    <t>-530.82814153403 120.653563893684 -937.315804198268</t>
  </si>
  <si>
    <t>-577.142890487663 174.667899574572 -782.465081249167</t>
  </si>
  <si>
    <t>-540.850324226165 316.993896224199 -775.525984338448</t>
  </si>
  <si>
    <t>-459.928742333777 355.412307157078 -471.944146881547</t>
  </si>
  <si>
    <t>-261.497547221475 263.896197705928 -330.905295028861</t>
  </si>
  <si>
    <t>-582.368250082597 111.810188819454 -774.402886931387</t>
  </si>
  <si>
    <t>-364.083214366985 54.6615633144424 -467.588848833559</t>
  </si>
  <si>
    <t>-587.440349884476 313.140084617559 -251.550099606454</t>
  </si>
  <si>
    <t>-595.494630794898 297.680950574255 203.811104163902</t>
  </si>
  <si>
    <t>-614.806695205868 251.339309573995 670.817741707429</t>
  </si>
  <si>
    <t>-457.273041659658 254.41604096343 749.030242008223</t>
  </si>
  <si>
    <t>-564.588392532309 119.284174500594 -228.289781932936</t>
  </si>
  <si>
    <t>-445.33798620177 98.2904858726738 211.023546226565</t>
  </si>
  <si>
    <t>-608.99962064189 12.9877302874843 643.126832692865</t>
  </si>
  <si>
    <t>-458.192077806192 -32.4426966593396 721.4637748603</t>
  </si>
  <si>
    <t>9763-20170724T170121.163173600.bin</t>
  </si>
  <si>
    <t>-575.569539326682 218.462848086878 -240.537739802891</t>
  </si>
  <si>
    <t>-597.269773572631 202.20220945903 -358.573846674919</t>
  </si>
  <si>
    <t>-602.256291736827 186.303008167048 -478.627611272808</t>
  </si>
  <si>
    <t>-599.830993712654 171.753603337235 -587.150821303494</t>
  </si>
  <si>
    <t>-590.592293752323 156.813627565607 -695.25391401129</t>
  </si>
  <si>
    <t>-570.687363910578 135.441842918894 -844.743226440954</t>
  </si>
  <si>
    <t>-530.492092451402 121.551468215506 -937.341158092091</t>
  </si>
  <si>
    <t>-576.711577005853 176.301045098394 -782.717832391688</t>
  </si>
  <si>
    <t>-539.544984536114 318.434570833755 -776.159391568638</t>
  </si>
  <si>
    <t>-457.368789543696 355.569737786893 -472.755011151217</t>
  </si>
  <si>
    <t>-256.732506393088 266.668090928588 -333.171215882913</t>
  </si>
  <si>
    <t>-582.277755997092 113.495472922237 -774.4799350716</t>
  </si>
  <si>
    <t>-364.963826929055 55.0320824329028 -468.280539024306</t>
  </si>
  <si>
    <t>-586.387638347346 315.869668903355 -251.728904904158</t>
  </si>
  <si>
    <t>-594.399702952229 299.495122277781 203.60106069975</t>
  </si>
  <si>
    <t>-614.60874245107 252.04439664757 670.450053870738</t>
  </si>
  <si>
    <t>-457.289890420878 254.355961795372 749.119937574184</t>
  </si>
  <si>
    <t>-564.735216939697 121.183182790434 -228.570119033144</t>
  </si>
  <si>
    <t>-444.908164969441 99.2474579026796 210.540303809926</t>
  </si>
  <si>
    <t>-608.929702280463 12.9786569102612 642.457776853022</t>
  </si>
  <si>
    <t>-458.343876327638 -32.9206206786685 720.947738586702</t>
  </si>
  <si>
    <t>9763-20170724T170121.195258200.bin</t>
  </si>
  <si>
    <t>-575.575556115825 219.767337919178 -240.646776799547</t>
  </si>
  <si>
    <t>-597.377923414253 203.584784931826 -358.674806621489</t>
  </si>
  <si>
    <t>-602.405561632226 187.613199948109 -478.717303380745</t>
  </si>
  <si>
    <t>-599.996129480902 172.93456730774 -587.223364355152</t>
  </si>
  <si>
    <t>-590.754660882547 157.800352848278 -695.299330677995</t>
  </si>
  <si>
    <t>-570.829143159732 136.089822920717 -844.736985581423</t>
  </si>
  <si>
    <t>-530.562038843889 121.912320605036 -937.260163665889</t>
  </si>
  <si>
    <t>-576.780331831191 177.083676558823 -782.793427006438</t>
  </si>
  <si>
    <t>-539.146370721557 319.086246244656 -776.517163187829</t>
  </si>
  <si>
    <t>-455.839443338557 356.448957604021 -473.449250287107</t>
  </si>
  <si>
    <t>-254.427951089331 268.514560707643 -334.37005845615</t>
  </si>
  <si>
    <t>-582.510796472014 114.308449500192 -774.437512357868</t>
  </si>
  <si>
    <t>-365.588807913384 55.7916208926742 -469.128600964444</t>
  </si>
  <si>
    <t>-586.171234110281 317.278888289502 -251.807889649026</t>
  </si>
  <si>
    <t>-593.983693493587 300.39352194514 203.506922873936</t>
  </si>
  <si>
    <t>-614.537317923359 252.352629699724 670.283626316016</t>
  </si>
  <si>
    <t>-457.309310245882 254.109386396488 749.149143660701</t>
  </si>
  <si>
    <t>-564.992472345388 122.424549528588 -228.756073503466</t>
  </si>
  <si>
    <t>-444.853211854581 99.8738232187688 210.237921828078</t>
  </si>
  <si>
    <t>-608.853009004423 13.1451224960163 642.093561682043</t>
  </si>
  <si>
    <t>-458.491429682283 -33.2861380461884 720.700456780087</t>
  </si>
  <si>
    <t>9763-20170724T170121.263002600.bin</t>
  </si>
  <si>
    <t>-575.847890823875 222.036805495057 -240.911245552378</t>
  </si>
  <si>
    <t>-597.777968023147 206.00665836189 -358.936334176092</t>
  </si>
  <si>
    <t>-602.943790887274 189.770201471291 -478.937357567667</t>
  </si>
  <si>
    <t>-600.673879243424 174.674540909535 -587.389264807577</t>
  </si>
  <si>
    <t>-591.593728880909 158.940862083474 -695.393277393896</t>
  </si>
  <si>
    <t>-571.922095485469 136.202894248532 -844.711696475396</t>
  </si>
  <si>
    <t>-531.609663660674 121.184192296116 -937.08237887015</t>
  </si>
  <si>
    <t>-577.605833767505 177.609839005077 -783.018367954335</t>
  </si>
  <si>
    <t>-539.338531766785 319.495915704766 -777.583792166016</t>
  </si>
  <si>
    <t>-452.216220019208 357.721263083616 -475.698411550257</t>
  </si>
  <si>
    <t>-249.713512338779 271.791936395173 -336.950904356974</t>
  </si>
  <si>
    <t>-583.646544812864 114.917569689964 -774.26754524682</t>
  </si>
  <si>
    <t>-367.048302507168 57.0440435803237 -470.462921696972</t>
  </si>
  <si>
    <t>-586.278875288901 319.599220038636 -251.897671525223</t>
  </si>
  <si>
    <t>-593.236062465553 301.661321046674 203.390652249268</t>
  </si>
  <si>
    <t>-614.380883956676 252.339949112684 670.069852994098</t>
  </si>
  <si>
    <t>-457.259319854855 254.409511759301 749.139707425178</t>
  </si>
  <si>
    <t>-565.32638611157 124.543571534896 -229.242280231746</t>
  </si>
  <si>
    <t>-445.18226734546 101.147855807373 209.706134478612</t>
  </si>
  <si>
    <t>-608.75255070461 13.1635879969458 641.547192654046</t>
  </si>
  <si>
    <t>-458.54343407526 -33.450392170108 720.337205012041</t>
  </si>
  <si>
    <t>9763-20170724T170121.297090400.bin</t>
  </si>
  <si>
    <t>-576.124480626342 222.980580858054 -240.965306783388</t>
  </si>
  <si>
    <t>-598.079211820281 206.994210766313 -358.991824441158</t>
  </si>
  <si>
    <t>-603.306470517884 190.580507855367 -478.966092073793</t>
  </si>
  <si>
    <t>-601.113107730616 175.229538410364 -587.383800354108</t>
  </si>
  <si>
    <t>-592.134439246224 159.142717698569 -695.344123200795</t>
  </si>
  <si>
    <t>-572.633814162016 135.809273212915 -844.593157466119</t>
  </si>
  <si>
    <t>-532.359850109872 120.322735131685 -936.90330195666</t>
  </si>
  <si>
    <t>-578.174520290397 177.456443958089 -783.048755998779</t>
  </si>
  <si>
    <t>-539.536485954669 319.243841563522 -778.090846663963</t>
  </si>
  <si>
    <t>-449.951812968211 358.288103212311 -477.032245211989</t>
  </si>
  <si>
    <t>-246.96011894926 273.825412237195 -338.098764059997</t>
  </si>
  <si>
    <t>-584.349948225665 114.810776974497 -774.061486326055</t>
  </si>
  <si>
    <t>-367.625530636077 57.5089697019996 -470.535840983111</t>
  </si>
  <si>
    <t>-586.645128873822 320.465262981034 -251.863130148932</t>
  </si>
  <si>
    <t>-593.118487561261 302.015516677585 203.411863556367</t>
  </si>
  <si>
    <t>-614.304172588339 252.05781719565 670.040765605344</t>
  </si>
  <si>
    <t>-457.191638425504 254.306977742105 749.123641273619</t>
  </si>
  <si>
    <t>-565.520161001294 125.527353299763 -229.379935071746</t>
  </si>
  <si>
    <t>-445.363191909964 101.840270096524 209.549363314592</t>
  </si>
  <si>
    <t>-608.673067172903 13.1642887152168 641.294644634892</t>
  </si>
  <si>
    <t>-458.533508602666 -33.4854498259854 720.196018245221</t>
  </si>
  <si>
    <t>9763-20170724T170121.365851100.bin</t>
  </si>
  <si>
    <t>-576.559693829944 224.868712628084 -240.998453167962</t>
  </si>
  <si>
    <t>-598.476703967122 208.853554301996 -359.027968641235</t>
  </si>
  <si>
    <t>-603.819409306964 191.990006429697 -478.934682676073</t>
  </si>
  <si>
    <t>-601.805122809025 176.049377926924 -587.270770310604</t>
  </si>
  <si>
    <t>-593.088634032743 159.182394291735 -695.133609733773</t>
  </si>
  <si>
    <t>-574.047133003813 134.559303519931 -844.234562862748</t>
  </si>
  <si>
    <t>-533.959223766193 118.070767528219 -936.452043672739</t>
  </si>
  <si>
    <t>-579.238593591847 176.724347089669 -783.01312934573</t>
  </si>
  <si>
    <t>-539.698399294924 318.302427995406 -779.110765735016</t>
  </si>
  <si>
    <t>-444.781216126501 358.80754398754 -479.884627935878</t>
  </si>
  <si>
    <t>-240.903838919957 277.147230633042 -340.573267361134</t>
  </si>
  <si>
    <t>-585.706217012009 114.184177807568 -773.510928898349</t>
  </si>
  <si>
    <t>-369.184962710099 58.42492841277 -470.454472127315</t>
  </si>
  <si>
    <t>-587.567751032826 322.463438038112 -251.795488486152</t>
  </si>
  <si>
    <t>-593.374584523232 303.132978316056 203.451935109555</t>
  </si>
  <si>
    <t>-614.2789462705 252.03580644175 669.960423352522</t>
  </si>
  <si>
    <t>-457.161908105244 254.256197759893 749.035172915985</t>
  </si>
  <si>
    <t>-565.386565003746 127.373727683624 -229.526566977081</t>
  </si>
  <si>
    <t>-445.315584692771 103.50713144817 209.416471799649</t>
  </si>
  <si>
    <t>-608.415640463233 13.3104413431827 640.775518514774</t>
  </si>
  <si>
    <t>-458.389422189309 -33.1613070400272 719.996874018645</t>
  </si>
  <si>
    <t>9763-20170724T170121.397935000.bin</t>
  </si>
  <si>
    <t>-576.756883501143 225.745727971067 -240.968620990368</t>
  </si>
  <si>
    <t>-598.613802450214 209.636442802387 -358.996472180926</t>
  </si>
  <si>
    <t>-603.952639753551 192.531439627667 -478.869325251502</t>
  </si>
  <si>
    <t>-601.963156219551 176.303719469777 -587.163082581678</t>
  </si>
  <si>
    <t>-593.303749500501 159.075540428069 -694.973323883428</t>
  </si>
  <si>
    <t>-574.379170226716 133.86843233566 -843.991789217186</t>
  </si>
  <si>
    <t>-534.354254802305 116.958875146685 -936.160380825844</t>
  </si>
  <si>
    <t>-579.42692804856 176.265183715098 -782.918365152264</t>
  </si>
  <si>
    <t>-539.403427164692 317.701786941069 -779.518404687239</t>
  </si>
  <si>
    <t>-441.791084419043 358.680879983307 -481.225424076149</t>
  </si>
  <si>
    <t>-237.583433141454 277.918877470654 -341.873980787191</t>
  </si>
  <si>
    <t>-586.078476448456 113.778563941542 -773.193196165535</t>
  </si>
  <si>
    <t>-369.602948589391 58.6993682051107 -469.569672167833</t>
  </si>
  <si>
    <t>-588.126063124723 323.353236182176 -251.775464642411</t>
  </si>
  <si>
    <t>-593.653884258225 303.659777285794 203.459952695135</t>
  </si>
  <si>
    <t>-614.27838572517 252.017667477305 669.934722718764</t>
  </si>
  <si>
    <t>-457.147463614183 254.392802230598 748.977516390897</t>
  </si>
  <si>
    <t>-565.212183379094 128.19214230324 -229.523132859263</t>
  </si>
  <si>
    <t>-445.096727522585 104.542981932791 209.419580434651</t>
  </si>
  <si>
    <t>-608.220127366159 13.5210278857776 640.499069529523</t>
  </si>
  <si>
    <t>-458.3567933708 -32.9951481887308 720.002135526401</t>
  </si>
  <si>
    <t>9763-20170724T170121.465181900.bin</t>
  </si>
  <si>
    <t>-577.149131477708 227.875674218834 -240.905134654361</t>
  </si>
  <si>
    <t>-598.899363928704 211.523801986004 -358.919306621317</t>
  </si>
  <si>
    <t>-604.244924974352 193.946516556505 -478.723336694946</t>
  </si>
  <si>
    <t>-602.317019854082 177.181620211185 -586.936583928343</t>
  </si>
  <si>
    <t>-593.781777156513 159.295515448668 -694.649573264553</t>
  </si>
  <si>
    <t>-575.10203900939 133.039006943293 -843.517426419495</t>
  </si>
  <si>
    <t>-535.158974603732 115.44483168078 -935.593380580507</t>
  </si>
  <si>
    <t>-579.834656818005 175.84628253738 -782.705854993382</t>
  </si>
  <si>
    <t>-539.039668841068 317.082811685469 -780.076571910493</t>
  </si>
  <si>
    <t>-436.029756550712 357.241862722501 -483.492025867115</t>
  </si>
  <si>
    <t>-232.200531124639 275.556733885345 -344.124739420397</t>
  </si>
  <si>
    <t>-586.899806521804 113.467139433043 -772.590218083149</t>
  </si>
  <si>
    <t>-619.235826846261 0.965891078926916 -413.867938964521</t>
  </si>
  <si>
    <t>-371.649734740235 59.4740241115799 -467.904883054662</t>
  </si>
  <si>
    <t>-589.094608605158 325.575161777102 -251.821765773311</t>
  </si>
  <si>
    <t>-594.211265181643 305.115957252134 203.384744720195</t>
  </si>
  <si>
    <t>-614.211203096349 252.470040444942 669.713096892893</t>
  </si>
  <si>
    <t>-457.137301478843 254.617409543401 748.875557841254</t>
  </si>
  <si>
    <t>-565.075726801348 130.335393637474 -229.294501842303</t>
  </si>
  <si>
    <t>-444.508159089249 106.872666761646 209.534210431866</t>
  </si>
  <si>
    <t>-607.923409883717 13.9259127208925 640.074626807144</t>
  </si>
  <si>
    <t>-458.37162576038 -32.9455159821184 719.954780426987</t>
  </si>
  <si>
    <t>9763-20170724T170121.500274700.bin</t>
  </si>
  <si>
    <t>-577.228736364406 228.999927292871 -240.913548465405</t>
  </si>
  <si>
    <t>-598.852163760837 212.507655330803 -358.931534014803</t>
  </si>
  <si>
    <t>-604.189079963483 194.754092458204 -478.710058955512</t>
  </si>
  <si>
    <t>-602.303995025843 177.808097323456 -586.895640678443</t>
  </si>
  <si>
    <t>-593.864153953421 159.714871253723 -694.5815464402</t>
  </si>
  <si>
    <t>-575.373619476028 133.139266657669 -843.416426974523</t>
  </si>
  <si>
    <t>-535.461470728887 115.313169460033 -935.461202908063</t>
  </si>
  <si>
    <t>-579.920443504901 176.066845768958 -782.675497278316</t>
  </si>
  <si>
    <t>-538.755567469605 317.215250853911 -780.327863327423</t>
  </si>
  <si>
    <t>-433.811638026624 356.212902381365 -484.266748245317</t>
  </si>
  <si>
    <t>-230.400622102461 274.208145934805 -344.476902411802</t>
  </si>
  <si>
    <t>-587.189729536402 113.729508834439 -772.447694673778</t>
  </si>
  <si>
    <t>-620.194661695986 1.87127207761364 -413.507954399416</t>
  </si>
  <si>
    <t>-372.369415108936 59.8172998024395 -467.05190790412</t>
  </si>
  <si>
    <t>-589.462909328673 326.827204237005 -251.94905805086</t>
  </si>
  <si>
    <t>-594.480194958453 306.023702251901 203.24295843163</t>
  </si>
  <si>
    <t>-614.143483486571 252.956640415622 669.518466414857</t>
  </si>
  <si>
    <t>-457.146625491323 254.837643627505 748.840317044874</t>
  </si>
  <si>
    <t>-564.835098887674 131.305765865618 -229.243637897338</t>
  </si>
  <si>
    <t>-444.307560914984 108.116037943762 209.610537170003</t>
  </si>
  <si>
    <t>-607.79909521738 14.0300076611952 639.877032241098</t>
  </si>
  <si>
    <t>-458.369031309848 -32.9580620255961 719.916344801052</t>
  </si>
  <si>
    <t>9763-20170724T170121.565518700.bin</t>
  </si>
  <si>
    <t>-577.232878280284 231.102090289219 -241.120808602417</t>
  </si>
  <si>
    <t>-598.651463820761 214.38957154674 -359.145156917657</t>
  </si>
  <si>
    <t>-603.979179247045 196.325692791125 -478.877696433773</t>
  </si>
  <si>
    <t>-602.170479528925 179.052534115749 -587.012913407568</t>
  </si>
  <si>
    <t>-593.895450355396 160.5792325885 -694.647005224103</t>
  </si>
  <si>
    <t>-575.729538800373 133.414814777021 -843.415604255023</t>
  </si>
  <si>
    <t>-535.87117184018 115.153432330833 -935.398269096138</t>
  </si>
  <si>
    <t>-579.945592562743 176.563406347709 -782.807577813042</t>
  </si>
  <si>
    <t>-538.517797208658 317.656259525813 -781.100550992246</t>
  </si>
  <si>
    <t>-432.331748327128 355.702579083995 -485.35871400688</t>
  </si>
  <si>
    <t>-230.196862604639 272.687877545068 -344.319352039165</t>
  </si>
  <si>
    <t>-587.589180065811 114.305013866129 -772.372766997969</t>
  </si>
  <si>
    <t>-621.78229508507 3.5212952164261 -413.244487143623</t>
  </si>
  <si>
    <t>-373.557553877102 60.1298695829105 -466.366918512997</t>
  </si>
  <si>
    <t>-589.76580824358 329.177525821133 -252.342600674958</t>
  </si>
  <si>
    <t>-594.941297243472 307.950719690344 202.828012359691</t>
  </si>
  <si>
    <t>-613.972505850814 254.279873090138 668.994335625945</t>
  </si>
  <si>
    <t>-457.199223124982 255.333593983485 748.772382005622</t>
  </si>
  <si>
    <t>-564.625508866063 133.177027561105 -229.281248291302</t>
  </si>
  <si>
    <t>-444.012842174152 110.24042313808 209.562856506043</t>
  </si>
  <si>
    <t>-607.59080747198 14.3346483371129 639.511642001508</t>
  </si>
  <si>
    <t>-458.314593098247 -32.6117870316828 719.861847496861</t>
  </si>
  <si>
    <t>9763-20170724T170121.597573400.bin</t>
  </si>
  <si>
    <t>-577.304346418918 232.02776774287 -241.248978391945</t>
  </si>
  <si>
    <t>-598.734020942677 215.251655857742 -359.262284285415</t>
  </si>
  <si>
    <t>-604.113534187249 197.056495576759 -478.972703623559</t>
  </si>
  <si>
    <t>-602.370668993316 179.634170020021 -587.084995502266</t>
  </si>
  <si>
    <t>-594.182179402206 160.980101846512 -694.69454513655</t>
  </si>
  <si>
    <t>-576.16003870273 133.52945687697 -843.428040782226</t>
  </si>
  <si>
    <t>-536.329766125067 115.050073721402 -935.379477101433</t>
  </si>
  <si>
    <t>-580.219662431661 176.784606437269 -782.885384672357</t>
  </si>
  <si>
    <t>-538.772236506961 317.890013652896 -781.461222197754</t>
  </si>
  <si>
    <t>-433.620908262751 356.909912110251 -485.476685232828</t>
  </si>
  <si>
    <t>-232.804134168729 271.867880122209 -343.763856688872</t>
  </si>
  <si>
    <t>-588.048941384347 114.566289514595 -772.350984178273</t>
  </si>
  <si>
    <t>-622.464685818905 4.22641067491827 -413.143654470348</t>
  </si>
  <si>
    <t>-374.063509627814 59.8860615980027 -466.443720187241</t>
  </si>
  <si>
    <t>-589.830465380191 330.26862101322 -252.559290578702</t>
  </si>
  <si>
    <t>-595.129783988105 308.8768049862 202.602083537941</t>
  </si>
  <si>
    <t>-613.883929640172 255.066776375952 668.729997269312</t>
  </si>
  <si>
    <t>-457.248139116984 255.156188737033 748.78456361727</t>
  </si>
  <si>
    <t>-564.801581422211 133.892443861603 -229.288895334913</t>
  </si>
  <si>
    <t>-443.908059114779 110.973993132244 209.478974673706</t>
  </si>
  <si>
    <t>-607.559842151054 14.4642425858362 639.363833453266</t>
  </si>
  <si>
    <t>-458.334354057799 -32.4904571466707 719.803372730549</t>
  </si>
  <si>
    <t>9763-20170724T170121.664767700.bin</t>
  </si>
  <si>
    <t>-577.326018963464 232.983388418683 -241.734066685098</t>
  </si>
  <si>
    <t>-598.679262814863 216.091047950403 -359.744701145837</t>
  </si>
  <si>
    <t>-604.105436700081 197.692221211995 -479.421760424327</t>
  </si>
  <si>
    <t>-602.458114694296 180.048742718687 -587.499656912939</t>
  </si>
  <si>
    <t>-594.420519718991 161.136222648988 -695.075509744818</t>
  </si>
  <si>
    <t>-576.667435038125 133.28723741027 -843.767398208657</t>
  </si>
  <si>
    <t>-536.907644131065 114.448375566447 -935.676317679297</t>
  </si>
  <si>
    <t>-580.394182216692 176.681059232452 -783.302437860666</t>
  </si>
  <si>
    <t>-539.396799658519 317.884225476494 -782.105999695659</t>
  </si>
  <si>
    <t>-440.043292001197 361.173459111733 -484.715513636992</t>
  </si>
  <si>
    <t>-240.801431832801 273.323670762338 -342.493262072165</t>
  </si>
  <si>
    <t>-588.651056661552 114.538088875609 -772.649370974991</t>
  </si>
  <si>
    <t>-623.02258183485 5.17730189029862 -413.443418500977</t>
  </si>
  <si>
    <t>-373.823854903384 57.2082703781746 -466.686678272571</t>
  </si>
  <si>
    <t>-589.296573507602 331.528464456474 -253.246242928264</t>
  </si>
  <si>
    <t>-595.168440302156 310.38178372625 201.919684107777</t>
  </si>
  <si>
    <t>-613.525079849048 256.677505687815 668.004597801932</t>
  </si>
  <si>
    <t>-457.256161059501 255.745203615818 748.767603059665</t>
  </si>
  <si>
    <t>-565.307075782273 134.487891374019 -229.508382367979</t>
  </si>
  <si>
    <t>-443.853906197023 111.409913255763 209.096415025045</t>
  </si>
  <si>
    <t>-607.572902035775 14.6065598290757 639.072009805765</t>
  </si>
  <si>
    <t>-458.492058479595 -32.5801182521936 719.64397413171</t>
  </si>
  <si>
    <t>9763-20170724T170121.697855600.bin</t>
  </si>
  <si>
    <t>-577.198246036015 232.999066412632 -241.999159990763</t>
  </si>
  <si>
    <t>-598.584039030436 216.143130293577 -360.009057089607</t>
  </si>
  <si>
    <t>-604.034097697243 197.746879493586 -479.685466840136</t>
  </si>
  <si>
    <t>-602.405813441901 180.091491708638 -587.76167428354</t>
  </si>
  <si>
    <t>-594.385389346755 161.153037222024 -695.334339107453</t>
  </si>
  <si>
    <t>-576.654754176307 133.253721792212 -844.019449393595</t>
  </si>
  <si>
    <t>-536.889540837954 114.323478217935 -935.907022884718</t>
  </si>
  <si>
    <t>-580.302538309591 176.660270754354 -783.558780719232</t>
  </si>
  <si>
    <t>-539.487191549216 317.939404608648 -782.369810062841</t>
  </si>
  <si>
    <t>-444.879856128996 364.114324310157 -483.867868428505</t>
  </si>
  <si>
    <t>-246.542924433597 275.622195856569 -340.781656615301</t>
  </si>
  <si>
    <t>-588.697452191521 114.536328631975 -772.902943269787</t>
  </si>
  <si>
    <t>-622.934534220291 5.4117158095346 -413.759381097178</t>
  </si>
  <si>
    <t>-373.232122269037 55.1827799222003 -466.802815042236</t>
  </si>
  <si>
    <t>-588.893916973297 331.762537646507 -253.57612276962</t>
  </si>
  <si>
    <t>-595.049744503126 310.776167029429 201.593491592736</t>
  </si>
  <si>
    <t>-613.368201559933 257.400219989634 667.690498605616</t>
  </si>
  <si>
    <t>-457.2771373364 255.83873184787 748.787071769829</t>
  </si>
  <si>
    <t>-565.424078990898 134.313721091151 -229.738417546251</t>
  </si>
  <si>
    <t>-443.992792491216 111.172063837645 208.869065587631</t>
  </si>
  <si>
    <t>-607.704109922391 14.4243750433691 639.026931086155</t>
  </si>
  <si>
    <t>-458.473524279787 -32.4433982061105 719.507643758869</t>
  </si>
  <si>
    <t>9763-20170724T170121.768824300.bin</t>
  </si>
  <si>
    <t>-576.636749288731 232.075364913155 -242.690647104454</t>
  </si>
  <si>
    <t>-598.191618572159 215.337659097931 -360.686465126372</t>
  </si>
  <si>
    <t>-603.728867782794 196.979911235765 -480.36492232427</t>
  </si>
  <si>
    <t>-602.147186138699 179.329888714758 -588.44268686385</t>
  </si>
  <si>
    <t>-594.141991182529 160.369510667641 -696.012573805217</t>
  </si>
  <si>
    <t>-576.400623613355 132.413020515337 -844.685544861422</t>
  </si>
  <si>
    <t>-536.590135345324 113.413353636587 -936.539527957253</t>
  </si>
  <si>
    <t>-579.991129544596 175.835872132653 -784.233384671097</t>
  </si>
  <si>
    <t>-540.120701782554 317.386580424953 -782.955957905565</t>
  </si>
  <si>
    <t>-457.638663694315 372.257787071635 -482.336475618921</t>
  </si>
  <si>
    <t>-260.395690610831 285.333268779299 -336.798131142593</t>
  </si>
  <si>
    <t>-588.510132508738 113.729868574542 -773.57157208183</t>
  </si>
  <si>
    <t>-622.797976731342 4.35105665164542 -414.784008264138</t>
  </si>
  <si>
    <t>-371.923370310455 49.0687171818938 -466.787258756654</t>
  </si>
  <si>
    <t>-587.671606144616 331.198605264053 -254.29050280736</t>
  </si>
  <si>
    <t>-594.076500544171 310.807995001844 200.902716403671</t>
  </si>
  <si>
    <t>-612.990302434455 258.627577342111 667.029728524207</t>
  </si>
  <si>
    <t>-457.285958220505 256.020255822611 748.839713195595</t>
  </si>
  <si>
    <t>-565.505087313652 133.008329832966 -230.358671537392</t>
  </si>
  <si>
    <t>-444.031095840803 110.36642723712 208.263098750842</t>
  </si>
  <si>
    <t>-607.863642935442 14.3788788142974 638.687247915333</t>
  </si>
  <si>
    <t>-458.613805049787 -32.547415867261 719.098206521009</t>
  </si>
  <si>
    <t>9763-20170724T170121.796894700.bin</t>
  </si>
  <si>
    <t>-576.264366346662 231.209637650896 -243.004533219709</t>
  </si>
  <si>
    <t>-597.968186903533 214.534299936398 -360.98206840942</t>
  </si>
  <si>
    <t>-603.528626418286 196.192940103369 -480.661703703626</t>
  </si>
  <si>
    <t>-601.917453330585 178.539851924674 -588.738713371639</t>
  </si>
  <si>
    <t>-593.832748360077 159.560201998836 -696.299178729618</t>
  </si>
  <si>
    <t>-575.929585841301 131.561012685909 -844.944871639138</t>
  </si>
  <si>
    <t>-536.051921857431 112.632344134632 -936.7842415294</t>
  </si>
  <si>
    <t>-579.598353755124 175.002625027446 -784.51071684424</t>
  </si>
  <si>
    <t>-540.429258985204 316.733703801378 -783.330114376364</t>
  </si>
  <si>
    <t>-465.63605308054 376.587284279922 -481.651880165824</t>
  </si>
  <si>
    <t>-270.260563591285 290.325340724948 -333.22887575902</t>
  </si>
  <si>
    <t>-588.104013890579 112.896890552074 -773.836792396005</t>
  </si>
  <si>
    <t>-622.401239171691 3.19222183807824 -415.212243882727</t>
  </si>
  <si>
    <t>-370.932452397219 45.1464916970622 -466.645494144296</t>
  </si>
  <si>
    <t>-587.010750466916 330.349576847535 -254.568508780706</t>
  </si>
  <si>
    <t>-593.366702100168 310.320338923267 200.641363660835</t>
  </si>
  <si>
    <t>-612.883200113407 258.716926775821 666.884411457251</t>
  </si>
  <si>
    <t>-457.280611872734 255.964491024695 748.882958132034</t>
  </si>
  <si>
    <t>-565.487937191957 132.115047093537 -230.691483711263</t>
  </si>
  <si>
    <t>-443.984116932455 109.66580902677 207.931993969845</t>
  </si>
  <si>
    <t>-607.938275900697 14.3307306786828 638.524009534009</t>
  </si>
  <si>
    <t>-458.63517935051 -32.4758244796542 718.905824175543</t>
  </si>
  <si>
    <t>9763-20170724T170121.864107100.bin</t>
  </si>
  <si>
    <t>-575.998541525877 228.44671582704 -243.175462455067</t>
  </si>
  <si>
    <t>-598.044667645567 211.862626459558 -361.102333525306</t>
  </si>
  <si>
    <t>-603.525414411423 193.656536808507 -480.806382898981</t>
  </si>
  <si>
    <t>-601.66784617113 176.142217011273 -588.901865467903</t>
  </si>
  <si>
    <t>-593.162147856127 157.316564665429 -696.456975471201</t>
  </si>
  <si>
    <t>-574.492704722336 129.546575777569 -845.05134531837</t>
  </si>
  <si>
    <t>-534.256895594526 111.015095856812 -936.815425373167</t>
  </si>
  <si>
    <t>-578.569054943031 172.905676024578 -784.583951104326</t>
  </si>
  <si>
    <t>-539.768112479648 314.72216638822 -783.555314871528</t>
  </si>
  <si>
    <t>-484.705267322514 385.886028893269 -480.091911840125</t>
  </si>
  <si>
    <t>-294.239272472782 295.629182231713 -327.715826824111</t>
  </si>
  <si>
    <t>-586.937689207088 110.7621416471 -774.021900045121</t>
  </si>
  <si>
    <t>-620.970850172781 0.111388884877442 -415.780449180483</t>
  </si>
  <si>
    <t>-368.364756431017 36.7212433476554 -465.699682477949</t>
  </si>
  <si>
    <t>-586.641512203502 327.251161986419 -254.522266196469</t>
  </si>
  <si>
    <t>-592.52024066236 307.927141236928 200.724518959684</t>
  </si>
  <si>
    <t>-613.044990725078 257.05276556294 667.322166737395</t>
  </si>
  <si>
    <t>-457.20830620328 255.294414241848 748.902514977698</t>
  </si>
  <si>
    <t>-565.388837324222 129.621010289393 -231.012090072725</t>
  </si>
  <si>
    <t>-443.918803246096 107.944767795733 207.659675480251</t>
  </si>
  <si>
    <t>-608.154387201814 14.456967823573 638.487823490647</t>
  </si>
  <si>
    <t>-458.806455810262 -32.510733083282 718.692215839489</t>
  </si>
  <si>
    <t>9763-20170724T170121.899201300.bin</t>
  </si>
  <si>
    <t>-576.299232234808 226.679583206337 -242.926753751447</t>
  </si>
  <si>
    <t>-598.512153792193 210.074002842335 -360.819353538313</t>
  </si>
  <si>
    <t>-603.927571641414 191.967705975433 -480.541561755675</t>
  </si>
  <si>
    <t>-601.911945319724 174.593994408883 -588.656873945829</t>
  </si>
  <si>
    <t>-593.146880830501 155.959610510108 -696.224494319058</t>
  </si>
  <si>
    <t>-574.009672073366 128.509056811206 -844.818693123165</t>
  </si>
  <si>
    <t>-533.564875222157 110.247608840674 -936.544985172171</t>
  </si>
  <si>
    <t>-578.424162218764 171.753962702612 -784.293443595852</t>
  </si>
  <si>
    <t>-540.05534127958 313.708299916288 -783.21935111193</t>
  </si>
  <si>
    <t>-493.978794157284 388.132767600741 -479.041493348695</t>
  </si>
  <si>
    <t>-305.668888055206 293.412121045288 -326.694915076164</t>
  </si>
  <si>
    <t>-586.530433411029 109.556186714762 -773.847244139695</t>
  </si>
  <si>
    <t>-367.30760340786 32.2936235180352 -464.473922106773</t>
  </si>
  <si>
    <t>-587.10325443034 325.065534342725 -254.18813139715</t>
  </si>
  <si>
    <t>-592.386034899226 306.113316753224 201.08159667546</t>
  </si>
  <si>
    <t>-613.22656541818 255.369150459795 667.83536674305</t>
  </si>
  <si>
    <t>-457.098377852815 254.84494989364 748.873791781892</t>
  </si>
  <si>
    <t>-565.564001787453 128.315667863234 -230.85968044927</t>
  </si>
  <si>
    <t>-443.857116105497 106.840896326142 207.75624934684</t>
  </si>
  <si>
    <t>-608.267400399923 14.6037766157253 638.602030820268</t>
  </si>
  <si>
    <t>-458.967918714061 -32.7535552554211 718.667383229222</t>
  </si>
  <si>
    <t>9763-20170724T170121.964386100.bin</t>
  </si>
  <si>
    <t>-577.334845423179 223.118408410648 -242.312157017162</t>
  </si>
  <si>
    <t>-599.9039692181 206.382800153548 -360.118576328192</t>
  </si>
  <si>
    <t>-605.37317738709 188.484800690813 -479.869648020917</t>
  </si>
  <si>
    <t>-603.270091312754 171.444020279644 -588.036463637829</t>
  </si>
  <si>
    <t>-594.273791673337 153.289821939875 -695.667016277931</t>
  </si>
  <si>
    <t>-574.658913203914 126.662665519248 -844.348712170113</t>
  </si>
  <si>
    <t>-533.7712777431 109.06273514499 -936.008027005852</t>
  </si>
  <si>
    <t>-579.714564304804 169.615888686438 -783.666014598106</t>
  </si>
  <si>
    <t>-543.372358095758 312.067493853878 -781.949098459989</t>
  </si>
  <si>
    <t>-504.998512335535 386.562576760625 -476.720998411021</t>
  </si>
  <si>
    <t>-317.735939634497 282.812477827968 -329.03665268719</t>
  </si>
  <si>
    <t>-586.961225118311 107.27278503444 -773.4571889703</t>
  </si>
  <si>
    <t>-366.251163358784 23.7753321057401 -461.550022766753</t>
  </si>
  <si>
    <t>-588.758616631289 320.746407754728 -253.418342260429</t>
  </si>
  <si>
    <t>-592.277297943743 302.602514946827 201.901355571111</t>
  </si>
  <si>
    <t>-613.465425712137 252.658906451724 668.656158666379</t>
  </si>
  <si>
    <t>-456.860204840459 254.188926536038 748.756015807963</t>
  </si>
  <si>
    <t>-565.926884861283 125.760130478407 -230.436764351852</t>
  </si>
  <si>
    <t>-444.113361777747 104.431997613932 208.156770122633</t>
  </si>
  <si>
    <t>-608.53551596993 14.3489767935189 639.070285589563</t>
  </si>
  <si>
    <t>-458.925726229724 -32.5255388459939 718.839987021041</t>
  </si>
  <si>
    <t>9763-20170724T170121.996469600.bin</t>
  </si>
  <si>
    <t>-577.943123112035 221.806850529739 -242.039813448712</t>
  </si>
  <si>
    <t>-600.468008089294 204.985496380725 -359.842630798345</t>
  </si>
  <si>
    <t>-605.948905535799 187.202196456727 -479.610144940745</t>
  </si>
  <si>
    <t>-603.872811261248 170.349716252578 -587.806883169824</t>
  </si>
  <si>
    <t>-594.91569245846 152.46840430464 -695.486469348002</t>
  </si>
  <si>
    <t>-575.363502721906 126.309792027836 -844.259518675285</t>
  </si>
  <si>
    <t>-534.323230578977 109.030055451239 -935.911579398227</t>
  </si>
  <si>
    <t>-580.615130990971 169.091304579455 -783.472312753931</t>
  </si>
  <si>
    <t>-545.477293903838 311.84760200258 -781.239968323712</t>
  </si>
  <si>
    <t>-506.120020163093 383.323195459191 -475.415739746889</t>
  </si>
  <si>
    <t>-318.562435210741 276.408608359599 -330.386402205197</t>
  </si>
  <si>
    <t>-587.414358124228 106.676922826402 -773.39174307681</t>
  </si>
  <si>
    <t>-365.342824319005 19.9036924746174 -460.717139276306</t>
  </si>
  <si>
    <t>-589.855802360924 319.104300589551 -253.101052248628</t>
  </si>
  <si>
    <t>-592.639830908903 301.388081980482 202.240631665369</t>
  </si>
  <si>
    <t>-613.581083334382 251.728570016154 669.03215116483</t>
  </si>
  <si>
    <t>-456.769166286289 254.04967101004 748.707333130025</t>
  </si>
  <si>
    <t>-565.965553064015 124.87743385114 -230.257717096355</t>
  </si>
  <si>
    <t>-444.441178776811 103.601840071629 208.418496869249</t>
  </si>
  <si>
    <t>-608.696569874475 14.2443297397665 639.395879255759</t>
  </si>
  <si>
    <t>-458.839068742674 -32.1827981479992 718.961967944932</t>
  </si>
  <si>
    <t>9763-20170724T170122.063656200.bin</t>
  </si>
  <si>
    <t>-578.51386818802 219.623800845095 -241.589159543692</t>
  </si>
  <si>
    <t>-600.889586608245 202.573138860208 -359.38743707304</t>
  </si>
  <si>
    <t>-606.338449290325 184.976035066991 -479.18383046792</t>
  </si>
  <si>
    <t>-604.26990356877 168.45212862081 -587.43145609109</t>
  </si>
  <si>
    <t>-595.349851118096 151.052990073196 -695.193116154392</t>
  </si>
  <si>
    <t>-575.873841602598 125.718014584273 -844.11849834604</t>
  </si>
  <si>
    <t>-534.595262348602 108.98625009392 -935.765261281105</t>
  </si>
  <si>
    <t>-581.331614738712 168.181948988503 -783.127322176279</t>
  </si>
  <si>
    <t>-547.050761255807 311.161638346532 -780.011552557755</t>
  </si>
  <si>
    <t>-502.887665954821 377.817312679463 -473.755337404665</t>
  </si>
  <si>
    <t>-316.211517637557 266.14812766789 -331.192951593961</t>
  </si>
  <si>
    <t>-587.65114768823 105.673807718061 -773.319882839525</t>
  </si>
  <si>
    <t>-363.860147222961 14.8285451464519 -460.664723314834</t>
  </si>
  <si>
    <t>-591.443732131487 316.144719470689 -252.656622580642</t>
  </si>
  <si>
    <t>-593.575376287392 299.496838247778 202.728920433721</t>
  </si>
  <si>
    <t>-613.742825505271 250.547775117105 669.571717919663</t>
  </si>
  <si>
    <t>-456.640772427358 254.223248952158 748.622039904968</t>
  </si>
  <si>
    <t>-565.43825043294 123.319371881336 -229.891112136476</t>
  </si>
  <si>
    <t>-444.73011652146 102.673979774576 209.040585006535</t>
  </si>
  <si>
    <t>-608.956133886672 14.1565897108749 640.01640843281</t>
  </si>
  <si>
    <t>-458.74623961027 -31.8405947198096 719.166630975873</t>
  </si>
  <si>
    <t>9763-20170724T170122.098749700.bin</t>
  </si>
  <si>
    <t>-578.791058753772 218.81293845317 -241.450876556956</t>
  </si>
  <si>
    <t>-601.109221610914 201.622859873042 -359.239758887809</t>
  </si>
  <si>
    <t>-606.469011579084 184.065653647723 -479.046103387305</t>
  </si>
  <si>
    <t>-604.302594116438 167.643715520712 -587.307335576232</t>
  </si>
  <si>
    <t>-595.265157140815 150.407333047345 -695.085256718123</t>
  </si>
  <si>
    <t>-575.604010152265 125.357775150681 -844.034827686803</t>
  </si>
  <si>
    <t>-534.246777082663 108.799545135277 -935.677456854917</t>
  </si>
  <si>
    <t>-581.167164044493 167.707148674902 -782.973394003557</t>
  </si>
  <si>
    <t>-546.679487139976 310.621613950331 -779.69807011732</t>
  </si>
  <si>
    <t>-500.699883065492 375.920984916609 -473.417114222965</t>
  </si>
  <si>
    <t>-314.408188355667 263.546273787897 -330.906054759514</t>
  </si>
  <si>
    <t>-587.43974812129 105.175747865877 -773.285054359654</t>
  </si>
  <si>
    <t>-363.682890756252 13.1352726570201 -460.972176548544</t>
  </si>
  <si>
    <t>-592.043004712334 315.078162050658 -252.588874695558</t>
  </si>
  <si>
    <t>-594.087221299515 298.962950314126 202.81610337255</t>
  </si>
  <si>
    <t>-613.839911711916 250.439319725263 669.732294244724</t>
  </si>
  <si>
    <t>-456.645193657602 254.275227295762 748.590473742914</t>
  </si>
  <si>
    <t>-565.478826208105 122.640997943248 -229.733786102522</t>
  </si>
  <si>
    <t>-445.107670506652 102.397158580733 209.309051971573</t>
  </si>
  <si>
    <t>-609.082942029481 14.0859217602701 640.334218175258</t>
  </si>
  <si>
    <t>-458.651928204052 -31.618428869645 719.233759715783</t>
  </si>
  <si>
    <t>9763-20170724T170122.164474000.bin</t>
  </si>
  <si>
    <t>-579.033816972933 216.747871792343 -241.4458019518</t>
  </si>
  <si>
    <t>-601.217164490263 199.42801593118 -359.241053070824</t>
  </si>
  <si>
    <t>-606.449045665193 181.771970159325 -479.03870218721</t>
  </si>
  <si>
    <t>-604.170464560357 165.264268418445 -587.284532429365</t>
  </si>
  <si>
    <t>-595.025334132352 147.940582612708 -695.039282605196</t>
  </si>
  <si>
    <t>-575.220399342669 122.763407218025 -843.94824340806</t>
  </si>
  <si>
    <t>-533.871948077977 106.106947077459 -935.577171399832</t>
  </si>
  <si>
    <t>-580.75724234499 165.158360952627 -782.916088204419</t>
  </si>
  <si>
    <t>-545.574414815551 307.907618934705 -779.628887884466</t>
  </si>
  <si>
    <t>-497.833002874062 371.817250475565 -473.324251231604</t>
  </si>
  <si>
    <t>-311.392107011678 257.790500423201 -332.328676400341</t>
  </si>
  <si>
    <t>-587.209687168046 102.648728224382 -773.205256368415</t>
  </si>
  <si>
    <t>-363.559939477986 7.7246536192913 -460.883241235048</t>
  </si>
  <si>
    <t>-592.428302974302 312.681166878207 -252.63773264668</t>
  </si>
  <si>
    <t>-594.563464446257 297.642413145854 202.803768952513</t>
  </si>
  <si>
    <t>-613.944369899295 250.140833568262 669.961133438723</t>
  </si>
  <si>
    <t>-456.619371382346 254.354304399099 748.539849078172</t>
  </si>
  <si>
    <t>-565.502779378483 120.764409612389 -229.680173133167</t>
  </si>
  <si>
    <t>-445.894809490941 101.208800625304 209.602354083058</t>
  </si>
  <si>
    <t>-609.349928359249 13.8439556595213 641.039472360531</t>
  </si>
  <si>
    <t>-458.415814365775 -30.9850002777323 719.479092654274</t>
  </si>
  <si>
    <t>9763-20170724T170122.197563600.bin</t>
  </si>
  <si>
    <t>-579.111618105738 215.573638627154 -241.452599378133</t>
  </si>
  <si>
    <t>-601.234568350886 198.263622834461 -359.260769815541</t>
  </si>
  <si>
    <t>-606.395866256217 180.515166559939 -479.047633037785</t>
  </si>
  <si>
    <t>-604.05331611095 163.878836954836 -587.272398535643</t>
  </si>
  <si>
    <t>-594.84692086155 146.379287982858 -694.993595690536</t>
  </si>
  <si>
    <t>-574.962472293232 120.906684201059 -843.841675147915</t>
  </si>
  <si>
    <t>-533.617425393009 104.022151137375 -935.430339151685</t>
  </si>
  <si>
    <t>-580.446947355096 163.415765192718 -782.884145712021</t>
  </si>
  <si>
    <t>-544.714386173729 306.048240751234 -779.802195603348</t>
  </si>
  <si>
    <t>-496.66943293021 370.252119432741 -473.60649580205</t>
  </si>
  <si>
    <t>-309.501578314863 257.127529802085 -332.847727233154</t>
  </si>
  <si>
    <t>-587.074482476918 100.939332717206 -773.077836583187</t>
  </si>
  <si>
    <t>-363.760013938214 4.52613089046122 -460.071189247454</t>
  </si>
  <si>
    <t>-592.390654613232 311.457208106493 -252.656819292514</t>
  </si>
  <si>
    <t>-594.49019369811 296.902986460561 202.800504919372</t>
  </si>
  <si>
    <t>-613.984122573405 249.966102516273 670.051810880009</t>
  </si>
  <si>
    <t>-456.606288940065 254.097747233136 748.528902889164</t>
  </si>
  <si>
    <t>-565.776324135649 119.62204976918 -229.70143532498</t>
  </si>
  <si>
    <t>-446.431993396786 100.330420999581 209.66449932198</t>
  </si>
  <si>
    <t>-609.488079953163 13.9317633840108 641.43452565863</t>
  </si>
  <si>
    <t>-458.42995520606 -30.9026317594944 719.631913685776</t>
  </si>
  <si>
    <t>9763-20170724T170122.264245200.bin</t>
  </si>
  <si>
    <t>-579.083737215099 213.023264006267 -241.59498932788</t>
  </si>
  <si>
    <t>-601.228564389093 195.865939485794 -359.42127332562</t>
  </si>
  <si>
    <t>-606.29516395681 177.905171092627 -479.180604491985</t>
  </si>
  <si>
    <t>-603.832432737434 160.920709905897 -587.348532856305</t>
  </si>
  <si>
    <t>-594.48035491254 142.913213953567 -694.973594712738</t>
  </si>
  <si>
    <t>-574.37596704786 116.56439919598 -843.639481333502</t>
  </si>
  <si>
    <t>-532.909726145485 99.010375798533 -935.047304239873</t>
  </si>
  <si>
    <t>-579.799167481312 159.418998663875 -782.9188073594</t>
  </si>
  <si>
    <t>-543.21344284585 301.82201983179 -780.542471731672</t>
  </si>
  <si>
    <t>-493.133963693231 367.314868583642 -474.946485045505</t>
  </si>
  <si>
    <t>-305.554391250836 254.019486433568 -334.874694935012</t>
  </si>
  <si>
    <t>-586.743916740734 97.0268027697341 -772.799850203294</t>
  </si>
  <si>
    <t>-592.120118471811 308.68374233895 -252.671263868732</t>
  </si>
  <si>
    <t>-593.828548133156 295.073792761276 202.816908427698</t>
  </si>
  <si>
    <t>-614.022318144573 249.387170988289 670.257117499105</t>
  </si>
  <si>
    <t>-456.5514141566 254.116761388057 748.513510866439</t>
  </si>
  <si>
    <t>-565.959075227978 117.449923687376 -229.933547405652</t>
  </si>
  <si>
    <t>-447.72409194971 98.1664040053533 209.732603581817</t>
  </si>
  <si>
    <t>-609.823879145232 13.9350894901595 642.345645263754</t>
  </si>
  <si>
    <t>-458.482712771946 -30.7462198596704 720.082062548728</t>
  </si>
  <si>
    <t>9763-20170724T170122.300341900.bin</t>
  </si>
  <si>
    <t>-579.066187045379 211.634612180287 -241.560114165349</t>
  </si>
  <si>
    <t>-601.27377832837 194.526870586138 -359.381872204567</t>
  </si>
  <si>
    <t>-606.321165312212 176.456265334548 -479.125509056452</t>
  </si>
  <si>
    <t>-603.813446419563 159.302025216318 -587.265573223478</t>
  </si>
  <si>
    <t>-594.393070772428 141.05128264664 -694.843586896054</t>
  </si>
  <si>
    <t>-574.17414862466 114.285049019391 -843.4194692382</t>
  </si>
  <si>
    <t>-532.641206558131 96.3763248400312 -934.728106139333</t>
  </si>
  <si>
    <t>-579.549850643054 157.30167374842 -782.809363985939</t>
  </si>
  <si>
    <t>-542.460433092032 299.584836357597 -780.793719667216</t>
  </si>
  <si>
    <t>-490.898406380527 365.553032064445 -475.546800683866</t>
  </si>
  <si>
    <t>-303.502408798831 251.930525224234 -335.494332177494</t>
  </si>
  <si>
    <t>-586.690964518817 94.9548137497472 -772.549153207467</t>
  </si>
  <si>
    <t>-591.972052411262 307.236406276968 -252.607016454947</t>
  </si>
  <si>
    <t>-593.370373147178 294.100147772524 202.896204548485</t>
  </si>
  <si>
    <t>-614.041925762326 249.038457949046 670.381570506758</t>
  </si>
  <si>
    <t>-456.518838383266 254.045595186391 748.515562722482</t>
  </si>
  <si>
    <t>-566.086346512534 116.001432360948 -229.870463852726</t>
  </si>
  <si>
    <t>-448.055670659742 97.0993968499115 209.867127420729</t>
  </si>
  <si>
    <t>-609.937412900032 13.8459362332958 642.719661039043</t>
  </si>
  <si>
    <t>-458.476161242642 -30.6826139621257 720.309714169324</t>
  </si>
  <si>
    <t>9763-20170724T170122.365281600.bin</t>
  </si>
  <si>
    <t>-579.067942613562 208.878216207203 -241.313706627809</t>
  </si>
  <si>
    <t>-601.441345289716 191.737621887087 -359.099362048667</t>
  </si>
  <si>
    <t>-606.509146554189 173.428085945249 -478.80578527897</t>
  </si>
  <si>
    <t>-603.968689661026 155.958713652144 -586.894704198405</t>
  </si>
  <si>
    <t>-594.471410843792 137.285517153516 -694.393493867012</t>
  </si>
  <si>
    <t>-574.107135724787 109.813256399971 -842.820376624799</t>
  </si>
  <si>
    <t>-532.482439740484 91.2281045675111 -933.95198379128</t>
  </si>
  <si>
    <t>-579.27463502555 153.092694830735 -782.379498968889</t>
  </si>
  <si>
    <t>-540.933036617945 295.043187352926 -780.76542031279</t>
  </si>
  <si>
    <t>-485.341185151438 360.754439460461 -476.170966765495</t>
  </si>
  <si>
    <t>-299.0382188902 244.621979590186 -336.720229217839</t>
  </si>
  <si>
    <t>-586.960760083053 90.8450135868502 -771.912551437977</t>
  </si>
  <si>
    <t>-591.827698305497 304.303595647635 -252.394335502965</t>
  </si>
  <si>
    <t>-592.53753379939 292.073030206039 203.135599216008</t>
  </si>
  <si>
    <t>-614.061581021388 248.105143119923 670.705943232886</t>
  </si>
  <si>
    <t>-456.399693487417 253.858141591333 748.507915521942</t>
  </si>
  <si>
    <t>-566.21178562655 113.46922134558 -229.579450510852</t>
  </si>
  <si>
    <t>-448.563536025367 95.4995180868389 210.299698218762</t>
  </si>
  <si>
    <t>-610.100662313763 13.800333621971 643.421292344009</t>
  </si>
  <si>
    <t>-458.492257941062 -30.6101697391211 720.7912993178</t>
  </si>
  <si>
    <t>9763-20170724T170122.396375800.bin</t>
  </si>
  <si>
    <t>-579.111125868719 207.730923398031 -241.089310801415</t>
  </si>
  <si>
    <t>-601.565862992176 190.53607850906 -358.851495195975</t>
  </si>
  <si>
    <t>-606.677697920594 172.121482438038 -478.540008560505</t>
  </si>
  <si>
    <t>-604.163868680633 154.529731511623 -586.609736866527</t>
  </si>
  <si>
    <t>-594.682214245455 135.703317795743 -694.083102869801</t>
  </si>
  <si>
    <t>-574.330698376557 107.982395842745 -842.465593260173</t>
  </si>
  <si>
    <t>-532.698973489974 89.1229693208516 -933.537601579671</t>
  </si>
  <si>
    <t>-579.32452741025 151.346290884903 -782.070599824043</t>
  </si>
  <si>
    <t>-540.146108529701 293.069925733335 -780.553043623556</t>
  </si>
  <si>
    <t>-482.923898404915 357.478782876781 -475.982420521608</t>
  </si>
  <si>
    <t>-297.090652052407 239.671364399748 -337.311932206938</t>
  </si>
  <si>
    <t>-587.346656614007 89.1499022756891 -771.551255504433</t>
  </si>
  <si>
    <t>-591.738403944046 303.123443500911 -252.233268828287</t>
  </si>
  <si>
    <t>-592.334501121287 291.28021259239 203.307183408939</t>
  </si>
  <si>
    <t>-614.176749722246 247.841173896169 670.934741678353</t>
  </si>
  <si>
    <t>-456.414773815244 253.582394296096 748.534436688971</t>
  </si>
  <si>
    <t>-566.434473757864 112.369578123766 -229.273032531225</t>
  </si>
  <si>
    <t>-448.611734227435 94.9170457514872 210.580185117465</t>
  </si>
  <si>
    <t>-610.137459117972 13.8268483025929 643.733202608732</t>
  </si>
  <si>
    <t>-458.572124406821 -30.7994273425338 721.063366090296</t>
  </si>
  <si>
    <t>9763-20170724T170122.461561600.bin</t>
  </si>
  <si>
    <t>-579.316311351387 205.56171892782 -240.692760225528</t>
  </si>
  <si>
    <t>-601.927625626111 188.300037024639 -358.415158327459</t>
  </si>
  <si>
    <t>-607.160109434149 169.743477728805 -478.076441300292</t>
  </si>
  <si>
    <t>-604.743656797484 151.981468927919 -586.120650025884</t>
  </si>
  <si>
    <t>-595.350762788778 132.937600361179 -693.563368996444</t>
  </si>
  <si>
    <t>-575.11712915512 104.860460368343 -841.895045880934</t>
  </si>
  <si>
    <t>-533.57496788097 85.5293819619617 -932.909036251666</t>
  </si>
  <si>
    <t>-579.703844305208 148.330456850203 -781.543992400215</t>
  </si>
  <si>
    <t>-538.733874031603 289.547557500703 -779.953024495242</t>
  </si>
  <si>
    <t>-479.16046388896 350.294709072496 -475.080955608471</t>
  </si>
  <si>
    <t>-294.366596098453 229.756860652334 -337.371568727159</t>
  </si>
  <si>
    <t>-588.435920672973 86.2370596745029 -770.981706399556</t>
  </si>
  <si>
    <t>-591.437755052818 301.000533393835 -252.01967389348</t>
  </si>
  <si>
    <t>-592.140889300648 289.89670487429 203.539212591694</t>
  </si>
  <si>
    <t>-614.179521771617 247.249135413663 671.184368055579</t>
  </si>
  <si>
    <t>-456.293671987175 253.248290915821 748.512101887638</t>
  </si>
  <si>
    <t>-567.132715338568 110.158012769652 -228.742086039248</t>
  </si>
  <si>
    <t>-448.607898330503 93.4593931797031 210.951817054811</t>
  </si>
  <si>
    <t>-610.226353006688 13.685037514852 644.342505625273</t>
  </si>
  <si>
    <t>-458.542652311394 -30.6600827674706 721.602266531293</t>
  </si>
  <si>
    <t>9763-20170724T170122.500648800.bin</t>
  </si>
  <si>
    <t>-579.500054649053 204.647547101936 -240.465906079588</t>
  </si>
  <si>
    <t>-602.206343751769 187.390693246207 -358.170747102782</t>
  </si>
  <si>
    <t>-607.501304475238 168.804777672648 -477.824853985315</t>
  </si>
  <si>
    <t>-605.129056690054 150.998323614453 -585.862523280006</t>
  </si>
  <si>
    <t>-595.769386898623 131.890309396016 -693.296772862773</t>
  </si>
  <si>
    <t>-575.571841617915 103.701923830216 -841.612254865087</t>
  </si>
  <si>
    <t>-534.066459020033 84.1778271677749 -932.601798741377</t>
  </si>
  <si>
    <t>-579.981415914833 147.198233610471 -781.267056041132</t>
  </si>
  <si>
    <t>-538.128624159963 288.166560894814 -779.651746173991</t>
  </si>
  <si>
    <t>-478.448853883852 346.575624336365 -474.343766677076</t>
  </si>
  <si>
    <t>-293.918441948257 224.999191108404 -337.19508645579</t>
  </si>
  <si>
    <t>-589.035827766546 85.1505922886945 -770.70757504404</t>
  </si>
  <si>
    <t>-591.309229119531 300.104035903507 -251.866047434821</t>
  </si>
  <si>
    <t>-592.050578250617 289.306174545291 203.700144967307</t>
  </si>
  <si>
    <t>-614.312007869422 247.081554138163 671.423545051424</t>
  </si>
  <si>
    <t>-456.333768896472 253.090878923261 748.561558144749</t>
  </si>
  <si>
    <t>-567.650183706798 109.309332114867 -228.433021521916</t>
  </si>
  <si>
    <t>-448.664446608417 92.7062730228549 211.139994137685</t>
  </si>
  <si>
    <t>-610.305855184514 13.7867968771354 644.674918393184</t>
  </si>
  <si>
    <t>-458.63235572405 -30.7311866512669 721.855294363577</t>
  </si>
  <si>
    <t>9763-20170724T170122.565843100.bin</t>
  </si>
  <si>
    <t>-579.68885245422 202.738052738369 -240.024096871418</t>
  </si>
  <si>
    <t>-602.566396352865 185.493919088238 -357.697545221973</t>
  </si>
  <si>
    <t>-607.964363104765 166.849152154427 -477.33794126482</t>
  </si>
  <si>
    <t>-605.659283680225 148.956283202223 -585.362845633573</t>
  </si>
  <si>
    <t>-596.342700082778 129.727477301073 -692.779445321391</t>
  </si>
  <si>
    <t>-576.18221238942 101.333686801988 -841.060638566911</t>
  </si>
  <si>
    <t>-534.740172663356 81.4500041585529 -932.00119245896</t>
  </si>
  <si>
    <t>-580.323156330919 144.882386330657 -780.73416925907</t>
  </si>
  <si>
    <t>-537.095543878945 285.431573682063 -779.195276150052</t>
  </si>
  <si>
    <t>-476.893073841263 341.66763855961 -473.582248666832</t>
  </si>
  <si>
    <t>-293.102314580279 218.617589949505 -336.754909060885</t>
  </si>
  <si>
    <t>-589.882095410075 82.9116167782083 -770.16736593978</t>
  </si>
  <si>
    <t>-590.920818668209 298.248194559573 -251.540590771981</t>
  </si>
  <si>
    <t>-591.626641839783 288.053950475018 204.039559020034</t>
  </si>
  <si>
    <t>-614.433352018995 246.592370177571 671.783720592798</t>
  </si>
  <si>
    <t>-456.303936241657 252.757833807135 748.598960374691</t>
  </si>
  <si>
    <t>-568.398562973152 107.41837302309 -227.822317536798</t>
  </si>
  <si>
    <t>-448.634208219686 91.2589096164684 211.555659354123</t>
  </si>
  <si>
    <t>-610.453655922516 13.7540961885768 645.259576999822</t>
  </si>
  <si>
    <t>-458.823619245097 -31.1445033421392 722.304730131608</t>
  </si>
  <si>
    <t>9763-20170724T170122.596917200.bin</t>
  </si>
  <si>
    <t>-579.736207279719 201.917144520427 -239.820474250613</t>
  </si>
  <si>
    <t>-602.674133435632 184.661408511086 -357.480533151981</t>
  </si>
  <si>
    <t>-608.106992338297 165.972728454372 -477.112406721324</t>
  </si>
  <si>
    <t>-605.824166033137 148.024974699054 -585.128718050418</t>
  </si>
  <si>
    <t>-596.521280719234 128.726215670499 -692.533845608055</t>
  </si>
  <si>
    <t>-576.371961241971 100.218727521835 -840.794889816938</t>
  </si>
  <si>
    <t>-534.948440924445 80.179347700519 -931.709613980628</t>
  </si>
  <si>
    <t>-580.42427709052 143.802936758037 -780.488023452921</t>
  </si>
  <si>
    <t>-536.697727468098 284.193892352414 -779.020493347052</t>
  </si>
  <si>
    <t>-475.722655458596 340.027061378675 -473.486694943704</t>
  </si>
  <si>
    <t>-292.188386679256 216.156506146609 -337.056163887252</t>
  </si>
  <si>
    <t>-590.150521208154 81.8619548181493 -769.899851168169</t>
  </si>
  <si>
    <t>-590.769275163204 297.42556665646 -251.416085235359</t>
  </si>
  <si>
    <t>-591.367472750445 287.485351671778 204.169863810919</t>
  </si>
  <si>
    <t>-614.417912484918 246.397830062112 671.886286083456</t>
  </si>
  <si>
    <t>-456.249268767188 252.514967752971 748.624595573438</t>
  </si>
  <si>
    <t>-568.627297018125 106.569143290988 -227.568596827434</t>
  </si>
  <si>
    <t>-448.582041008928 90.708495731802 211.743641822346</t>
  </si>
  <si>
    <t>-610.511255698363 13.8426703649052 645.494488664872</t>
  </si>
  <si>
    <t>-458.947155743798 -31.3838613657465 722.477520819161</t>
  </si>
  <si>
    <t>9763-20170724T170122.662323000.bin</t>
  </si>
  <si>
    <t>-579.655732106926 200.242116276377 -239.645857673582</t>
  </si>
  <si>
    <t>-602.652503043933 182.9864503832 -357.294515245507</t>
  </si>
  <si>
    <t>-608.110828262878 164.27998875039 -476.922376885662</t>
  </si>
  <si>
    <t>-605.838448085348 146.303343700175 -584.934196828488</t>
  </si>
  <si>
    <t>-596.534734656269 126.959899094731 -692.331175941813</t>
  </si>
  <si>
    <t>-576.374143712754 98.3709293949635 -840.574985670938</t>
  </si>
  <si>
    <t>-534.964960318565 78.1754032220658 -931.461693845325</t>
  </si>
  <si>
    <t>-580.327873583276 141.974742760388 -780.275708160101</t>
  </si>
  <si>
    <t>-535.939291292912 282.149536142154 -778.790357221456</t>
  </si>
  <si>
    <t>-472.658781752168 336.885938252618 -473.527091395089</t>
  </si>
  <si>
    <t>-288.246988325783 213.599409501997 -337.752264212471</t>
  </si>
  <si>
    <t>-590.261283124804 80.0666250086499 -769.687574890801</t>
  </si>
  <si>
    <t>-590.528680735968 295.739067981107 -251.285698302466</t>
  </si>
  <si>
    <t>-590.902589628906 286.23806082476 204.309732085188</t>
  </si>
  <si>
    <t>-614.291389039649 245.877286468042 672.029888291503</t>
  </si>
  <si>
    <t>-456.10292873708 252.527280210791 748.682939080964</t>
  </si>
  <si>
    <t>-568.659112321785 104.904269158991 -227.38676117355</t>
  </si>
  <si>
    <t>-448.583791934019 89.7754757539838 211.943154035358</t>
  </si>
  <si>
    <t>-610.567853549095 13.6784912306348 645.839817205112</t>
  </si>
  <si>
    <t>-459.038448421041 -31.6693231471631 722.819855770931</t>
  </si>
  <si>
    <t>9763-20170724T170122.702429700.bin</t>
  </si>
  <si>
    <t>-579.552684570221 199.638535478584 -239.608271450435</t>
  </si>
  <si>
    <t>-602.518551387212 182.364702646979 -357.260192288778</t>
  </si>
  <si>
    <t>-607.987986428242 163.658413547349 -476.887669936134</t>
  </si>
  <si>
    <t>-605.742448473159 145.687880526654 -584.900900414172</t>
  </si>
  <si>
    <t>-596.482131999247 126.355860364201 -692.303850714569</t>
  </si>
  <si>
    <t>-576.398735682625 97.7876365449306 -840.561963981289</t>
  </si>
  <si>
    <t>-535.035844216767 77.5700216406185 -931.46496472133</t>
  </si>
  <si>
    <t>-580.302022895866 141.380404738829 -780.251594765532</t>
  </si>
  <si>
    <t>-535.778295552534 281.515170467317 -778.650129249725</t>
  </si>
  <si>
    <t>-470.98090992233 335.321509037046 -473.539709632948</t>
  </si>
  <si>
    <t>-285.981921230358 212.363304796537 -338.266989805524</t>
  </si>
  <si>
    <t>-590.268045270935 79.4757889997252 -769.673037175689</t>
  </si>
  <si>
    <t>-590.42586773094 295.057620650534 -251.273999204051</t>
  </si>
  <si>
    <t>-590.686484406155 285.747176550135 204.325588339371</t>
  </si>
  <si>
    <t>-614.200643259474 245.693181813549 672.053540416539</t>
  </si>
  <si>
    <t>-456.027205572105 252.714511207656 748.704478885543</t>
  </si>
  <si>
    <t>-568.571940635371 104.408178032745 -227.321126613136</t>
  </si>
  <si>
    <t>-448.516497458059 89.3567563093247 212.016757928284</t>
  </si>
  <si>
    <t>-610.574058751185 13.6423597707508 645.971207012237</t>
  </si>
  <si>
    <t>-459.03027163864 -31.6095017936339 722.979404085149</t>
  </si>
  <si>
    <t>9763-20170724T170122.761932100.bin</t>
  </si>
  <si>
    <t>-579.19829782125 198.954956733062 -239.598468784621</t>
  </si>
  <si>
    <t>-602.028719496391 181.645081543763 -357.271470081833</t>
  </si>
  <si>
    <t>-607.382998206498 162.961249533702 -476.907673963253</t>
  </si>
  <si>
    <t>-605.040737329216 145.03284726631 -584.925923590289</t>
  </si>
  <si>
    <t>-595.690649688901 125.762934757306 -692.332182909761</t>
  </si>
  <si>
    <t>-575.489227329123 97.3007900372281 -840.59481066283</t>
  </si>
  <si>
    <t>-534.12982329528 77.1313699128418 -931.510106750853</t>
  </si>
  <si>
    <t>-579.445335018156 140.851064620023 -780.257122174195</t>
  </si>
  <si>
    <t>-534.717994912875 280.916154599586 -778.470590027377</t>
  </si>
  <si>
    <t>-468.273728172963 332.57747270492 -473.343603590842</t>
  </si>
  <si>
    <t>-281.253597652521 211.345649697701 -339.297455685995</t>
  </si>
  <si>
    <t>-589.410104326318 78.9377858912449 -769.729224249047</t>
  </si>
  <si>
    <t>-590.154656308897 294.277977611204 -251.274095508613</t>
  </si>
  <si>
    <t>-590.42411386706 285.235144453643 204.33081410333</t>
  </si>
  <si>
    <t>-614.134259943877 245.546806987345 672.123795960848</t>
  </si>
  <si>
    <t>-455.946811421215 252.676227293746 748.735858584579</t>
  </si>
  <si>
    <t>-568.152951225011 103.743116431612 -227.303220336174</t>
  </si>
  <si>
    <t>-448.533003691237 88.996550550901 212.16382628013</t>
  </si>
  <si>
    <t>-610.590606111331 13.7261975335498 646.229404061331</t>
  </si>
  <si>
    <t>-459.052689361716 -31.4038622952446 723.320623074638</t>
  </si>
  <si>
    <t>9763-20170724T170122.794017700.bin</t>
  </si>
  <si>
    <t>-579.047926930951 198.718551064471 -239.547002389101</t>
  </si>
  <si>
    <t>-601.833250101186 181.368851229578 -357.222928774417</t>
  </si>
  <si>
    <t>-607.088201542086 162.721571305214 -476.869116047109</t>
  </si>
  <si>
    <t>-604.631991926633 144.856158304377 -584.89532865554</t>
  </si>
  <si>
    <t>-595.142749216579 125.678126147607 -692.305761052226</t>
  </si>
  <si>
    <t>-574.720839346745 97.3728154406185 -840.568314639363</t>
  </si>
  <si>
    <t>-533.315351679283 77.3083004983951 -931.485704890919</t>
  </si>
  <si>
    <t>-578.803714176453 140.864162151286 -780.196412004487</t>
  </si>
  <si>
    <t>-534.009222113904 280.906224802801 -778.324671180437</t>
  </si>
  <si>
    <t>-467.020095398799 331.396215304669 -473.120806992803</t>
  </si>
  <si>
    <t>-278.812375675351 211.250614640422 -339.760543601593</t>
  </si>
  <si>
    <t>-588.710032382876 78.929967860648 -769.737001185782</t>
  </si>
  <si>
    <t>-590.066191386176 294.027169737202 -251.255424730508</t>
  </si>
  <si>
    <t>-590.25887462652 285.096741059486 204.351816658834</t>
  </si>
  <si>
    <t>-614.113911711353 245.504897211662 672.152492263724</t>
  </si>
  <si>
    <t>-455.915404475917 252.607751083239 748.744137852746</t>
  </si>
  <si>
    <t>-567.953463634429 103.56088067564 -227.204515060021</t>
  </si>
  <si>
    <t>-448.377591562794 88.8365755267948 212.275257619849</t>
  </si>
  <si>
    <t>-610.600406077084 13.7761531645747 646.332793315791</t>
  </si>
  <si>
    <t>-459.094378451666 -31.431688471677 723.441076272876</t>
  </si>
  <si>
    <t>9763-20170724T170122.863254100.bin</t>
  </si>
  <si>
    <t>-578.649189721499 198.364992250931 -239.421753536544</t>
  </si>
  <si>
    <t>-601.350782236383 180.894475359974 -357.096006821993</t>
  </si>
  <si>
    <t>-606.453783410989 162.241829988726 -476.747983536942</t>
  </si>
  <si>
    <t>-603.829530543835 144.41688698326 -584.776901795462</t>
  </si>
  <si>
    <t>-594.139894012524 125.322906835672 -692.184292409056</t>
  </si>
  <si>
    <t>-573.404506518282 97.1786618401611 -840.433996527409</t>
  </si>
  <si>
    <t>-531.880475347891 77.2625332533019 -931.329950123951</t>
  </si>
  <si>
    <t>-577.715843850951 140.617631374103 -780.040369725904</t>
  </si>
  <si>
    <t>-533.011277644393 280.702060822862 -777.9605235026</t>
  </si>
  <si>
    <t>-463.497944011722 328.977015045299 -472.962696329488</t>
  </si>
  <si>
    <t>-273.703910018027 210.643326945902 -340.232239520635</t>
  </si>
  <si>
    <t>-587.442686783407 78.6457156454965 -769.635914905061</t>
  </si>
  <si>
    <t>-589.953991259718 293.624398074919 -251.189643968462</t>
  </si>
  <si>
    <t>-589.851424786515 284.840604313606 204.420500891852</t>
  </si>
  <si>
    <t>-614.052501604013 245.426371448377 672.1838625317</t>
  </si>
  <si>
    <t>-455.862208954718 252.839399612785 748.763122056724</t>
  </si>
  <si>
    <t>-567.266636054003 103.245872003833 -226.992834418682</t>
  </si>
  <si>
    <t>-447.95415567109 88.5795927025567 212.560458744093</t>
  </si>
  <si>
    <t>-610.657517646795 13.6051853096526 646.511940613754</t>
  </si>
  <si>
    <t>-459.087467879847 -31.4873990153412 723.56182544486</t>
  </si>
  <si>
    <t>9763-20170724T170122.895311200.bin</t>
  </si>
  <si>
    <t>-578.437178874819 198.254087121632 -239.378009452578</t>
  </si>
  <si>
    <t>-601.02429506009 180.741473096673 -357.068003071887</t>
  </si>
  <si>
    <t>-606.060019469407 162.098447910204 -476.724398171047</t>
  </si>
  <si>
    <t>-603.392921319247 144.303592145779 -584.757136400911</t>
  </si>
  <si>
    <t>-593.677590452051 125.260687281025 -692.171436763778</t>
  </si>
  <si>
    <t>-572.923279352276 97.2089150061142 -840.435911155288</t>
  </si>
  <si>
    <t>-531.342959216761 77.3715294468011 -931.323413621688</t>
  </si>
  <si>
    <t>-577.29620632163 140.617120264162 -780.024597315192</t>
  </si>
  <si>
    <t>-532.812095802252 280.754474624251 -777.873095098809</t>
  </si>
  <si>
    <t>-461.241304444011 328.689662650106 -473.297956581106</t>
  </si>
  <si>
    <t>-271.000403717505 211.00434127998 -340.630587385349</t>
  </si>
  <si>
    <t>-586.91663435599 78.6247618032469 -769.642299922047</t>
  </si>
  <si>
    <t>-589.921565934844 293.437790877311 -251.147734431328</t>
  </si>
  <si>
    <t>-589.786850076923 284.733983050807 204.46379402903</t>
  </si>
  <si>
    <t>-614.006546165296 245.316679075643 672.220130377641</t>
  </si>
  <si>
    <t>-455.825955675538 253.193285479028 748.773143126173</t>
  </si>
  <si>
    <t>-566.877667347175 103.236454941246 -226.918469985823</t>
  </si>
  <si>
    <t>-447.763189073486 88.6077003814951 212.689759353768</t>
  </si>
  <si>
    <t>-610.679639448191 13.6535739088304 646.562268058131</t>
  </si>
  <si>
    <t>-459.203647494574 -31.8222854465141 723.571910740151</t>
  </si>
  <si>
    <t>9763-20170724T170122.966535300.bin</t>
  </si>
  <si>
    <t>-577.908575324874 198.227534451877 -239.24536586409</t>
  </si>
  <si>
    <t>-600.309626623242 180.643575262632 -356.960340340622</t>
  </si>
  <si>
    <t>-605.178433833479 161.977061371766 -476.620039630734</t>
  </si>
  <si>
    <t>-602.368638164923 144.175829417338 -584.648078278253</t>
  </si>
  <si>
    <t>-592.518978081553 125.138715591203 -692.051208077021</t>
  </si>
  <si>
    <t>-571.587296475481 97.1046241393935 -840.29408801374</t>
  </si>
  <si>
    <t>-529.875132150906 77.3447748109172 -931.137995998077</t>
  </si>
  <si>
    <t>-576.091701051355 140.513133990347 -779.892727013954</t>
  </si>
  <si>
    <t>-531.90181787087 280.756368100549 -777.636883226732</t>
  </si>
  <si>
    <t>-457.335141877527 327.062111999745 -473.528626030181</t>
  </si>
  <si>
    <t>-266.270188582728 209.955609153442 -341.535002833649</t>
  </si>
  <si>
    <t>-585.606124661165 78.504521088129 -769.509704893086</t>
  </si>
  <si>
    <t>-589.732134125174 293.43176680757 -251.058172196439</t>
  </si>
  <si>
    <t>-589.869435531477 284.879738506507 204.556162509846</t>
  </si>
  <si>
    <t>-614.015335471219 245.51417455155 672.269429361796</t>
  </si>
  <si>
    <t>-455.815193732529 253.298525784826 748.791573904804</t>
  </si>
  <si>
    <t>-566.007946275169 103.128892085922 -226.74280271918</t>
  </si>
  <si>
    <t>-447.117454559955 88.7842449915818 212.935472111927</t>
  </si>
  <si>
    <t>-610.713255582888 13.398829208671 646.560009257623</t>
  </si>
  <si>
    <t>-459.114732594274 -31.8405536933176 723.467755439927</t>
  </si>
  <si>
    <t>9763-20170724T170122.993606700.bin</t>
  </si>
  <si>
    <t>-577.647768243022 198.268667351542 -239.167085186154</t>
  </si>
  <si>
    <t>-599.987165572321 180.62321164497 -356.88448436633</t>
  </si>
  <si>
    <t>-604.776962664515 161.95060365259 -476.546306970668</t>
  </si>
  <si>
    <t>-601.887493372265 144.163684898775 -584.574668862179</t>
  </si>
  <si>
    <t>-591.949606287237 125.158509345289 -691.975307794436</t>
  </si>
  <si>
    <t>-570.886059659853 97.1858772718153 -840.211100215591</t>
  </si>
  <si>
    <t>-529.140902184547 77.4750878413879 -931.050638758951</t>
  </si>
  <si>
    <t>-575.458365546524 140.571118495501 -779.798123674941</t>
  </si>
  <si>
    <t>-531.274153417977 280.806445299811 -777.485685359224</t>
  </si>
  <si>
    <t>-456.334206753879 325.980158979341 -473.298935064322</t>
  </si>
  <si>
    <t>-264.24977001031 209.727328884678 -342.032549743171</t>
  </si>
  <si>
    <t>-584.953691343109 78.5546931524339 -769.444657275908</t>
  </si>
  <si>
    <t>-589.575135014522 293.464508886862 -251.012896991727</t>
  </si>
  <si>
    <t>-589.891706253827 285.004847287944 204.60306443925</t>
  </si>
  <si>
    <t>-614.037133742436 245.574963477708 672.318114061792</t>
  </si>
  <si>
    <t>-455.821749272398 253.490429142729 748.795321506758</t>
  </si>
  <si>
    <t>-565.641962684873 103.135642987456 -226.629787122308</t>
  </si>
  <si>
    <t>-446.813304883885 88.9432974849083 213.070083650839</t>
  </si>
  <si>
    <t>-610.725734885366 13.3967831595876 646.532515778551</t>
  </si>
  <si>
    <t>-459.076708608875 -31.7646304503767 723.386472846145</t>
  </si>
  <si>
    <t>9763-20170724T170123.062320900.bin</t>
  </si>
  <si>
    <t>-577.060419352096 198.566261657234 -239.052532495137</t>
  </si>
  <si>
    <t>-599.338108392557 180.861309873432 -356.772712565077</t>
  </si>
  <si>
    <t>-604.025363552964 162.215674499072 -476.442930859123</t>
  </si>
  <si>
    <t>-601.024083160069 144.488197533692 -584.47799480548</t>
  </si>
  <si>
    <t>-590.953821766095 125.576903405672 -691.882863091294</t>
  </si>
  <si>
    <t>-569.683522426004 97.7704195676579 -840.120405879076</t>
  </si>
  <si>
    <t>-527.904525782007 78.152510101698 -930.964371700908</t>
  </si>
  <si>
    <t>-574.385638465483 141.093660947579 -779.672789505878</t>
  </si>
  <si>
    <t>-530.334720318826 281.368400762281 -777.211748872132</t>
  </si>
  <si>
    <t>-454.341320668653 324.102934974514 -472.933963816637</t>
  </si>
  <si>
    <t>-260.559360148763 209.563772524119 -342.659673600711</t>
  </si>
  <si>
    <t>-583.80428287674 79.0542203396678 -769.386929792286</t>
  </si>
  <si>
    <t>-589.110873870882 293.746921222957 -250.948776387112</t>
  </si>
  <si>
    <t>-589.634476074808 285.295378883921 204.667256683715</t>
  </si>
  <si>
    <t>-614.052951823659 245.672310400988 672.357648653942</t>
  </si>
  <si>
    <t>-455.825477737846 253.728176592458 748.795096365012</t>
  </si>
  <si>
    <t>-564.912913706903 103.4615904146 -226.52216084788</t>
  </si>
  <si>
    <t>-446.344280767379 89.1396697671407 213.243718763308</t>
  </si>
  <si>
    <t>-610.736301298182 13.2598322569543 646.459040321635</t>
  </si>
  <si>
    <t>-459.013809901026 -31.7681851411328 723.246247441571</t>
  </si>
  <si>
    <t>9763-20170724T170123.095409000.bin</t>
  </si>
  <si>
    <t>-576.77785038098 198.74429066147 -239.049463601891</t>
  </si>
  <si>
    <t>-599.023205492503 181.012328820193 -356.771641388846</t>
  </si>
  <si>
    <t>-603.669776778338 162.377632231963 -476.445014492091</t>
  </si>
  <si>
    <t>-600.627318442745 144.674530199437 -584.482845430636</t>
  </si>
  <si>
    <t>-590.510992716548 125.801351164581 -691.890131610703</t>
  </si>
  <si>
    <t>-569.171143236923 98.0613275920873 -840.130260920472</t>
  </si>
  <si>
    <t>-527.39013146177 78.4835281093103 -930.981996292878</t>
  </si>
  <si>
    <t>-573.926581256894 141.360484263451 -779.669563623454</t>
  </si>
  <si>
    <t>-529.948973200825 281.663734259398 -777.164260487727</t>
  </si>
  <si>
    <t>-452.701981789984 323.668607843133 -473.10062539437</t>
  </si>
  <si>
    <t>-258.686425109041 209.613101993964 -342.749659434861</t>
  </si>
  <si>
    <t>-583.30016537095 79.3102988839328 -769.40749745798</t>
  </si>
  <si>
    <t>-588.962573123925 293.987862801983 -250.944689834374</t>
  </si>
  <si>
    <t>-589.449397461085 285.497226666186 204.670645948976</t>
  </si>
  <si>
    <t>-614.045581485423 245.761013430865 672.346695907299</t>
  </si>
  <si>
    <t>-455.818263042876 253.729550731637 748.793596544656</t>
  </si>
  <si>
    <t>-564.489055394039 103.579006666918 -226.544358600274</t>
  </si>
  <si>
    <t>-446.1403980389 89.326129950728 213.282931143888</t>
  </si>
  <si>
    <t>-610.72477743417 13.266039626644 646.414959075813</t>
  </si>
  <si>
    <t>-459.040903143414 -31.8920880107428 723.202060421501</t>
  </si>
  <si>
    <t>9763-20170724T170123.166765300.bin</t>
  </si>
  <si>
    <t>-576.589073765311 199.180473888518 -239.022906173793</t>
  </si>
  <si>
    <t>-598.674184689187 181.469188028986 -356.778373343948</t>
  </si>
  <si>
    <t>-603.233813838396 162.931081136233 -476.470215772411</t>
  </si>
  <si>
    <t>-600.139905554531 145.354514723328 -584.527228708805</t>
  </si>
  <si>
    <t>-589.996505884271 126.651093249311 -691.961719865815</t>
  </si>
  <si>
    <t>-568.64105173747 99.1961148784903 -840.252482972498</t>
  </si>
  <si>
    <t>-526.881775739447 79.8498966920702 -931.163849412411</t>
  </si>
  <si>
    <t>-573.589574889644 142.40154928184 -779.740353973047</t>
  </si>
  <si>
    <t>-529.613342971327 282.718235332327 -777.268441849455</t>
  </si>
  <si>
    <t>-447.54112126394 323.833785089123 -474.349555429042</t>
  </si>
  <si>
    <t>-254.14422216334 210.015707140471 -342.876662147454</t>
  </si>
  <si>
    <t>-582.590763915979 80.2866348779589 -769.536515420397</t>
  </si>
  <si>
    <t>-588.950448977585 294.365841097441 -250.873579019898</t>
  </si>
  <si>
    <t>-589.556268334744 285.792626194043 204.740049989436</t>
  </si>
  <si>
    <t>-614.066676626658 245.979917936711 672.362791152123</t>
  </si>
  <si>
    <t>-455.836262520512 253.959508808797 748.802194815678</t>
  </si>
  <si>
    <t>-564.223953191971 104.137951081192 -226.50526005597</t>
  </si>
  <si>
    <t>-445.860988414494 89.5106587991158 213.30605055765</t>
  </si>
  <si>
    <t>-610.717803983198 13.1120462042488 646.31104694125</t>
  </si>
  <si>
    <t>-458.99404025615 -31.9028410799874 723.10341776523</t>
  </si>
  <si>
    <t>9763-20170724T170123.193860100.bin</t>
  </si>
  <si>
    <t>-576.57599119397 199.492051585395 -239.051740407072</t>
  </si>
  <si>
    <t>-598.597063980063 181.77836517862 -356.81879457504</t>
  </si>
  <si>
    <t>-603.16837257388 163.262521054571 -476.513704725867</t>
  </si>
  <si>
    <t>-600.114831785252 145.719709420494 -584.57733983892</t>
  </si>
  <si>
    <t>-590.040161756551 127.065713689819 -692.026886097481</t>
  </si>
  <si>
    <t>-568.808441017095 99.6967957072429 -840.351347836905</t>
  </si>
  <si>
    <t>-527.111241914576 80.4768819385492 -931.317999141396</t>
  </si>
  <si>
    <t>-573.780374251192 142.875704275662 -779.822236269858</t>
  </si>
  <si>
    <t>-529.776991335643 283.166712040632 -777.344170404383</t>
  </si>
  <si>
    <t>-445.417959102067 323.225847102517 -474.912411425265</t>
  </si>
  <si>
    <t>-252.295074139894 209.314730149865 -343.117820704287</t>
  </si>
  <si>
    <t>-582.625289386732 80.737682421327 -769.622561123432</t>
  </si>
  <si>
    <t>-589.017640561459 294.650611423984 -250.886857913494</t>
  </si>
  <si>
    <t>-589.661461661954 286.018300578632 204.725631836123</t>
  </si>
  <si>
    <t>-614.040128248568 246.083850155542 672.329712612911</t>
  </si>
  <si>
    <t>-455.836046176685 254.297942230343 748.798745778355</t>
  </si>
  <si>
    <t>-564.087752547384 104.456511946082 -226.560376151232</t>
  </si>
  <si>
    <t>-445.825994155739 89.7033997653111 213.273853590264</t>
  </si>
  <si>
    <t>-610.704941504027 13.060296293907 646.235650325919</t>
  </si>
  <si>
    <t>-458.885347942736 -31.6203759962486 723.033806145012</t>
  </si>
  <si>
    <t>9763-20170724T170123.259035300.bin</t>
  </si>
  <si>
    <t>-576.415118462876 200.114059623718 -239.097959968134</t>
  </si>
  <si>
    <t>-598.329672873637 182.379827417432 -356.88191887362</t>
  </si>
  <si>
    <t>-602.886599868617 163.867321532577 -476.577779590407</t>
  </si>
  <si>
    <t>-599.856752414314 146.341718271518 -584.644916691071</t>
  </si>
  <si>
    <t>-589.841174331805 127.721432712533 -692.105683548449</t>
  </si>
  <si>
    <t>-568.726676132713 100.419059447275 -840.459318665307</t>
  </si>
  <si>
    <t>-527.131562676062 81.3962342626903 -931.513962834233</t>
  </si>
  <si>
    <t>-573.750261340266 143.582091637509 -779.923005245383</t>
  </si>
  <si>
    <t>-529.959112173378 283.932810602956 -777.397439494855</t>
  </si>
  <si>
    <t>-441.938378254492 320.648169081331 -475.585396664171</t>
  </si>
  <si>
    <t>-249.026672097348 207.021687121468 -343.236894750409</t>
  </si>
  <si>
    <t>-582.388124043138 81.4168236552152 -769.711817074454</t>
  </si>
  <si>
    <t>-589.094708943832 295.293607869376 -250.903038624789</t>
  </si>
  <si>
    <t>-589.800579535271 286.508424446498 204.706432019999</t>
  </si>
  <si>
    <t>-614.07978772927 246.285973322889 672.345965125199</t>
  </si>
  <si>
    <t>-455.851738392319 254.306283582048 748.785948361556</t>
  </si>
  <si>
    <t>-563.568456607607 104.945063920936 -226.679090700307</t>
  </si>
  <si>
    <t>-445.76815039137 90.4013961996518 213.285887858277</t>
  </si>
  <si>
    <t>-610.653671697998 13.0948655700115 646.089650602202</t>
  </si>
  <si>
    <t>-458.927426344204 -31.7749087035761 722.962021368472</t>
  </si>
  <si>
    <t>9763-20170724T170123.300158200.bin</t>
  </si>
  <si>
    <t>-576.288484899086 200.232578133596 -239.098924736631</t>
  </si>
  <si>
    <t>-598.218350763898 182.485510152034 -356.878125475298</t>
  </si>
  <si>
    <t>-602.784217705144 163.982159998394 -476.574996950232</t>
  </si>
  <si>
    <t>-599.759035604628 146.472959198104 -584.644937256455</t>
  </si>
  <si>
    <t>-589.744462205306 127.876125914505 -692.10990696425</t>
  </si>
  <si>
    <t>-568.627142118836 100.613418669323 -840.470351534354</t>
  </si>
  <si>
    <t>-527.073958754991 81.66551239669 -931.559814584631</t>
  </si>
  <si>
    <t>-573.65141993788 143.760303750976 -779.922623422029</t>
  </si>
  <si>
    <t>-529.813659453881 284.118571275827 -777.354885446197</t>
  </si>
  <si>
    <t>-440.996718470513 319.112076533236 -475.571637596535</t>
  </si>
  <si>
    <t>-247.998382061758 205.853301904545 -343.034395661283</t>
  </si>
  <si>
    <t>-582.290360919282 81.5923510613582 -769.72831521484</t>
  </si>
  <si>
    <t>-589.079984993121 295.418018184008 -250.881176565236</t>
  </si>
  <si>
    <t>-589.837890724068 286.596011970683 204.727590169357</t>
  </si>
  <si>
    <t>-614.118334391425 246.368119147215 672.368467646285</t>
  </si>
  <si>
    <t>-455.877341005651 254.523480355154 748.767396349803</t>
  </si>
  <si>
    <t>-563.431262725174 105.041170799234 -226.660694913197</t>
  </si>
  <si>
    <t>-445.645267838498 90.6293557989995 213.312500116697</t>
  </si>
  <si>
    <t>-610.627463654258 13.0897715183144 646.03769582494</t>
  </si>
  <si>
    <t>-458.914819607157 -31.766439056101 722.944772730092</t>
  </si>
  <si>
    <t>9763-20170724T170123.367254900.bin</t>
  </si>
  <si>
    <t>-576.207649320839 200.475951090405 -239.043240041377</t>
  </si>
  <si>
    <t>-598.189683662161 182.699195427509 -356.808224841736</t>
  </si>
  <si>
    <t>-602.748318907362 164.197754198173 -476.505639973421</t>
  </si>
  <si>
    <t>-599.691260919485 146.701358832559 -584.576884529886</t>
  </si>
  <si>
    <t>-589.619138918076 128.127809326433 -692.040401558567</t>
  </si>
  <si>
    <t>-568.395014620748 100.907529509342 -840.393395763675</t>
  </si>
  <si>
    <t>-526.822282568966 81.9735562408532 -931.476795521697</t>
  </si>
  <si>
    <t>-573.411867972946 144.031271018115 -779.828623276187</t>
  </si>
  <si>
    <t>-529.286818637568 284.279303873591 -777.173786777486</t>
  </si>
  <si>
    <t>-440.033629308988 317.678150894276 -475.338507372465</t>
  </si>
  <si>
    <t>-246.966791263447 204.501558829335 -342.830712449382</t>
  </si>
  <si>
    <t>-582.160188715438 81.8720462512408 -769.675057897629</t>
  </si>
  <si>
    <t>-588.934587260367 295.837128085862 -250.874862454293</t>
  </si>
  <si>
    <t>-589.857038681899 286.893784868538 204.731069898861</t>
  </si>
  <si>
    <t>-614.156479077058 246.614416345676 672.354555544458</t>
  </si>
  <si>
    <t>-455.891957619539 254.354136004846 748.747977198543</t>
  </si>
  <si>
    <t>-563.418696048336 105.148293792129 -226.550059564165</t>
  </si>
  <si>
    <t>-445.438420570984 90.8087672260995 213.373468140341</t>
  </si>
  <si>
    <t>-610.615205707552 12.9616614892036 645.977609107228</t>
  </si>
  <si>
    <t>-458.856038491949 -31.6797041569821 722.917921504443</t>
  </si>
  <si>
    <t>9763-20170724T170123.396322200.bin</t>
  </si>
  <si>
    <t>-576.209184767641 200.568059517064 -239.007986433696</t>
  </si>
  <si>
    <t>-598.23480216305 182.788196867181 -356.764347069097</t>
  </si>
  <si>
    <t>-602.809180330405 164.272698572587 -476.459158403878</t>
  </si>
  <si>
    <t>-599.755189827279 146.759502991166 -584.527686383641</t>
  </si>
  <si>
    <t>-589.675046406684 128.165630205963 -691.986955586274</t>
  </si>
  <si>
    <t>-568.428413699441 100.913957820957 -840.33092852342</t>
  </si>
  <si>
    <t>-526.825552915809 81.9321566334038 -931.390632505326</t>
  </si>
  <si>
    <t>-573.430218576485 144.04777671256 -779.772181667921</t>
  </si>
  <si>
    <t>-529.269620512898 284.293548803295 -777.032638784892</t>
  </si>
  <si>
    <t>-439.444490314395 317.542476862492 -475.350527456696</t>
  </si>
  <si>
    <t>-246.48542203511 203.723307960785 -343.236618933738</t>
  </si>
  <si>
    <t>-582.228533113051 81.8961897888817 -769.614490034568</t>
  </si>
  <si>
    <t>-588.829127473907 295.99415873516 -250.873339539309</t>
  </si>
  <si>
    <t>-589.808071625519 287.017507524911 204.731897768372</t>
  </si>
  <si>
    <t>-614.121487478688 246.629687668242 672.328195450979</t>
  </si>
  <si>
    <t>-455.871933664271 254.427630541049 748.746758614042</t>
  </si>
  <si>
    <t>-563.556021411532 105.2504641628 -226.474263312663</t>
  </si>
  <si>
    <t>-445.318984686514 90.82337800339 213.377490754388</t>
  </si>
  <si>
    <t>-610.612298460585 13.0361858859296 645.945723286691</t>
  </si>
  <si>
    <t>-458.964310876886 -31.932712030379 722.914525362172</t>
  </si>
  <si>
    <t>9763-20170724T170123.460097900.bin</t>
  </si>
  <si>
    <t>-576.226507514775 200.626536999857 -238.990786977373</t>
  </si>
  <si>
    <t>-598.323637022184 182.867824501089 -356.736917895976</t>
  </si>
  <si>
    <t>-602.900328264457 164.33897602401 -476.429489781403</t>
  </si>
  <si>
    <t>-599.821500631976 146.796161342204 -584.492420049976</t>
  </si>
  <si>
    <t>-589.691122849734 128.15297272712 -691.938556367712</t>
  </si>
  <si>
    <t>-568.349902755072 100.810516790469 -840.252217637998</t>
  </si>
  <si>
    <t>-526.647682409053 81.7507347897649 -931.250199965267</t>
  </si>
  <si>
    <t>-573.319155331396 143.972995518636 -779.71119144104</t>
  </si>
  <si>
    <t>-529.081282619414 284.189570039744 -776.955553137126</t>
  </si>
  <si>
    <t>-438.590511851011 317.443306481038 -475.472881373213</t>
  </si>
  <si>
    <t>-245.795553591299 202.601764177092 -344.005774576087</t>
  </si>
  <si>
    <t>-582.266354069651 81.8442683594446 -769.544945684913</t>
  </si>
  <si>
    <t>-588.748770335861 296.140790463432 -250.860178035315</t>
  </si>
  <si>
    <t>-589.746740043998 287.040185809811 204.742579900876</t>
  </si>
  <si>
    <t>-614.079719413051 246.582781706341 672.354455451314</t>
  </si>
  <si>
    <t>-455.81871477839 254.338241890034 748.753568244321</t>
  </si>
  <si>
    <t>-563.666663929173 105.209111371334 -226.473908378945</t>
  </si>
  <si>
    <t>-445.297903648893 90.8415052935004 213.344300139918</t>
  </si>
  <si>
    <t>-610.628087603856 13.0769020033822 645.907863048329</t>
  </si>
  <si>
    <t>-459.07800970906 -32.1549239598216 722.915458101019</t>
  </si>
  <si>
    <t>9763-20170724T170123.495190000.bin</t>
  </si>
  <si>
    <t>-576.269905419556 200.66382552499 -238.996412081283</t>
  </si>
  <si>
    <t>-598.387332871146 182.931004119108 -356.742587979257</t>
  </si>
  <si>
    <t>-602.940161042938 164.405638541139 -476.436689630546</t>
  </si>
  <si>
    <t>-599.822868342441 146.854665770586 -584.497343734527</t>
  </si>
  <si>
    <t>-589.63812132764 128.190779105996 -691.934611345591</t>
  </si>
  <si>
    <t>-568.206036929051 100.805144122686 -840.227179123866</t>
  </si>
  <si>
    <t>-526.42123773697 81.7093592945644 -931.179761762563</t>
  </si>
  <si>
    <t>-573.182577024607 143.981946388929 -779.69687771291</t>
  </si>
  <si>
    <t>-528.950200648625 284.184505345659 -776.921156217127</t>
  </si>
  <si>
    <t>-438.219688563722 317.572083580378 -475.525392576202</t>
  </si>
  <si>
    <t>-245.317780345456 202.462393881941 -344.450366312014</t>
  </si>
  <si>
    <t>-582.195549785291 81.8630278838357 -769.527717832211</t>
  </si>
  <si>
    <t>-588.741965363327 296.226266453696 -250.840265504441</t>
  </si>
  <si>
    <t>-589.72885161827 287.040291275023 204.760768158789</t>
  </si>
  <si>
    <t>-614.079815498292 246.545255078165 672.382957313163</t>
  </si>
  <si>
    <t>-455.795920584984 254.148562812411 748.749853738633</t>
  </si>
  <si>
    <t>-563.758759103357 105.220253874608 -226.478232137374</t>
  </si>
  <si>
    <t>-445.356782234541 90.7623266110102 213.328069448081</t>
  </si>
  <si>
    <t>-610.646983480776 12.9583575016093 645.908973626667</t>
  </si>
  <si>
    <t>-459.087425695927 -32.2135596802545 722.933090642375</t>
  </si>
  <si>
    <t>9763-20170724T170123.566761000.bin</t>
  </si>
  <si>
    <t>-576.110096302213 200.714252296881 -238.85190587125</t>
  </si>
  <si>
    <t>-598.27520807202 182.970146866134 -356.587526321339</t>
  </si>
  <si>
    <t>-602.749323821248 164.359487671288 -476.271177688955</t>
  </si>
  <si>
    <t>-599.512566161083 146.698507733734 -584.310350619216</t>
  </si>
  <si>
    <t>-589.162633519689 127.890700103552 -691.706746848115</t>
  </si>
  <si>
    <t>-567.456365342725 100.268446336107 -839.91563719086</t>
  </si>
  <si>
    <t>-525.533337581346 81.0378214134171 -930.776045185299</t>
  </si>
  <si>
    <t>-572.48909724387 143.53512222209 -779.454109942413</t>
  </si>
  <si>
    <t>-528.334437330958 283.790634604984 -776.87856446299</t>
  </si>
  <si>
    <t>-437.982904616317 318.336868327641 -475.499432034775</t>
  </si>
  <si>
    <t>-245.296148102829 201.04128793642 -346.055978837408</t>
  </si>
  <si>
    <t>-581.632301897139 81.4457846325618 -769.22149716649</t>
  </si>
  <si>
    <t>-588.402800973489 296.344725539572 -250.742357567731</t>
  </si>
  <si>
    <t>-589.653743031689 287.152204254981 204.857860537738</t>
  </si>
  <si>
    <t>-614.098718138778 246.587908652795 672.439879513972</t>
  </si>
  <si>
    <t>-455.792642341382 254.429048778684 748.736805758621</t>
  </si>
  <si>
    <t>-563.751966523573 105.182629716178 -226.255364560729</t>
  </si>
  <si>
    <t>-444.938095646129 90.5755992442805 213.434864206519</t>
  </si>
  <si>
    <t>-610.668288153864 12.8625250628013 645.880198808747</t>
  </si>
  <si>
    <t>-459.082087120837 -32.1850360342999 722.924682178463</t>
  </si>
  <si>
    <t>9763-20170724T170123.597850200.bin</t>
  </si>
  <si>
    <t>-575.924145073848 200.846621335965 -238.708541896029</t>
  </si>
  <si>
    <t>-598.037640729863 183.090373395636 -356.452022935868</t>
  </si>
  <si>
    <t>-602.441294710863 164.38913508191 -476.124195784948</t>
  </si>
  <si>
    <t>-599.136653077177 146.613892076331 -584.142669263575</t>
  </si>
  <si>
    <t>-588.716750414581 127.659965705006 -691.506542779811</t>
  </si>
  <si>
    <t>-566.913019646171 99.8017412016879 -839.656874807793</t>
  </si>
  <si>
    <t>-524.932556269261 80.4524333941342 -930.465687253026</t>
  </si>
  <si>
    <t>-571.94054394699 143.159303780432 -779.260182842653</t>
  </si>
  <si>
    <t>-527.79497547922 283.39653111015 -776.85248330646</t>
  </si>
  <si>
    <t>-437.866194307867 318.471547975477 -475.407953451848</t>
  </si>
  <si>
    <t>-245.504315093702 199.616589210964 -346.907191381654</t>
  </si>
  <si>
    <t>-581.180394229293 81.0970766524918 -768.949835623529</t>
  </si>
  <si>
    <t>-588.105686467567 296.574135509805 -250.664138214673</t>
  </si>
  <si>
    <t>-589.566947165698 287.405973647421 204.936053223724</t>
  </si>
  <si>
    <t>-614.151766427617 246.744883492511 672.48772805446</t>
  </si>
  <si>
    <t>-455.816239848489 254.377044575569 748.744638547604</t>
  </si>
  <si>
    <t>-563.624791611319 105.248589617751 -226.087371533093</t>
  </si>
  <si>
    <t>-444.530928117189 90.6069627843667 213.526107628555</t>
  </si>
  <si>
    <t>-610.661069263042 12.9072187525828 645.811197674508</t>
  </si>
  <si>
    <t>-459.163532606666 -32.3810520436009 722.88894659359</t>
  </si>
  <si>
    <t>9763-20170724T170123.664898600.bin</t>
  </si>
  <si>
    <t>-574.919181460407 200.780674657213 -238.463352687685</t>
  </si>
  <si>
    <t>-596.966512371719 182.910357541853 -356.201840304633</t>
  </si>
  <si>
    <t>-601.35139947246 164.005903233437 -475.842828109405</t>
  </si>
  <si>
    <t>-598.052773150379 146.009138605918 -583.824771733547</t>
  </si>
  <si>
    <t>-587.664238640509 126.795689016381 -691.145536736223</t>
  </si>
  <si>
    <t>-565.932935907625 98.5358402552329 -839.230384611065</t>
  </si>
  <si>
    <t>-523.908686052227 78.9160289612594 -929.960936963435</t>
  </si>
  <si>
    <t>-570.789799427793 142.039747670713 -778.924967752088</t>
  </si>
  <si>
    <t>-526.35852038534 282.192694250993 -776.811831171277</t>
  </si>
  <si>
    <t>-437.828626634898 318.149069139467 -475.057209415071</t>
  </si>
  <si>
    <t>-244.901196214694 201.666478934733 -345.238692838361</t>
  </si>
  <si>
    <t>-580.306932596743 80.0402437797093 -768.490024149857</t>
  </si>
  <si>
    <t>-586.889376460119 296.880408822356 -250.602320147138</t>
  </si>
  <si>
    <t>-588.879794713492 288.076050310063 205.003020513069</t>
  </si>
  <si>
    <t>-614.213227502226 247.506425776712 672.369408552313</t>
  </si>
  <si>
    <t>-455.946119119334 254.963729823013 748.785470024468</t>
  </si>
  <si>
    <t>-562.776720751606 104.701646149526 -225.679134697427</t>
  </si>
  <si>
    <t>-443.238831929775 90.7801172958466 213.83716592113</t>
  </si>
  <si>
    <t>-610.608289806358 12.9055033472875 645.613034911271</t>
  </si>
  <si>
    <t>-459.29781009966 -32.7932218598392 722.815871393779</t>
  </si>
  <si>
    <t>9763-20170724T170123.698989200.bin</t>
  </si>
  <si>
    <t>-574.296311106183 200.797715506681 -238.498667800711</t>
  </si>
  <si>
    <t>-596.396580609686 182.894649058994 -356.222349103312</t>
  </si>
  <si>
    <t>-600.777762640486 163.945310163128 -475.856261582686</t>
  </si>
  <si>
    <t>-597.452953260123 145.902939178664 -583.829698437199</t>
  </si>
  <si>
    <t>-587.015970839702 126.638656350205 -691.136864545171</t>
  </si>
  <si>
    <t>-565.194487704301 98.3033459568835 -839.194064427207</t>
  </si>
  <si>
    <t>-523.117557663268 78.5795707774882 -929.877612908827</t>
  </si>
  <si>
    <t>-570.037139118176 141.831525745898 -778.905131542642</t>
  </si>
  <si>
    <t>-525.490534281376 281.932737811964 -776.730372306519</t>
  </si>
  <si>
    <t>-438.02434222078 317.188214507515 -474.583152077412</t>
  </si>
  <si>
    <t>-242.906689460489 210.048949128209 -340.07534795437</t>
  </si>
  <si>
    <t>-579.662507096863 79.8500939800647 -768.4617155197</t>
  </si>
  <si>
    <t>-586.184302107078 297.251874035943 -250.733281679969</t>
  </si>
  <si>
    <t>-588.474909737568 288.508645839931 204.87177024705</t>
  </si>
  <si>
    <t>-614.203096688161 248.201355929579 672.175530367809</t>
  </si>
  <si>
    <t>-456.027844846285 255.119728464939 748.832128014265</t>
  </si>
  <si>
    <t>-562.319898608113 104.489508813129 -225.632737672523</t>
  </si>
  <si>
    <t>-442.670553029352 91.0800487543734 213.869183631162</t>
  </si>
  <si>
    <t>-610.562899321019 13.0188253688609 645.454413428939</t>
  </si>
  <si>
    <t>-459.351139406679 -32.8797888502388 722.732022798783</t>
  </si>
  <si>
    <t>9763-20170724T170123.763709200.bin</t>
  </si>
  <si>
    <t>-573.649904041566 200.893811480918 -238.797164394956</t>
  </si>
  <si>
    <t>-595.770382481136 182.983704982921 -356.51593570585</t>
  </si>
  <si>
    <t>-600.077671127625 163.869992947803 -476.126547064868</t>
  </si>
  <si>
    <t>-596.65207254808 145.627875546202 -584.063319138231</t>
  </si>
  <si>
    <t>-586.082346415963 126.120594683259 -691.31347691399</t>
  </si>
  <si>
    <t>-564.044434298659 97.410112192425 -839.266326227944</t>
  </si>
  <si>
    <t>-521.886915599548 77.4471099926498 -929.859857632616</t>
  </si>
  <si>
    <t>-569.023394700958 141.097048851378 -779.103330017859</t>
  </si>
  <si>
    <t>-524.958741982555 281.371798454127 -777.285320257874</t>
  </si>
  <si>
    <t>-439.363593809302 314.925018827784 -474.409385369544</t>
  </si>
  <si>
    <t>-233.875584546052 244.972120573526 -331.149961060995</t>
  </si>
  <si>
    <t>-578.567677954859 79.1301814336018 -768.500113177978</t>
  </si>
  <si>
    <t>-585.135606786287 297.643983594942 -251.116351407621</t>
  </si>
  <si>
    <t>-587.815501841372 289.156072362747 204.491366361878</t>
  </si>
  <si>
    <t>-614.138406428745 249.208219081422 671.853790679823</t>
  </si>
  <si>
    <t>-456.134004002681 255.134944803689 748.944703606284</t>
  </si>
  <si>
    <t>-562.181290114415 104.322095720079 -225.801615348628</t>
  </si>
  <si>
    <t>-442.052381284942 91.1468976868041 213.576480702597</t>
  </si>
  <si>
    <t>-610.512759388319 13.1175011492223 645.105396200905</t>
  </si>
  <si>
    <t>-459.435703360237 -33.0311541282379 722.497475770945</t>
  </si>
  <si>
    <t>9763-20170724T170123.795794600.bin</t>
  </si>
  <si>
    <t>-573.595508099657 200.74529122847 -239.076822626055</t>
  </si>
  <si>
    <t>-595.685058487007 182.957840615941 -356.820073193973</t>
  </si>
  <si>
    <t>-599.872831360218 163.781985296121 -476.424790994514</t>
  </si>
  <si>
    <t>-596.309697893549 145.413601474574 -584.335795675096</t>
  </si>
  <si>
    <t>-585.576798339462 125.713390344464 -691.53440738289</t>
  </si>
  <si>
    <t>-563.289163279823 96.6680247036725 -839.384319957363</t>
  </si>
  <si>
    <t>-520.999750274519 76.6122617858946 -929.896012763716</t>
  </si>
  <si>
    <t>-568.452205420796 140.501088267149 -779.343450080781</t>
  </si>
  <si>
    <t>-524.744145772495 280.883364063634 -777.704374917353</t>
  </si>
  <si>
    <t>-439.652827569164 314.287140041934 -474.669977252536</t>
  </si>
  <si>
    <t>-229.488363585101 259.320008168882 -331.660978066039</t>
  </si>
  <si>
    <t>-577.84929386134 78.5382436099728 -768.587250196082</t>
  </si>
  <si>
    <t>-585.015473789961 297.44111113393 -251.25977035553</t>
  </si>
  <si>
    <t>-587.527479007246 288.911060666925 204.348180156746</t>
  </si>
  <si>
    <t>-614.080881190115 249.059608069441 671.838570437045</t>
  </si>
  <si>
    <t>-456.095135158759 254.93640402329 748.971370398574</t>
  </si>
  <si>
    <t>-562.142754066291 104.289166610475 -226.246714168238</t>
  </si>
  <si>
    <t>-442.47291359239 90.9002238908276 213.250202503594</t>
  </si>
  <si>
    <t>-610.537827124369 13.029687675554 645.043384928454</t>
  </si>
  <si>
    <t>-459.413962926993 -32.9346172656008 722.453780011182</t>
  </si>
  <si>
    <t>9763-20170724T170123.861251600.bin</t>
  </si>
  <si>
    <t>-573.890475640423 200.048739913804 -239.413672319517</t>
  </si>
  <si>
    <t>-595.763895480172 182.480198873512 -357.229993310627</t>
  </si>
  <si>
    <t>-599.642207985479 163.0457786144 -476.803657565591</t>
  </si>
  <si>
    <t>-595.780051804978 144.253312112561 -584.63118613451</t>
  </si>
  <si>
    <t>-584.740711560472 123.940511440912 -691.684309557855</t>
  </si>
  <si>
    <t>-562.030490984114 93.8501441266835 -839.260788030078</t>
  </si>
  <si>
    <t>-519.433332291928 73.4628498619093 -929.553748561963</t>
  </si>
  <si>
    <t>-567.508394963354 138.12381140072 -779.571920490187</t>
  </si>
  <si>
    <t>-524.480113694433 278.757435475542 -778.750458553946</t>
  </si>
  <si>
    <t>-436.759390072639 316.891140030688 -477.026947046823</t>
  </si>
  <si>
    <t>-218.242336747636 281.927618769301 -340.389027937334</t>
  </si>
  <si>
    <t>-576.649720242754 76.2046683386077 -768.353494277187</t>
  </si>
  <si>
    <t>-585.380354925407 296.329908505773 -251.294301923208</t>
  </si>
  <si>
    <t>-587.224044518812 287.982150081023 204.320117649274</t>
  </si>
  <si>
    <t>-614.014500337188 248.600962177303 671.878496770376</t>
  </si>
  <si>
    <t>-456.019370321076 255.202956102149 748.933486109163</t>
  </si>
  <si>
    <t>-562.363809900917 103.893074602772 -226.794286128963</t>
  </si>
  <si>
    <t>-443.367991605207 90.1177103939815 212.873680658519</t>
  </si>
  <si>
    <t>-610.592546685115 12.7232478706992 645.041094263705</t>
  </si>
  <si>
    <t>-459.347433553056 -32.7976397883301 722.476701778842</t>
  </si>
  <si>
    <t>9763-20170724T170123.894339800.bin</t>
  </si>
  <si>
    <t>-574.063593880794 199.652916682297 -239.519530474223</t>
  </si>
  <si>
    <t>-595.826777275557 182.090908969034 -357.357212617391</t>
  </si>
  <si>
    <t>-599.604668135537 162.346710238794 -476.883326985188</t>
  </si>
  <si>
    <t>-595.667843810626 143.14745088441 -584.636456477101</t>
  </si>
  <si>
    <t>-584.577723014405 122.301528550802 -691.58181650758</t>
  </si>
  <si>
    <t>-561.829045029868 91.3395606288218 -838.971950345237</t>
  </si>
  <si>
    <t>-519.114002260506 70.5733376109217 -929.122692291953</t>
  </si>
  <si>
    <t>-567.388851760537 135.972701022961 -779.559016813211</t>
  </si>
  <si>
    <t>-524.694717123755 276.698656381364 -779.436661516534</t>
  </si>
  <si>
    <t>-434.103610283486 318.550503398101 -479.057117786146</t>
  </si>
  <si>
    <t>-213.30289936343 287.29959906293 -345.219700127161</t>
  </si>
  <si>
    <t>-576.400404413429 74.1058602390119 -767.953589565363</t>
  </si>
  <si>
    <t>-585.852574473945 295.763457047007 -251.294273999909</t>
  </si>
  <si>
    <t>-587.437587372 287.550300884222 204.323765470955</t>
  </si>
  <si>
    <t>-614.010360995356 248.412202271212 671.906464777602</t>
  </si>
  <si>
    <t>-455.991958512447 255.200229485068 748.897557478972</t>
  </si>
  <si>
    <t>-562.16971187297 103.661283769321 -227.010937433935</t>
  </si>
  <si>
    <t>-443.781386787727 90.0137363669817 212.824930482453</t>
  </si>
  <si>
    <t>-610.612836532031 12.7666836108174 645.09111206179</t>
  </si>
  <si>
    <t>-459.371108820949 -32.7718959571876 722.523001066204</t>
  </si>
  <si>
    <t>9763-20170724T170123.965123400.bin</t>
  </si>
  <si>
    <t>-574.386342845184 198.696688508825 -239.457723878962</t>
  </si>
  <si>
    <t>-595.900415066345 181.005792971218 -357.321918216551</t>
  </si>
  <si>
    <t>-599.509869476244 160.557595033006 -476.734710730199</t>
  </si>
  <si>
    <t>-595.476252979304 140.492302136312 -584.326395548662</t>
  </si>
  <si>
    <t>-584.358861903431 118.552879311572 -691.049912951383</t>
  </si>
  <si>
    <t>-561.657597591036 85.8371026386301 -838.068008010918</t>
  </si>
  <si>
    <t>-518.842898912883 64.4313394288984 -928.021881683081</t>
  </si>
  <si>
    <t>-567.300041695149 131.185972964418 -779.207500932159</t>
  </si>
  <si>
    <t>-524.711459374091 271.902008035415 -780.348478180382</t>
  </si>
  <si>
    <t>-427.627224928235 322.418140018868 -483.348479583141</t>
  </si>
  <si>
    <t>-203.175465961224 296.400777266246 -354.559689929964</t>
  </si>
  <si>
    <t>-576.104333193651 69.439773599458 -766.826636173833</t>
  </si>
  <si>
    <t>-586.784015360202 294.386375649712 -251.221511770342</t>
  </si>
  <si>
    <t>-587.890509715324 286.657919292437 204.406339369406</t>
  </si>
  <si>
    <t>-613.977876612011 247.640314446992 672.09577661474</t>
  </si>
  <si>
    <t>-455.861902630711 255.321040539791 748.802009305883</t>
  </si>
  <si>
    <t>-561.874532766604 103.008460026805 -226.988453856041</t>
  </si>
  <si>
    <t>-444.086318297664 89.8699459132608 213.023955880655</t>
  </si>
  <si>
    <t>-610.63397408986 12.7052728505757 645.240776673448</t>
  </si>
  <si>
    <t>-459.315276421062 -32.5913031658711 722.66422104279</t>
  </si>
  <si>
    <t>9763-20170724T170123.997208700.bin</t>
  </si>
  <si>
    <t>-574.511959935379 198.324354753116 -239.336481236159</t>
  </si>
  <si>
    <t>-596.027554533795 180.479821817498 -357.177200583777</t>
  </si>
  <si>
    <t>-599.603817024897 159.658743879105 -476.526579835935</t>
  </si>
  <si>
    <t>-595.534338039814 139.168865014025 -584.036943633718</t>
  </si>
  <si>
    <t>-584.38087377897 116.717961043843 -690.650268401294</t>
  </si>
  <si>
    <t>-561.634871527819 83.2012440701869 -837.480908728534</t>
  </si>
  <si>
    <t>-518.802956653764 61.4899912881406 -927.353151433729</t>
  </si>
  <si>
    <t>-567.337819825135 128.874771630951 -778.877784088747</t>
  </si>
  <si>
    <t>-524.761668653945 269.616766381586 -780.566454468014</t>
  </si>
  <si>
    <t>-423.581630369494 324.731651465293 -485.759510112516</t>
  </si>
  <si>
    <t>-198.991341787637 298.239630902549 -357.309379719632</t>
  </si>
  <si>
    <t>-576.060696466007 67.1880155421773 -766.147989578299</t>
  </si>
  <si>
    <t>-587.191975688868 293.950884654005 -251.181597047212</t>
  </si>
  <si>
    <t>-588.082707040309 286.40463642415 204.449722612839</t>
  </si>
  <si>
    <t>-613.969235261126 247.555124714443 672.112994977752</t>
  </si>
  <si>
    <t>-455.832642044331 255.550118727454 748.744601566002</t>
  </si>
  <si>
    <t>-561.735965779538 102.670822878055 -226.816504353708</t>
  </si>
  <si>
    <t>-443.968934900139 89.9215967091161 213.213166799612</t>
  </si>
  <si>
    <t>-610.652052361111 12.6398765272663 645.339237776842</t>
  </si>
  <si>
    <t>-459.257491894664 -32.4785968703104 722.718303635976</t>
  </si>
  <si>
    <t>9763-20170724T170124.064914000.bin</t>
  </si>
  <si>
    <t>-574.710212612678 197.955305552996 -238.90170747854</t>
  </si>
  <si>
    <t>-596.309233698862 179.685199945104 -356.662045074105</t>
  </si>
  <si>
    <t>-599.966294902471 158.078761799611 -475.86920238378</t>
  </si>
  <si>
    <t>-595.981129781229 136.73865552977 -583.217066323456</t>
  </si>
  <si>
    <t>-584.931209811394 113.301360966938 -689.628707056633</t>
  </si>
  <si>
    <t>-562.356670205104 78.2757312223137 -836.133304238945</t>
  </si>
  <si>
    <t>-519.629761963909 56.0802145381858 -925.937273541565</t>
  </si>
  <si>
    <t>-567.969726007373 124.547447072218 -777.992663179727</t>
  </si>
  <si>
    <t>-525.093807038197 265.16282181183 -781.33461950699</t>
  </si>
  <si>
    <t>-419.809854798543 326.495642958943 -489.204913483259</t>
  </si>
  <si>
    <t>-200.365653109002 292.617409469422 -353.784773795933</t>
  </si>
  <si>
    <t>-576.720744661969 62.9994032279662 -764.626508490499</t>
  </si>
  <si>
    <t>-587.688070964429 293.698191247915 -251.108121351515</t>
  </si>
  <si>
    <t>-588.331907863847 286.462091352637 204.528748045929</t>
  </si>
  <si>
    <t>-614.002777915792 247.650580378306 672.165077197943</t>
  </si>
  <si>
    <t>-455.834338830179 255.873969165179 748.706748023431</t>
  </si>
  <si>
    <t>-561.616203419225 102.220323415469 -226.040927609836</t>
  </si>
  <si>
    <t>-443.175987009535 90.307207075276 213.831425372288</t>
  </si>
  <si>
    <t>-610.687784753576 12.5040848455023 645.478444966785</t>
  </si>
  <si>
    <t>-459.115727676119 -32.1672059391419 722.769419959888</t>
  </si>
  <si>
    <t>9763-20170724T170124.096999300.bin</t>
  </si>
  <si>
    <t>-574.807960513108 197.750923234516 -238.716628545668</t>
  </si>
  <si>
    <t>-596.551449377487 179.216305681697 -356.409013063643</t>
  </si>
  <si>
    <t>-600.402209571454 157.301889915399 -475.553744260966</t>
  </si>
  <si>
    <t>-596.612289644125 135.667932388811 -582.849980495479</t>
  </si>
  <si>
    <t>-585.777985260934 111.922465264076 -689.215529899427</t>
  </si>
  <si>
    <t>-563.524356013454 76.4550807210749 -835.662941295812</t>
  </si>
  <si>
    <t>-520.945710392205 54.1265917716014 -925.504179542241</t>
  </si>
  <si>
    <t>-568.921031111897 122.89273964426 -777.634100701352</t>
  </si>
  <si>
    <t>-525.783207638486 263.417267565874 -781.623097941485</t>
  </si>
  <si>
    <t>-420.803775997908 325.503294678657 -489.542924588637</t>
  </si>
  <si>
    <t>-207.985961869844 281.328260306858 -346.717212594665</t>
  </si>
  <si>
    <t>-577.820764087992 61.4039105537895 -764.09485204166</t>
  </si>
  <si>
    <t>-587.722429539741 293.591862890352 -251.167859270669</t>
  </si>
  <si>
    <t>-588.309098983603 286.659706495025 204.473704546855</t>
  </si>
  <si>
    <t>-613.978031579055 247.90230510415 672.077359052051</t>
  </si>
  <si>
    <t>-455.841453629921 255.959686498054 748.702531095816</t>
  </si>
  <si>
    <t>-561.835292452377 101.857047938628 -225.56872910821</t>
  </si>
  <si>
    <t>-442.573338671751 90.5341178645447 214.097085285267</t>
  </si>
  <si>
    <t>-610.676740138033 12.5580385986234 645.474237196675</t>
  </si>
  <si>
    <t>-459.157016132238 -32.2800356651153 722.771280388666</t>
  </si>
  <si>
    <t>9763-20170724T170124.162198900.bin</t>
  </si>
  <si>
    <t>-574.981756016187 196.924143860162 -238.507100453627</t>
  </si>
  <si>
    <t>-596.923613813504 178.013551211752 -356.102735523272</t>
  </si>
  <si>
    <t>-601.241813726963 155.691239644687 -475.155930843403</t>
  </si>
  <si>
    <t>-597.980443122559 133.686575641479 -582.39398102115</t>
  </si>
  <si>
    <t>-587.777031755705 109.575870848587 -688.739687688097</t>
  </si>
  <si>
    <t>-566.50279280064 73.6113373576288 -835.211360968156</t>
  </si>
  <si>
    <t>-524.411809293589 51.0031361771048 -925.212613343537</t>
  </si>
  <si>
    <t>-571.300956774518 120.222833896775 -777.269501261611</t>
  </si>
  <si>
    <t>-528.582749400101 260.842878843102 -782.23827886719</t>
  </si>
  <si>
    <t>-426.477976584398 322.354074807706 -489.019624622056</t>
  </si>
  <si>
    <t>-226.49331586482 248.97629933423 -339.808731675764</t>
  </si>
  <si>
    <t>-580.531062727127 58.826118797215 -763.534997533203</t>
  </si>
  <si>
    <t>-587.527648371631 293.138287617153 -251.42029524947</t>
  </si>
  <si>
    <t>-588.032021356724 286.713077937082 204.228865115123</t>
  </si>
  <si>
    <t>-613.896981322605 248.471892451083 671.871447456173</t>
  </si>
  <si>
    <t>-455.849886968419 255.968293078654 748.737859209057</t>
  </si>
  <si>
    <t>-562.344040985803 100.837292088059 -224.976792284233</t>
  </si>
  <si>
    <t>-441.853665241474 90.8134411514386 214.3854782134</t>
  </si>
  <si>
    <t>-610.694500535722 12.7915721274367 645.470699257594</t>
  </si>
  <si>
    <t>-459.296040265817 -32.4989459131018 722.741559624711</t>
  </si>
  <si>
    <t>9763-20170724T170124.196289900.bin</t>
  </si>
  <si>
    <t>-575.087688320675 196.035040756076 -238.493240068137</t>
  </si>
  <si>
    <t>-597.044178969153 177.032903535851 -356.071528376299</t>
  </si>
  <si>
    <t>-601.52339795282 154.657731610806 -475.108765447404</t>
  </si>
  <si>
    <t>-598.463496603411 132.628313287398 -582.347724163689</t>
  </si>
  <si>
    <t>-588.514063995296 108.52026457002 -688.717976480468</t>
  </si>
  <si>
    <t>-567.643450549381 72.5920100128517 -835.25670475522</t>
  </si>
  <si>
    <t>-525.826840419909 49.8858955741337 -925.361074217986</t>
  </si>
  <si>
    <t>-572.247029641363 119.185296975955 -777.284423261897</t>
  </si>
  <si>
    <t>-529.948166532897 259.931043957525 -782.56075379071</t>
  </si>
  <si>
    <t>-430.268726960489 320.403186420482 -488.293268959989</t>
  </si>
  <si>
    <t>-233.857275682325 232.167532645905 -342.419809002719</t>
  </si>
  <si>
    <t>-581.509080881804 57.7929328558489 -763.551475307311</t>
  </si>
  <si>
    <t>-587.476511193621 292.338343343347 -251.516060001762</t>
  </si>
  <si>
    <t>-587.866283194958 286.292699543216 204.138340325742</t>
  </si>
  <si>
    <t>-613.850093305069 248.445534480769 671.861731848618</t>
  </si>
  <si>
    <t>-455.814344224487 255.849604774856 748.760281679638</t>
  </si>
  <si>
    <t>-562.609644179548 99.8302711670367 -224.874200946777</t>
  </si>
  <si>
    <t>-441.749660192083 90.4856338719346 214.40163699978</t>
  </si>
  <si>
    <t>-610.749016031905 12.8100358594081 645.532663642668</t>
  </si>
  <si>
    <t>-459.332268641709 -32.5093930587607 722.750693985277</t>
  </si>
  <si>
    <t>9763-20170724T170124.262279000.bin</t>
  </si>
  <si>
    <t>-575.322678861659 193.601412078614 -238.582560371319</t>
  </si>
  <si>
    <t>-597.340606503218 174.610144432917 -356.151086584232</t>
  </si>
  <si>
    <t>-601.788224543593 152.201567713751 -475.183114233753</t>
  </si>
  <si>
    <t>-598.661475344354 130.130440347246 -582.411538997414</t>
  </si>
  <si>
    <t>-588.606570282896 105.973012200596 -688.760812539791</t>
  </si>
  <si>
    <t>-567.548709782446 69.9719124811154 -835.254822010199</t>
  </si>
  <si>
    <t>-526.111748448579 46.9955252990299 -925.465907330111</t>
  </si>
  <si>
    <t>-572.227976713777 116.594266792049 -777.311883770965</t>
  </si>
  <si>
    <t>-530.857794744432 257.566332464997 -783.004195518966</t>
  </si>
  <si>
    <t>-436.591242880381 316.065457235686 -486.562222989483</t>
  </si>
  <si>
    <t>-238.969067873185 211.603264010934 -353.614080180071</t>
  </si>
  <si>
    <t>-581.504373286766 55.2083034311129 -763.559652731925</t>
  </si>
  <si>
    <t>-587.428368237348 289.956720553008 -251.621735968639</t>
  </si>
  <si>
    <t>-587.599083618276 284.661833001637 204.042237079049</t>
  </si>
  <si>
    <t>-613.783452331866 248.243956929556 671.902070542284</t>
  </si>
  <si>
    <t>-455.728795425639 255.553577688726 748.770790396496</t>
  </si>
  <si>
    <t>-563.270101272297 97.4556719079408 -224.875015110419</t>
  </si>
  <si>
    <t>-442.108531358379 89.0417327395287 214.336530268112</t>
  </si>
  <si>
    <t>-610.930564638311 12.8743214284304 645.770162610827</t>
  </si>
  <si>
    <t>-459.508984577834 -32.6583696932182 722.853164862645</t>
  </si>
  <si>
    <t>9763-20170724T170124.298350000.bin</t>
  </si>
  <si>
    <t>-575.525117302932 192.256918231716 -238.755504189159</t>
  </si>
  <si>
    <t>-597.516666855866 173.288216484714 -356.332711689592</t>
  </si>
  <si>
    <t>-602.006663417547 151.000267595473 -475.385752305375</t>
  </si>
  <si>
    <t>-598.942749821422 129.077599729329 -582.646517494407</t>
  </si>
  <si>
    <t>-588.972541803519 105.107774765595 -689.046161602081</t>
  </si>
  <si>
    <t>-568.052510434032 69.4076257103084 -835.633604632836</t>
  </si>
  <si>
    <t>-526.766442306136 46.5022105524786 -925.931808373779</t>
  </si>
  <si>
    <t>-572.722251673993 115.915932552093 -777.598289761622</t>
  </si>
  <si>
    <t>-531.498282730014 256.9319417252 -783.240380743867</t>
  </si>
  <si>
    <t>-438.458216321058 314.513246664336 -486.231714290509</t>
  </si>
  <si>
    <t>-240.600507027087 205.518503433675 -357.334211863481</t>
  </si>
  <si>
    <t>-581.895727332232 54.4918047932454 -763.948056639479</t>
  </si>
  <si>
    <t>-587.761265429308 288.492779484689 -251.684695271964</t>
  </si>
  <si>
    <t>-587.421081860097 283.637343501578 203.984053174693</t>
  </si>
  <si>
    <t>-613.737322491785 247.906176783239 671.966320662498</t>
  </si>
  <si>
    <t>-455.657070926025 255.541664579061 748.750721268171</t>
  </si>
  <si>
    <t>-563.301079327018 96.3121721099556 -225.098382492025</t>
  </si>
  <si>
    <t>-442.547080610996 88.069815929885 214.22859696456</t>
  </si>
  <si>
    <t>-611.044728514273 12.6998023253909 645.958247569098</t>
  </si>
  <si>
    <t>-459.539951981013 -32.701189298919 722.955385357768</t>
  </si>
  <si>
    <t>9763-20170724T170124.367541600.bin</t>
  </si>
  <si>
    <t>-576.025197376187 189.348061477298 -238.788588796127</t>
  </si>
  <si>
    <t>-598.002468802873 170.437228748459 -356.377604593918</t>
  </si>
  <si>
    <t>-602.57862372276 148.587762815279 -475.508837487937</t>
  </si>
  <si>
    <t>-599.621090897138 127.208875957656 -582.882159079989</t>
  </si>
  <si>
    <t>-589.777847954436 103.924025518196 -689.445593089301</t>
  </si>
  <si>
    <t>-569.04821684247 69.3177748015519 -836.322008265192</t>
  </si>
  <si>
    <t>-527.759397833725 46.9011804836789 -926.741715641983</t>
  </si>
  <si>
    <t>-573.853754493313 115.415163128236 -777.97098470913</t>
  </si>
  <si>
    <t>-533.257704495475 256.650155539495 -782.787763420182</t>
  </si>
  <si>
    <t>-441.71932494178 308.314133457174 -484.228279880722</t>
  </si>
  <si>
    <t>-244.552325786633 197.541809478737 -355.788748827675</t>
  </si>
  <si>
    <t>-582.58714897176 53.8446705318527 -764.696533697941</t>
  </si>
  <si>
    <t>-588.897691926291 285.217080519521 -251.543881336839</t>
  </si>
  <si>
    <t>-587.43501554569 281.295215448452 204.131641896754</t>
  </si>
  <si>
    <t>-613.661756225636 246.997274475375 672.214675628983</t>
  </si>
  <si>
    <t>-455.48504611686 255.605018335262 748.696965848478</t>
  </si>
  <si>
    <t>-563.150280349326 93.6608661199584 -225.408342289101</t>
  </si>
  <si>
    <t>-443.472962936912 86.3299810857186 214.229319920505</t>
  </si>
  <si>
    <t>-611.24976382298 12.3403956198858 646.394061473956</t>
  </si>
  <si>
    <t>-459.384573886649 -32.2377254438738 723.161717956275</t>
  </si>
  <si>
    <t>9763-20170724T170124.399626900.bin</t>
  </si>
  <si>
    <t>-576.241861791055 188.115474142935 -238.890886346684</t>
  </si>
  <si>
    <t>-598.222035184045 169.19234732836 -356.477484627708</t>
  </si>
  <si>
    <t>-602.755685073771 147.584161278741 -475.654213448527</t>
  </si>
  <si>
    <t>-599.733034173105 126.52201932294 -583.088370231276</t>
  </si>
  <si>
    <t>-589.793009608711 103.649038634273 -689.732073773261</t>
  </si>
  <si>
    <t>-568.891630460055 69.7109630391415 -836.740031835698</t>
  </si>
  <si>
    <t>-527.693289532668 47.6792450566818 -927.295363211656</t>
  </si>
  <si>
    <t>-573.91903215319 115.558612203921 -778.211069819976</t>
  </si>
  <si>
    <t>-533.96237002887 256.995866489281 -782.250844127607</t>
  </si>
  <si>
    <t>-443.114185835931 304.874566520469 -482.850668740821</t>
  </si>
  <si>
    <t>-246.435221506222 194.379392474253 -353.428043995253</t>
  </si>
  <si>
    <t>-582.360657406497 53.8964399576405 -765.175986961111</t>
  </si>
  <si>
    <t>-589.55238582372 283.787645983781 -251.507735125007</t>
  </si>
  <si>
    <t>-587.666450200867 280.333956711175 204.16997629738</t>
  </si>
  <si>
    <t>-613.646806930901 246.706319738814 672.306515650398</t>
  </si>
  <si>
    <t>-455.42120797723 255.600614360636 748.654717640188</t>
  </si>
  <si>
    <t>-562.893443465278 92.5900347838979 -225.661928899759</t>
  </si>
  <si>
    <t>-444.164460147018 85.9601695690362 214.243877834677</t>
  </si>
  <si>
    <t>-611.333984755179 12.6470923987465 646.659064126469</t>
  </si>
  <si>
    <t>-459.583357283483 -32.5271061891726 723.304637122019</t>
  </si>
  <si>
    <t>9763-20170724T170124.462405100.bin</t>
  </si>
  <si>
    <t>-576.730879877336 185.708486522626 -239.190074033589</t>
  </si>
  <si>
    <t>-598.576155692188 166.744865570862 -356.795242429893</t>
  </si>
  <si>
    <t>-602.91635100127 145.629250114647 -476.067485535573</t>
  </si>
  <si>
    <t>-599.679110034682 125.217387616108 -583.620805411419</t>
  </si>
  <si>
    <t>-589.475417068503 103.190692456837 -690.417662666471</t>
  </si>
  <si>
    <t>-568.148170171577 70.6250706707533 -837.674749872079</t>
  </si>
  <si>
    <t>-527.035257419644 49.4799645909129 -928.480029261806</t>
  </si>
  <si>
    <t>-573.648430014718 115.95470038312 -778.785874626182</t>
  </si>
  <si>
    <t>-535.097143967086 257.843047399372 -781.490845139724</t>
  </si>
  <si>
    <t>-446.294651718565 300.934253367099 -480.752712393122</t>
  </si>
  <si>
    <t>-248.414880490484 193.470319903364 -350.609960414054</t>
  </si>
  <si>
    <t>-581.521189077119 54.1140466195773 -766.250149623631</t>
  </si>
  <si>
    <t>-590.954154662568 280.98409800001 -251.551347825715</t>
  </si>
  <si>
    <t>-588.130150478344 278.495818068332 204.127747982773</t>
  </si>
  <si>
    <t>-613.600030655502 246.123937075037 672.45345187364</t>
  </si>
  <si>
    <t>-455.291366070924 255.73169178765 748.54260558902</t>
  </si>
  <si>
    <t>-562.426876678974 90.638064420079 -226.116983191348</t>
  </si>
  <si>
    <t>-445.469700340542 84.6931435538888 214.273010771491</t>
  </si>
  <si>
    <t>-611.537149069095 12.4845323120385 647.304648944962</t>
  </si>
  <si>
    <t>-459.392638301645 -31.8974722292326 723.631540109922</t>
  </si>
  <si>
    <t>9763-20170724T170124.496496400.bin</t>
  </si>
  <si>
    <t>-576.922575299643 184.396804574584 -239.242623996814</t>
  </si>
  <si>
    <t>-598.734129988243 165.436928376417 -356.854560262681</t>
  </si>
  <si>
    <t>-603.011628647568 144.48853759265 -476.158490148817</t>
  </si>
  <si>
    <t>-599.701031584469 124.29078027986 -583.750145338009</t>
  </si>
  <si>
    <t>-589.404443406216 102.537749758582 -690.594072411701</t>
  </si>
  <si>
    <t>-567.925340713005 70.4117903293366 -837.925601556969</t>
  </si>
  <si>
    <t>-526.735205384979 49.6143191559336 -928.776154373025</t>
  </si>
  <si>
    <t>-573.635751443055 115.579081309774 -778.932195847537</t>
  </si>
  <si>
    <t>-535.781048000305 257.692033306463 -781.271314650239</t>
  </si>
  <si>
    <t>-446.598019371284 300.52834356772 -480.609410757347</t>
  </si>
  <si>
    <t>-247.611869336949 193.164930923184 -352.080488208225</t>
  </si>
  <si>
    <t>-581.222609891214 53.673949429327 -766.53977486736</t>
  </si>
  <si>
    <t>-591.622393104462 279.514786766223 -251.530982399193</t>
  </si>
  <si>
    <t>-588.328643203416 277.576269087456 204.147724080019</t>
  </si>
  <si>
    <t>-613.623801596189 246.01151417959 672.527670598885</t>
  </si>
  <si>
    <t>-455.261883094741 255.677556227356 748.49868646047</t>
  </si>
  <si>
    <t>-562.10334455337 89.268408151707 -226.308913265592</t>
  </si>
  <si>
    <t>-446.048421743266 84.0864791601341 214.329302269006</t>
  </si>
  <si>
    <t>-611.609987912745 12.4600979077211 647.606370819512</t>
  </si>
  <si>
    <t>-459.359997160568 -31.7723127410602 723.809699508117</t>
  </si>
  <si>
    <t>9763-20170724T170124.566293400.bin</t>
  </si>
  <si>
    <t>-577.459447249501 181.939726327994 -239.250874646281</t>
  </si>
  <si>
    <t>-599.335818741281 163.013216608299 -356.856228993079</t>
  </si>
  <si>
    <t>-603.551747681535 142.260589044896 -476.196534949064</t>
  </si>
  <si>
    <t>-600.128962745793 122.300827875255 -583.829076466848</t>
  </si>
  <si>
    <t>-589.661389907357 100.841817834985 -690.715845878341</t>
  </si>
  <si>
    <t>-567.881786470772 69.1796392000456 -838.103652263183</t>
  </si>
  <si>
    <t>-526.2648605316 48.9189538204676 -928.880934145234</t>
  </si>
  <si>
    <t>-573.953944151331 114.1819422124 -779.02026980329</t>
  </si>
  <si>
    <t>-537.504889461243 256.615133750485 -781.155588567359</t>
  </si>
  <si>
    <t>-445.624137894168 303.443442719134 -481.904526896255</t>
  </si>
  <si>
    <t>-247.004589831586 202.713457463849 -347.569987816001</t>
  </si>
  <si>
    <t>-581.083238911338 52.1963302295251 -766.757944636453</t>
  </si>
  <si>
    <t>-592.85961740452 276.695235848826 -251.38495289728</t>
  </si>
  <si>
    <t>-588.664502921609 275.724484520767 204.289398630167</t>
  </si>
  <si>
    <t>-613.542643954728 245.310343814724 672.747895844592</t>
  </si>
  <si>
    <t>-455.131030256804 256.169020020071 748.453652031019</t>
  </si>
  <si>
    <t>-561.984700059588 87.1767792367732 -226.428347370994</t>
  </si>
  <si>
    <t>-446.630862871182 82.4945081991107 214.399575122668</t>
  </si>
  <si>
    <t>-611.762861214549 12.2014875013629 648.147360440368</t>
  </si>
  <si>
    <t>-459.252564155043 -31.4884468540999 724.142802976231</t>
  </si>
  <si>
    <t>9763-20170724T170124.595380100.bin</t>
  </si>
  <si>
    <t>-577.726109909385 180.873508024815 -239.21314551909</t>
  </si>
  <si>
    <t>-599.665407313764 161.919338703595 -356.802369190941</t>
  </si>
  <si>
    <t>-603.932711064724 141.187958642538 -476.144575392256</t>
  </si>
  <si>
    <t>-600.549237820788 121.268814039188 -583.785776207837</t>
  </si>
  <si>
    <t>-590.112246872958 99.8723529142121 -690.688154432976</t>
  </si>
  <si>
    <t>-568.3644349184 68.3207794991267 -838.104307735827</t>
  </si>
  <si>
    <t>-526.620703563893 48.2675925500453 -928.869459942544</t>
  </si>
  <si>
    <t>-574.505130617977 113.285378170531 -778.999282767741</t>
  </si>
  <si>
    <t>-538.438087085888 255.828447720643 -781.064188893184</t>
  </si>
  <si>
    <t>-443.946009677657 305.01967411275 -483.007683802264</t>
  </si>
  <si>
    <t>-244.874869528232 202.738121339228 -350.526650254177</t>
  </si>
  <si>
    <t>-581.469200713445 51.2773835907517 -766.755013573259</t>
  </si>
  <si>
    <t>-593.266748280625 275.58528064056 -251.324325657686</t>
  </si>
  <si>
    <t>-588.780730174784 275.111836946701 204.348063763031</t>
  </si>
  <si>
    <t>-613.584736125451 245.354346846813 672.81974550729</t>
  </si>
  <si>
    <t>-455.130133362791 256.140751986236 748.445819185828</t>
  </si>
  <si>
    <t>-562.087405143147 86.061371849366 -226.398628676818</t>
  </si>
  <si>
    <t>-446.891687289308 81.8171360430829 214.475075035378</t>
  </si>
  <si>
    <t>-611.830684800237 12.2009514757287 648.372983700115</t>
  </si>
  <si>
    <t>-459.262456316792 -31.4291073620609 724.286526698108</t>
  </si>
  <si>
    <t>9763-20170724T170124.662084000.bin</t>
  </si>
  <si>
    <t>-577.960979564808 178.914191246653 -238.993506775452</t>
  </si>
  <si>
    <t>-600.022823271471 159.880590783367 -356.546941445984</t>
  </si>
  <si>
    <t>-604.28052270193 139.197579678994 -475.89787272735</t>
  </si>
  <si>
    <t>-600.829923538731 119.371497737506 -583.5541985334</t>
  </si>
  <si>
    <t>-590.264954266729 98.1161321725072 -690.472068324003</t>
  </si>
  <si>
    <t>-568.274432203731 66.8087210833421 -837.904373596633</t>
  </si>
  <si>
    <t>-526.192746123639 47.110263146895 -928.591027757804</t>
  </si>
  <si>
    <t>-574.56562914009 111.679605595935 -778.744029139919</t>
  </si>
  <si>
    <t>-538.482970847809 254.220804220411 -780.714744812182</t>
  </si>
  <si>
    <t>-441.478766750564 305.93857044797 -483.895354739879</t>
  </si>
  <si>
    <t>-243.310854285637 213.033273586474 -343.395827595012</t>
  </si>
  <si>
    <t>-581.443474079463 49.6430645858686 -766.596399839439</t>
  </si>
  <si>
    <t>-593.559674231218 273.649842792459 -251.191456017327</t>
  </si>
  <si>
    <t>-588.643354995617 273.980633590011 204.476565405241</t>
  </si>
  <si>
    <t>-613.552893090251 245.138621822683 672.958176250042</t>
  </si>
  <si>
    <t>-455.077380350344 256.501225380071 748.455876075277</t>
  </si>
  <si>
    <t>-562.171006783948 84.176177190172 -226.122489803653</t>
  </si>
  <si>
    <t>-446.896898588792 80.5831725769335 214.736608744223</t>
  </si>
  <si>
    <t>-611.965094795102 12.0697483280346 648.775253512389</t>
  </si>
  <si>
    <t>-459.330150752853 -31.5650616172366 724.551891833361</t>
  </si>
  <si>
    <t>9763-20170724T170124.697177800.bin</t>
  </si>
  <si>
    <t>-577.914452512003 178.018478795913 -238.850474164739</t>
  </si>
  <si>
    <t>-600.067526449231 158.910497003473 -356.374713343166</t>
  </si>
  <si>
    <t>-604.387062962819 138.234492934083 -475.724632390058</t>
  </si>
  <si>
    <t>-600.976643636769 118.448635510401 -583.389577587988</t>
  </si>
  <si>
    <t>-590.434032256287 97.2673119962376 -690.324357218886</t>
  </si>
  <si>
    <t>-568.454086716747 66.0983856587054 -837.787530944043</t>
  </si>
  <si>
    <t>-526.309533922704 46.4992519708735 -928.466588432076</t>
  </si>
  <si>
    <t>-574.732991786076 110.913001594125 -778.583234587603</t>
  </si>
  <si>
    <t>-538.370815312899 253.389826048294 -780.325847440923</t>
  </si>
  <si>
    <t>-440.335170965229 305.863370273959 -483.978563856117</t>
  </si>
  <si>
    <t>-243.189160873031 214.870718215222 -340.814864313237</t>
  </si>
  <si>
    <t>-581.626096738017 48.8663269621165 -766.496159622192</t>
  </si>
  <si>
    <t>-593.42985451181 272.865735646764 -251.131887788687</t>
  </si>
  <si>
    <t>-588.5166449936 273.559177834386 204.535819674782</t>
  </si>
  <si>
    <t>-613.570988142587 245.185892077992 673.008382654746</t>
  </si>
  <si>
    <t>-455.074383920013 256.481051298238 748.472042417637</t>
  </si>
  <si>
    <t>-562.299437379033 83.0751368814117 -225.891234921982</t>
  </si>
  <si>
    <t>-446.705553358448 80.1165826444308 214.88872472532</t>
  </si>
  <si>
    <t>-611.995676808406 11.9973994837073 648.89541277645</t>
  </si>
  <si>
    <t>-459.340058579614 -31.60888844334 724.646807078745</t>
  </si>
  <si>
    <t>9763-20170724T170124.764442300.bin</t>
  </si>
  <si>
    <t>-577.918048204826 176.615701035125 -238.531665885208</t>
  </si>
  <si>
    <t>-600.377145875139 157.323705246568 -355.967655315489</t>
  </si>
  <si>
    <t>-604.62281170623 136.807445599796 -475.347880626769</t>
  </si>
  <si>
    <t>-600.97919201338 117.292980447769 -583.054601743472</t>
  </si>
  <si>
    <t>-590.032240422281 96.5031595041953 -690.025652123947</t>
  </si>
  <si>
    <t>-567.309152602732 65.9969267869026 -837.514842981888</t>
  </si>
  <si>
    <t>-524.679398973789 46.7317592344546 -928.038545867688</t>
  </si>
  <si>
    <t>-573.776570020359 110.536166123604 -778.123251016373</t>
  </si>
  <si>
    <t>-536.425548440292 252.760151033206 -779.163234323341</t>
  </si>
  <si>
    <t>-438.94263494107 304.231439798041 -482.458041926962</t>
  </si>
  <si>
    <t>-241.990077348889 222.51829823847 -333.546421646651</t>
  </si>
  <si>
    <t>-580.950232538445 48.4538906974467 -766.387648535525</t>
  </si>
  <si>
    <t>-593.239464248723 271.614522783166 -251.019169928063</t>
  </si>
  <si>
    <t>-588.096940874549 272.86217396592 204.644833726282</t>
  </si>
  <si>
    <t>-613.559144692086 245.03424506452 673.150438104569</t>
  </si>
  <si>
    <t>-455.030042001023 256.452796819746 748.527305906966</t>
  </si>
  <si>
    <t>-562.527984540728 81.7056809317405 -225.313014555797</t>
  </si>
  <si>
    <t>-445.859071748347 79.2829675414644 215.186843648774</t>
  </si>
  <si>
    <t>-612.031323339665 11.980840279655 649.042274908677</t>
  </si>
  <si>
    <t>-459.409897853454 -31.6943231775554 724.822818161067</t>
  </si>
  <si>
    <t>9763-20170724T170124.796527300.bin</t>
  </si>
  <si>
    <t>-577.874751841423 175.964751828514 -238.286792905238</t>
  </si>
  <si>
    <t>-600.385580558923 156.558033382994 -355.693921131398</t>
  </si>
  <si>
    <t>-604.566988676029 136.044051813208 -475.076813922803</t>
  </si>
  <si>
    <t>-600.814211335158 116.576773258162 -582.78837902598</t>
  </si>
  <si>
    <t>-589.705187026453 95.8785535489153 -689.760486672109</t>
  </si>
  <si>
    <t>-566.700605486855 65.5443592648585 -837.241476484879</t>
  </si>
  <si>
    <t>-523.873303343257 46.3545261519328 -927.687783568106</t>
  </si>
  <si>
    <t>-573.220166847571 110.008998019247 -777.799812475626</t>
  </si>
  <si>
    <t>-535.593017427293 252.196412083546 -778.503878549255</t>
  </si>
  <si>
    <t>-438.173885793291 302.505938467167 -481.578593296826</t>
  </si>
  <si>
    <t>-242.186853775922 220.213692176565 -331.714957360369</t>
  </si>
  <si>
    <t>-580.538738467325 47.9234987721939 -766.171474477306</t>
  </si>
  <si>
    <t>-592.957979868204 271.045843315235 -250.940592462825</t>
  </si>
  <si>
    <t>-587.976181544347 272.661902854936 204.724126731342</t>
  </si>
  <si>
    <t>-613.530008560418 245.041618143013 673.175722789017</t>
  </si>
  <si>
    <t>-454.994301369421 256.297756512856 748.563025555712</t>
  </si>
  <si>
    <t>-562.692925901808 80.9512716477784 -224.908606534742</t>
  </si>
  <si>
    <t>-445.195475421373 79.0162378657162 215.373415766217</t>
  </si>
  <si>
    <t>-612.057409141695 12.0988327640891 649.057625133733</t>
  </si>
  <si>
    <t>-459.597139523061 -32.0957607179932 724.861451249966</t>
  </si>
  <si>
    <t>9763-20170724T170124.863717400.bin</t>
  </si>
  <si>
    <t>-577.552726815935 174.676495846776 -237.827843546012</t>
  </si>
  <si>
    <t>-600.076088580105 155.04686076612 -355.195614312184</t>
  </si>
  <si>
    <t>-603.924784938993 134.55864806106 -474.594060843034</t>
  </si>
  <si>
    <t>-599.724641982392 115.204051417741 -582.309347084373</t>
  </si>
  <si>
    <t>-588.020175006401 94.7019742452756 -689.255733158054</t>
  </si>
  <si>
    <t>-564.033813642605 64.7214606518191 -836.652594511287</t>
  </si>
  <si>
    <t>-520.585510554526 45.8253938406103 -926.864349811117</t>
  </si>
  <si>
    <t>-570.784600158859 109.028893016765 -777.119473232929</t>
  </si>
  <si>
    <t>-532.059601673464 250.877807239498 -777.213652435256</t>
  </si>
  <si>
    <t>-435.894349403049 299.327342619194 -479.571258072032</t>
  </si>
  <si>
    <t>-240.741689335193 217.821583883086 -328.196549289194</t>
  </si>
  <si>
    <t>-578.50946227242 46.9448969939006 -765.748706032411</t>
  </si>
  <si>
    <t>-592.323328577223 270.113081762006 -250.857770064891</t>
  </si>
  <si>
    <t>-588.069632955487 272.28408945681 204.811879007489</t>
  </si>
  <si>
    <t>-613.535343075594 245.331006283759 673.227529725307</t>
  </si>
  <si>
    <t>-454.985677183548 256.147019426968 748.649867125135</t>
  </si>
  <si>
    <t>-562.705498373894 79.3653512923927 -224.187436178449</t>
  </si>
  <si>
    <t>-443.91220734285 78.5006313774982 215.750163720606</t>
  </si>
  <si>
    <t>-612.115318186711 12.1758792659311 648.996402257152</t>
  </si>
  <si>
    <t>-459.753029539241 -32.3766443426423 724.787621523352</t>
  </si>
  <si>
    <t>9763-20170724T170124.897808100.bin</t>
  </si>
  <si>
    <t>-577.371886335672 174.066934237441 -237.854714353292</t>
  </si>
  <si>
    <t>-599.922080084069 154.394581601451 -355.21011931519</t>
  </si>
  <si>
    <t>-603.680864760363 133.922362041999 -474.614052909543</t>
  </si>
  <si>
    <t>-599.35062971536 114.601303635542 -582.330427292604</t>
  </si>
  <si>
    <t>-587.467371722975 94.1490763195036 -689.266561444361</t>
  </si>
  <si>
    <t>-563.18274061142 64.2519871678232 -836.631529895658</t>
  </si>
  <si>
    <t>-519.429799923986 45.4393981825733 -926.713504634669</t>
  </si>
  <si>
    <t>-569.965106954873 108.517519073291 -777.070868576189</t>
  </si>
  <si>
    <t>-530.750471342955 250.258489174984 -776.977922846774</t>
  </si>
  <si>
    <t>-435.053054681632 297.298185347145 -478.958662350219</t>
  </si>
  <si>
    <t>-240.447695604163 214.933666272632 -327.344343448017</t>
  </si>
  <si>
    <t>-577.890791349202 46.4435426550742 -765.783498443465</t>
  </si>
  <si>
    <t>-591.992059190128 269.571990256268 -250.915271882036</t>
  </si>
  <si>
    <t>-587.94540487563 271.994704740458 204.754978284161</t>
  </si>
  <si>
    <t>-613.481332625493 245.339959678035 673.214824678697</t>
  </si>
  <si>
    <t>-454.951609001161 256.238171057096 748.667235646666</t>
  </si>
  <si>
    <t>-562.662264490119 78.6835791350591 -224.122392311982</t>
  </si>
  <si>
    <t>-443.64546916771 78.3161203484565 215.755488585127</t>
  </si>
  <si>
    <t>-612.123770612172 12.2489691665844 648.926873687279</t>
  </si>
  <si>
    <t>-459.807917785699 -32.4435442898803 724.729020601683</t>
  </si>
  <si>
    <t>9763-20170724T170124.961479100.bin</t>
  </si>
  <si>
    <t>-577.170500866118 172.801552143548 -238.057323270899</t>
  </si>
  <si>
    <t>-599.58792612792 153.292287407083 -355.465395135865</t>
  </si>
  <si>
    <t>-602.949894140644 132.922416188874 -474.898766420555</t>
  </si>
  <si>
    <t>-598.159667425006 113.655253676488 -582.605161190545</t>
  </si>
  <si>
    <t>-585.721276592221 93.2109367967996 -689.479757881093</t>
  </si>
  <si>
    <t>-560.572873984118 63.2705479267404 -836.69094641245</t>
  </si>
  <si>
    <t>-516.141883181378 44.5277830190757 -926.454989405904</t>
  </si>
  <si>
    <t>-567.549811941398 107.538653738828 -777.154583127731</t>
  </si>
  <si>
    <t>-527.185213457077 248.93534819437 -776.856261793464</t>
  </si>
  <si>
    <t>-433.210054852649 292.617302842253 -477.779836756732</t>
  </si>
  <si>
    <t>-238.867882566828 211.083688908291 -325.380717613646</t>
  </si>
  <si>
    <t>-575.850696260077 45.4978466267153 -765.954612141473</t>
  </si>
  <si>
    <t>-591.598735595751 268.417677338889 -251.015442185937</t>
  </si>
  <si>
    <t>-587.512291854151 271.108369575629 204.652984769029</t>
  </si>
  <si>
    <t>-613.378180474131 245.09886125401 673.232332858136</t>
  </si>
  <si>
    <t>-454.846619477175 256.048893176786 748.673332715291</t>
  </si>
  <si>
    <t>-562.72472416213 77.4256938785736 -224.480970495983</t>
  </si>
  <si>
    <t>-444.2912300845 77.7526902107832 215.554409652381</t>
  </si>
  <si>
    <t>-612.251374831221 12.128729379288 649.044215583717</t>
  </si>
  <si>
    <t>-459.880981504014 -32.521699167248 724.761522137972</t>
  </si>
  <si>
    <t>9763-20170724T170124.996668200.bin</t>
  </si>
  <si>
    <t>-577.262795954039 172.263296421876 -238.168637553552</t>
  </si>
  <si>
    <t>-599.550689366261 152.905568168923 -355.626476516167</t>
  </si>
  <si>
    <t>-602.645634299384 132.639272065059 -475.084535767647</t>
  </si>
  <si>
    <t>-597.562128229434 113.442546928049 -582.790191136217</t>
  </si>
  <si>
    <t>-584.781942444877 93.0431221088716 -689.632986418269</t>
  </si>
  <si>
    <t>-559.111538112493 63.1368967937306 -836.760983361149</t>
  </si>
  <si>
    <t>-514.413314332652 44.5004859661749 -926.414412772315</t>
  </si>
  <si>
    <t>-566.280952136583 107.389320657529 -777.235838828572</t>
  </si>
  <si>
    <t>-525.708004713612 248.695419506979 -776.85559309881</t>
  </si>
  <si>
    <t>-432.234039568807 290.786321101976 -477.394146688796</t>
  </si>
  <si>
    <t>-238.099727343799 209.347576439815 -324.679862405716</t>
  </si>
  <si>
    <t>-574.658846470132 45.3495792485005 -766.08696264765</t>
  </si>
  <si>
    <t>-591.538260546662 267.880110863214 -251.033755628831</t>
  </si>
  <si>
    <t>-587.397504111695 270.693612157119 204.63350199143</t>
  </si>
  <si>
    <t>-613.249045652006 244.843080705177 673.208475418313</t>
  </si>
  <si>
    <t>-454.753333140005 256.138673170068 748.673889208516</t>
  </si>
  <si>
    <t>-563.033230891714 76.9232858226733 -224.641441718301</t>
  </si>
  <si>
    <t>-444.646054485363 77.264279166151 215.406272581245</t>
  </si>
  <si>
    <t>-612.327518978276 12.1705891023585 649.126234290677</t>
  </si>
  <si>
    <t>-459.942769970772 -32.5094704858886 724.797154286998</t>
  </si>
  <si>
    <t>9763-20170724T170125.061349000.bin</t>
  </si>
  <si>
    <t>-577.240818819201 171.44262200604 -238.220724813351</t>
  </si>
  <si>
    <t>-598.871634951476 152.304581111872 -355.837376215153</t>
  </si>
  <si>
    <t>-600.567252227268 132.148914613264 -475.342267090144</t>
  </si>
  <si>
    <t>-593.933355387404 112.993811938567 -582.970913036399</t>
  </si>
  <si>
    <t>-579.332017532645 92.5696301763769 -689.575318594128</t>
  </si>
  <si>
    <t>-550.864447451883 62.5539249530973 -836.165362209481</t>
  </si>
  <si>
    <t>-505.201938333335 44.1770507805736 -925.385492192458</t>
  </si>
  <si>
    <t>-559.238741692515 106.857814260273 -776.836281828469</t>
  </si>
  <si>
    <t>-518.393537436034 248.169029455146 -776.449179871973</t>
  </si>
  <si>
    <t>-426.816035229621 287.137370904057 -475.980928248639</t>
  </si>
  <si>
    <t>-232.927187583732 203.7602411491 -324.002480479354</t>
  </si>
  <si>
    <t>-567.682170500712 44.8121781454056 -765.771476068355</t>
  </si>
  <si>
    <t>-591.120434167222 266.963606586924 -251.077908619669</t>
  </si>
  <si>
    <t>-587.557129170887 270.179519945827 204.591577771711</t>
  </si>
  <si>
    <t>-613.116002987412 244.924972361246 673.114437348043</t>
  </si>
  <si>
    <t>-454.668901474207 256.145491872469 748.693085831467</t>
  </si>
  <si>
    <t>-563.215731202204 75.9946546275 -224.82132455131</t>
  </si>
  <si>
    <t>-445.076232356814 76.4859028295427 215.292833286434</t>
  </si>
  <si>
    <t>-612.441014092151 11.9298192731058 649.164362752078</t>
  </si>
  <si>
    <t>-459.995385899347 -32.5930997734431 724.805295461211</t>
  </si>
  <si>
    <t>9763-20170724T170125.096978200.bin</t>
  </si>
  <si>
    <t>-577.384993075409 170.963635052126 -238.460635403903</t>
  </si>
  <si>
    <t>-598.904199558208 151.939251929438 -356.116033914545</t>
  </si>
  <si>
    <t>-600.253590635309 131.808890341557 -475.629608561345</t>
  </si>
  <si>
    <t>-593.217333427193 112.640725581582 -583.230453507612</t>
  </si>
  <si>
    <t>-578.129139500806 92.1675904445769 -689.757696101168</t>
  </si>
  <si>
    <t>-548.902335673715 62.0463548757391 -836.176569685771</t>
  </si>
  <si>
    <t>-502.920681355225 43.8516151618558 -925.269956646604</t>
  </si>
  <si>
    <t>-557.71357501136 106.40536601106 -776.95196054868</t>
  </si>
  <si>
    <t>-516.70876262409 247.651703964602 -776.730131029041</t>
  </si>
  <si>
    <t>-426.347449318095 284.855841402175 -475.67060682379</t>
  </si>
  <si>
    <t>-232.771742866278 199.337500698791 -324.484824461615</t>
  </si>
  <si>
    <t>-565.955051218134 44.3428164857091 -765.829531329668</t>
  </si>
  <si>
    <t>-591.487372818266 266.566113063364 -251.129424962577</t>
  </si>
  <si>
    <t>-587.469093202205 269.81591959696 204.535920740331</t>
  </si>
  <si>
    <t>-613.099983249163 244.884901142238 673.132190257452</t>
  </si>
  <si>
    <t>-454.645186201351 256.084720622315 748.69766770013</t>
  </si>
  <si>
    <t>-563.283261995449 75.5708762647926 -225.083527101129</t>
  </si>
  <si>
    <t>-445.485944118596 76.231270982872 215.122091151383</t>
  </si>
  <si>
    <t>-612.46847217139 11.7177950331991 649.190199896627</t>
  </si>
  <si>
    <t>-459.955438850654 -32.5477572731415 724.846289194477</t>
  </si>
  <si>
    <t>9763-20170724T170125.160163600.bin</t>
  </si>
  <si>
    <t>-577.543272643372 170.224943884316 -238.686199025967</t>
  </si>
  <si>
    <t>-598.557872198818 151.408477433094 -356.466204544209</t>
  </si>
  <si>
    <t>-599.466380590607 131.406541039758 -476.005528555221</t>
  </si>
  <si>
    <t>-592.064933109306 112.322420496829 -583.596749627535</t>
  </si>
  <si>
    <t>-576.648609032971 91.9005521755046 -690.086737343715</t>
  </si>
  <si>
    <t>-547.007288946272 61.8164786120483 -836.429977396756</t>
  </si>
  <si>
    <t>-500.632524486229 43.9409691594999 -925.384225490881</t>
  </si>
  <si>
    <t>-556.148051778054 106.175250845041 -777.255183001836</t>
  </si>
  <si>
    <t>-515.010144775909 247.332982276762 -776.704607935363</t>
  </si>
  <si>
    <t>-425.393200989217 284.236287833997 -475.385572319571</t>
  </si>
  <si>
    <t>-230.689066475646 198.917035399172 -325.542377208839</t>
  </si>
  <si>
    <t>-564.097210490964 44.0803182928628 -766.100269401832</t>
  </si>
  <si>
    <t>-591.936738530421 265.552259261429 -251.075777038387</t>
  </si>
  <si>
    <t>-588.191919177481 269.259015000739 204.588518721036</t>
  </si>
  <si>
    <t>-613.076868083362 244.663138684012 673.234556466795</t>
  </si>
  <si>
    <t>-454.59781480848 256.435240841706 748.662018864581</t>
  </si>
  <si>
    <t>-563.04094729888 75.0347395412102 -225.531953634515</t>
  </si>
  <si>
    <t>-446.027028799399 75.9364954715597 214.882083547227</t>
  </si>
  <si>
    <t>-612.546169976984 11.5675673901801 649.264163692143</t>
  </si>
  <si>
    <t>-459.988959235735 -32.5957601530115 724.890964289382</t>
  </si>
  <si>
    <t>9763-20170724T170125.196261000.bin</t>
  </si>
  <si>
    <t>-577.605518897789 170.212576518898 -238.725263666955</t>
  </si>
  <si>
    <t>-598.493737334511 151.46202838495 -356.538296502311</t>
  </si>
  <si>
    <t>-599.382288727739 131.56258574707 -476.094870792218</t>
  </si>
  <si>
    <t>-592.005815785579 112.580508890567 -583.70579311522</t>
  </si>
  <si>
    <t>-576.657064476342 92.2665249058739 -690.226354293487</t>
  </si>
  <si>
    <t>-547.153365788594 62.3353565839902 -836.628753579358</t>
  </si>
  <si>
    <t>-500.611738538153 44.4967465814736 -925.502984447001</t>
  </si>
  <si>
    <t>-556.233781073308 106.631816219934 -777.397976812763</t>
  </si>
  <si>
    <t>-514.772432739722 247.740726024947 -776.538863281842</t>
  </si>
  <si>
    <t>-425.16700240586 283.778013775251 -475.111779692192</t>
  </si>
  <si>
    <t>-229.123339205603 199.1337956081 -326.638475422263</t>
  </si>
  <si>
    <t>-564.181879018085 44.5260752063341 -766.302460825804</t>
  </si>
  <si>
    <t>-592.242292516478 265.470635632964 -251.10281648877</t>
  </si>
  <si>
    <t>-588.852043770529 269.235026950103 204.563725881887</t>
  </si>
  <si>
    <t>-613.07420149523 244.798932511938 673.209942195353</t>
  </si>
  <si>
    <t>-454.599654537408 256.656172543228 748.633645207124</t>
  </si>
  <si>
    <t>-562.934332303063 75.0551680139845 -225.703016103277</t>
  </si>
  <si>
    <t>-446.271071035248 75.9110167444958 214.804301085054</t>
  </si>
  <si>
    <t>-612.59743106591 11.551461128267 649.286385781063</t>
  </si>
  <si>
    <t>-460.032321844685 -32.5986182735592 724.904962101538</t>
  </si>
  <si>
    <t>9763-20170724T170125.265000900.bin</t>
  </si>
  <si>
    <t>-578.010089009447 170.36343350501 -238.788301703545</t>
  </si>
  <si>
    <t>-598.906683454787 151.507603697485 -356.583015785935</t>
  </si>
  <si>
    <t>-600.008120826658 131.659985025044 -476.146612014657</t>
  </si>
  <si>
    <t>-592.900824443734 112.781062542477 -583.79377681652</t>
  </si>
  <si>
    <t>-577.893500318177 92.6211263012679 -690.392061682812</t>
  </si>
  <si>
    <t>-548.935289280815 62.9519571834232 -836.956637495271</t>
  </si>
  <si>
    <t>-502.520271497552 45.1012178073443 -925.89469183978</t>
  </si>
  <si>
    <t>-557.809679840535 107.143689301713 -777.616385910981</t>
  </si>
  <si>
    <t>-516.075397345235 248.138428784282 -776.284949902461</t>
  </si>
  <si>
    <t>-424.420460402837 284.395954718325 -475.501167324112</t>
  </si>
  <si>
    <t>-226.916970868724 201.00615384027 -328.257876809509</t>
  </si>
  <si>
    <t>-565.687124138955 45.0155765505117 -766.596223470575</t>
  </si>
  <si>
    <t>-593.037920322338 265.551162685235 -251.209914225456</t>
  </si>
  <si>
    <t>-589.460893673803 269.411687155791 204.454474803864</t>
  </si>
  <si>
    <t>-613.02369706427 245.033695605068 673.127419492573</t>
  </si>
  <si>
    <t>-454.566175823879 256.71909463338 748.613650676918</t>
  </si>
  <si>
    <t>-562.916337957302 75.2173751440457 -225.701984370808</t>
  </si>
  <si>
    <t>-446.419716392926 76.1551683486052 214.849108415336</t>
  </si>
  <si>
    <t>-612.660637509011 11.563050636649 649.258285425548</t>
  </si>
  <si>
    <t>-460.106841002505 -32.6694155894304 724.851498797873</t>
  </si>
  <si>
    <t>9763-20170724T170125.298089100.bin</t>
  </si>
  <si>
    <t>-578.134341453347 170.396820718831 -238.821185056134</t>
  </si>
  <si>
    <t>-599.143858139025 151.445073421824 -356.580410501154</t>
  </si>
  <si>
    <t>-600.309192463115 131.57536534654 -476.139646405911</t>
  </si>
  <si>
    <t>-593.236991480244 112.700094985845 -583.789828203279</t>
  </si>
  <si>
    <t>-578.241335755863 92.5633315549956 -690.394135741758</t>
  </si>
  <si>
    <t>-549.274886001842 62.9430496750811 -836.967035025598</t>
  </si>
  <si>
    <t>-503.001636304241 45.0790546815667 -925.976297448512</t>
  </si>
  <si>
    <t>-558.151249241663 107.114911499337 -777.612300781155</t>
  </si>
  <si>
    <t>-516.198705271956 248.061910031101 -776.188481349942</t>
  </si>
  <si>
    <t>-423.163996497419 284.931176931499 -475.902932471854</t>
  </si>
  <si>
    <t>-225.514101102673 201.507573107914 -328.875550303652</t>
  </si>
  <si>
    <t>-566.032046000492 44.9833128734576 -766.613806527035</t>
  </si>
  <si>
    <t>-593.393002701076 265.517644654906 -251.238963199152</t>
  </si>
  <si>
    <t>-589.55962200059 269.428173265723 204.422944885978</t>
  </si>
  <si>
    <t>-612.986482569382 245.02156865711 673.110921073229</t>
  </si>
  <si>
    <t>-454.544494441777 256.868030827212 748.604749875397</t>
  </si>
  <si>
    <t>-562.776065465166 75.305820908945 -225.738368473636</t>
  </si>
  <si>
    <t>-446.40420788215 76.3574443302446 214.845522314649</t>
  </si>
  <si>
    <t>-612.670656747116 11.523588011918 649.208908983952</t>
  </si>
  <si>
    <t>-460.074415016385 -32.5694545628298 724.797957208586</t>
  </si>
  <si>
    <t>9763-20170724T170125.363265000.bin</t>
  </si>
  <si>
    <t>-578.676602798848 170.519868488875 -238.869691529737</t>
  </si>
  <si>
    <t>-599.926692423863 151.503704884236 -356.575380632782</t>
  </si>
  <si>
    <t>-601.363895435588 131.641489358611 -476.13275273223</t>
  </si>
  <si>
    <t>-594.544475324112 112.806096951655 -583.806231443866</t>
  </si>
  <si>
    <t>-579.804933977105 92.7438265177193 -690.46034466974</t>
  </si>
  <si>
    <t>-551.194166097384 63.2647415215506 -837.131537532373</t>
  </si>
  <si>
    <t>-505.242162190138 45.5238124737864 -926.331612250364</t>
  </si>
  <si>
    <t>-560.006804593818 107.386475208104 -777.730033416833</t>
  </si>
  <si>
    <t>-517.675590545482 248.21409838686 -776.608055686113</t>
  </si>
  <si>
    <t>-422.352772083023 285.599200619081 -477.105008713402</t>
  </si>
  <si>
    <t>-224.640856591288 203.450052001264 -329.444652083923</t>
  </si>
  <si>
    <t>-567.700319687316 45.2302043528944 -766.738091850465</t>
  </si>
  <si>
    <t>-594.207852650603 265.749168221712 -251.262204620458</t>
  </si>
  <si>
    <t>-589.898510538058 269.617330656531 204.395774745925</t>
  </si>
  <si>
    <t>-612.997487883402 245.220167938282 673.096530160526</t>
  </si>
  <si>
    <t>-454.546138885066 256.963550378622 748.586754214582</t>
  </si>
  <si>
    <t>-563.158954746327 75.3022059798211 -225.785075345692</t>
  </si>
  <si>
    <t>-446.414643892703 76.4758879397018 214.699982458439</t>
  </si>
  <si>
    <t>-612.694742827982 11.3232381919959 649.102693105427</t>
  </si>
  <si>
    <t>-460.014806262007 -32.4928971149075 724.683710171764</t>
  </si>
  <si>
    <t>9763-20170724T170125.396353900.bin</t>
  </si>
  <si>
    <t>-578.964855604951 170.814567522041 -238.884224330905</t>
  </si>
  <si>
    <t>-600.376515598221 151.768996151832 -356.555875823976</t>
  </si>
  <si>
    <t>-601.960631554095 131.881485626698 -476.107252552042</t>
  </si>
  <si>
    <t>-595.265917767973 113.03011860324 -583.785758232726</t>
  </si>
  <si>
    <t>-580.641267411056 92.9623803497227 -690.454783661951</t>
  </si>
  <si>
    <t>-552.178457827592 63.4891314490451 -837.155770597316</t>
  </si>
  <si>
    <t>-506.347300170444 45.8024756364177 -926.428699895772</t>
  </si>
  <si>
    <t>-560.966761460907 107.611462871053 -777.751099415993</t>
  </si>
  <si>
    <t>-518.694338511845 248.449308443432 -776.921773522783</t>
  </si>
  <si>
    <t>-422.520843574499 286.678997815421 -477.797492484301</t>
  </si>
  <si>
    <t>-224.730517111876 204.325549094443 -330.356280572323</t>
  </si>
  <si>
    <t>-568.577961803947 45.4488151035675 -766.739030579776</t>
  </si>
  <si>
    <t>-594.378985737219 266.11759446875 -251.278536649941</t>
  </si>
  <si>
    <t>-590.014148297706 269.91717773186 204.379483193932</t>
  </si>
  <si>
    <t>-612.981864026853 245.309036186271 673.068194892554</t>
  </si>
  <si>
    <t>-454.53305404709 256.955100512341 748.578916591453</t>
  </si>
  <si>
    <t>-563.513196293816 75.6082448872919 -225.742353284213</t>
  </si>
  <si>
    <t>-446.477657863267 76.6721078421583 214.66574924196</t>
  </si>
  <si>
    <t>-612.712408143534 11.4269595104818 649.039107369204</t>
  </si>
  <si>
    <t>-460.11945938204 -32.6691893512082 724.632981737376</t>
  </si>
  <si>
    <t>9763-20170724T170125.461036900.bin</t>
  </si>
  <si>
    <t>-579.384252805104 171.889507997576 -238.833376649102</t>
  </si>
  <si>
    <t>-601.091760698126 152.69163898035 -356.426094366544</t>
  </si>
  <si>
    <t>-603.165123538041 132.729062858726 -475.957443448866</t>
  </si>
  <si>
    <t>-596.982729237222 113.856204451261 -583.662851975028</t>
  </si>
  <si>
    <t>-582.93320442508 93.8213349100799 -690.415215663761</t>
  </si>
  <si>
    <t>-555.327125709753 64.4579218180118 -837.301909393883</t>
  </si>
  <si>
    <t>-509.825597295946 46.8204122864499 -926.753045927074</t>
  </si>
  <si>
    <t>-563.821499600395 108.540164562378 -777.824913178952</t>
  </si>
  <si>
    <t>-521.548955636228 249.386363407436 -777.262639087234</t>
  </si>
  <si>
    <t>-423.610742031882 289.511571906224 -478.960444368774</t>
  </si>
  <si>
    <t>-224.988536083666 207.384445803823 -332.514535874521</t>
  </si>
  <si>
    <t>-571.262523178613 46.3602445506829 -766.793199768298</t>
  </si>
  <si>
    <t>-594.722161406887 267.321872653337 -251.372551914912</t>
  </si>
  <si>
    <t>-590.218830330714 270.774097405592 204.286848054037</t>
  </si>
  <si>
    <t>-613.01273054165 245.726650953808 672.993933080824</t>
  </si>
  <si>
    <t>-454.562690236144 256.93480366219 748.568229528326</t>
  </si>
  <si>
    <t>-563.993516636316 76.5618628643681 -225.58140034096</t>
  </si>
  <si>
    <t>-446.345760890703 77.3665065579219 214.66404306899</t>
  </si>
  <si>
    <t>-612.735523461886 11.4464629523231 648.89569282019</t>
  </si>
  <si>
    <t>-460.220746310093 -32.8746567945459 724.515793363764</t>
  </si>
  <si>
    <t>9763-20170724T170125.500645000.bin</t>
  </si>
  <si>
    <t>-579.526851524504 172.474416365899 -238.762033234919</t>
  </si>
  <si>
    <t>-601.280109723253 153.221248276006 -356.337140611901</t>
  </si>
  <si>
    <t>-603.651945259658 133.267642136874 -475.864510534721</t>
  </si>
  <si>
    <t>-597.837349616123 114.433153051016 -583.597101914977</t>
  </si>
  <si>
    <t>-584.248839925339 94.469633228053 -690.422335744393</t>
  </si>
  <si>
    <t>-557.375190726743 65.2421245136454 -837.471980934713</t>
  </si>
  <si>
    <t>-512.106696010561 47.6109137394501 -927.042563408355</t>
  </si>
  <si>
    <t>-565.550637349815 109.267462394017 -777.90821654005</t>
  </si>
  <si>
    <t>-523.091425616132 250.044663195499 -777.304596210279</t>
  </si>
  <si>
    <t>-424.225651823235 290.112901280344 -479.300754345699</t>
  </si>
  <si>
    <t>-225.006389122437 208.687129543332 -333.274646222597</t>
  </si>
  <si>
    <t>-572.981297481051 47.081133878519 -766.906032286347</t>
  </si>
  <si>
    <t>-594.896595041379 267.982069163445 -251.384528522942</t>
  </si>
  <si>
    <t>-590.311241399905 271.185931529989 204.275808096498</t>
  </si>
  <si>
    <t>-613.006269473848 245.855326089509 672.954858627537</t>
  </si>
  <si>
    <t>-454.567163588188 257.018470762373 748.558766198945</t>
  </si>
  <si>
    <t>-564.051112369588 77.0980849612174 -225.549409308863</t>
  </si>
  <si>
    <t>-446.32354242929 77.8885324016373 214.674653677552</t>
  </si>
  <si>
    <t>-612.717128979669 11.4826818216143 648.795183877531</t>
  </si>
  <si>
    <t>-460.280876962257 -33.0397774124265 724.455287068518</t>
  </si>
  <si>
    <t>9763-20170724T170125.562309600.bin</t>
  </si>
  <si>
    <t>-580.031850311282 173.766432583635 -238.829993454243</t>
  </si>
  <si>
    <t>-601.788890761725 154.522897823529 -356.405998018338</t>
  </si>
  <si>
    <t>-604.523525482625 134.563778768634 -475.924710415565</t>
  </si>
  <si>
    <t>-599.180728988746 115.722185153847 -583.680473584953</t>
  </si>
  <si>
    <t>-586.204490115803 95.7517877383862 -690.580668373074</t>
  </si>
  <si>
    <t>-560.323697581918 66.5167338904582 -837.806687721566</t>
  </si>
  <si>
    <t>-515.500145366601 48.7349002760975 -927.571007525891</t>
  </si>
  <si>
    <t>-568.02926969816 110.539463757652 -778.178272130845</t>
  </si>
  <si>
    <t>-525.316057813411 251.238945569858 -777.606921403748</t>
  </si>
  <si>
    <t>-424.403580322691 290.574535947317 -480.192108730322</t>
  </si>
  <si>
    <t>-224.279291281348 210.217553204395 -334.812995696531</t>
  </si>
  <si>
    <t>-575.521028463847 48.3652551506868 -767.149201675563</t>
  </si>
  <si>
    <t>-595.371254756495 269.32649395589 -251.442060342406</t>
  </si>
  <si>
    <t>-590.654952991107 271.966768113449 204.220555820833</t>
  </si>
  <si>
    <t>-612.928158305278 246.063484878335 672.828990069766</t>
  </si>
  <si>
    <t>-454.532751327438 257.089312309987 748.544465775829</t>
  </si>
  <si>
    <t>-564.631105206563 78.3215899272152 -225.622484488704</t>
  </si>
  <si>
    <t>-446.69190805129 78.7526213200813 214.545471621554</t>
  </si>
  <si>
    <t>-612.706768950155 11.3008937519564 648.65804884572</t>
  </si>
  <si>
    <t>-460.069779416 -32.5127722532388 724.327232020552</t>
  </si>
  <si>
    <t>9763-20170724T170125.594462200.bin</t>
  </si>
  <si>
    <t>-580.402149955803 174.614853474983 -238.954937823675</t>
  </si>
  <si>
    <t>-602.142417445207 155.430111946192 -356.543715691031</t>
  </si>
  <si>
    <t>-604.924208727847 135.472919030938 -476.061560429403</t>
  </si>
  <si>
    <t>-599.651996228883 116.608929541705 -583.81675410958</t>
  </si>
  <si>
    <t>-586.7753545502 96.591586002482 -690.720386622984</t>
  </si>
  <si>
    <t>-561.06381764382 67.2657287735349 -837.957946216198</t>
  </si>
  <si>
    <t>-516.398601681638 49.3611104143977 -927.776659209881</t>
  </si>
  <si>
    <t>-568.648978403645 111.32062414486 -778.337944400015</t>
  </si>
  <si>
    <t>-525.785366073965 251.976081931755 -777.751714052821</t>
  </si>
  <si>
    <t>-424.018063034273 291.409581853963 -480.641380912476</t>
  </si>
  <si>
    <t>-223.847922054795 211.323425229847 -335.175913304909</t>
  </si>
  <si>
    <t>-576.231853774021 49.1622870674339 -767.281763513181</t>
  </si>
  <si>
    <t>-595.687044772975 270.162811435418 -251.494449978871</t>
  </si>
  <si>
    <t>-590.890485955364 272.43217153779 204.169407206737</t>
  </si>
  <si>
    <t>-612.92399535406 246.189476902859 672.796643928966</t>
  </si>
  <si>
    <t>-454.533044062305 257.111426977829 748.536542267696</t>
  </si>
  <si>
    <t>-565.083356239946 79.2203584559732 -225.775850935498</t>
  </si>
  <si>
    <t>-447.113158898592 79.2016545447921 214.383918170623</t>
  </si>
  <si>
    <t>-612.712234534859 11.4932770745725 648.621516589282</t>
  </si>
  <si>
    <t>-460.227314450454 -32.8140887243644 724.309814466241</t>
  </si>
  <si>
    <t>9763-20170724T170125.662651300.bin</t>
  </si>
  <si>
    <t>-581.134377234795 175.786868740954 -239.112461541121</t>
  </si>
  <si>
    <t>-602.834747857545 156.777045988023 -356.736899131506</t>
  </si>
  <si>
    <t>-605.700099889532 136.76239002293 -476.243212562057</t>
  </si>
  <si>
    <t>-600.562098198951 117.750161968838 -583.979101449372</t>
  </si>
  <si>
    <t>-587.882965327271 97.4890419481185 -690.860106901308</t>
  </si>
  <si>
    <t>-562.516227175258 67.7241395829847 -838.069402159309</t>
  </si>
  <si>
    <t>-518.190465596674 49.404675250019 -927.972790622166</t>
  </si>
  <si>
    <t>-569.789138469907 111.941040798027 -778.530488221337</t>
  </si>
  <si>
    <t>-526.61720906876 252.527802590256 -778.099971606642</t>
  </si>
  <si>
    <t>-424.523934950485 292.007999017782 -481.107733189585</t>
  </si>
  <si>
    <t>-224.665062392466 212.898726230114 -334.68291931827</t>
  </si>
  <si>
    <t>-577.691366332008 49.84709976965 -767.33728546787</t>
  </si>
  <si>
    <t>-596.030307369919 271.405091932976 -251.556156651435</t>
  </si>
  <si>
    <t>-591.457649212432 273.14450007126 204.112272470837</t>
  </si>
  <si>
    <t>-612.904130830402 246.307322169426 672.745697206029</t>
  </si>
  <si>
    <t>-454.523413274158 257.229789805356 748.506934661484</t>
  </si>
  <si>
    <t>-566.187581848822 80.1361731595869 -225.992684173835</t>
  </si>
  <si>
    <t>-447.913480766222 79.5439622545171 214.08524499475</t>
  </si>
  <si>
    <t>-612.757883885004 11.3334129436505 648.605999167396</t>
  </si>
  <si>
    <t>-460.22962087852 -32.8327717809589 724.289492538446</t>
  </si>
  <si>
    <t>9763-20170724T170125.695741300.bin</t>
  </si>
  <si>
    <t>-581.397397896273 176.271570360658 -239.132880941635</t>
  </si>
  <si>
    <t>-603.141672107912 157.34379472274 -356.762613538645</t>
  </si>
  <si>
    <t>-606.093223809942 137.27858371027 -476.258327358637</t>
  </si>
  <si>
    <t>-601.054701334185 118.16570753491 -583.980952283499</t>
  </si>
  <si>
    <t>-588.499545664596 97.7482970127085 -690.847090305168</t>
  </si>
  <si>
    <t>-563.33306914881 67.7085342724949 -838.034858383167</t>
  </si>
  <si>
    <t>-519.173638389924 49.1272109326828 -927.966239880373</t>
  </si>
  <si>
    <t>-570.413670506181 112.026206333033 -778.547643312877</t>
  </si>
  <si>
    <t>-527.060531652569 252.531993593102 -778.155448200765</t>
  </si>
  <si>
    <t>-424.864374891825 292.307498552047 -481.237792455741</t>
  </si>
  <si>
    <t>-225.53610001202 213.12768550063 -334.129516812545</t>
  </si>
  <si>
    <t>-578.523247591862 49.9741457474593 -767.269899534807</t>
  </si>
  <si>
    <t>-596.086973159912 272.052249071446 -251.556046489311</t>
  </si>
  <si>
    <t>-591.715548355657 273.458520929176 204.115389791063</t>
  </si>
  <si>
    <t>-612.940181900029 246.391157161253 672.763657494258</t>
  </si>
  <si>
    <t>-454.543060519456 257.275031024693 748.496158075593</t>
  </si>
  <si>
    <t>-566.660511389757 80.5118970449314 -226.040190432803</t>
  </si>
  <si>
    <t>-448.138663976659 79.6035019182355 213.970517340556</t>
  </si>
  <si>
    <t>-612.775404081003 11.2954547132017 648.588202842185</t>
  </si>
  <si>
    <t>-460.167825566831 -32.6060990916217 724.265763399712</t>
  </si>
  <si>
    <t>9763-20170724T170125.764944100.bin</t>
  </si>
  <si>
    <t>-581.797492650031 177.508897022177 -238.990759730337</t>
  </si>
  <si>
    <t>-603.553893380437 158.693308267201 -356.636125072306</t>
  </si>
  <si>
    <t>-606.618225859989 138.638428556397 -476.130838247806</t>
  </si>
  <si>
    <t>-601.726052316228 119.48999556273 -583.853956959379</t>
  </si>
  <si>
    <t>-589.363775886681 98.9911457357493 -690.726762015397</t>
  </si>
  <si>
    <t>-564.515542015965 68.7894539749823 -837.935622485238</t>
  </si>
  <si>
    <t>-520.57514400695 49.8481791900897 -927.899191327947</t>
  </si>
  <si>
    <t>-571.228215485066 113.14878949358 -778.436744961819</t>
  </si>
  <si>
    <t>-527.184337048877 253.446554394701 -777.960120276238</t>
  </si>
  <si>
    <t>-425.40231392593 292.632600436236 -480.822023626142</t>
  </si>
  <si>
    <t>-226.750544292904 212.818500083283 -333.142403732828</t>
  </si>
  <si>
    <t>-579.791958073588 51.1569717357654 -767.163784617856</t>
  </si>
  <si>
    <t>-595.988392155432 273.533864856575 -251.449043272351</t>
  </si>
  <si>
    <t>-592.133333477219 274.384208216437 204.228532789233</t>
  </si>
  <si>
    <t>-613.098902852689 246.754980161393 672.835738196143</t>
  </si>
  <si>
    <t>-454.62015816195 256.940713795595 748.494444092487</t>
  </si>
  <si>
    <t>-567.524121979989 81.5901203477538 -225.896499211208</t>
  </si>
  <si>
    <t>-448.361627510287 80.2091995770872 213.939879768915</t>
  </si>
  <si>
    <t>-612.783811872688 11.4390446253462 648.516508745221</t>
  </si>
  <si>
    <t>-460.347898791395 -32.9757045289791 724.240594524968</t>
  </si>
  <si>
    <t>9763-20170724T170125.797020300.bin</t>
  </si>
  <si>
    <t>-581.825696432073 178.114475840248 -238.9718742749</t>
  </si>
  <si>
    <t>-603.774537840854 159.353688406478 -356.590288109246</t>
  </si>
  <si>
    <t>-607.005189254209 139.311955895711 -476.082809532483</t>
  </si>
  <si>
    <t>-602.252192455243 120.162042399353 -583.811780863347</t>
  </si>
  <si>
    <t>-590.017346459284 99.6516416148247 -690.697200924447</t>
  </si>
  <si>
    <t>-565.333642186405 69.425386480722 -837.928669610964</t>
  </si>
  <si>
    <t>-521.533896931242 50.334346814125 -927.92911899794</t>
  </si>
  <si>
    <t>-571.899526144275 113.786067620125 -778.414427691699</t>
  </si>
  <si>
    <t>-527.779458759099 254.057356472758 -778.036586375939</t>
  </si>
  <si>
    <t>-426.352859325879 293.781163962996 -480.848493103435</t>
  </si>
  <si>
    <t>-227.840060431036 212.827640739934 -333.602811248745</t>
  </si>
  <si>
    <t>-580.611298570135 51.8130536816921 -767.152026505956</t>
  </si>
  <si>
    <t>-595.697708137805 274.354451177269 -251.434147966603</t>
  </si>
  <si>
    <t>-592.133221450554 274.937433190445 204.246301809621</t>
  </si>
  <si>
    <t>-613.136337954071 247.14581620266 672.777632279744</t>
  </si>
  <si>
    <t>-454.666567429582 256.793802865413 748.525611845251</t>
  </si>
  <si>
    <t>-567.93490940779 81.9940550187982 -225.80159215913</t>
  </si>
  <si>
    <t>-448.364111488385 80.5288118927388 213.923733623736</t>
  </si>
  <si>
    <t>-612.782888729069 11.3339235935127 648.466306281813</t>
  </si>
  <si>
    <t>-460.27581877624 -32.8310011375936 724.193185019375</t>
  </si>
  <si>
    <t>9763-20170724T170125.861705000.bin</t>
  </si>
  <si>
    <t>-581.673739357925 180.00842008194 -239.060990094239</t>
  </si>
  <si>
    <t>-603.886983206535 161.252254370413 -356.630507911318</t>
  </si>
  <si>
    <t>-607.394231190882 140.983731244742 -476.076793891437</t>
  </si>
  <si>
    <t>-602.899558718524 121.554698709255 -583.767076942081</t>
  </si>
  <si>
    <t>-590.931834393625 100.705284619814 -690.616926417171</t>
  </si>
  <si>
    <t>-566.628043095227 69.9574976198578 -837.803694542438</t>
  </si>
  <si>
    <t>-523.138234122921 50.4549857375466 -927.866230050221</t>
  </si>
  <si>
    <t>-572.837727431388 114.506698589009 -778.392150297916</t>
  </si>
  <si>
    <t>-529.091982155341 254.952857568253 -779.287545106243</t>
  </si>
  <si>
    <t>-433.186249184854 298.434400707053 -480.795155821415</t>
  </si>
  <si>
    <t>-235.957398186317 212.030242479586 -334.928257769062</t>
  </si>
  <si>
    <t>-581.925731299066 52.6180897218078 -766.964104001151</t>
  </si>
  <si>
    <t>-594.404340750836 277.048556139294 -251.808166507651</t>
  </si>
  <si>
    <t>-592.138534684709 277.293048907003 203.880840809161</t>
  </si>
  <si>
    <t>-613.165888607495 249.288887902972 672.181183050988</t>
  </si>
  <si>
    <t>-454.927028210168 256.902355138592 748.640431950698</t>
  </si>
  <si>
    <t>-568.80454124278 83.0251091789123 -225.64065548685</t>
  </si>
  <si>
    <t>-448.294041325669 81.6634304145709 213.828341919102</t>
  </si>
  <si>
    <t>-612.7626257081 11.6099741963474 648.21188529743</t>
  </si>
  <si>
    <t>-460.432532895729 -33.0557420748555 724.001208334202</t>
  </si>
  <si>
    <t>9763-20170724T170125.895308000.bin</t>
  </si>
  <si>
    <t>-581.538292186373 180.944628548942 -239.345708116629</t>
  </si>
  <si>
    <t>-603.817941680818 162.261991520364 -356.91439510031</t>
  </si>
  <si>
    <t>-607.374751702348 141.878634845139 -476.339773644511</t>
  </si>
  <si>
    <t>-602.922451132762 122.281470863175 -584.001257236233</t>
  </si>
  <si>
    <t>-590.996574518089 101.208117344131 -690.812043948426</t>
  </si>
  <si>
    <t>-566.751548250217 70.098557102757 -837.932212386674</t>
  </si>
  <si>
    <t>-523.421804079089 50.4220388686344 -928.034145961859</t>
  </si>
  <si>
    <t>-572.840663420402 114.782818282098 -778.609795259384</t>
  </si>
  <si>
    <t>-529.654858890098 255.333861576261 -780.144664174878</t>
  </si>
  <si>
    <t>-440.041812976892 301.597331774306 -480.119047783853</t>
  </si>
  <si>
    <t>-243.87260169469 208.752566307477 -336.802815782413</t>
  </si>
  <si>
    <t>-582.117764091359 52.9443880911761 -767.062493583744</t>
  </si>
  <si>
    <t>-593.649346826994 278.395603512428 -252.227744501441</t>
  </si>
  <si>
    <t>-591.876348852363 278.363157613093 203.463556279291</t>
  </si>
  <si>
    <t>-613.076349316009 250.416831198514 671.750528173551</t>
  </si>
  <si>
    <t>-455.050504699176 257.025898597097 748.741867562053</t>
  </si>
  <si>
    <t>-569.362450698184 83.6046088744049 -225.78314681594</t>
  </si>
  <si>
    <t>-448.466949629166 82.1184611849524 213.579707318653</t>
  </si>
  <si>
    <t>-612.773072484579 11.6439959004335 648.043283241513</t>
  </si>
  <si>
    <t>-460.46670960145 -33.0641839337889 723.855300159487</t>
  </si>
  <si>
    <t>9763-20170724T170125.960972700.bin</t>
  </si>
  <si>
    <t>-581.330422127199 182.038301663282 -239.743098441805</t>
  </si>
  <si>
    <t>-603.71651345283 163.613286384705 -357.332254739042</t>
  </si>
  <si>
    <t>-607.111105573129 143.099594792061 -476.740082105839</t>
  </si>
  <si>
    <t>-602.414093969713 123.243814297963 -584.343689977842</t>
  </si>
  <si>
    <t>-590.152372968056 101.782767358094 -691.039209198781</t>
  </si>
  <si>
    <t>-565.352074071206 70.0108851839875 -837.925091326547</t>
  </si>
  <si>
    <t>-522.198543963822 50.0716051413967 -928.05391746471</t>
  </si>
  <si>
    <t>-571.616358779064 114.956254004526 -778.818577300463</t>
  </si>
  <si>
    <t>-529.359062021382 255.802241769413 -781.21597039932</t>
  </si>
  <si>
    <t>-458.522022932457 308.300414079945 -477.222152050166</t>
  </si>
  <si>
    <t>-263.262881222098 203.424996662158 -341.144782944517</t>
  </si>
  <si>
    <t>-581.034508172131 53.1816165450714 -767.046634275383</t>
  </si>
  <si>
    <t>-592.359388856348 279.553161723856 -252.670308840954</t>
  </si>
  <si>
    <t>-590.773570745014 279.014927392055 203.0213083431</t>
  </si>
  <si>
    <t>-612.845567344902 250.488639810203 671.518341363722</t>
  </si>
  <si>
    <t>-455.004023193371 256.633397783482 748.924969975869</t>
  </si>
  <si>
    <t>-570.279979304774 84.6563723404608 -226.154546102093</t>
  </si>
  <si>
    <t>-448.514998137972 82.1027645647243 212.963288415209</t>
  </si>
  <si>
    <t>-612.803870260084 11.7385456651948 647.663457630206</t>
  </si>
  <si>
    <t>-460.54927650431 -33.0514976533941 723.53114785996</t>
  </si>
  <si>
    <t>9763-20170724T170125.997257000.bin</t>
  </si>
  <si>
    <t>-581.282086818974 181.974484428172 -239.761862104528</t>
  </si>
  <si>
    <t>-603.810186777276 163.656918375115 -357.340554293742</t>
  </si>
  <si>
    <t>-607.147042377232 143.107131726378 -476.743775443237</t>
  </si>
  <si>
    <t>-602.320950154915 123.161519876564 -584.32514231747</t>
  </si>
  <si>
    <t>-589.857049730144 101.554710700847 -690.967720115377</t>
  </si>
  <si>
    <t>-564.703898393688 69.5230237987355 -837.737163854101</t>
  </si>
  <si>
    <t>-521.59039013616 49.4642924520754 -927.858498749725</t>
  </si>
  <si>
    <t>-571.151105974879 114.577722099272 -778.733591175014</t>
  </si>
  <si>
    <t>-529.144234310613 255.462242482008 -781.293617183429</t>
  </si>
  <si>
    <t>-468.777547432792 309.616307064398 -475.337135234161</t>
  </si>
  <si>
    <t>-273.07683768015 201.62043972101 -342.370230525175</t>
  </si>
  <si>
    <t>-580.515592162767 52.8145457230203 -766.858971631259</t>
  </si>
  <si>
    <t>-592.12973647411 279.225950324123 -252.534968788228</t>
  </si>
  <si>
    <t>-590.221712059292 278.544142951667 203.155125882812</t>
  </si>
  <si>
    <t>-612.82891138379 249.848742870907 671.674140990228</t>
  </si>
  <si>
    <t>-454.940969400679 256.433809977658 748.949946705558</t>
  </si>
  <si>
    <t>-570.460477126014 84.860516377096 -226.237100032728</t>
  </si>
  <si>
    <t>-448.30761523251 81.7869761311665 212.769605173193</t>
  </si>
  <si>
    <t>-612.802935120012 11.782277004454 647.485454330156</t>
  </si>
  <si>
    <t>-460.688286430958 -33.3746924981122 723.416330344028</t>
  </si>
  <si>
    <t>9763-20170724T170126.062437900.bin</t>
  </si>
  <si>
    <t>-581.073660995407 181.187746999731 -239.490792785346</t>
  </si>
  <si>
    <t>-603.647546751331 162.871988591254 -357.060964907861</t>
  </si>
  <si>
    <t>-606.744989995291 142.627668506839 -476.522894417724</t>
  </si>
  <si>
    <t>-601.577366158627 123.078453529628 -584.161060348644</t>
  </si>
  <si>
    <t>-588.642477184805 101.985394679365 -690.850353700237</t>
  </si>
  <si>
    <t>-562.696941529807 70.7871306060279 -837.661599761014</t>
  </si>
  <si>
    <t>-519.605156093746 51.052364676448 -927.864737005903</t>
  </si>
  <si>
    <t>-569.712795803283 115.533782165878 -778.488662550275</t>
  </si>
  <si>
    <t>-527.523357761119 256.383845464962 -780.209343992906</t>
  </si>
  <si>
    <t>-485.448809371269 308.814964513257 -470.908567954097</t>
  </si>
  <si>
    <t>-289.913708740585 201.792301318785 -336.915352146347</t>
  </si>
  <si>
    <t>-578.64129592874 53.6489349412097 -766.915754351715</t>
  </si>
  <si>
    <t>-592.219510729103 277.957889701378 -252.078984154845</t>
  </si>
  <si>
    <t>-589.406256330838 277.153303580693 203.606302163348</t>
  </si>
  <si>
    <t>-612.779220863933 248.291556060479 672.081811586455</t>
  </si>
  <si>
    <t>-454.720427167394 256.178710623398 748.885048293473</t>
  </si>
  <si>
    <t>-569.741385033872 84.4635691239282 -226.204397157841</t>
  </si>
  <si>
    <t>-447.853697708973 81.5931919919135 212.877296045376</t>
  </si>
  <si>
    <t>-612.805509032573 11.8759209268035 647.285889824738</t>
  </si>
  <si>
    <t>-460.736938284295 -33.3177278750436 723.287230790139</t>
  </si>
  <si>
    <t>9763-20170724T170126.095049700.bin</t>
  </si>
  <si>
    <t>-580.866380982852 180.692354338316 -239.292162717072</t>
  </si>
  <si>
    <t>-603.501273909319 162.266219523126 -356.833316696862</t>
  </si>
  <si>
    <t>-606.477232414186 142.227903186892 -476.33298840045</t>
  </si>
  <si>
    <t>-601.115748243669 122.988938751777 -584.017635836664</t>
  </si>
  <si>
    <t>-587.898045818442 102.326135708044 -690.756394000131</t>
  </si>
  <si>
    <t>-561.462961038544 71.847410639084 -837.63139077043</t>
  </si>
  <si>
    <t>-518.352315203375 52.4426361757044 -927.897124755013</t>
  </si>
  <si>
    <t>-568.864353820647 116.323374919876 -778.301653098433</t>
  </si>
  <si>
    <t>-527.320493341063 257.356996534466 -779.453953584706</t>
  </si>
  <si>
    <t>-490.332815930791 308.665241154823 -469.315852510294</t>
  </si>
  <si>
    <t>-295.51401193294 202.373469593436 -333.707057423724</t>
  </si>
  <si>
    <t>-577.455018097604 54.3431226171258 -766.986004063554</t>
  </si>
  <si>
    <t>-592.482882960059 277.340169152774 -251.846749022884</t>
  </si>
  <si>
    <t>-589.131102103306 276.661954245546 203.835084201275</t>
  </si>
  <si>
    <t>-612.772566425125 247.606025034694 672.275018889331</t>
  </si>
  <si>
    <t>-454.632205682173 256.378835088009 748.81375211464</t>
  </si>
  <si>
    <t>-569.031257419207 84.2442194659011 -226.079254565924</t>
  </si>
  <si>
    <t>-447.506477931581 81.6386888644299 213.10474953</t>
  </si>
  <si>
    <t>-612.802604976048 11.7542622565632 647.253631223084</t>
  </si>
  <si>
    <t>-460.691764758837 -33.2522364734289 723.281403721768</t>
  </si>
  <si>
    <t>9763-20170724T170126.160727400.bin</t>
  </si>
  <si>
    <t>-580.706096729251 179.813485440492 -238.80963738131</t>
  </si>
  <si>
    <t>-603.164817102599 161.132510305219 -356.344433722707</t>
  </si>
  <si>
    <t>-605.766898075604 141.480967007024 -475.916950254177</t>
  </si>
  <si>
    <t>-599.967838277686 122.855561179706 -583.686847507578</t>
  </si>
  <si>
    <t>-586.201244444114 103.069632229426 -690.522395060835</t>
  </si>
  <si>
    <t>-558.877016357563 74.0831209465193 -837.536487090551</t>
  </si>
  <si>
    <t>-515.668697748242 55.5823102571524 -927.945362209471</t>
  </si>
  <si>
    <t>-567.06494157051 117.99593911202 -777.891466048061</t>
  </si>
  <si>
    <t>-528.183032799046 259.787259965625 -777.672784177178</t>
  </si>
  <si>
    <t>-491.501920949478 308.236657766336 -467.03913078912</t>
  </si>
  <si>
    <t>-297.757290623997 198.110443814835 -332.959636166446</t>
  </si>
  <si>
    <t>-574.869347805554 55.8215111986765 -767.083243220171</t>
  </si>
  <si>
    <t>-593.210948383794 276.16564102259 -251.426581038379</t>
  </si>
  <si>
    <t>-589.40294527634 275.908028963154 204.252135045611</t>
  </si>
  <si>
    <t>-612.855678765247 246.906316985951 672.628574293743</t>
  </si>
  <si>
    <t>-454.541564334202 256.427266973482 748.717423048465</t>
  </si>
  <si>
    <t>-568.102457590833 83.6052273683558 -225.507746556282</t>
  </si>
  <si>
    <t>-446.382289763261 81.8851271059132 213.626494267133</t>
  </si>
  <si>
    <t>-612.756979544673 11.7725612350523 647.175624103454</t>
  </si>
  <si>
    <t>-460.608800609636 -33.0511462411871 723.236662619257</t>
  </si>
  <si>
    <t>9763-20170724T170126.198837600.bin</t>
  </si>
  <si>
    <t>-580.643015120294 179.480381776493 -238.589526242304</t>
  </si>
  <si>
    <t>-602.969936599911 160.630318449361 -356.122478705936</t>
  </si>
  <si>
    <t>-605.194178023106 141.034211478732 -475.711872652652</t>
  </si>
  <si>
    <t>-598.949130772765 122.548390310332 -583.480723672175</t>
  </si>
  <si>
    <t>-584.63101126879 102.988543909376 -690.285469645461</t>
  </si>
  <si>
    <t>-556.429966124913 74.4049944964045 -837.21284643758</t>
  </si>
  <si>
    <t>-512.965047731444 56.334218634272 -927.585593460144</t>
  </si>
  <si>
    <t>-565.132017903382 118.1682270602 -777.530569636018</t>
  </si>
  <si>
    <t>-527.418155023662 260.33710160751 -776.709948615614</t>
  </si>
  <si>
    <t>-488.742140414345 306.925996938239 -466.0335056485</t>
  </si>
  <si>
    <t>-295.10966814065 193.694348925424 -334.400987817549</t>
  </si>
  <si>
    <t>-572.684060483458 55.9365607950895 -766.873452748115</t>
  </si>
  <si>
    <t>-593.527045871954 275.704495731571 -251.304334047151</t>
  </si>
  <si>
    <t>-589.945928932224 275.751525295992 204.376400292319</t>
  </si>
  <si>
    <t>-612.915017114148 246.803927523557 672.775350871664</t>
  </si>
  <si>
    <t>-454.525520014328 256.518711073949 748.682559422848</t>
  </si>
  <si>
    <t>-567.625499620614 83.3173652909234 -225.27387825174</t>
  </si>
  <si>
    <t>-445.94264167463 82.1021034035073 213.872434292227</t>
  </si>
  <si>
    <t>-612.752731664594 11.8846511687048 647.15622958039</t>
  </si>
  <si>
    <t>-460.634191441454 -33.0320883259512 723.22159049388</t>
  </si>
  <si>
    <t>9763-20170724T170126.259517000.bin</t>
  </si>
  <si>
    <t>-580.557224365393 177.661109150543 -238.368932856909</t>
  </si>
  <si>
    <t>-602.879934778364 158.448404281515 -355.844001669292</t>
  </si>
  <si>
    <t>-604.750548045122 138.823975626071 -475.434675466823</t>
  </si>
  <si>
    <t>-598.034987414419 120.454473227401 -583.195194045644</t>
  </si>
  <si>
    <t>-583.091516143618 101.156036322998 -689.96182857243</t>
  </si>
  <si>
    <t>-553.857465112927 73.0890148417679 -836.786894823765</t>
  </si>
  <si>
    <t>-510.037921261818 55.8146924728196 -927.144070235383</t>
  </si>
  <si>
    <t>-563.216959806954 116.661682011199 -777.064775100034</t>
  </si>
  <si>
    <t>-526.58050378617 259.063114901173 -775.944362975732</t>
  </si>
  <si>
    <t>-485.645692550643 305.561998134621 -465.54392803669</t>
  </si>
  <si>
    <t>-292.100791997558 184.750462330733 -340.695942831731</t>
  </si>
  <si>
    <t>-570.368358506374 54.3537793702621 -766.577899023744</t>
  </si>
  <si>
    <t>-593.814078263906 273.917726490479 -251.334990445665</t>
  </si>
  <si>
    <t>-590.185642613587 275.09440461328 204.343698555793</t>
  </si>
  <si>
    <t>-612.993290144219 247.060656508233 672.79749955689</t>
  </si>
  <si>
    <t>-454.569556167633 256.87777008536 748.620110667083</t>
  </si>
  <si>
    <t>-567.188119211962 81.3964766368802 -224.708092251469</t>
  </si>
  <si>
    <t>-444.515872074936 81.4965101966013 214.164564436225</t>
  </si>
  <si>
    <t>-612.570960968139 11.8290697499056 646.89705229831</t>
  </si>
  <si>
    <t>-460.704677162 -33.1003535449011 723.457371603368</t>
  </si>
  <si>
    <t>9763-20170724T170126.297687800.bin</t>
  </si>
  <si>
    <t>-580.241536705747 176.036912955538 -238.228884337646</t>
  </si>
  <si>
    <t>-602.656622607569 156.628935185482 -355.654172322968</t>
  </si>
  <si>
    <t>-604.573495606899 137.001882724 -475.243776543707</t>
  </si>
  <si>
    <t>-597.873833517183 118.712321755446 -583.018764518743</t>
  </si>
  <si>
    <t>-582.916120975689 99.577802400948 -689.812990498787</t>
  </si>
  <si>
    <t>-553.626916931399 71.8278898900076 -836.687311957969</t>
  </si>
  <si>
    <t>-509.775095915602 54.9011794800083 -927.094665333086</t>
  </si>
  <si>
    <t>-563.049385711237 115.274780688929 -776.883435879512</t>
  </si>
  <si>
    <t>-526.280590196488 257.651425294421 -775.665021620673</t>
  </si>
  <si>
    <t>-485.349221428513 304.354008520005 -465.294730659273</t>
  </si>
  <si>
    <t>-290.602039968387 180.71595312583 -345.173090358438</t>
  </si>
  <si>
    <t>-570.123559530532 52.9380017541102 -766.516458116255</t>
  </si>
  <si>
    <t>-593.52372526644 272.380844138058 -251.363454200583</t>
  </si>
  <si>
    <t>-589.994399765786 274.302533170676 204.313461798451</t>
  </si>
  <si>
    <t>-612.957774498495 246.976045810844 672.819362154262</t>
  </si>
  <si>
    <t>-454.531359583523 256.983362252332 748.611322454215</t>
  </si>
  <si>
    <t>-566.791056874959 79.5485579983119 -224.462915614451</t>
  </si>
  <si>
    <t>-443.704397961725 80.9124716327015 214.291586427856</t>
  </si>
  <si>
    <t>-612.474777238354 11.8173357475878 646.809382673397</t>
  </si>
  <si>
    <t>-460.816242160466 -33.270601921487 723.687753808747</t>
  </si>
  <si>
    <t>9763-20170724T170126.361357700.bin</t>
  </si>
  <si>
    <t>-579.350276641428 171.730040176955 -238.012301496684</t>
  </si>
  <si>
    <t>-602.242693634946 151.855333621151 -355.267419783861</t>
  </si>
  <si>
    <t>-604.618814853014 132.480333040691 -474.889771100579</t>
  </si>
  <si>
    <t>-598.298638340065 114.73669274693 -582.778943239355</t>
  </si>
  <si>
    <t>-583.66530127462 96.4816294022096 -689.771829725594</t>
  </si>
  <si>
    <t>-554.751272365512 70.3130308657833 -837.010331170263</t>
  </si>
  <si>
    <t>-510.915123803109 54.2627863167206 -927.584906404225</t>
  </si>
  <si>
    <t>-564.255895161241 113.132153983433 -776.768200408779</t>
  </si>
  <si>
    <t>-527.840945126894 255.539524773965 -774.341896278795</t>
  </si>
  <si>
    <t>-486.342884237485 298.192974861719 -463.464435892862</t>
  </si>
  <si>
    <t>-287.021944276452 174.034670102707 -351.670308748082</t>
  </si>
  <si>
    <t>-570.833738752286 50.651445990128 -766.955337112703</t>
  </si>
  <si>
    <t>-592.818112002116 268.363745324924 -251.428475087549</t>
  </si>
  <si>
    <t>-589.430907221838 271.987594576867 204.239283146583</t>
  </si>
  <si>
    <t>-613.047083123728 246.787402673742 673.047670823805</t>
  </si>
  <si>
    <t>-454.479773755473 256.550338449264 748.576437946468</t>
  </si>
  <si>
    <t>-565.848417649302 75.1310308418736 -223.870758247411</t>
  </si>
  <si>
    <t>-442.558618986135 79.156777903698 214.810320370971</t>
  </si>
  <si>
    <t>-612.578583272324 11.8074220219601 647.092390059608</t>
  </si>
  <si>
    <t>-460.941535330622 -33.2864230945431 724.009681290122</t>
  </si>
  <si>
    <t>9763-20170724T170126.395765700.bin</t>
  </si>
  <si>
    <t>-578.867537409487 169.146875883485 -237.944849342238</t>
  </si>
  <si>
    <t>-601.915590923216 149.125645974261 -355.14440132393</t>
  </si>
  <si>
    <t>-604.522551211217 129.978427424246 -474.798702300079</t>
  </si>
  <si>
    <t>-598.427912045178 112.602655740816 -582.760694429493</t>
  </si>
  <si>
    <t>-584.027637903569 94.8819003597409 -689.874919399945</t>
  </si>
  <si>
    <t>-555.436010709601 69.6339428845472 -837.336981062841</t>
  </si>
  <si>
    <t>-511.719977446922 53.9477215616489 -928.033295330674</t>
  </si>
  <si>
    <t>-564.930094407701 112.084475070483 -776.832938903464</t>
  </si>
  <si>
    <t>-529.179542598823 254.670271297033 -773.457487467324</t>
  </si>
  <si>
    <t>-484.251134048622 295.535140896676 -462.816774777678</t>
  </si>
  <si>
    <t>-282.519899265631 172.063991149769 -354.643439103008</t>
  </si>
  <si>
    <t>-571.243762638899 49.5261443340301 -767.346182250415</t>
  </si>
  <si>
    <t>-592.428174511926 265.868652709468 -251.408069610806</t>
  </si>
  <si>
    <t>-589.251271677157 270.448303561515 204.252623093881</t>
  </si>
  <si>
    <t>-613.051552199254 246.405200690113 673.15275649833</t>
  </si>
  <si>
    <t>-454.432128706077 256.510252075771 748.527014788313</t>
  </si>
  <si>
    <t>-565.360293616549 72.7106615324606 -223.649427106789</t>
  </si>
  <si>
    <t>-442.254116828589 77.9539052470127 215.070352874502</t>
  </si>
  <si>
    <t>-612.729009135813 11.8084644372545 647.370420847007</t>
  </si>
  <si>
    <t>-460.961522426979 -33.1899638361626 724.08599939392</t>
  </si>
  <si>
    <t>9763-20170724T170126.461204000.bin</t>
  </si>
  <si>
    <t>-577.720541189733 163.53644163079 -237.732320691114</t>
  </si>
  <si>
    <t>-600.903862399218 143.365226548646 -354.879438307633</t>
  </si>
  <si>
    <t>-603.920895056863 124.664461739758 -474.59469873026</t>
  </si>
  <si>
    <t>-598.287406237271 107.930673022125 -582.683073386915</t>
  </si>
  <si>
    <t>-584.424347165012 91.0860960455993 -690.009334685335</t>
  </si>
  <si>
    <t>-556.644605728967 67.2958572341829 -837.868493253799</t>
  </si>
  <si>
    <t>-513.280816533184 52.2597551453018 -928.843644236522</t>
  </si>
  <si>
    <t>-566.004094695878 109.160427746538 -776.936745625143</t>
  </si>
  <si>
    <t>-530.958494532864 251.945049749485 -772.435775718913</t>
  </si>
  <si>
    <t>-480.843668639987 289.867535196758 -462.215410266353</t>
  </si>
  <si>
    <t>-276.671260648086 165.593586378493 -359.689012477286</t>
  </si>
  <si>
    <t>-571.868473793569 46.4841671757858 -767.954099760526</t>
  </si>
  <si>
    <t>-592.176868321413 259.991098320516 -251.231214305851</t>
  </si>
  <si>
    <t>-588.635128420599 266.85661536581 204.398009033887</t>
  </si>
  <si>
    <t>-612.964441478488 245.450750144244 673.433770378975</t>
  </si>
  <si>
    <t>-454.245233332642 256.534176924352 748.459626649527</t>
  </si>
  <si>
    <t>-563.276479156149 67.5102228958801 -223.556494052782</t>
  </si>
  <si>
    <t>-441.880313246882 75.3921800120595 215.600061659358</t>
  </si>
  <si>
    <t>-613.049790235394 11.8282452462906 647.92694534999</t>
  </si>
  <si>
    <t>-461.037801240529 -33.1383004131981 724.175706161048</t>
  </si>
  <si>
    <t>9763-20170724T170126.498537700.bin</t>
  </si>
  <si>
    <t>-576.995449765057 160.716663300072 -237.627546322781</t>
  </si>
  <si>
    <t>-600.341905450798 140.456995262509 -354.727034317467</t>
  </si>
  <si>
    <t>-603.66949152298 121.919009507687 -474.45936453709</t>
  </si>
  <si>
    <t>-598.366572840378 105.435245866764 -582.602893772379</t>
  </si>
  <si>
    <t>-584.876756343905 88.9432802039812 -690.031385221904</t>
  </si>
  <si>
    <t>-557.65348918433 65.7496349053047 -838.088728449786</t>
  </si>
  <si>
    <t>-514.5642478177 51.0503230430659 -929.249200654108</t>
  </si>
  <si>
    <t>-566.932857737178 107.377595195548 -776.982828445886</t>
  </si>
  <si>
    <t>-532.376853870224 250.209352048597 -772.102901274252</t>
  </si>
  <si>
    <t>-480.305949444532 286.155235783003 -461.9695881207</t>
  </si>
  <si>
    <t>-276.011676581223 161.589954558908 -360.041223465289</t>
  </si>
  <si>
    <t>-572.465085117711 44.6466211507448 -768.173076231341</t>
  </si>
  <si>
    <t>-591.90033870253 256.871142443256 -251.063790294379</t>
  </si>
  <si>
    <t>-588.202838174163 265.035698310009 204.542756447579</t>
  </si>
  <si>
    <t>-612.951133830483 245.108649754225 673.591878536745</t>
  </si>
  <si>
    <t>-454.178367881262 256.533065187081 748.45303527711</t>
  </si>
  <si>
    <t>-562.105758741663 64.923713057565 -223.460034461223</t>
  </si>
  <si>
    <t>-441.664625068751 74.1376873609634 215.933490056136</t>
  </si>
  <si>
    <t>-613.187781995992 11.9022898024584 648.187181417984</t>
  </si>
  <si>
    <t>-461.033329484491 -32.9797536469403 724.201239634695</t>
  </si>
  <si>
    <t>9763-20170724T170126.564278200.bin</t>
  </si>
  <si>
    <t>-575.168519290289 155.051119904397 -237.6018256731</t>
  </si>
  <si>
    <t>-598.660701716806 134.603998209539 -354.639596283406</t>
  </si>
  <si>
    <t>-602.39933634549 116.445069050113 -474.417888779817</t>
  </si>
  <si>
    <t>-597.556269682417 100.546996114909 -582.670588140219</t>
  </si>
  <si>
    <t>-584.600604557654 84.8885210689293 -690.28941007083</t>
  </si>
  <si>
    <t>-558.182699724123 63.1166543064319 -838.708012597597</t>
  </si>
  <si>
    <t>-515.600737933181 49.4165631308567 -930.261611383006</t>
  </si>
  <si>
    <t>-567.527898089708 104.178868122078 -777.230576226307</t>
  </si>
  <si>
    <t>-534.533254534885 247.345401801153 -771.459992088603</t>
  </si>
  <si>
    <t>-480.128415155074 280.692045645934 -461.436903821344</t>
  </si>
  <si>
    <t>-275.88939062623 157.684081210784 -357.525704719608</t>
  </si>
  <si>
    <t>-572.215734625973 41.3212214812804 -768.84420334828</t>
  </si>
  <si>
    <t>-590.923840649809 250.579540073647 -250.893736665798</t>
  </si>
  <si>
    <t>-587.050827435191 261.361583478291 204.657012689041</t>
  </si>
  <si>
    <t>-612.866628953651 244.474612708411 673.819771171248</t>
  </si>
  <si>
    <t>-454.035012561409 256.608542575264 748.444156073859</t>
  </si>
  <si>
    <t>-559.442033020638 59.6860171774936 -223.563312639818</t>
  </si>
  <si>
    <t>-441.363964085397 71.294078279165 216.414599980565</t>
  </si>
  <si>
    <t>-613.426984259398 12.1083967923653 648.775083966551</t>
  </si>
  <si>
    <t>-460.951871012903 -32.5303180539324 724.288209561371</t>
  </si>
  <si>
    <t>9763-20170724T170126.596363600.bin</t>
  </si>
  <si>
    <t>-574.289100732997 152.410800960312 -237.693762049836</t>
  </si>
  <si>
    <t>-597.737184779448 131.980602320648 -354.74332227922</t>
  </si>
  <si>
    <t>-601.581202365721 114.105855489425 -474.561035574411</t>
  </si>
  <si>
    <t>-596.886192709266 98.5780824743194 -582.874048989312</t>
  </si>
  <si>
    <t>-584.125203621475 83.4049821861413 -690.585643597259</t>
  </si>
  <si>
    <t>-558.020261388963 62.4292891688744 -839.174148103307</t>
  </si>
  <si>
    <t>-515.635552961673 49.2849132953372 -930.900709160895</t>
  </si>
  <si>
    <t>-567.444017888116 103.171208209843 -777.495911549799</t>
  </si>
  <si>
    <t>-535.344764785103 246.493949702815 -771.169175753386</t>
  </si>
  <si>
    <t>-480.417593598963 279.449891484949 -461.196464929953</t>
  </si>
  <si>
    <t>-275.894409518354 160.929396692297 -352.728871146227</t>
  </si>
  <si>
    <t>-571.697740950686 40.249634435743 -769.360789424134</t>
  </si>
  <si>
    <t>-590.399709612561 247.572787471149 -250.849279401194</t>
  </si>
  <si>
    <t>-586.419685823285 259.566573670359 204.670226504445</t>
  </si>
  <si>
    <t>-612.78620206572 244.122324019906 673.8892250205</t>
  </si>
  <si>
    <t>-453.948563168564 256.700124138772 748.427191218513</t>
  </si>
  <si>
    <t>-558.192171408127 57.5577238280355 -223.907033485922</t>
  </si>
  <si>
    <t>-441.796518766347 69.9572141768922 216.49729412582</t>
  </si>
  <si>
    <t>-613.54630759213 12.4380622266499 649.131563614766</t>
  </si>
  <si>
    <t>-460.966211597017 -32.3169751844084 724.363282965546</t>
  </si>
  <si>
    <t>9763-20170724T170126.660068100.bin</t>
  </si>
  <si>
    <t>-572.934799602364 147.267217701018 -238.073942183718</t>
  </si>
  <si>
    <t>-595.796091063617 127.248429815627 -355.310441727524</t>
  </si>
  <si>
    <t>-599.5170576919 110.038622118482 -475.229449105033</t>
  </si>
  <si>
    <t>-594.895512064992 95.2273056405097 -583.645844948048</t>
  </si>
  <si>
    <t>-582.386240370393 80.8907097363606 -691.50138703863</t>
  </si>
  <si>
    <t>-556.808303763215 61.2086988252368 -840.358294736725</t>
  </si>
  <si>
    <t>-514.657852360419 49.1068898758044 -932.33597636967</t>
  </si>
  <si>
    <t>-566.540491914073 101.43192390951 -778.388186347281</t>
  </si>
  <si>
    <t>-536.704778115073 245.268382815753 -771.435430326628</t>
  </si>
  <si>
    <t>-479.316742841182 277.783988927644 -461.862227423619</t>
  </si>
  <si>
    <t>-272.471883264312 172.190554466736 -344.784263934209</t>
  </si>
  <si>
    <t>-569.710987866957 38.402846737323 -770.599241515621</t>
  </si>
  <si>
    <t>-589.739078916605 241.502831774131 -250.670544939581</t>
  </si>
  <si>
    <t>-585.289689076187 255.842778812438 204.776690275635</t>
  </si>
  <si>
    <t>-612.613632571379 243.362264849137 674.060745604855</t>
  </si>
  <si>
    <t>-453.796268131924 257.291743518452 748.401317860646</t>
  </si>
  <si>
    <t>-556.089490836719 53.3796644204924 -224.859503235583</t>
  </si>
  <si>
    <t>-443.170327275156 65.6836994331422 216.451629752087</t>
  </si>
  <si>
    <t>-613.926795318498 12.0826223400243 650.170510746808</t>
  </si>
  <si>
    <t>-460.8480932316 -31.8215457342544 724.88897271304</t>
  </si>
  <si>
    <t>9763-20170724T170126.699321700.bin</t>
  </si>
  <si>
    <t>-572.415319979064 144.691271547611 -238.258665778447</t>
  </si>
  <si>
    <t>-594.852890507043 124.926719973849 -355.620153817056</t>
  </si>
  <si>
    <t>-598.32250237533 107.985557173466 -475.584803294635</t>
  </si>
  <si>
    <t>-593.546445094778 93.4248138857354 -584.028476571467</t>
  </si>
  <si>
    <t>-580.955252120331 79.3465506117752 -691.908582489885</t>
  </si>
  <si>
    <t>-555.338173302916 60.0323445331442 -840.806993036526</t>
  </si>
  <si>
    <t>-513.192198978478 48.3206886144271 -932.836928312047</t>
  </si>
  <si>
    <t>-565.368174239197 100.109328370944 -778.789552802579</t>
  </si>
  <si>
    <t>-536.937881775499 244.207576883646 -771.747283355502</t>
  </si>
  <si>
    <t>-477.631195552666 277.5573475277 -462.624731252865</t>
  </si>
  <si>
    <t>-269.40223250273 180.240392200095 -340.919584833179</t>
  </si>
  <si>
    <t>-567.977665360101 37.0472409032325 -771.058380805561</t>
  </si>
  <si>
    <t>-589.723545687231 238.444334125744 -250.5139507534</t>
  </si>
  <si>
    <t>-584.885919837555 254.126854655388 204.885110636069</t>
  </si>
  <si>
    <t>-612.562360177288 243.063756842736 674.140344132067</t>
  </si>
  <si>
    <t>-453.762268034773 257.71787279397 748.378459663758</t>
  </si>
  <si>
    <t>-554.985648760794 51.2061789680763 -225.364773289534</t>
  </si>
  <si>
    <t>-444.084986496233 63.4014557125633 216.460986691965</t>
  </si>
  <si>
    <t>-614.134807407178 11.8321336652307 650.747546417152</t>
  </si>
  <si>
    <t>-460.867192720522 -31.7968358212713 725.239555527217</t>
  </si>
  <si>
    <t>9763-20170724T170126.764465300.bin</t>
  </si>
  <si>
    <t>-571.286458472061 139.581908120311 -238.621051932802</t>
  </si>
  <si>
    <t>-592.890943480864 120.300990511706 -356.218946470022</t>
  </si>
  <si>
    <t>-595.703964343842 103.856728102163 -476.27010756685</t>
  </si>
  <si>
    <t>-590.411786701732 89.7480737441497 -584.749449638605</t>
  </si>
  <si>
    <t>-577.383624290771 76.1195988310581 -692.635400424396</t>
  </si>
  <si>
    <t>-551.242423221199 57.4251839641715 -841.52180418073</t>
  </si>
  <si>
    <t>-508.925272305303 46.3659836928189 -933.55422186769</t>
  </si>
  <si>
    <t>-562.088803134571 97.2503918491348 -779.479587909791</t>
  </si>
  <si>
    <t>-536.518596549431 241.894718218793 -772.068594643437</t>
  </si>
  <si>
    <t>-472.736100606647 275.948498212276 -463.915512914269</t>
  </si>
  <si>
    <t>-261.677345742888 191.427367968063 -337.612559773021</t>
  </si>
  <si>
    <t>-563.529334434652 34.1434868977938 -771.808816787963</t>
  </si>
  <si>
    <t>-589.916447393637 232.357562424371 -250.165572536397</t>
  </si>
  <si>
    <t>-584.403272086557 250.569596130194 205.131638028754</t>
  </si>
  <si>
    <t>-612.443426161167 242.378047206137 674.358658130124</t>
  </si>
  <si>
    <t>-453.682965448575 258.602221048812 748.35468392212</t>
  </si>
  <si>
    <t>-552.565659714734 46.926201668146 -226.363352158875</t>
  </si>
  <si>
    <t>-445.913210604195 59.3416306042971 216.50094223105</t>
  </si>
  <si>
    <t>-614.489932911377 11.3164854662768 651.883781132679</t>
  </si>
  <si>
    <t>-460.904058055719 -31.8487714610055 725.989466978979</t>
  </si>
  <si>
    <t>9763-20170724T170126.796549900.bin</t>
  </si>
  <si>
    <t>-570.656377512806 137.356747151002 -238.75161492071</t>
  </si>
  <si>
    <t>-591.818806635935 118.257952280418 -356.459693880219</t>
  </si>
  <si>
    <t>-594.23230945195 102.019089429493 -476.547423470801</t>
  </si>
  <si>
    <t>-588.598893452649 88.1010196724255 -585.034178259927</t>
  </si>
  <si>
    <t>-575.25043936952 74.6638615560225 -692.905079462228</t>
  </si>
  <si>
    <t>-548.686859941084 56.2332928360192 -841.749515572337</t>
  </si>
  <si>
    <t>-506.221135878016 45.4356146717155 -933.744392278795</t>
  </si>
  <si>
    <t>-559.984408464247 95.9476833024069 -779.716930721073</t>
  </si>
  <si>
    <t>-535.703090387918 240.7644465381 -772.107252003092</t>
  </si>
  <si>
    <t>-470.467783611684 275.915265401185 -464.381765243464</t>
  </si>
  <si>
    <t>-258.620092333861 200.249128842134 -333.854873164419</t>
  </si>
  <si>
    <t>-560.896454900339 32.828773495798 -772.063966561567</t>
  </si>
  <si>
    <t>-589.981613416376 229.650272159887 -250.008256663806</t>
  </si>
  <si>
    <t>-584.38921671639 249.111805340961 205.236378048355</t>
  </si>
  <si>
    <t>-612.433725727149 242.181642880364 674.460324220281</t>
  </si>
  <si>
    <t>-453.693998631899 259.139930478665 748.336125807117</t>
  </si>
  <si>
    <t>-551.247585174443 45.2675757984503 -226.7363780694</t>
  </si>
  <si>
    <t>-446.582605732417 57.7907519072319 216.598725091807</t>
  </si>
  <si>
    <t>-614.596423772699 11.0413572642269 652.350152940718</t>
  </si>
  <si>
    <t>-460.875181915073 -31.8522846209228 726.332777699866</t>
  </si>
  <si>
    <t>9763-20170724T170126.860289600.bin</t>
  </si>
  <si>
    <t>-568.830083414285 133.556468372061 -238.709033776156</t>
  </si>
  <si>
    <t>-589.1840592291 114.538008386879 -356.572620027924</t>
  </si>
  <si>
    <t>-590.800731351973 98.4954997792549 -476.700072804938</t>
  </si>
  <si>
    <t>-584.45414544773 84.789962106219 -585.174539032641</t>
  </si>
  <si>
    <t>-570.401019073105 71.5894757707997 -692.985060310153</t>
  </si>
  <si>
    <t>-542.868704037809 53.5039456586703 -841.695828727572</t>
  </si>
  <si>
    <t>-499.949730403923 43.0574259528291 -933.520847607019</t>
  </si>
  <si>
    <t>-555.036192910999 93.0678032069527 -779.731558975309</t>
  </si>
  <si>
    <t>-532.934436406457 238.256659346936 -771.913074438926</t>
  </si>
  <si>
    <t>-466.695770944734 276.265018098758 -464.742155215528</t>
  </si>
  <si>
    <t>-254.996189601929 208.342874149939 -329.790584614225</t>
  </si>
  <si>
    <t>-555.065615355494 29.9446744383877 -772.060338246411</t>
  </si>
  <si>
    <t>-589.701214913676 225.102154694852 -249.752587918794</t>
  </si>
  <si>
    <t>-584.218994310624 246.850588986881 205.389851862787</t>
  </si>
  <si>
    <t>-612.440396106109 242.200124217931 674.53570572173</t>
  </si>
  <si>
    <t>-453.754832264511 260.094428561571 748.307035033343</t>
  </si>
  <si>
    <t>-547.758633499988 41.8091687991089 -227.039118640247</t>
  </si>
  <si>
    <t>-446.695017094071 56.0646881674995 217.078655341628</t>
  </si>
  <si>
    <t>-614.620486496047 10.4702773383965 653.015855196695</t>
  </si>
  <si>
    <t>-460.560424661741 -31.4983599371076 726.824020644563</t>
  </si>
  <si>
    <t>9763-20170724T170126.898851100.bin</t>
  </si>
  <si>
    <t>-567.754971955656 132.017234369836 -238.674447469857</t>
  </si>
  <si>
    <t>-587.841561775309 112.917967567164 -356.570817859325</t>
  </si>
  <si>
    <t>-589.08240138994 96.896551699575 -476.705442474416</t>
  </si>
  <si>
    <t>-582.35133961293 83.2420798589678 -585.1633114948</t>
  </si>
  <si>
    <t>-567.869630008846 70.1173733782171 -692.926269015062</t>
  </si>
  <si>
    <t>-539.696971863334 52.1570487117365 -841.532224033251</t>
  </si>
  <si>
    <t>-496.452766390304 41.8483736795044 -933.220101231076</t>
  </si>
  <si>
    <t>-552.29999845263 91.6646677573985 -779.619173151196</t>
  </si>
  <si>
    <t>-530.946048727372 236.916768365264 -771.66222948962</t>
  </si>
  <si>
    <t>-465.098063017128 276.721014872483 -464.634762463014</t>
  </si>
  <si>
    <t>-253.573594386299 215.032102778475 -326.453863230465</t>
  </si>
  <si>
    <t>-552.025002931161 28.5431765307931 -771.93822526288</t>
  </si>
  <si>
    <t>-589.400707134939 223.275151490578 -249.688797205795</t>
  </si>
  <si>
    <t>-584.048864373744 246.018765361544 205.406596283157</t>
  </si>
  <si>
    <t>-612.445216865698 242.297934149 674.533096962426</t>
  </si>
  <si>
    <t>-453.794977472738 260.555886475537 748.291185724142</t>
  </si>
  <si>
    <t>-545.971218950404 40.6265331949 -227.141187130086</t>
  </si>
  <si>
    <t>-446.667791057483 55.9291511864915 217.338631726703</t>
  </si>
  <si>
    <t>-614.580402400472 10.4336682670723 653.259924402137</t>
  </si>
  <si>
    <t>-460.405103091286 -31.2357381368402 726.996958240526</t>
  </si>
  <si>
    <t>9763-20170724T170126.964026000.bin</t>
  </si>
  <si>
    <t>-565.605309445437 129.750274537682 -238.443749139739</t>
  </si>
  <si>
    <t>-585.307281460891 110.379896394137 -356.360747073577</t>
  </si>
  <si>
    <t>-585.945438505587 94.1977385010753 -476.478540481618</t>
  </si>
  <si>
    <t>-578.58156206129 80.4310031829125 -584.881128327459</t>
  </si>
  <si>
    <t>-563.381481656917 67.216828126378 -692.534192458658</t>
  </si>
  <si>
    <t>-534.124519555898 49.1480667520436 -840.917464138361</t>
  </si>
  <si>
    <t>-490.2854775888 38.9041957243455 -932.329464197082</t>
  </si>
  <si>
    <t>-547.400910996529 88.6940615339834 -779.169735678532</t>
  </si>
  <si>
    <t>-527.192488931738 234.178293456292 -771.411675111535</t>
  </si>
  <si>
    <t>-462.689839543258 275.572913192015 -464.309067943093</t>
  </si>
  <si>
    <t>-251.63263446372 220.364014521283 -322.714927602584</t>
  </si>
  <si>
    <t>-546.738763139256 25.591784208443 -771.355067884787</t>
  </si>
  <si>
    <t>-588.321838872003 220.778453677881 -249.599201266826</t>
  </si>
  <si>
    <t>-583.1916018731 245.064965903139 205.418986016267</t>
  </si>
  <si>
    <t>-612.48237436683 242.843898261362 674.451683523803</t>
  </si>
  <si>
    <t>-453.892984946038 261.309194043554 748.288955925639</t>
  </si>
  <si>
    <t>-542.811467948958 38.4884583015855 -226.677871259493</t>
  </si>
  <si>
    <t>-445.011003797704 56.0946160520862 218.049862485563</t>
  </si>
  <si>
    <t>-614.429267269504 10.3537505804586 653.514136943519</t>
  </si>
  <si>
    <t>-460.194909634228 -31.0451215881437 727.280012416059</t>
  </si>
  <si>
    <t>9763-20170724T170126.997117700.bin</t>
  </si>
  <si>
    <t>-564.766734220028 128.858486012632 -238.143078537957</t>
  </si>
  <si>
    <t>-584.37353263347 109.228378260317 -356.033052902959</t>
  </si>
  <si>
    <t>-584.716153069331 92.8115109159062 -476.120377324489</t>
  </si>
  <si>
    <t>-577.005072210306 78.8367672834775 -584.471983360763</t>
  </si>
  <si>
    <t>-561.380064273192 65.4149401957563 -692.038669696813</t>
  </si>
  <si>
    <t>-531.454787311949 47.0542438054338 -840.252451814678</t>
  </si>
  <si>
    <t>-487.322375900157 36.7341717813304 -931.514740274746</t>
  </si>
  <si>
    <t>-545.040336529326 86.7205161861443 -778.649461124983</t>
  </si>
  <si>
    <t>-525.20049417234 232.217350926781 -771.019093102662</t>
  </si>
  <si>
    <t>-461.708850985484 274.833384672992 -463.872855760509</t>
  </si>
  <si>
    <t>-250.704702308501 222.669858710619 -321.050220782165</t>
  </si>
  <si>
    <t>-544.351224291705 23.636057298005 -770.695417825771</t>
  </si>
  <si>
    <t>-587.735804401901 219.898999543945 -249.547992892013</t>
  </si>
  <si>
    <t>-582.913799249347 244.867297571444 205.436707938524</t>
  </si>
  <si>
    <t>-612.494861418275 243.289440349286 674.356999278183</t>
  </si>
  <si>
    <t>-453.952950956012 261.64730924888 748.32299284093</t>
  </si>
  <si>
    <t>-541.773795575973 37.6164601552184 -226.17308405553</t>
  </si>
  <si>
    <t>-443.882942486614 56.2491010091924 218.492954921917</t>
  </si>
  <si>
    <t>-614.324891356547 10.3643889294542 653.483838954572</t>
  </si>
  <si>
    <t>-460.032266194245 -30.7790750878639 727.270793544295</t>
  </si>
  <si>
    <t>9763-20170724T170127.060797600.bin</t>
  </si>
  <si>
    <t>-562.931201015145 127.900416156503 -237.906293515964</t>
  </si>
  <si>
    <t>-582.48590729271 107.751049657475 -355.717295861892</t>
  </si>
  <si>
    <t>-582.428507879557 90.7242916618209 -475.720015098396</t>
  </si>
  <si>
    <t>-574.219430904307 76.1493372422306 -583.956098522072</t>
  </si>
  <si>
    <t>-557.966487520775 62.0702617985103 -691.345409858313</t>
  </si>
  <si>
    <t>-527.040802584933 42.7293968373463 -839.228968656352</t>
  </si>
  <si>
    <t>-482.398727231969 32.0267157138901 -930.198793511073</t>
  </si>
  <si>
    <t>-540.912941973426 82.8069966175462 -777.956749602159</t>
  </si>
  <si>
    <t>-520.797202265729 228.343031977195 -771.093280464358</t>
  </si>
  <si>
    <t>-459.518145253958 272.28282679885 -463.684074618211</t>
  </si>
  <si>
    <t>-249.109617662999 222.62454631273 -319.100713266889</t>
  </si>
  <si>
    <t>-540.535937301808 19.7673765647896 -769.633315955276</t>
  </si>
  <si>
    <t>-586.224800296775 219.280206237854 -249.773599632915</t>
  </si>
  <si>
    <t>-581.935206207499 245.183215202942 205.164062107754</t>
  </si>
  <si>
    <t>-612.433338937728 244.466939728163 673.966784657535</t>
  </si>
  <si>
    <t>-454.052322954815 262.343918376283 748.393678470618</t>
  </si>
  <si>
    <t>-539.478520895606 36.4049262747749 -225.439001933367</t>
  </si>
  <si>
    <t>-441.547128700374 56.9344728328897 219.134533460453</t>
  </si>
  <si>
    <t>-614.12273659878 10.3629973001412 653.262304841958</t>
  </si>
  <si>
    <t>-459.928274191907 -30.9288388304728 727.171402405706</t>
  </si>
  <si>
    <t>9763-20170724T170127.098395000.bin</t>
  </si>
  <si>
    <t>-562.150420537962 127.528750703707 -237.668349947542</t>
  </si>
  <si>
    <t>-581.616368893359 107.078688833396 -355.442185255662</t>
  </si>
  <si>
    <t>-581.405680683616 89.6634328803207 -475.388971879185</t>
  </si>
  <si>
    <t>-573.035621465798 74.7014651224461 -583.559775449219</t>
  </si>
  <si>
    <t>-556.602111424406 60.2005493755319 -690.865436064111</t>
  </si>
  <si>
    <t>-525.407980738431 40.236865945134 -838.609748823817</t>
  </si>
  <si>
    <t>-480.601296435628 29.2621109193835 -929.466276932903</t>
  </si>
  <si>
    <t>-539.26575712476 80.57605468053 -777.506429828619</t>
  </si>
  <si>
    <t>-518.732942151695 226.042368913395 -771.128184648113</t>
  </si>
  <si>
    <t>-458.870413965641 269.918347529078 -463.431014612959</t>
  </si>
  <si>
    <t>-248.981546654152 219.724497161726 -318.278334777689</t>
  </si>
  <si>
    <t>-539.155086698288 17.5642120159282 -768.968614838868</t>
  </si>
  <si>
    <t>-585.249296670505 219.096137397473 -249.879555844984</t>
  </si>
  <si>
    <t>-581.604911289567 245.481322441911 205.036074464095</t>
  </si>
  <si>
    <t>-612.405436423721 245.00677630716 673.806189317685</t>
  </si>
  <si>
    <t>-454.091054988732 262.562020411369 748.451261998198</t>
  </si>
  <si>
    <t>-538.916663135403 35.7518390330908 -224.794764650001</t>
  </si>
  <si>
    <t>-440.188795099323 57.5565244211878 219.541915185482</t>
  </si>
  <si>
    <t>-614.040304102315 10.6839484915472 653.07503754512</t>
  </si>
  <si>
    <t>-460.031778117607 -31.2912245779883 726.986936423665</t>
  </si>
  <si>
    <t>9763-20170724T170127.164576300.bin</t>
  </si>
  <si>
    <t>-560.730811536969 127.074612996464 -237.221869990514</t>
  </si>
  <si>
    <t>-580.275606526798 105.942778045103 -354.862128324182</t>
  </si>
  <si>
    <t>-579.927869997739 87.8664121213619 -474.710815980229</t>
  </si>
  <si>
    <t>-571.348081119609 72.3339401578753 -582.784728881911</t>
  </si>
  <si>
    <t>-554.620668699211 57.3019353310367 -689.971866379766</t>
  </si>
  <si>
    <t>-522.932105127333 36.6510396802876 -837.516302383096</t>
  </si>
  <si>
    <t>-477.936247416445 25.4278109835554 -928.248872288555</t>
  </si>
  <si>
    <t>-536.83859087127 77.2786456970703 -776.615400473571</t>
  </si>
  <si>
    <t>-515.529117940734 222.648596097763 -770.797094669198</t>
  </si>
  <si>
    <t>-458.321616810253 265.474610575898 -462.447587804315</t>
  </si>
  <si>
    <t>-250.120439261151 211.182092029271 -316.342678292363</t>
  </si>
  <si>
    <t>-537.068045588249 14.2983502245031 -767.849721429025</t>
  </si>
  <si>
    <t>-583.409266215011 219.247242430303 -250.210229367743</t>
  </si>
  <si>
    <t>-581.275164829993 245.993164403368 204.693897376582</t>
  </si>
  <si>
    <t>-612.33001216145 246.032960057522 673.48778760331</t>
  </si>
  <si>
    <t>-454.125210470163 262.770686977677 748.551744264665</t>
  </si>
  <si>
    <t>-538.078328962967 34.918784296389 -223.54611075104</t>
  </si>
  <si>
    <t>-437.518981070367 58.3507702162999 220.296600022841</t>
  </si>
  <si>
    <t>-613.983531350655 10.9933761917816 652.66853336647</t>
  </si>
  <si>
    <t>-460.039540416137 -31.4055682064404 726.472901646035</t>
  </si>
  <si>
    <t>9763-20170724T170127.195658000.bin</t>
  </si>
  <si>
    <t>-560.199123580842 126.666519733225 -237.014958464275</t>
  </si>
  <si>
    <t>-579.770961496606 105.121607720533 -354.5758884611</t>
  </si>
  <si>
    <t>-579.401022952973 86.6847493584874 -474.369511748843</t>
  </si>
  <si>
    <t>-570.780778703403 70.8605440335455 -582.397885348841</t>
  </si>
  <si>
    <t>-553.99162429611 55.5799348026801 -689.540180594654</t>
  </si>
  <si>
    <t>-522.194344859423 34.6351694963864 -837.019784270315</t>
  </si>
  <si>
    <t>-477.15272646611 23.2952364724847 -927.715182896662</t>
  </si>
  <si>
    <t>-536.100649984592 75.3850201439084 -776.200557599471</t>
  </si>
  <si>
    <t>-514.698126277717 220.797892901581 -770.661580837981</t>
  </si>
  <si>
    <t>-458.441584874709 263.584488059233 -462.131631923832</t>
  </si>
  <si>
    <t>-251.141283783421 204.693517357665 -316.527735172211</t>
  </si>
  <si>
    <t>-536.42667654514 12.4201053934289 -767.328880855762</t>
  </si>
  <si>
    <t>-582.596676734827 219.206264412246 -250.415029936842</t>
  </si>
  <si>
    <t>-581.272281569315 246.316900421137 204.470488134879</t>
  </si>
  <si>
    <t>-612.286551644145 246.556533015817 673.310955927756</t>
  </si>
  <si>
    <t>-454.13516346969 262.927968919238 748.568066795672</t>
  </si>
  <si>
    <t>-537.834080084109 34.1493713216548 -222.884881129604</t>
  </si>
  <si>
    <t>-436.190212646056 58.6103177850309 220.65527848536</t>
  </si>
  <si>
    <t>-613.971188529403 11.2972611123237 652.445156012186</t>
  </si>
  <si>
    <t>-460.052222774484 -31.3205659499536 726.175679119587</t>
  </si>
  <si>
    <t>9763-20170724T170127.267802800.bin</t>
  </si>
  <si>
    <t>-558.893061748165 125.017087098279 -236.579927225284</t>
  </si>
  <si>
    <t>-578.451477787664 102.797850483925 -354.017528316783</t>
  </si>
  <si>
    <t>-578.102610747947 83.666195456492 -473.702184469189</t>
  </si>
  <si>
    <t>-569.515786577411 67.2170260205423 -581.639847391803</t>
  </si>
  <si>
    <t>-552.774337581541 51.321315712735 -688.700214979493</t>
  </si>
  <si>
    <t>-521.057329149612 29.5381736780953 -836.075541053887</t>
  </si>
  <si>
    <t>-476.045148115972 17.8681984555847 -926.743649015247</t>
  </si>
  <si>
    <t>-534.846016648019 70.6354324371625 -775.463661999983</t>
  </si>
  <si>
    <t>-513.191343407744 216.019874319467 -770.730767056677</t>
  </si>
  <si>
    <t>-457.367908062029 259.632305117146 -462.237856276679</t>
  </si>
  <si>
    <t>-251.757982512292 192.586012066932 -317.768425058308</t>
  </si>
  <si>
    <t>-535.336194351061 7.71780576173751 -766.269488439231</t>
  </si>
  <si>
    <t>-581.195369529429 218.053043584576 -250.598709904107</t>
  </si>
  <si>
    <t>-581.140269030611 245.976600710212 204.239656021568</t>
  </si>
  <si>
    <t>-612.257426749914 246.955374092736 673.217530814739</t>
  </si>
  <si>
    <t>-454.101276026752 262.845334268565 748.567760257398</t>
  </si>
  <si>
    <t>-536.55392548287 32.2785654629392 -221.893725203882</t>
  </si>
  <si>
    <t>-433.869619706729 58.703939967058 221.293996342719</t>
  </si>
  <si>
    <t>-613.972990178824 11.2521421575384 652.054836713609</t>
  </si>
  <si>
    <t>-459.928293652599 -31.0919272736564 725.68039486439</t>
  </si>
  <si>
    <t>9763-20170724T170127.295877800.bin</t>
  </si>
  <si>
    <t>-558.154639727538 124.039029739399 -236.3180638611</t>
  </si>
  <si>
    <t>-577.615322609829 101.581731599171 -353.726510710583</t>
  </si>
  <si>
    <t>-577.26582786 82.19241532971 -473.369710543747</t>
  </si>
  <si>
    <t>-568.718047411949 65.5037710193965 -581.273771941742</t>
  </si>
  <si>
    <t>-552.054695767376 49.362741965745 -688.309416110962</t>
  </si>
  <si>
    <t>-520.486148794772 27.2329309554377 -835.665226924125</t>
  </si>
  <si>
    <t>-475.527566840676 15.4162096577029 -926.340830808308</t>
  </si>
  <si>
    <t>-534.205088172497 68.4727482842115 -775.134284443101</t>
  </si>
  <si>
    <t>-512.335587675449 213.797734342497 -770.673188669397</t>
  </si>
  <si>
    <t>-456.576048761415 257.311874465555 -462.154752719398</t>
  </si>
  <si>
    <t>-251.267919891963 191.164209143461 -316.844377697257</t>
  </si>
  <si>
    <t>-534.703439872376 5.57650716039848 -765.795440476629</t>
  </si>
  <si>
    <t>-580.631713008581 217.027645251154 -250.538269522131</t>
  </si>
  <si>
    <t>-580.862299581653 245.414516902337 204.271277727584</t>
  </si>
  <si>
    <t>-612.207717965872 246.788533771981 673.254680800828</t>
  </si>
  <si>
    <t>-454.049615378583 262.952718148101 748.542377651146</t>
  </si>
  <si>
    <t>-535.625987148256 31.369459159358 -221.461171858851</t>
  </si>
  <si>
    <t>-432.892652986424 58.7192718270207 221.659077900257</t>
  </si>
  <si>
    <t>-614.012199666592 11.3520665965102 651.928027729139</t>
  </si>
  <si>
    <t>-460.034894545215 -31.3449013308198 725.49076976774</t>
  </si>
  <si>
    <t>9763-20170724T170127.364071800.bin</t>
  </si>
  <si>
    <t>-556.479825230766 121.428790422865 -235.822123706267</t>
  </si>
  <si>
    <t>-575.806010418459 98.5840207123688 -353.178099460297</t>
  </si>
  <si>
    <t>-575.437831866301 79.0007797587434 -472.789605080634</t>
  </si>
  <si>
    <t>-566.915200347221 62.2270951520347 -580.682403372721</t>
  </si>
  <si>
    <t>-550.314609821211 46.0967080934897 -687.729432053825</t>
  </si>
  <si>
    <t>-518.867655138299 24.0869897873729 -835.129255068818</t>
  </si>
  <si>
    <t>-474.043661225366 12.3677897617558 -925.884153836833</t>
  </si>
  <si>
    <t>-532.745211804829 65.2718900967091 -774.597171975552</t>
  </si>
  <si>
    <t>-511.245183713737 210.669011748244 -770.35365003885</t>
  </si>
  <si>
    <t>-454.923424636982 252.544323817726 -461.710631518619</t>
  </si>
  <si>
    <t>-249.074188637383 192.262530463558 -314.624814174653</t>
  </si>
  <si>
    <t>-532.818751501185 2.37910582831842 -765.22169593361</t>
  </si>
  <si>
    <t>-579.509113024182 214.078416260019 -250.175243090413</t>
  </si>
  <si>
    <t>-579.899966630315 243.589809792389 204.562663404963</t>
  </si>
  <si>
    <t>-612.031090497321 245.725468350206 673.566825011707</t>
  </si>
  <si>
    <t>-453.808832584301 262.876808923638 748.500518314773</t>
  </si>
  <si>
    <t>-533.481458515266 28.9686407424836 -220.748931480134</t>
  </si>
  <si>
    <t>-431.226450872523 57.9414802793742 222.378711454684</t>
  </si>
  <si>
    <t>-614.157758954362 11.5184082538576 651.882609051586</t>
  </si>
  <si>
    <t>-460.179259115495 -31.3920580225224 725.318477840032</t>
  </si>
  <si>
    <t>9763-20170724T170127.397741400.bin</t>
  </si>
  <si>
    <t>-555.473141491399 119.835279281324 -235.634027240346</t>
  </si>
  <si>
    <t>-574.63934799303 96.824040328816 -352.983709570578</t>
  </si>
  <si>
    <t>-574.269929082608 77.2611250019006 -472.59856489214</t>
  </si>
  <si>
    <t>-565.805772633992 60.5899826103973 -580.511860912063</t>
  </si>
  <si>
    <t>-549.318650053742 44.6504839879542 -687.605158321988</t>
  </si>
  <si>
    <t>-518.081685166418 23.0019574128878 -835.102862194345</t>
  </si>
  <si>
    <t>-473.377180190209 11.5050849066142 -925.945150944966</t>
  </si>
  <si>
    <t>-532.052027132639 64.0327572795527 -774.48753397791</t>
  </si>
  <si>
    <t>-511.235701297636 209.513321039987 -770.182327738194</t>
  </si>
  <si>
    <t>-454.002227219907 251.165508180701 -461.676782501266</t>
  </si>
  <si>
    <t>-247.497712120487 195.174483681966 -313.815568418705</t>
  </si>
  <si>
    <t>-531.754080605511 1.1288725409097 -765.191845054495</t>
  </si>
  <si>
    <t>-578.821321613109 212.235872832093 -249.988740207389</t>
  </si>
  <si>
    <t>-579.223132563447 242.381371874828 204.707678120324</t>
  </si>
  <si>
    <t>-611.92189568181 245.20355074421 673.681872607019</t>
  </si>
  <si>
    <t>-453.69398233525 263.02707015276 748.446585658541</t>
  </si>
  <si>
    <t>-532.173365157641 27.6027230212264 -220.527073157726</t>
  </si>
  <si>
    <t>-430.723258566103 57.0956488976769 222.751314193325</t>
  </si>
  <si>
    <t>-614.248513144873 11.3498338889881 651.981546641803</t>
  </si>
  <si>
    <t>-460.156572165453 -31.2861067067481 725.339321011231</t>
  </si>
  <si>
    <t>9763-20170724T170127.462414900.bin</t>
  </si>
  <si>
    <t>-553.65634335828 116.944363510837 -235.631946466696</t>
  </si>
  <si>
    <t>-572.297532383657 93.9901362124781 -353.077362669682</t>
  </si>
  <si>
    <t>-571.858450860028 74.63402616384 -472.725603154249</t>
  </si>
  <si>
    <t>-563.513794047726 58.2256629907072 -580.688422689561</t>
  </si>
  <si>
    <t>-547.32275039415 42.6320843757294 -687.877686146722</t>
  </si>
  <si>
    <t>-516.673556569072 21.5584911380327 -835.581971173624</t>
  </si>
  <si>
    <t>-472.264181872231 10.5621716113908 -926.630698203229</t>
  </si>
  <si>
    <t>-530.820477618289 62.3355305919149 -774.836495357861</t>
  </si>
  <si>
    <t>-511.878282651192 208.108208297838 -770.553817414223</t>
  </si>
  <si>
    <t>-453.476741497337 250.011368614765 -462.301455940599</t>
  </si>
  <si>
    <t>-245.579864058599 201.969271450582 -313.597243518719</t>
  </si>
  <si>
    <t>-577.718589011111 208.729868826125 -249.722123583955</t>
  </si>
  <si>
    <t>-577.722702055904 240.205658812659 204.884243093047</t>
  </si>
  <si>
    <t>-611.834603643363 244.587085660542 673.845613042321</t>
  </si>
  <si>
    <t>-453.563310439484 263.163627255047 748.334669741679</t>
  </si>
  <si>
    <t>-529.745765432828 25.6661090194691 -220.829389060208</t>
  </si>
  <si>
    <t>-430.582408685773 54.7885836642265 222.990566632146</t>
  </si>
  <si>
    <t>-614.37208332405 11.0121279667394 652.358315398633</t>
  </si>
  <si>
    <t>-460.282720972835 -31.5388624326015 725.770813380452</t>
  </si>
  <si>
    <t>9763-20170724T170127.495614500.bin</t>
  </si>
  <si>
    <t>-553.021247312695 115.782755512781 -235.808930440335</t>
  </si>
  <si>
    <t>-571.298853983991 93.0816645942095 -353.360712438917</t>
  </si>
  <si>
    <t>-570.758771724055 73.9294228319723 -473.041406521177</t>
  </si>
  <si>
    <t>-562.431900431868 57.6872856464995 -581.030754768368</t>
  </si>
  <si>
    <t>-546.366894419824 42.2423947065713 -688.260541183812</t>
  </si>
  <si>
    <t>-516.003793403188 21.3580765002814 -836.050719365723</t>
  </si>
  <si>
    <t>-471.734642580984 10.5919480645141 -927.195100858389</t>
  </si>
  <si>
    <t>-530.266222648036 62.0451638128363 -775.27188725991</t>
  </si>
  <si>
    <t>-512.497583001092 207.957734814531 -771.11020863338</t>
  </si>
  <si>
    <t>-453.819974362992 250.473810876536 -462.994129846235</t>
  </si>
  <si>
    <t>-245.350584866187 204.187757626405 -314.534841246304</t>
  </si>
  <si>
    <t>-577.511460421254 206.968682115546 -249.559909218591</t>
  </si>
  <si>
    <t>-576.797829283036 239.161125745736 204.995696464261</t>
  </si>
  <si>
    <t>-611.738493969217 244.094513180535 673.934605988469</t>
  </si>
  <si>
    <t>-453.498537686873 263.50681111881 748.277097617551</t>
  </si>
  <si>
    <t>-528.62613841649 25.1139685648186 -221.339847475077</t>
  </si>
  <si>
    <t>-431.361143375322 53.6018084649693 222.94118483084</t>
  </si>
  <si>
    <t>-614.434096104201 10.7250126938568 652.70022123699</t>
  </si>
  <si>
    <t>-460.414500285862 -31.9811587274985 726.168947984666</t>
  </si>
  <si>
    <t>9763-20170724T170127.564306100.bin</t>
  </si>
  <si>
    <t>-551.923146517479 113.696427609858 -236.298472410263</t>
  </si>
  <si>
    <t>-569.697599265006 91.6952306457415 -354.060190681422</t>
  </si>
  <si>
    <t>-568.965056230851 73.0764275488648 -473.824044255936</t>
  </si>
  <si>
    <t>-560.595946178156 57.2418877101231 -581.870636714923</t>
  </si>
  <si>
    <t>-544.621650853963 42.1228032606555 -689.160310831855</t>
  </si>
  <si>
    <t>-514.523222143413 21.6020168683588 -837.055557661051</t>
  </si>
  <si>
    <t>-470.457320719239 11.1926419331878 -928.339855327795</t>
  </si>
  <si>
    <t>-529.078066127684 62.1148713314176 -776.229754263184</t>
  </si>
  <si>
    <t>-513.341427315404 208.276831800802 -772.123509080474</t>
  </si>
  <si>
    <t>-455.912557747146 252.256920157381 -463.977665597402</t>
  </si>
  <si>
    <t>-245.362818711879 197.848483597792 -321.322113736327</t>
  </si>
  <si>
    <t>-577.188042404625 203.550269994856 -249.298622832002</t>
  </si>
  <si>
    <t>-574.589863332418 237.259455556825 205.140237498489</t>
  </si>
  <si>
    <t>-611.453089983011 243.233047970628 673.813012974759</t>
  </si>
  <si>
    <t>-453.366220770447 264.062852099834 748.097382184972</t>
  </si>
  <si>
    <t>-526.614961006315 24.1091961726092 -222.583030735638</t>
  </si>
  <si>
    <t>-433.664945790356 51.2524119968959 222.704798456107</t>
  </si>
  <si>
    <t>-614.657896863548 10.0656820395716 653.717240838089</t>
  </si>
  <si>
    <t>-460.415490930863 -31.991598461105 727.092801019412</t>
  </si>
  <si>
    <t>9763-20170724T170127.595677400.bin</t>
  </si>
  <si>
    <t>-551.536407866978 112.710658163504 -236.322009754035</t>
  </si>
  <si>
    <t>-569.211760356033 90.9238668364872 -354.138487245222</t>
  </si>
  <si>
    <t>-568.438293660632 72.5078614752192 -473.933402127995</t>
  </si>
  <si>
    <t>-560.056089592144 56.8470441338764 -582.004364240255</t>
  </si>
  <si>
    <t>-544.092400806174 41.8883544703629 -689.318109763651</t>
  </si>
  <si>
    <t>-514.033400732135 21.5734091273828 -837.24974844319</t>
  </si>
  <si>
    <t>-470.048997289242 11.2967565929703 -928.588442487292</t>
  </si>
  <si>
    <t>-528.735337192062 61.9901894518557 -776.395322547592</t>
  </si>
  <si>
    <t>-513.828460774848 208.228060143811 -772.262180908832</t>
  </si>
  <si>
    <t>-457.531756580849 252.802406479572 -463.992683714657</t>
  </si>
  <si>
    <t>-245.521918300018 198.206959887058 -323.588955930923</t>
  </si>
  <si>
    <t>-577.067075188698 201.981501897349 -249.020190319087</t>
  </si>
  <si>
    <t>-573.637168721986 236.464450221297 205.355017860569</t>
  </si>
  <si>
    <t>-611.313207728994 242.899530645679 673.878548881436</t>
  </si>
  <si>
    <t>-453.311772296223 264.284898797956 748.186893266403</t>
  </si>
  <si>
    <t>-525.970604689747 23.3276012266563 -222.879272832997</t>
  </si>
  <si>
    <t>-434.651451783533 50.2010259670317 222.762125905455</t>
  </si>
  <si>
    <t>-614.76496255241 9.47781217364468 654.250097673853</t>
  </si>
  <si>
    <t>-460.234061599401 -31.6886273601785 727.523812291008</t>
  </si>
  <si>
    <t>9763-20170724T170127.661868200.bin</t>
  </si>
  <si>
    <t>-550.878315198313 110.83852834307 -235.802025007748</t>
  </si>
  <si>
    <t>-568.891373934578 89.142302843504 -353.583988160961</t>
  </si>
  <si>
    <t>-568.263473875306 70.8827004159305 -473.403659312164</t>
  </si>
  <si>
    <t>-559.932036304343 55.3868047843473 -581.502287300941</t>
  </si>
  <si>
    <t>-543.937973762103 40.6132577267299 -688.837253086355</t>
  </si>
  <si>
    <t>-513.752697000779 20.5747065997591 -836.780906846818</t>
  </si>
  <si>
    <t>-469.791230495254 10.4186368029248 -928.143980078996</t>
  </si>
  <si>
    <t>-528.703039339973 60.8628672600914 -775.901709941687</t>
  </si>
  <si>
    <t>-514.516274052457 207.193070439591 -771.853179295071</t>
  </si>
  <si>
    <t>-459.605113544388 252.001901183444 -463.367983531504</t>
  </si>
  <si>
    <t>-245.870707509388 218.821692838045 -318.942423918779</t>
  </si>
  <si>
    <t>-576.700235927543 199.718281139954 -248.426110448894</t>
  </si>
  <si>
    <t>-572.144550780175 235.157046611819 205.86559474152</t>
  </si>
  <si>
    <t>-611.086889690692 242.422670665896 674.065324620936</t>
  </si>
  <si>
    <t>-453.233903025539 264.750547519406 748.411821700957</t>
  </si>
  <si>
    <t>-524.880492513331 21.4648549665201 -222.480666238263</t>
  </si>
  <si>
    <t>-434.915752403067 49.2312819374658 223.38156546817</t>
  </si>
  <si>
    <t>-614.86850766822 8.94577924954478 654.988580726206</t>
  </si>
  <si>
    <t>-460.06701228295 -31.4118287414826 728.14101214735</t>
  </si>
  <si>
    <t>9763-20170724T170127.694963000.bin</t>
  </si>
  <si>
    <t>-550.448833517482 109.896678259076 -235.271898341373</t>
  </si>
  <si>
    <t>-568.697414080669 87.9982049748839 -352.980275880708</t>
  </si>
  <si>
    <t>-568.189153743489 69.5859447719777 -472.777133709153</t>
  </si>
  <si>
    <t>-559.916263458853 53.9719620781646 -580.863380094322</t>
  </si>
  <si>
    <t>-543.930628514532 39.100044938933 -688.185875475207</t>
  </si>
  <si>
    <t>-513.705171094662 18.9444966910448 -836.105351394119</t>
  </si>
  <si>
    <t>-469.753547089598 8.68682290382935 -927.461934892669</t>
  </si>
  <si>
    <t>-528.628035508571 59.284188640775 -775.253541946964</t>
  </si>
  <si>
    <t>-514.328159470095 205.614177134417 -771.46052943558</t>
  </si>
  <si>
    <t>-459.98370568338 248.744235352096 -462.635853771204</t>
  </si>
  <si>
    <t>-245.707123628008 228.924566243781 -316.571543885391</t>
  </si>
  <si>
    <t>-576.262609598174 198.990674677852 -248.165959654584</t>
  </si>
  <si>
    <t>-571.71013963222 234.839829478081 206.093724583808</t>
  </si>
  <si>
    <t>-611.069743944967 242.642393058804 674.110990773833</t>
  </si>
  <si>
    <t>-453.238814063584 264.896979128458 748.526266132204</t>
  </si>
  <si>
    <t>-524.420796543138 20.3648352100554 -221.765195412019</t>
  </si>
  <si>
    <t>-434.014004071139 48.9605055891354 223.955109711171</t>
  </si>
  <si>
    <t>-614.850268537649 8.93011985348789 655.093645845184</t>
  </si>
  <si>
    <t>-460.027477516331 -31.4193040004964 728.205474110636</t>
  </si>
  <si>
    <t>9763-20170724T170127.765153900.bin</t>
  </si>
  <si>
    <t>-549.344736361297 108.83272373393 -234.531746635268</t>
  </si>
  <si>
    <t>-567.941523125629 86.1839365305732 -352.043351612068</t>
  </si>
  <si>
    <t>-567.718330788976 67.2881495680215 -471.765784423972</t>
  </si>
  <si>
    <t>-559.666628018218 51.3476318206533 -579.821057883547</t>
  </si>
  <si>
    <t>-543.860140605362 36.2623151008909 -687.140269988948</t>
  </si>
  <si>
    <t>-513.835339196987 15.9291808745936 -835.076378709549</t>
  </si>
  <si>
    <t>-469.943793231688 5.55844693530457 -926.449118044168</t>
  </si>
  <si>
    <t>-528.424020401232 56.3604582940184 -774.204515893016</t>
  </si>
  <si>
    <t>-512.904314567775 202.534591354869 -770.483555757906</t>
  </si>
  <si>
    <t>-458.546212119101 240.841527597417 -461.025887294433</t>
  </si>
  <si>
    <t>-243.651089692569 243.366072260496 -314.548036301003</t>
  </si>
  <si>
    <t>-574.884671897937 198.837937875169 -248.246056468696</t>
  </si>
  <si>
    <t>-571.803644082847 235.411160062954 205.968194131923</t>
  </si>
  <si>
    <t>-611.11039568668 244.089133204962 673.808157125065</t>
  </si>
  <si>
    <t>-453.345005511942 265.298266932856 748.666522887292</t>
  </si>
  <si>
    <t>-523.603017352344 18.638008996372 -220.322034356803</t>
  </si>
  <si>
    <t>-431.339406001385 48.8715033353376 224.909390635564</t>
  </si>
  <si>
    <t>-614.82291769011 9.20446874592358 655.021603206465</t>
  </si>
  <si>
    <t>-460.105011957023 -31.863481365152 727.955123038305</t>
  </si>
  <si>
    <t>9763-20170724T170127.795236400.bin</t>
  </si>
  <si>
    <t>-549.051545861575 108.721135119068 -234.328626995674</t>
  </si>
  <si>
    <t>-567.780523208773 85.6419611723877 -351.735547426759</t>
  </si>
  <si>
    <t>-567.616415993497 66.4552671050135 -471.411793082891</t>
  </si>
  <si>
    <t>-559.583054415839 50.3086827213867 -579.437814150961</t>
  </si>
  <si>
    <t>-543.757888165612 35.0741598967495 -686.7332656941</t>
  </si>
  <si>
    <t>-513.666985382813 14.5922282723564 -834.63530713726</t>
  </si>
  <si>
    <t>-469.734366947892 4.18521818484282 -925.984159833174</t>
  </si>
  <si>
    <t>-528.126994137026 55.0952964595622 -773.780322786806</t>
  </si>
  <si>
    <t>-511.772407393325 201.185604656829 -770.064985225853</t>
  </si>
  <si>
    <t>-457.549533302666 238.942649028096 -460.516225323134</t>
  </si>
  <si>
    <t>-242.452261199774 248.750117545357 -314.642922455805</t>
  </si>
  <si>
    <t>-574.396155204018 199.158473540672 -248.442982506931</t>
  </si>
  <si>
    <t>-572.314516353503 235.781323244141 205.772966239951</t>
  </si>
  <si>
    <t>-611.159232615404 244.712612040254 673.727382386868</t>
  </si>
  <si>
    <t>-453.400977066979 265.448454445722 748.733178349352</t>
  </si>
  <si>
    <t>-523.675159041049 18.2754252465413 -219.692486504742</t>
  </si>
  <si>
    <t>-430.109215379539 48.9897674209496 225.234154185142</t>
  </si>
  <si>
    <t>-614.806770677494 9.52860602759529 654.861881081749</t>
  </si>
  <si>
    <t>-460.244936143201 -32.2268559256222 727.73597909454</t>
  </si>
  <si>
    <t>9763-20170724T170127.861918700.bin</t>
  </si>
  <si>
    <t>-549.177911141426 108.613401353075 -234.481272235531</t>
  </si>
  <si>
    <t>-567.966772897849 85.1323498145475 -351.798948764953</t>
  </si>
  <si>
    <t>-567.749602444267 65.4071619196968 -471.38753953576</t>
  </si>
  <si>
    <t>-559.626341220145 48.7175267045338 -579.324149279558</t>
  </si>
  <si>
    <t>-543.672587856588 32.8844383902831 -686.513813823845</t>
  </si>
  <si>
    <t>-513.366393699902 11.5124615392999 -834.245991317574</t>
  </si>
  <si>
    <t>-469.298558178869 0.777166842601673 -925.491732675334</t>
  </si>
  <si>
    <t>-527.712973143699 52.3937306170892 -773.617531489719</t>
  </si>
  <si>
    <t>-510.274466668218 198.393537220669 -770.573079272062</t>
  </si>
  <si>
    <t>-456.068675035028 239.530258346096 -461.452122690686</t>
  </si>
  <si>
    <t>-240.909360915598 257.113477651266 -316.402731906126</t>
  </si>
  <si>
    <t>-574.364241749212 199.623696724512 -248.852787895</t>
  </si>
  <si>
    <t>-572.864989359203 236.068888521208 205.37972285231</t>
  </si>
  <si>
    <t>-611.226622818249 245.331061989484 673.671914216225</t>
  </si>
  <si>
    <t>-453.423090078325 265.426102902123 748.756748926816</t>
  </si>
  <si>
    <t>-524.00239744406 17.9718387506107 -219.391829924966</t>
  </si>
  <si>
    <t>-429.356396950049 49.227312680566 225.268577480969</t>
  </si>
  <si>
    <t>-614.843293478183 9.47815849181302 654.665432069847</t>
  </si>
  <si>
    <t>-460.402031818961 -32.7907444263142 727.499127186995</t>
  </si>
  <si>
    <t>9763-20170724T170127.896514000.bin</t>
  </si>
  <si>
    <t>-549.572601696363 108.722938676568 -234.527518871236</t>
  </si>
  <si>
    <t>-568.282165887884 85.21160932866 -351.851808899436</t>
  </si>
  <si>
    <t>-568.037394010992 65.175897651186 -471.3886987143</t>
  </si>
  <si>
    <t>-559.918591163692 48.0935594902601 -579.264249839558</t>
  </si>
  <si>
    <t>-544.003281488373 31.7573309856696 -686.384207152385</t>
  </si>
  <si>
    <t>-513.78943379387 9.57251147960733 -834.015362970461</t>
  </si>
  <si>
    <t>-528.054769012899 50.7894222008133 -773.595258341641</t>
  </si>
  <si>
    <t>-510.578858361074 196.785825098323 -771.257992762953</t>
  </si>
  <si>
    <t>-455.756750927614 239.83343897352 -462.506275265248</t>
  </si>
  <si>
    <t>-241.025268235025 256.183602392077 -316.680823502685</t>
  </si>
  <si>
    <t>-574.593536314196 199.741789924481 -248.926343356514</t>
  </si>
  <si>
    <t>-572.822267604542 236.180508988263 205.30567861421</t>
  </si>
  <si>
    <t>-611.20611637031 245.345393015677 673.660248602621</t>
  </si>
  <si>
    <t>-453.391947194795 265.429354553497 748.725734771077</t>
  </si>
  <si>
    <t>-524.537522744074 18.0992180833534 -219.404037145</t>
  </si>
  <si>
    <t>-429.59781400304 49.2556875220564 225.200812542372</t>
  </si>
  <si>
    <t>-614.865590282976 9.33952463911692 654.63697316414</t>
  </si>
  <si>
    <t>-460.35301549298 -32.6953096857037 727.454909970265</t>
  </si>
  <si>
    <t>9763-20170724T170127.960687500.bin</t>
  </si>
  <si>
    <t>-550.540069757729 109.301221444616 -234.66581053601</t>
  </si>
  <si>
    <t>-569.14444033271 85.8915692873272 -352.027170287546</t>
  </si>
  <si>
    <t>-568.871666174594 65.461718471417 -471.497258534173</t>
  </si>
  <si>
    <t>-560.773007951217 47.8159561596967 -579.283576460871</t>
  </si>
  <si>
    <t>-544.931484664909 30.7060224145587 -686.293730665097</t>
  </si>
  <si>
    <t>-514.883502655111 7.22455093927533 -833.758046743335</t>
  </si>
  <si>
    <t>-529.01695931322 48.9748083719232 -773.673974548005</t>
  </si>
  <si>
    <t>-511.189244990514 194.937819398499 -772.442318970436</t>
  </si>
  <si>
    <t>-456.117864410821 240.447431191681 -464.088203992249</t>
  </si>
  <si>
    <t>-241.262336706259 257.240815661223 -318.495755679608</t>
  </si>
  <si>
    <t>-575.713289445848 200.146667023632 -248.907974473352</t>
  </si>
  <si>
    <t>-572.644674624298 236.375519699951 205.333993676394</t>
  </si>
  <si>
    <t>-611.14148855375 245.200636608127 673.670779392528</t>
  </si>
  <si>
    <t>-453.324383767366 265.572150960165 748.652631052421</t>
  </si>
  <si>
    <t>-525.363296206718 18.6974975734829 -219.757308821854</t>
  </si>
  <si>
    <t>-430.786722891683 49.7028505333594 224.935394781723</t>
  </si>
  <si>
    <t>-614.933288949807 9.05664083521015 654.796588456977</t>
  </si>
  <si>
    <t>-460.336049095602 -32.7809631888231 727.548421980387</t>
  </si>
  <si>
    <t>9763-20170724T170127.996785200.bin</t>
  </si>
  <si>
    <t>-551.148259123737 109.664895007789 -234.666571440781</t>
  </si>
  <si>
    <t>-569.750423683554 86.2299562877788 -352.023175725203</t>
  </si>
  <si>
    <t>-569.504181135922 65.5846520301161 -471.456409727</t>
  </si>
  <si>
    <t>-561.446547272597 47.6675464032855 -579.200948072232</t>
  </si>
  <si>
    <t>-545.666149049297 30.2100229704822 -686.163948817838</t>
  </si>
  <si>
    <t>-515.726781410829 6.16622004003466 -833.559670165248</t>
  </si>
  <si>
    <t>-529.81618484153 48.1452949389573 -773.625064288045</t>
  </si>
  <si>
    <t>-511.966403053261 194.113262924255 -772.842216941361</t>
  </si>
  <si>
    <t>-456.516651718248 239.880924051275 -464.594249170089</t>
  </si>
  <si>
    <t>-241.601598798024 257.880558198503 -319.233949494105</t>
  </si>
  <si>
    <t>-576.341897777571 200.410341917779 -248.88523753783</t>
  </si>
  <si>
    <t>-572.968201296361 236.614963908617 205.356497410471</t>
  </si>
  <si>
    <t>-611.147965296345 245.30540190989 673.661735826459</t>
  </si>
  <si>
    <t>-453.31196960686 265.614266929111 748.620824290926</t>
  </si>
  <si>
    <t>-525.997114023531 18.9943862197952 -219.705877196815</t>
  </si>
  <si>
    <t>-431.167397556776 49.9540696507404 224.936088083708</t>
  </si>
  <si>
    <t>-614.961138684041 8.92417245629758 654.885360075636</t>
  </si>
  <si>
    <t>-460.26076513815 -32.5909780346033 727.602587629682</t>
  </si>
  <si>
    <t>9763-20170724T170128.065472900.bin</t>
  </si>
  <si>
    <t>-552.264516616227 110.384874107264 -234.580814535407</t>
  </si>
  <si>
    <t>-570.841855927863 86.8239106684832 -351.916088382801</t>
  </si>
  <si>
    <t>-570.680700758919 65.9113798347882 -471.302804739457</t>
  </si>
  <si>
    <t>-562.748285222139 47.701546818713 -579.007719858287</t>
  </si>
  <si>
    <t>-547.14265626285 29.9036158107297 -685.940175720018</t>
  </si>
  <si>
    <t>-517.498174548926 5.3405989707328 -833.309985517937</t>
  </si>
  <si>
    <t>-531.4956701613 47.5289743386572 -773.500750164006</t>
  </si>
  <si>
    <t>-513.753341746463 193.502358274581 -773.256642509987</t>
  </si>
  <si>
    <t>-457.226380652411 240.555549757926 -465.398056747239</t>
  </si>
  <si>
    <t>-242.333784170889 259.78827737408 -320.162742766375</t>
  </si>
  <si>
    <t>-577.608779338606 201.308896014035 -248.936091758156</t>
  </si>
  <si>
    <t>-574.110363943046 237.097887524315 205.337456245809</t>
  </si>
  <si>
    <t>-611.242601881624 245.689530500458 673.693510851118</t>
  </si>
  <si>
    <t>-453.359835985696 265.894596043175 748.582076499112</t>
  </si>
  <si>
    <t>-526.836521526546 19.4971056979259 -219.564010655921</t>
  </si>
  <si>
    <t>-431.738969282862 50.68483125072 225.004748354852</t>
  </si>
  <si>
    <t>-614.993267831192 8.69524746679849 655.013213930653</t>
  </si>
  <si>
    <t>-460.169624006863 -32.4546648254413 727.675699160622</t>
  </si>
  <si>
    <t>9763-20170724T170128.098063200.bin</t>
  </si>
  <si>
    <t>-552.721508874587 110.866136862411 -234.637196633581</t>
  </si>
  <si>
    <t>-571.284749165925 87.2167665806946 -351.956998458697</t>
  </si>
  <si>
    <t>-571.190169395333 66.2123197125525 -471.327659603882</t>
  </si>
  <si>
    <t>-563.35015297748 47.9207085843666 -579.025394785891</t>
  </si>
  <si>
    <t>-547.868322583753 30.0437014903378 -685.962712882747</t>
  </si>
  <si>
    <t>-518.427361001948 5.37539042065509 -833.355829631432</t>
  </si>
  <si>
    <t>-532.358084804681 47.6055147863826 -773.560576395945</t>
  </si>
  <si>
    <t>-514.764160486469 193.598991245542 -773.444706738756</t>
  </si>
  <si>
    <t>-457.549674786912 241.27426154074 -465.808969387225</t>
  </si>
  <si>
    <t>-243.343184297722 256.529164838799 -319.095141021864</t>
  </si>
  <si>
    <t>-578.152274532211 201.893545550669 -249.048422824203</t>
  </si>
  <si>
    <t>-574.566344003296 237.506449507334 205.238400713849</t>
  </si>
  <si>
    <t>-611.267312946803 245.926395503719 673.660642979706</t>
  </si>
  <si>
    <t>-453.359416292554 265.930021957345 748.55033863034</t>
  </si>
  <si>
    <t>-527.207699394691 19.9427065307166 -219.546157511031</t>
  </si>
  <si>
    <t>-432.019861317616 51.2037184576313 224.998230802681</t>
  </si>
  <si>
    <t>-614.991431324833 8.67732960854369 655.045262638463</t>
  </si>
  <si>
    <t>-460.27445911409 -32.861954449409 727.713420703347</t>
  </si>
  <si>
    <t>9763-20170724T170128.162240500.bin</t>
  </si>
  <si>
    <t>-553.670033595857 112.286174006577 -234.720824806799</t>
  </si>
  <si>
    <t>-572.27004707351 88.542271903922 -352.015530071436</t>
  </si>
  <si>
    <t>-572.308901693952 67.4884807140725 -471.377758280268</t>
  </si>
  <si>
    <t>-564.626004600426 49.1709203024666 -579.082321047331</t>
  </si>
  <si>
    <t>-549.335696706873 31.2863264763021 -686.045872758623</t>
  </si>
  <si>
    <t>-520.19454074378 6.62666150466657 -833.499956242021</t>
  </si>
  <si>
    <t>-534.027380310028 48.8518859939904 -773.678435867071</t>
  </si>
  <si>
    <t>-516.492905726873 194.855382610525 -773.647115582326</t>
  </si>
  <si>
    <t>-457.965518634054 244.228995552739 -466.526592967469</t>
  </si>
  <si>
    <t>-246.034767550304 244.603658211209 -315.770894735071</t>
  </si>
  <si>
    <t>-579.249494260902 203.36160219093 -249.231514928809</t>
  </si>
  <si>
    <t>-575.08057261648 238.53539098551 205.08457192369</t>
  </si>
  <si>
    <t>-611.303997677964 246.443231731561 673.568752157514</t>
  </si>
  <si>
    <t>-453.381318345609 266.131412036088 748.510772211975</t>
  </si>
  <si>
    <t>-528.097887468959 21.4249893633848 -219.586792644252</t>
  </si>
  <si>
    <t>-432.433623720153 52.1563074847843 224.892238775257</t>
  </si>
  <si>
    <t>-614.997184487493 8.85612709175825 655.106022840631</t>
  </si>
  <si>
    <t>-460.399818401735 -33.1184151382074 727.778608089718</t>
  </si>
  <si>
    <t>9763-20170724T170128.195323400.bin</t>
  </si>
  <si>
    <t>-554.13338553604 112.873994405342 -234.807076749795</t>
  </si>
  <si>
    <t>-572.807775504071 89.1238701198793 -352.088768000988</t>
  </si>
  <si>
    <t>-573.000427971237 68.0892103502747 -471.454153128581</t>
  </si>
  <si>
    <t>-565.48654318543 49.7980894114235 -579.175081697757</t>
  </si>
  <si>
    <t>-550.39352495497 31.9488044804739 -686.172677007454</t>
  </si>
  <si>
    <t>-521.554508206531 7.34644289035737 -833.695675660449</t>
  </si>
  <si>
    <t>-535.254169677399 49.548950647526 -773.827549111688</t>
  </si>
  <si>
    <t>-517.707575210067 195.561922527991 -773.713556087428</t>
  </si>
  <si>
    <t>-458.361435576307 245.042156863932 -466.76744189697</t>
  </si>
  <si>
    <t>-246.444605010719 243.517797566195 -315.999475200711</t>
  </si>
  <si>
    <t>-579.715186213301 203.940554175594 -249.273483391214</t>
  </si>
  <si>
    <t>-575.275711970647 238.899671510202 205.056595279542</t>
  </si>
  <si>
    <t>-611.283322443851 246.528704286343 673.552442121956</t>
  </si>
  <si>
    <t>-453.372935787586 266.271501092421 748.506143063087</t>
  </si>
  <si>
    <t>-528.539347347946 21.8390198786126 -219.664068803596</t>
  </si>
  <si>
    <t>-432.725167630137 52.4989022756433 224.787581667465</t>
  </si>
  <si>
    <t>-615.012120860327 8.75121575296794 655.141438060868</t>
  </si>
  <si>
    <t>-460.320153143117 -32.9224973700575 727.785852250685</t>
  </si>
  <si>
    <t>9763-20170724T170128.260499000.bin</t>
  </si>
  <si>
    <t>-555.154904037527 113.800071108842 -234.966021008585</t>
  </si>
  <si>
    <t>-573.973091602938 90.1258575759248 -352.240142242556</t>
  </si>
  <si>
    <t>-574.48480875239 69.2574768034167 -471.633625870309</t>
  </si>
  <si>
    <t>-567.325009513854 51.1551827709393 -579.410692240384</t>
  </si>
  <si>
    <t>-552.647617935469 33.5341091789496 -686.503800557906</t>
  </si>
  <si>
    <t>-524.445767738495 9.29166530668817 -834.20942217804</t>
  </si>
  <si>
    <t>-537.836430593806 51.3511104289105 -774.171071108249</t>
  </si>
  <si>
    <t>-519.932698810309 197.312100177243 -773.6718104876</t>
  </si>
  <si>
    <t>-459.261572771747 245.11634307003 -466.719228385477</t>
  </si>
  <si>
    <t>-246.88323666218 245.708185054169 -316.595377504075</t>
  </si>
  <si>
    <t>-580.50193984013 205.047055262626 -249.360486111661</t>
  </si>
  <si>
    <t>-575.734576203418 239.455988447243 205.008281937968</t>
  </si>
  <si>
    <t>-611.288769612024 246.850700766687 673.500389509246</t>
  </si>
  <si>
    <t>-453.389897524777 266.526631557629 748.495788203581</t>
  </si>
  <si>
    <t>-529.764152852084 22.5966265009938 -219.876125364666</t>
  </si>
  <si>
    <t>-433.600027657362 52.7694414563136 224.533218306662</t>
  </si>
  <si>
    <t>-615.078590852846 8.51315660302657 655.261627631429</t>
  </si>
  <si>
    <t>-460.272334952701 -32.8991024664285 727.811960090449</t>
  </si>
  <si>
    <t>9763-20170724T170128.300638100.bin</t>
  </si>
  <si>
    <t>-555.697850149275 114.241765773009 -235.014646105819</t>
  </si>
  <si>
    <t>-574.643789302983 90.6365851639009 -352.282078831555</t>
  </si>
  <si>
    <t>-575.36558449657 69.8897732676985 -471.695625808039</t>
  </si>
  <si>
    <t>-568.425999758753 51.920789161411 -579.509426777631</t>
  </si>
  <si>
    <t>-553.996686645282 34.4584583663261 -686.662131351376</t>
  </si>
  <si>
    <t>-526.166202977299 10.4642733675184 -834.478741869733</t>
  </si>
  <si>
    <t>-539.372246422972 52.4246812201297 -774.330306938989</t>
  </si>
  <si>
    <t>-521.192120515248 198.35605132477 -773.456332294088</t>
  </si>
  <si>
    <t>-459.660461711265 244.748729996943 -466.45830707391</t>
  </si>
  <si>
    <t>-246.951683796427 248.841960080739 -316.858013680084</t>
  </si>
  <si>
    <t>-580.826070469605 205.668812391234 -249.388041791927</t>
  </si>
  <si>
    <t>-575.954346469479 239.777775425168 205.002241030185</t>
  </si>
  <si>
    <t>-611.3167801242 247.010281208345 673.508193952099</t>
  </si>
  <si>
    <t>-453.389264681704 266.440676116001 748.507322037724</t>
  </si>
  <si>
    <t>-530.502381730131 22.8430584410701 -219.944194018715</t>
  </si>
  <si>
    <t>-433.997582851875 52.8879648341795 224.400164866891</t>
  </si>
  <si>
    <t>-615.113880310908 8.56769967597415 655.300107916768</t>
  </si>
  <si>
    <t>-460.315168146171 -32.9457795739295 727.808769765503</t>
  </si>
  <si>
    <t>9763-20170724T170128.364811600.bin</t>
  </si>
  <si>
    <t>-556.830955117094 114.797967230483 -235.074524069348</t>
  </si>
  <si>
    <t>-576.036188913164 91.3391059357675 -352.329137505369</t>
  </si>
  <si>
    <t>-577.093128223169 70.9948790031267 -471.809467514125</t>
  </si>
  <si>
    <t>-570.477753213015 53.4994044278549 -579.721488493896</t>
  </si>
  <si>
    <t>-556.387356164835 36.6242670312429 -687.013405903269</t>
  </si>
  <si>
    <t>-529.037028466298 13.5678821427841 -835.068643096734</t>
  </si>
  <si>
    <t>-485.697951475738 2.66415845321603 -926.642798897971</t>
  </si>
  <si>
    <t>-542.037180521201 55.1465396764058 -774.611041901725</t>
  </si>
  <si>
    <t>-522.99872345206 200.953377211818 -772.720225719177</t>
  </si>
  <si>
    <t>-459.014216906194 245.233445099067 -465.911750022861</t>
  </si>
  <si>
    <t>-246.187983286197 251.360358181177 -316.547990523695</t>
  </si>
  <si>
    <t>-581.532423715265 206.683167467246 -249.391665957379</t>
  </si>
  <si>
    <t>-576.236220813774 240.153266044975 205.041472019723</t>
  </si>
  <si>
    <t>-611.332903976955 247.059493684243 673.56818073819</t>
  </si>
  <si>
    <t>-453.368633415101 266.346166423385 748.526903314004</t>
  </si>
  <si>
    <t>-532.038002289146 22.9907140530847 -220.09610568582</t>
  </si>
  <si>
    <t>-434.932118484907 53.0213667738553 224.11806235751</t>
  </si>
  <si>
    <t>-615.210783125714 8.30727502851278 655.405656782542</t>
  </si>
  <si>
    <t>-460.21506104306 -32.6774416324463 727.794101079173</t>
  </si>
  <si>
    <t>9763-20170724T170128.431580300.bin</t>
  </si>
  <si>
    <t>-557.900251067844 115.039643616725 -234.980503319248</t>
  </si>
  <si>
    <t>-577.352632010444 91.6342259389246 -352.205059802512</t>
  </si>
  <si>
    <t>-578.727580565406 71.6841607613042 -471.748656152227</t>
  </si>
  <si>
    <t>-572.416218986782 54.6861528599877 -579.758354980127</t>
  </si>
  <si>
    <t>-558.638674973307 38.4516939290036 -687.189624540757</t>
  </si>
  <si>
    <t>-531.725465894726 16.4362760419644 -835.483234431767</t>
  </si>
  <si>
    <t>-488.573313977795 6.13648718363584 -927.215273908676</t>
  </si>
  <si>
    <t>-544.503098802047 57.5914914142211 -774.689272523887</t>
  </si>
  <si>
    <t>-524.713962017536 203.274896829378 -771.6379826328</t>
  </si>
  <si>
    <t>-457.658213387937 245.58189751176 -465.207183104847</t>
  </si>
  <si>
    <t>-244.422198566113 253.685394335482 -316.523498722308</t>
  </si>
  <si>
    <t>-582.226485409578 207.12792788414 -249.246071290589</t>
  </si>
  <si>
    <t>-576.654477816855 240.087941432788 205.2209157021</t>
  </si>
  <si>
    <t>-611.27130475471 246.533823952579 673.777924719479</t>
  </si>
  <si>
    <t>-453.277565561131 266.372909667578 748.530170095797</t>
  </si>
  <si>
    <t>-533.520160739938 22.9797292112228 -219.980696301466</t>
  </si>
  <si>
    <t>-435.659049413006 52.8937319859747 224.075591718898</t>
  </si>
  <si>
    <t>-615.401219119051 8.25211324003772 655.639540126574</t>
  </si>
  <si>
    <t>-460.302729360371 -32.7148571201285 727.817634443762</t>
  </si>
  <si>
    <t>9763-20170724T170128.465201700.bin</t>
  </si>
  <si>
    <t>-558.281869876355 115.124981635857 -234.875844405646</t>
  </si>
  <si>
    <t>-577.821685552252 91.7073322369422 -352.083423900144</t>
  </si>
  <si>
    <t>-579.318971613269 71.9615978825075 -471.659500741621</t>
  </si>
  <si>
    <t>-573.125384406795 55.2388137436237 -579.718842806366</t>
  </si>
  <si>
    <t>-559.468562470251 39.3716951097167 -687.220350726512</t>
  </si>
  <si>
    <t>-532.72191793164 17.9640062302533 -835.633183850573</t>
  </si>
  <si>
    <t>-489.642794839026 8.01926135554595 -927.438782925845</t>
  </si>
  <si>
    <t>-545.419888733331 58.870409456822 -774.654981184435</t>
  </si>
  <si>
    <t>-525.374596716735 204.499666899495 -770.91940821745</t>
  </si>
  <si>
    <t>-456.801456693682 245.491955714484 -464.645767080851</t>
  </si>
  <si>
    <t>-243.737086713403 253.265281329637 -315.698775230537</t>
  </si>
  <si>
    <t>-582.440142737395 207.427117827398 -249.211087830201</t>
  </si>
  <si>
    <t>-576.860656416625 240.075099908194 205.278466767833</t>
  </si>
  <si>
    <t>-611.251695699981 246.426489681038 673.83308496418</t>
  </si>
  <si>
    <t>-453.239200610141 266.323014110893 748.530320588452</t>
  </si>
  <si>
    <t>-534.039384528078 22.902012221889 -219.854236303058</t>
  </si>
  <si>
    <t>-435.646182546572 52.3992253759689 224.112444525054</t>
  </si>
  <si>
    <t>-615.507169944113 8.02361015686961 655.760478881829</t>
  </si>
  <si>
    <t>-460.311601142411 -32.6870059786143 727.874911136069</t>
  </si>
  <si>
    <t>9763-20170724T170128.499825800.bin</t>
  </si>
  <si>
    <t>-558.590684616192 115.141179504418 -234.76978123161</t>
  </si>
  <si>
    <t>-578.259775050413 91.7313456068014 -351.957272969816</t>
  </si>
  <si>
    <t>-579.885346167696 72.2126475480961 -471.568864757072</t>
  </si>
  <si>
    <t>-573.800275977124 55.7852709379069 -579.679765894312</t>
  </si>
  <si>
    <t>-560.240318479541 40.3047944177217 -687.250006852228</t>
  </si>
  <si>
    <t>-533.612447527905 19.5302884621242 -835.773846950239</t>
  </si>
  <si>
    <t>-490.582340524254 9.96798802013677 -927.643150745969</t>
  </si>
  <si>
    <t>-546.251046478297 60.1769469675148 -774.60981674</t>
  </si>
  <si>
    <t>-525.880468766363 205.745629648954 -770.159352662975</t>
  </si>
  <si>
    <t>-456.103596914285 245.082745534346 -463.940515281738</t>
  </si>
  <si>
    <t>-243.078139031034 251.851908003228 -314.888965242784</t>
  </si>
  <si>
    <t>-582.550465208882 207.729138979169 -249.161334906813</t>
  </si>
  <si>
    <t>-577.030157277711 240.121803640904 205.347027971801</t>
  </si>
  <si>
    <t>-611.229429955966 246.428443051689 673.851792970606</t>
  </si>
  <si>
    <t>-453.213741217001 266.31344271468 748.545424093479</t>
  </si>
  <si>
    <t>-534.637850898107 22.6143917277093 -219.69575238606</t>
  </si>
  <si>
    <t>-435.466854147155 51.7993127529371 224.11844100408</t>
  </si>
  <si>
    <t>-615.592720778967 7.76788260612443 655.80598364511</t>
  </si>
  <si>
    <t>-460.366879691767 -32.8807935720829 727.890191078011</t>
  </si>
  <si>
    <t>9763-20170724T170128.566015200.bin</t>
  </si>
  <si>
    <t>-558.844102088981 115.50904658968 -234.845903324891</t>
  </si>
  <si>
    <t>-578.771870484026 92.1978394846064 -352.009414187082</t>
  </si>
  <si>
    <t>-580.597308790204 73.201194211653 -471.702274535627</t>
  </si>
  <si>
    <t>-574.656580411288 57.4219051497228 -579.917544026493</t>
  </si>
  <si>
    <t>-561.197512637591 42.767778681638 -687.616106254079</t>
  </si>
  <si>
    <t>-534.658107716684 23.3302576710225 -836.336759887694</t>
  </si>
  <si>
    <t>-491.629919388725 14.6380237742712 -928.293214709357</t>
  </si>
  <si>
    <t>-547.316747086282 63.4220872965968 -774.811856870958</t>
  </si>
  <si>
    <t>-526.360880751219 208.851853272206 -768.986443021902</t>
  </si>
  <si>
    <t>-454.912613524476 246.272930515347 -462.91302197672</t>
  </si>
  <si>
    <t>-241.239766454464 249.85664444888 -314.679558238585</t>
  </si>
  <si>
    <t>-545.485166043555 0.439521401086949 -766.253150277928</t>
  </si>
  <si>
    <t>-582.471048543285 208.498309140216 -249.150264692591</t>
  </si>
  <si>
    <t>-576.787674345115 240.324406903003 205.39616577812</t>
  </si>
  <si>
    <t>-611.208189491933 246.317531965981 673.923080895435</t>
  </si>
  <si>
    <t>-453.181668659273 266.256050689116 748.579432191869</t>
  </si>
  <si>
    <t>-535.134404572091 22.7633628503452 -219.861888949802</t>
  </si>
  <si>
    <t>-435.647625601986 51.4251172480481 223.915738085006</t>
  </si>
  <si>
    <t>-615.729253394939 7.34214379194123 655.613928410966</t>
  </si>
  <si>
    <t>-460.604311429886 -33.7942577759263 727.638697638426</t>
  </si>
  <si>
    <t>9763-20170724T170128.595096600.bin</t>
  </si>
  <si>
    <t>-558.990157595828 115.90863251112 -234.923069075038</t>
  </si>
  <si>
    <t>-579.001917271153 92.7059554142372 -352.093930853063</t>
  </si>
  <si>
    <t>-580.901935092897 73.9494590181387 -471.823281047506</t>
  </si>
  <si>
    <t>-575.021057912314 58.4420230388407 -580.081216244119</t>
  </si>
  <si>
    <t>-561.611873589433 44.1156565211068 -687.830144161988</t>
  </si>
  <si>
    <t>-535.129757839697 25.1918235236608 -836.627191872053</t>
  </si>
  <si>
    <t>-492.09386573946 16.8614054643199 -928.613641583401</t>
  </si>
  <si>
    <t>-547.809021523555 65.0685283945777 -774.966926673613</t>
  </si>
  <si>
    <t>-526.814237577637 210.496742472541 -768.718621833255</t>
  </si>
  <si>
    <t>-454.315372517849 247.356161107472 -462.82410311324</t>
  </si>
  <si>
    <t>-240.068468308475 249.1764617484 -315.389195658953</t>
  </si>
  <si>
    <t>-545.885562320038 2.06147416115664 -766.611331998679</t>
  </si>
  <si>
    <t>-582.539594988545 208.913490239701 -249.114752866028</t>
  </si>
  <si>
    <t>-576.477004106223 240.49263764407 205.44400442235</t>
  </si>
  <si>
    <t>-611.180295765052 246.184356507279 673.952863359578</t>
  </si>
  <si>
    <t>-453.143946797253 266.122243313312 748.588663772221</t>
  </si>
  <si>
    <t>-535.434790480502 23.2336503076065 -220.028551127387</t>
  </si>
  <si>
    <t>-435.859982592045 51.4989186119103 223.754701609627</t>
  </si>
  <si>
    <t>-615.791222574195 7.24333878328252 655.528458301706</t>
  </si>
  <si>
    <t>-460.673459148055 -33.9836868786003 727.516806545289</t>
  </si>
  <si>
    <t>9763-20170724T170128.663286000.bin</t>
  </si>
  <si>
    <t>-559.432431991781 117.433389661001 -235.204716921729</t>
  </si>
  <si>
    <t>-579.503882229996 94.522647147435 -352.422650049312</t>
  </si>
  <si>
    <t>-581.463324007682 76.2150502505078 -472.220629037063</t>
  </si>
  <si>
    <t>-575.631378903189 61.1750243396091 -580.547278436134</t>
  </si>
  <si>
    <t>-562.263800034879 47.3757119029606 -688.369931499966</t>
  </si>
  <si>
    <t>-535.829240454512 29.2454334090892 -837.274248684821</t>
  </si>
  <si>
    <t>-492.760971773178 21.4920973386688 -929.296077449533</t>
  </si>
  <si>
    <t>-548.572362073591 68.7884210119391 -775.412514024742</t>
  </si>
  <si>
    <t>-527.721683166669 214.161904928055 -768.348143172984</t>
  </si>
  <si>
    <t>-453.59848980381 249.148037125004 -462.622876056292</t>
  </si>
  <si>
    <t>-238.017997029925 249.845470723484 -317.135418880446</t>
  </si>
  <si>
    <t>-546.479034990429 5.74680473147441 -767.364898311677</t>
  </si>
  <si>
    <t>-582.908031192104 210.150331519792 -249.05705358409</t>
  </si>
  <si>
    <t>-576.171763185176 241.138484471868 205.532911016634</t>
  </si>
  <si>
    <t>-611.128727902412 245.886119431236 674.009345073018</t>
  </si>
  <si>
    <t>-453.121014239184 266.30403136039 748.575925736001</t>
  </si>
  <si>
    <t>-535.932069460254 25.0202119674391 -220.649261306883</t>
  </si>
  <si>
    <t>-436.760983078039 51.9047919583122 223.31015541447</t>
  </si>
  <si>
    <t>-615.843386238734 7.05769419395142 655.443558970216</t>
  </si>
  <si>
    <t>-460.781392398121 -34.3736707505386 727.434781790367</t>
  </si>
  <si>
    <t>9763-20170724T170128.696908400.bin</t>
  </si>
  <si>
    <t>-559.702391079908 118.442890171773 -235.332701225923</t>
  </si>
  <si>
    <t>-579.745089602101 95.6912592585149 -352.586557289183</t>
  </si>
  <si>
    <t>-581.681023429687 77.60801565376 -472.419058509377</t>
  </si>
  <si>
    <t>-575.828801760407 62.796931262799 -580.775952896476</t>
  </si>
  <si>
    <t>-562.441026032888 49.2528261567284 -688.628511920324</t>
  </si>
  <si>
    <t>-535.977694511488 31.5046444133452 -837.573829763425</t>
  </si>
  <si>
    <t>-492.891589822363 24.0101553039003 -929.608587664468</t>
  </si>
  <si>
    <t>-548.780549587062 70.8861649460257 -775.621272376733</t>
  </si>
  <si>
    <t>-527.991807727823 216.274349821077 -768.215676914352</t>
  </si>
  <si>
    <t>-453.082747455453 250.190661312623 -462.561396512521</t>
  </si>
  <si>
    <t>-237.223471114673 250.321812222274 -317.486127724424</t>
  </si>
  <si>
    <t>-546.593179802919 7.82929020823303 -767.718911306251</t>
  </si>
  <si>
    <t>-583.150101687585 211.093486355262 -249.068442820726</t>
  </si>
  <si>
    <t>-576.379079605721 241.723197397702 205.545307838229</t>
  </si>
  <si>
    <t>-611.155921262073 245.962468559072 674.013433216981</t>
  </si>
  <si>
    <t>-453.138563082004 266.347922293503 748.568594771384</t>
  </si>
  <si>
    <t>-536.194480432813 25.9339423199083 -220.889716236646</t>
  </si>
  <si>
    <t>-437.120837247339 52.3322110131062 223.12071531185</t>
  </si>
  <si>
    <t>-615.846904851691 6.98238864623568 655.402940159898</t>
  </si>
  <si>
    <t>-460.688570134418 -34.0794795627617 727.398186817707</t>
  </si>
  <si>
    <t>9763-20170724T170128.764096100.bin</t>
  </si>
  <si>
    <t>-560.171705316712 120.52936209794 -235.456368760565</t>
  </si>
  <si>
    <t>-580.048273566 97.9208322378931 -352.766135351716</t>
  </si>
  <si>
    <t>-581.836965004974 80.1176057972207 -472.642751067233</t>
  </si>
  <si>
    <t>-575.856734768727 65.6133492227793 -581.034212249027</t>
  </si>
  <si>
    <t>-562.344231586774 52.4286196398368 -688.915786259043</t>
  </si>
  <si>
    <t>-535.709628338313 35.233191598624 -837.895366617974</t>
  </si>
  <si>
    <t>-492.548401759491 28.0965477079244 -929.923402443535</t>
  </si>
  <si>
    <t>-548.61839272386 74.3826550315132 -775.81798227671</t>
  </si>
  <si>
    <t>-527.671925847687 219.719622338667 -767.861212234963</t>
  </si>
  <si>
    <t>-451.333633795132 253.164397108 -462.508906241742</t>
  </si>
  <si>
    <t>-234.713583431726 251.743639462537 -318.579146485356</t>
  </si>
  <si>
    <t>-546.370808735742 11.3006255188802 -768.135082343738</t>
  </si>
  <si>
    <t>-583.560924856646 213.210775632165 -249.151593276882</t>
  </si>
  <si>
    <t>-577.178100408463 243.001072595805 205.523521407491</t>
  </si>
  <si>
    <t>-611.235809480367 246.313834315648 673.973329463193</t>
  </si>
  <si>
    <t>-453.196879694153 266.350163648696 748.57734356358</t>
  </si>
  <si>
    <t>-536.689691862758 27.97187221482 -221.082525456795</t>
  </si>
  <si>
    <t>-437.45045100769 53.4060888488671 222.947181600322</t>
  </si>
  <si>
    <t>-615.837680173396 6.9227510754265 655.271079519917</t>
  </si>
  <si>
    <t>-460.49137981117 -33.3858490516641 727.286809193642</t>
  </si>
  <si>
    <t>9763-20170724T170128.795709600.bin</t>
  </si>
  <si>
    <t>-560.324842576688 121.767437863422 -235.58888352637</t>
  </si>
  <si>
    <t>-580.146414236242 99.2083143029561 -352.917417139742</t>
  </si>
  <si>
    <t>-581.885926353976 81.4592320620939 -472.802815596423</t>
  </si>
  <si>
    <t>-575.863605743893 67.0047676999068 -581.198673594131</t>
  </si>
  <si>
    <t>-562.311531061027 53.8694983228049 -689.081371589258</t>
  </si>
  <si>
    <t>-535.624533459664 36.7418735441572 -838.05930635523</t>
  </si>
  <si>
    <t>-492.441559932819 29.6628943353755 -930.081690200946</t>
  </si>
  <si>
    <t>-548.549568556917 75.8632479037199 -775.967716555899</t>
  </si>
  <si>
    <t>-527.475304880356 221.179575708859 -767.939644601381</t>
  </si>
  <si>
    <t>-450.334562276709 254.580621101477 -462.784142499364</t>
  </si>
  <si>
    <t>-233.330595831847 252.69623212418 -319.439161405817</t>
  </si>
  <si>
    <t>-546.315884314673 12.7772043717175 -768.314656048869</t>
  </si>
  <si>
    <t>-583.736814392631 214.474744965904 -249.259386727947</t>
  </si>
  <si>
    <t>-577.610290435232 243.724433470518 205.454375632024</t>
  </si>
  <si>
    <t>-611.239424024551 246.451249658707 673.934141710377</t>
  </si>
  <si>
    <t>-453.209409926485 266.401999646513 748.579877860864</t>
  </si>
  <si>
    <t>-536.806668164958 29.1789300210219 -221.214324747688</t>
  </si>
  <si>
    <t>-437.498360599303 54.0054076717029 222.834341888424</t>
  </si>
  <si>
    <t>-615.770530997561 6.74232816847734 655.177714197282</t>
  </si>
  <si>
    <t>-460.703241483636 -34.4655138468615 727.285682625421</t>
  </si>
  <si>
    <t>9763-20170724T170128.860862300.bin</t>
  </si>
  <si>
    <t>-560.400815172974 124.391555069281 -235.785238434386</t>
  </si>
  <si>
    <t>-580.115297790663 101.950439267548 -353.154544467852</t>
  </si>
  <si>
    <t>-581.773960971311 84.2598845383018 -473.049694924546</t>
  </si>
  <si>
    <t>-575.691496597956 69.8321119120317 -581.445740294193</t>
  </si>
  <si>
    <t>-562.09328548834 56.6968254659721 -689.322474761857</t>
  </si>
  <si>
    <t>-535.357571997452 39.5406673816208 -838.28846401796</t>
  </si>
  <si>
    <t>-492.112586927358 32.4397519747843 -930.279979001414</t>
  </si>
  <si>
    <t>-548.280309424776 78.6752089746635 -776.204606815657</t>
  </si>
  <si>
    <t>-526.906456559201 223.94928850501 -768.169966144428</t>
  </si>
  <si>
    <t>-448.448968663194 256.42175766627 -463.250034465163</t>
  </si>
  <si>
    <t>-231.141475193639 253.77170858297 -320.377750766515</t>
  </si>
  <si>
    <t>-546.09431181663 15.5882063965867 -768.546679896897</t>
  </si>
  <si>
    <t>-583.902387947469 217.364909616495 -249.452935412824</t>
  </si>
  <si>
    <t>-578.223635781806 245.414584768488 205.342300342391</t>
  </si>
  <si>
    <t>-611.325928389998 246.94394652592 673.859853649568</t>
  </si>
  <si>
    <t>-453.308613987485 266.663234079475 748.594032259465</t>
  </si>
  <si>
    <t>-536.764512054374 31.5041677380566 -221.468479456235</t>
  </si>
  <si>
    <t>-437.487726069705 55.6407465758423 222.625315881559</t>
  </si>
  <si>
    <t>-615.625126525201 6.7438647054089 654.927149218777</t>
  </si>
  <si>
    <t>-460.574105036124 -34.2511390078566 727.191288281109</t>
  </si>
  <si>
    <t>9763-20170724T170128.896989300.bin</t>
  </si>
  <si>
    <t>-560.41575699157 125.877555793786 -235.898639011933</t>
  </si>
  <si>
    <t>-580.093221402026 103.449853359283 -353.276591419811</t>
  </si>
  <si>
    <t>-581.708657570877 85.7429600230769 -473.170043307331</t>
  </si>
  <si>
    <t>-575.585477746409 71.2871438928851 -581.560106808213</t>
  </si>
  <si>
    <t>-561.945549920743 58.1096225382335 -689.426393790898</t>
  </si>
  <si>
    <t>-535.151507215929 40.8794231730058 -838.373431261357</t>
  </si>
  <si>
    <t>-491.881129430258 33.7236248945694 -930.348732347771</t>
  </si>
  <si>
    <t>-548.079450279014 80.0459822503401 -776.310822394509</t>
  </si>
  <si>
    <t>-526.548532981847 225.292123655647 -768.292961666067</t>
  </si>
  <si>
    <t>-447.363517850335 257.568987708921 -463.540293829915</t>
  </si>
  <si>
    <t>-230.232745166498 253.908689505285 -320.4218894578</t>
  </si>
  <si>
    <t>-545.934667226758 16.9606153313371 -768.62718121645</t>
  </si>
  <si>
    <t>-583.955374178595 218.974039046935 -249.571738992951</t>
  </si>
  <si>
    <t>-578.528306047788 246.38815820526 205.265278455461</t>
  </si>
  <si>
    <t>-611.381522763839 247.30425816349 673.788656600157</t>
  </si>
  <si>
    <t>-453.358427496101 266.697607111525 748.595789013486</t>
  </si>
  <si>
    <t>-536.789079297415 32.8556694728638 -221.527432918492</t>
  </si>
  <si>
    <t>-437.380505477548 56.5374134285598 222.561253738314</t>
  </si>
  <si>
    <t>-615.546191869202 6.71256942654668 654.761310098937</t>
  </si>
  <si>
    <t>-460.568820188813 -34.4034822540821 727.114648900868</t>
  </si>
  <si>
    <t>9763-20170724T170128.983231000.bin</t>
  </si>
  <si>
    <t>-560.657916826166 129.072401665373 -236.036286577605</t>
  </si>
  <si>
    <t>-580.182857015083 106.632622059975 -353.437539812638</t>
  </si>
  <si>
    <t>-581.698131088857 88.8433926474268 -473.319896947379</t>
  </si>
  <si>
    <t>-575.50735229029 74.2798977858831 -581.691733218241</t>
  </si>
  <si>
    <t>-561.823712727553 60.9588940958047 -689.534907536573</t>
  </si>
  <si>
    <t>-534.99456097793 43.4893775697706 -838.447761703866</t>
  </si>
  <si>
    <t>-491.683709346586 36.1013808929595 -930.385575296474</t>
  </si>
  <si>
    <t>-547.851714346818 82.7601930271408 -776.436233829462</t>
  </si>
  <si>
    <t>-525.798558051837 227.922923213093 -768.570450622671</t>
  </si>
  <si>
    <t>-445.288461957819 259.947526206528 -464.138698453425</t>
  </si>
  <si>
    <t>-228.354105004086 255.138431406256 -320.75666304072</t>
  </si>
  <si>
    <t>-545.879511726927 19.6780202660063 -768.680540232876</t>
  </si>
  <si>
    <t>-584.11118624052 222.245739596 -249.809764531676</t>
  </si>
  <si>
    <t>-579.338492553828 248.412064168968 205.108131650735</t>
  </si>
  <si>
    <t>-611.467492894688 247.873514662836 673.659721530694</t>
  </si>
  <si>
    <t>-453.441601211575 266.732214812756 748.597583187616</t>
  </si>
  <si>
    <t>-537.191372264863 36.0170379066662 -221.668136817397</t>
  </si>
  <si>
    <t>-437.005889739177 58.5527682470743 222.305673886447</t>
  </si>
  <si>
    <t>-615.338954216679 7.09101578282161 654.173235984751</t>
  </si>
  <si>
    <t>-460.6100645162 -34.5575946729093 726.753343190574</t>
  </si>
  <si>
    <t>9763-20170724T170128.997268300.bin</t>
  </si>
  <si>
    <t>-560.814920148188 130.568965173629 -236.238327440452</t>
  </si>
  <si>
    <t>-580.265115740576 108.15845596882 -353.657507640444</t>
  </si>
  <si>
    <t>-581.724685835309 90.3252414304686 -473.534139653736</t>
  </si>
  <si>
    <t>-575.49309931128 75.6889019948078 -581.893771978515</t>
  </si>
  <si>
    <t>-561.779397864178 62.2601803645064 -689.719727912736</t>
  </si>
  <si>
    <t>-534.920728720564 44.6029761362447 -838.605084112995</t>
  </si>
  <si>
    <t>-491.581732390162 37.0397059909978 -930.515532650876</t>
  </si>
  <si>
    <t>-547.735976517091 83.9547684452766 -776.636339679865</t>
  </si>
  <si>
    <t>-525.437578724293 229.100715712446 -768.841028501737</t>
  </si>
  <si>
    <t>-444.099582939287 260.962311943171 -464.612243793287</t>
  </si>
  <si>
    <t>-227.289294159571 255.421537009611 -321.068969046409</t>
  </si>
  <si>
    <t>-545.873736416445 20.8767167092312 -768.819601360128</t>
  </si>
  <si>
    <t>-309.612695655467 0.51522029063085 -392.810112882035</t>
  </si>
  <si>
    <t>-584.24542819501 223.85180499121 -249.964263281833</t>
  </si>
  <si>
    <t>-579.860825988376 249.309002114511 204.997639618311</t>
  </si>
  <si>
    <t>-611.484015689306 248.062836624708 673.577450624416</t>
  </si>
  <si>
    <t>-453.479403811945 266.848350351591 748.578587528369</t>
  </si>
  <si>
    <t>-537.344054732309 37.3963505192121 -221.902898844729</t>
  </si>
  <si>
    <t>-436.990894411349 59.2733001813156 222.065862425922</t>
  </si>
  <si>
    <t>-615.255685632611 6.79232391531673 653.908559916735</t>
  </si>
  <si>
    <t>-460.392573159309 -34.2264105953043 726.561049522721</t>
  </si>
  <si>
    <t>9763-20170724T170129.060443500.bin</t>
  </si>
  <si>
    <t>-561.212732255211 133.679655925343 -236.569103180885</t>
  </si>
  <si>
    <t>-580.557410381146 111.331083679784 -354.017491038153</t>
  </si>
  <si>
    <t>-581.86434011874 93.3877022483209 -473.87941754237</t>
  </si>
  <si>
    <t>-575.480341265898 78.5735809131916 -582.205946939987</t>
  </si>
  <si>
    <t>-561.603340564576 64.8840422576839 -689.978215213003</t>
  </si>
  <si>
    <t>-534.509925946795 46.7733514252523 -838.766623901256</t>
  </si>
  <si>
    <t>-491.078605051668 38.7787061994184 -930.596825519175</t>
  </si>
  <si>
    <t>-547.288423571655 86.3203467128901 -776.914625075439</t>
  </si>
  <si>
    <t>-524.31919393689 231.378672547337 -769.404404513977</t>
  </si>
  <si>
    <t>-441.735351547127 263.402070497689 -465.528555607431</t>
  </si>
  <si>
    <t>-225.037145168258 256.873349078019 -321.857668826439</t>
  </si>
  <si>
    <t>-545.707420468469 23.2531697213112 -768.950138223815</t>
  </si>
  <si>
    <t>-309.659513218407 1.75895621692962 -392.478527059814</t>
  </si>
  <si>
    <t>-584.522272330204 227.112122220933 -250.280742774972</t>
  </si>
  <si>
    <t>-580.730407581708 251.325123816162 204.754543459378</t>
  </si>
  <si>
    <t>-611.6035105039 248.731151341318 673.398220661924</t>
  </si>
  <si>
    <t>-453.580855266243 266.790816050714 748.539450634284</t>
  </si>
  <si>
    <t>-537.899034059143 40.330849609084 -222.250455948017</t>
  </si>
  <si>
    <t>-436.99016930796 60.9023418602687 221.654821137186</t>
  </si>
  <si>
    <t>-615.098985464393 6.74512159035135 653.401659812763</t>
  </si>
  <si>
    <t>-460.440283985771 -34.7239148874223 726.233777856485</t>
  </si>
  <si>
    <t>9763-20170724T170129.098546300.bin</t>
  </si>
  <si>
    <t>-561.500480022634 135.150409484854 -236.745663358652</t>
  </si>
  <si>
    <t>-580.866861058503 112.862442378412 -354.202042146538</t>
  </si>
  <si>
    <t>-582.132686159749 94.8491020876709 -474.053922605839</t>
  </si>
  <si>
    <t>-575.689308659049 79.9131738038188 -582.360126460013</t>
  </si>
  <si>
    <t>-561.733464941055 66.0398689035446 -690.098774281581</t>
  </si>
  <si>
    <t>-534.512786363683 47.6067935768112 -838.824257546997</t>
  </si>
  <si>
    <t>-491.031718031895 39.3388271137658 -930.606761683768</t>
  </si>
  <si>
    <t>-547.249770609753 87.2920233431214 -777.052347503929</t>
  </si>
  <si>
    <t>-523.902493792391 232.305709207835 -769.682659485792</t>
  </si>
  <si>
    <t>-440.736031123536 264.299200307743 -465.96242631331</t>
  </si>
  <si>
    <t>-224.039242113014 257.930352674325 -322.28231949369</t>
  </si>
  <si>
    <t>-545.864444896023 24.2336403155045 -768.983248589997</t>
  </si>
  <si>
    <t>-310.205580648262 2.3969544956135 -392.314352831751</t>
  </si>
  <si>
    <t>-584.672653804458 228.693600272291 -250.4064643971</t>
  </si>
  <si>
    <t>-581.154661267545 252.294542754315 204.663046726057</t>
  </si>
  <si>
    <t>-611.655018750996 249.0012959177 673.332258720088</t>
  </si>
  <si>
    <t>-453.619714384117 266.771116296341 748.516022700762</t>
  </si>
  <si>
    <t>-538.307504280541 41.6994585202463 -222.429345613683</t>
  </si>
  <si>
    <t>-437.038364961901 61.6482124277914 221.422341668703</t>
  </si>
  <si>
    <t>-615.022387463893 6.83678269364668 653.165746885496</t>
  </si>
  <si>
    <t>-460.394763175057 -34.583973847605 726.091282809863</t>
  </si>
  <si>
    <t>9763-20170724T170129.162719700.bin</t>
  </si>
  <si>
    <t>-561.863509203057 137.828266391398 -237.019070876454</t>
  </si>
  <si>
    <t>-581.103364699987 115.691165632031 -354.524667720481</t>
  </si>
  <si>
    <t>-582.179292060451 97.515039438226 -474.353918214598</t>
  </si>
  <si>
    <t>-575.548750119138 82.2991548221032 -582.609855612595</t>
  </si>
  <si>
    <t>-561.396850179906 68.011122990998 -690.268744319784</t>
  </si>
  <si>
    <t>-533.900585971704 48.8590537118189 -838.852516632845</t>
  </si>
  <si>
    <t>-490.302062874474 40.0051366542357 -930.524632033473</t>
  </si>
  <si>
    <t>-546.563310518003 88.8506741461867 -777.263200876111</t>
  </si>
  <si>
    <t>-522.294014183218 233.73305211714 -770.402696944099</t>
  </si>
  <si>
    <t>-438.440522364092 266.157499481664 -466.917367966255</t>
  </si>
  <si>
    <t>-222.202962879079 259.922723870665 -322.541006119683</t>
  </si>
  <si>
    <t>-545.57033310248 25.8158800076969 -768.954444328502</t>
  </si>
  <si>
    <t>-310.603368880634 3.30242405511513 -391.702488252604</t>
  </si>
  <si>
    <t>-584.681048485832 231.67881527473 -250.628840849392</t>
  </si>
  <si>
    <t>-581.864920231555 254.013518183827 204.509485688799</t>
  </si>
  <si>
    <t>-611.873775845813 249.592481615915 673.252054884396</t>
  </si>
  <si>
    <t>-453.78898257985 266.859130104471 748.448820577271</t>
  </si>
  <si>
    <t>-538.867842356067 43.9721624168724 -222.795381218985</t>
  </si>
  <si>
    <t>-437.357707212488 63.0971660050982 221.037510435069</t>
  </si>
  <si>
    <t>-614.874359217597 6.92593082634426 652.74814432278</t>
  </si>
  <si>
    <t>-460.393715072459 -34.7293052425825 725.851332814633</t>
  </si>
  <si>
    <t>9763-20170724T170129.197819600.bin</t>
  </si>
  <si>
    <t>-562.077396026085 138.957750254035 -237.146201028329</t>
  </si>
  <si>
    <t>-581.318319942798 116.901407161562 -354.666927577054</t>
  </si>
  <si>
    <t>-582.368639933528 98.6237981276786 -474.48091114637</t>
  </si>
  <si>
    <t>-575.709386436235 83.2383838726216 -582.711109690478</t>
  </si>
  <si>
    <t>-561.526571522716 68.7017814747501 -690.332754661738</t>
  </si>
  <si>
    <t>-533.988439306238 49.119951479564 -838.8527613806</t>
  </si>
  <si>
    <t>-490.331957162133 39.9294300247388 -930.463947599</t>
  </si>
  <si>
    <t>-546.55537811758 89.2938300125202 -777.362511262714</t>
  </si>
  <si>
    <t>-521.823205320141 234.113610903416 -770.774455493932</t>
  </si>
  <si>
    <t>-437.459366722412 266.665419652604 -467.443979019731</t>
  </si>
  <si>
    <t>-221.471204580828 260.275394346346 -322.701886893982</t>
  </si>
  <si>
    <t>-545.791057653931 26.2747998666202 -768.911994795885</t>
  </si>
  <si>
    <t>-311.334673064376 3.56362595772134 -391.135939594689</t>
  </si>
  <si>
    <t>-584.78057665529 233.030686719523 -250.71664566498</t>
  </si>
  <si>
    <t>-582.211697469605 254.788129537148 204.451193614739</t>
  </si>
  <si>
    <t>-611.957355974606 249.775469445886 673.227782549127</t>
  </si>
  <si>
    <t>-453.849108356081 266.888397079332 748.410385537074</t>
  </si>
  <si>
    <t>-539.349838286374 44.9374771049409 -222.918359920103</t>
  </si>
  <si>
    <t>-437.456291696373 63.6301121683359 220.845100725581</t>
  </si>
  <si>
    <t>-614.810198423104 6.89561146043957 652.580231809746</t>
  </si>
  <si>
    <t>-460.406060629439 -34.9167128692197 725.755390868091</t>
  </si>
  <si>
    <t>9763-20170724T170129.261993100.bin</t>
  </si>
  <si>
    <t>-562.797927248034 141.283857939454 -237.364868655277</t>
  </si>
  <si>
    <t>-582.03098511687 119.359166680291 -354.911443126915</t>
  </si>
  <si>
    <t>-583.017414610167 100.874599166403 -474.694260846701</t>
  </si>
  <si>
    <t>-576.287497953143 85.1571270549562 -582.872393431664</t>
  </si>
  <si>
    <t>-562.027837665724 70.1401981547353 -690.417798103973</t>
  </si>
  <si>
    <t>-534.382772866668 49.7330949412997 -838.806910826857</t>
  </si>
  <si>
    <t>-490.59722425198 39.849660962454 -930.284243352597</t>
  </si>
  <si>
    <t>-546.785134664569 90.2552303815773 -777.511985634427</t>
  </si>
  <si>
    <t>-520.917264267232 234.890633612089 -771.459933459296</t>
  </si>
  <si>
    <t>-435.589710384737 267.935382311138 -468.452638748688</t>
  </si>
  <si>
    <t>-220.119342161014 260.680424577493 -322.981137345222</t>
  </si>
  <si>
    <t>-546.444556962354 27.2699286070595 -768.786629155041</t>
  </si>
  <si>
    <t>-312.725498466992 4.36329664835739 -389.762380960888</t>
  </si>
  <si>
    <t>-585.105992153764 235.528511999511 -250.869250982324</t>
  </si>
  <si>
    <t>-582.971818292967 256.178200416507 204.352366826401</t>
  </si>
  <si>
    <t>-612.091513910406 250.086162798743 673.156273292789</t>
  </si>
  <si>
    <t>-453.938603054325 266.706631622852 748.355599426634</t>
  </si>
  <si>
    <t>-540.472152004108 47.1312321759026 -223.161909751581</t>
  </si>
  <si>
    <t>-437.914457522667 64.5651612096283 220.499780664664</t>
  </si>
  <si>
    <t>-614.734968981426 6.71270567634542 652.360630162309</t>
  </si>
  <si>
    <t>-460.217515718586 -34.6197643493124 725.569197857864</t>
  </si>
  <si>
    <t>9763-20170724T170129.296626400.bin</t>
  </si>
  <si>
    <t>-563.225144515655 142.432142547467 -237.486225292011</t>
  </si>
  <si>
    <t>-582.460206321513 120.606238960218 -355.050780554425</t>
  </si>
  <si>
    <t>-583.431237210059 102.000192318862 -474.814920672046</t>
  </si>
  <si>
    <t>-576.686578786909 86.0785751154426 -582.962315789721</t>
  </si>
  <si>
    <t>-562.415566012871 70.7604243914973 -690.463742765795</t>
  </si>
  <si>
    <t>-534.762243584331 49.8314581015065 -838.778580535574</t>
  </si>
  <si>
    <t>-490.925470824304 39.5049824268963 -930.182375683005</t>
  </si>
  <si>
    <t>-547.047637436207 90.5725586090364 -777.60537239834</t>
  </si>
  <si>
    <t>-520.728719882754 235.150493157841 -771.901476917528</t>
  </si>
  <si>
    <t>-434.826691415311 268.46706811824 -469.086202759152</t>
  </si>
  <si>
    <t>-219.491346433017 260.375933476371 -323.45908090868</t>
  </si>
  <si>
    <t>-546.948312947459 27.6112827766938 -768.702218467984</t>
  </si>
  <si>
    <t>-313.80459356123 4.97842601428988 -389.086266530742</t>
  </si>
  <si>
    <t>-585.411988163986 236.768310335 -250.954069674177</t>
  </si>
  <si>
    <t>-583.276307278921 256.872096882193 204.291879538953</t>
  </si>
  <si>
    <t>-612.117955699346 250.193005132921 673.101852534665</t>
  </si>
  <si>
    <t>-453.958727623225 266.579214561702 748.33924563289</t>
  </si>
  <si>
    <t>-541.009226524288 48.2237546327483 -223.33121523071</t>
  </si>
  <si>
    <t>-438.205344430575 65.1379198197528 220.29350849277</t>
  </si>
  <si>
    <t>-614.703796531132 6.82229923831096 652.248612992263</t>
  </si>
  <si>
    <t>-460.277055055539 -34.7893462700749 725.490422091713</t>
  </si>
  <si>
    <t>9763-20170724T170129.365813700.bin</t>
  </si>
  <si>
    <t>-563.931990002707 144.534565166478 -237.638819907151</t>
  </si>
  <si>
    <t>-583.140893823166 122.827628860372 -355.229796962528</t>
  </si>
  <si>
    <t>-584.069163781264 103.894170516108 -474.942842288206</t>
  </si>
  <si>
    <t>-577.292119259861 87.4844615407421 -583.015308551279</t>
  </si>
  <si>
    <t>-563.003839002448 71.4807000463036 -690.414463907871</t>
  </si>
  <si>
    <t>-535.350571400598 49.3879552421822 -838.560381028731</t>
  </si>
  <si>
    <t>-491.475389884453 38.0467143483465 -929.825528783236</t>
  </si>
  <si>
    <t>-547.378047986077 90.6144125507856 -777.661804057061</t>
  </si>
  <si>
    <t>-520.068664520489 235.03776587302 -772.809923810224</t>
  </si>
  <si>
    <t>-433.738455508269 269.239863388148 -470.21535590635</t>
  </si>
  <si>
    <t>-218.581639894609 259.575174355345 -324.420301074638</t>
  </si>
  <si>
    <t>-547.794522124966 27.7121545809687 -768.359029667379</t>
  </si>
  <si>
    <t>-315.589945545263 5.70092481196457 -388.290594294495</t>
  </si>
  <si>
    <t>-585.812849439157 239.031753957639 -251.063006600979</t>
  </si>
  <si>
    <t>-583.923707753454 258.240351738556 204.222696603023</t>
  </si>
  <si>
    <t>-612.24842332189 250.578335562869 673.03415006108</t>
  </si>
  <si>
    <t>-454.077662805536 266.716880178923 748.300702286527</t>
  </si>
  <si>
    <t>-541.969557479752 50.1084275778819 -223.549848616451</t>
  </si>
  <si>
    <t>-438.682942020486 66.0953496517786 219.997193524936</t>
  </si>
  <si>
    <t>-614.616026335256 6.82110394180108 652.011430345484</t>
  </si>
  <si>
    <t>-460.165816926031 -34.5852813956301 725.320033808185</t>
  </si>
  <si>
    <t>9763-20170724T170129.395396200.bin</t>
  </si>
  <si>
    <t>-564.198201963974 145.597316066645 -237.743065785957</t>
  </si>
  <si>
    <t>-583.413999516215 123.953392686486 -355.344503828686</t>
  </si>
  <si>
    <t>-584.333791388345 104.818448076183 -475.025680277102</t>
  </si>
  <si>
    <t>-577.550812792547 88.1133851130655 -583.052412221783</t>
  </si>
  <si>
    <t>-563.263708987868 71.6981767459904 -690.389555152004</t>
  </si>
  <si>
    <t>-535.624593695042 48.9102828790776 -838.432725185333</t>
  </si>
  <si>
    <t>-491.739525209402 36.9747068908632 -929.617365015231</t>
  </si>
  <si>
    <t>-547.511655747536 90.4246781267632 -777.702475729016</t>
  </si>
  <si>
    <t>-519.75555233958 234.770920462618 -773.382615010938</t>
  </si>
  <si>
    <t>-433.292393590642 269.665098168713 -470.905011389374</t>
  </si>
  <si>
    <t>-218.406156883465 258.991816213774 -324.781545470484</t>
  </si>
  <si>
    <t>-548.196441101279 27.5616962907252 -768.154008886982</t>
  </si>
  <si>
    <t>-316.540225623527 6.04144007926175 -388.412930178892</t>
  </si>
  <si>
    <t>-586.005609381357 240.225310273979 -251.12792747642</t>
  </si>
  <si>
    <t>-584.273944019734 258.926968575832 204.179563648467</t>
  </si>
  <si>
    <t>-612.344604186334 250.780863708467 673.016125697901</t>
  </si>
  <si>
    <t>-454.143225135284 266.605231409417 748.285150355041</t>
  </si>
  <si>
    <t>-542.327113065602 51.1001222821715 -223.688143873891</t>
  </si>
  <si>
    <t>-438.895486524172 66.6474946940493 219.840736271661</t>
  </si>
  <si>
    <t>-614.558280034443 6.91688439052177 651.895782571479</t>
  </si>
  <si>
    <t>-460.219327003911 -34.7908529538704 725.267912356451</t>
  </si>
  <si>
    <t>9763-20170724T170129.459567900.bin</t>
  </si>
  <si>
    <t>-564.629035456726 147.740053070376 -237.941049646933</t>
  </si>
  <si>
    <t>-583.71874936849 126.227760676017 -355.587066567777</t>
  </si>
  <si>
    <t>-584.580259330808 106.632632731947 -475.194167244998</t>
  </si>
  <si>
    <t>-577.790848030778 89.2580116731008 -583.114853241432</t>
  </si>
  <si>
    <t>-563.555636144724 71.9133701100802 -690.31264313575</t>
  </si>
  <si>
    <t>-536.060884906813 47.5567621861053 -838.132866657522</t>
  </si>
  <si>
    <t>-492.205807105975 34.282763641125 -929.146697431609</t>
  </si>
  <si>
    <t>-547.576456717391 89.7172212364708 -777.777142513023</t>
  </si>
  <si>
    <t>-518.781284729162 233.887086885038 -774.691790648359</t>
  </si>
  <si>
    <t>-432.536201978822 270.720679361765 -472.38195815768</t>
  </si>
  <si>
    <t>-218.501392943561 257.188660386227 -325.249192260655</t>
  </si>
  <si>
    <t>-548.876499760348 26.950279446874 -767.676689557893</t>
  </si>
  <si>
    <t>-317.898092493169 5.29442326720209 -388.489709848832</t>
  </si>
  <si>
    <t>-586.283143212591 242.531028866668 -251.263343135489</t>
  </si>
  <si>
    <t>-584.808341056835 260.334046199616 204.080987020651</t>
  </si>
  <si>
    <t>-612.492467131979 251.239471080393 672.930763024427</t>
  </si>
  <si>
    <t>-454.270395714001 266.69931127504 748.23203133865</t>
  </si>
  <si>
    <t>-542.891327077034 53.1391087601926 -223.967698921814</t>
  </si>
  <si>
    <t>-439.349536916307 67.7651783485971 219.566688393245</t>
  </si>
  <si>
    <t>-614.446531873525 7.10476543668938 651.715748875939</t>
  </si>
  <si>
    <t>-460.293171162997 -35.0838723849565 725.202939762595</t>
  </si>
  <si>
    <t>9763-20170724T170129.497209100.bin</t>
  </si>
  <si>
    <t>-564.790623287944 148.863199373602 -238.078649584824</t>
  </si>
  <si>
    <t>-583.839932217842 127.438182579338 -355.74726920655</t>
  </si>
  <si>
    <t>-584.702622611998 107.617813879678 -475.317062911598</t>
  </si>
  <si>
    <t>-577.941285169566 89.9060443734661 -583.184796545764</t>
  </si>
  <si>
    <t>-563.767774410075 72.0871280028839 -690.312893384911</t>
  </si>
  <si>
    <t>-536.399890543357 46.9260552433532 -838.021929919055</t>
  </si>
  <si>
    <t>-492.589952245989 32.9769741983264 -928.956490393613</t>
  </si>
  <si>
    <t>-547.685095039832 89.415684376341 -777.853955675426</t>
  </si>
  <si>
    <t>-518.286879658809 233.470474260916 -775.442857030429</t>
  </si>
  <si>
    <t>-432.4706030911 271.19943898335 -473.121327464294</t>
  </si>
  <si>
    <t>-219.027685273869 255.877290194354 -325.305941740063</t>
  </si>
  <si>
    <t>-549.333647891745 26.7022788543525 -767.476521298135</t>
  </si>
  <si>
    <t>-318.517573485065 4.6853745710157 -388.763657750693</t>
  </si>
  <si>
    <t>-586.302547295916 243.724799998734 -251.372080716471</t>
  </si>
  <si>
    <t>-584.967587323873 261.095806060175 203.9894538469</t>
  </si>
  <si>
    <t>-612.566459797624 251.614414373804 672.819730427869</t>
  </si>
  <si>
    <t>-454.34395041714 266.65789421725 748.204401045119</t>
  </si>
  <si>
    <t>-543.242689092224 54.1245667266855 -224.164338758248</t>
  </si>
  <si>
    <t>-439.771762476422 68.3366042010766 219.400226228659</t>
  </si>
  <si>
    <t>-614.38716429752 7.15617533756563 651.646243026435</t>
  </si>
  <si>
    <t>-460.30115133336 -35.1866632197336 725.186007157831</t>
  </si>
  <si>
    <t>9763-20170724T170129.568400000.bin</t>
  </si>
  <si>
    <t>-565.054392870687 150.928320802054 -238.342399971859</t>
  </si>
  <si>
    <t>-584.072204366878 129.681754638255 -356.048426938515</t>
  </si>
  <si>
    <t>-585.033793167712 109.402741445988 -475.540645067649</t>
  </si>
  <si>
    <t>-578.435655309231 91.0108685882628 -583.304578448066</t>
  </si>
  <si>
    <t>-564.511920661431 72.2453164722176 -690.303826184253</t>
  </si>
  <si>
    <t>-537.593008150308 45.4888436382596 -837.814786631405</t>
  </si>
  <si>
    <t>-493.96950662243 30.2897270586441 -928.638518998747</t>
  </si>
  <si>
    <t>-548.313658720938 88.626648453768 -778.005654045545</t>
  </si>
  <si>
    <t>-517.802768867502 232.479262176574 -777.1111678016</t>
  </si>
  <si>
    <t>-433.236734918304 271.592865532701 -474.613465185831</t>
  </si>
  <si>
    <t>-221.507546949408 250.512345991409 -325.052642208403</t>
  </si>
  <si>
    <t>-550.693955304663 26.0288996271672 -767.085715513837</t>
  </si>
  <si>
    <t>-320.079682325897 3.69861825168846 -390.289712240021</t>
  </si>
  <si>
    <t>-586.029282184405 245.93995394501 -251.600406272472</t>
  </si>
  <si>
    <t>-585.007335344894 262.430782321725 203.794591363889</t>
  </si>
  <si>
    <t>-612.661867870421 252.191802635097 672.625949161655</t>
  </si>
  <si>
    <t>-454.465016701455 266.539921811808 748.199659795309</t>
  </si>
  <si>
    <t>-544.015002054681 55.9754040155426 -224.4181616149</t>
  </si>
  <si>
    <t>-440.346572437331 69.2363979059244 219.129669195715</t>
  </si>
  <si>
    <t>-614.267349684429 7.20625336996636 651.52273052896</t>
  </si>
  <si>
    <t>-460.100557075814 -34.708501038032 725.138429059798</t>
  </si>
  <si>
    <t>9763-20170724T170129.593976000.bin</t>
  </si>
  <si>
    <t>-564.988683623627 151.734079876292 -238.406457781226</t>
  </si>
  <si>
    <t>-584.0627728759 130.515262565723 -356.108446598256</t>
  </si>
  <si>
    <t>-585.140017852454 109.999739377116 -475.559204763179</t>
  </si>
  <si>
    <t>-578.678632743537 91.2874054309395 -583.276203595998</t>
  </si>
  <si>
    <t>-564.928870021446 72.0959440065205 -690.222442769852</t>
  </si>
  <si>
    <t>-538.294860321915 44.6386574214907 -837.656245322202</t>
  </si>
  <si>
    <t>-494.835659502773 28.8900228578243 -928.465220191338</t>
  </si>
  <si>
    <t>-548.712943904957 88.0586426828665 -777.998240011621</t>
  </si>
  <si>
    <t>-517.52640329411 231.769675582492 -777.683618268397</t>
  </si>
  <si>
    <t>-433.72355970578 271.269668526237 -475.023773657705</t>
  </si>
  <si>
    <t>-222.447804624286 248.875890145425 -325.013315416154</t>
  </si>
  <si>
    <t>-551.446229942235 25.5164802774825 -766.844465706903</t>
  </si>
  <si>
    <t>-320.513330618034 2.59156949104135 -391.508077008843</t>
  </si>
  <si>
    <t>-585.622443157688 246.903365445122 -251.720613518161</t>
  </si>
  <si>
    <t>-584.838688020055 263.058431881745 203.686994018959</t>
  </si>
  <si>
    <t>-612.688038338247 252.510511094586 672.498803531564</t>
  </si>
  <si>
    <t>-454.514182099253 266.423082378253 748.202114803106</t>
  </si>
  <si>
    <t>-544.213790253281 56.5166797490385 -224.469514044763</t>
  </si>
  <si>
    <t>-440.546468795613 69.6648077835052 219.081843879133</t>
  </si>
  <si>
    <t>-614.211784439684 7.19221043166931 651.465142244627</t>
  </si>
  <si>
    <t>-460.094557334192 -34.8332835412584 725.121449373367</t>
  </si>
  <si>
    <t>9763-20170724T170129.663163000.bin</t>
  </si>
  <si>
    <t>-564.566790768386 152.680129509089 -238.51228873618</t>
  </si>
  <si>
    <t>-583.913917238292 131.478840415546 -356.172847942109</t>
  </si>
  <si>
    <t>-585.321505303899 110.524930465203 -475.544180330729</t>
  </si>
  <si>
    <t>-579.195153743593 91.2286451057291 -583.177669393287</t>
  </si>
  <si>
    <t>-565.825749112531 71.2657471279983 -690.030817046812</t>
  </si>
  <si>
    <t>-539.775660545436 42.5414442160127 -837.327391929965</t>
  </si>
  <si>
    <t>-496.671107002451 25.7599537272877 -928.120386318347</t>
  </si>
  <si>
    <t>-549.547621115609 86.4664377192646 -777.930205086523</t>
  </si>
  <si>
    <t>-517.122483429206 229.879973361809 -778.445167057582</t>
  </si>
  <si>
    <t>-434.707002499263 270.155050841747 -475.506638697552</t>
  </si>
  <si>
    <t>-223.695434418653 247.15770790277 -325.215878693969</t>
  </si>
  <si>
    <t>-553.056401528352 24.0357829990166 -766.376225990213</t>
  </si>
  <si>
    <t>-584.47858985658 248.232781937583 -251.917294814483</t>
  </si>
  <si>
    <t>-584.004589408738 263.814901132478 203.510724703249</t>
  </si>
  <si>
    <t>-612.695180674992 252.889148085999 672.298955131847</t>
  </si>
  <si>
    <t>-454.584000895946 266.251804547023 748.231812680907</t>
  </si>
  <si>
    <t>-544.701395420535 57.2025850368011 -224.399454931035</t>
  </si>
  <si>
    <t>-440.352569297247 69.9745842376476 219.003177843486</t>
  </si>
  <si>
    <t>-614.113595653266 7.08214222415427 651.356710873862</t>
  </si>
  <si>
    <t>-459.996418010433 -34.7832164911538 725.104228508348</t>
  </si>
  <si>
    <t>9763-20170724T170129.694773000.bin</t>
  </si>
  <si>
    <t>-564.423154988129 153.117646169759 -238.537946237416</t>
  </si>
  <si>
    <t>-583.866209014387 131.977408744872 -356.1936504643</t>
  </si>
  <si>
    <t>-585.376659522228 110.887440490013 -475.539862108299</t>
  </si>
  <si>
    <t>-579.352338155643 91.3870204400382 -583.142199090607</t>
  </si>
  <si>
    <t>-566.098015574447 71.1394740957296 -689.956152749961</t>
  </si>
  <si>
    <t>-540.225171073303 41.9360149591407 -837.1897521783</t>
  </si>
  <si>
    <t>-497.242030629859 24.6932249473641 -927.953925006984</t>
  </si>
  <si>
    <t>-549.744652169509 86.0494665592778 -777.891392901256</t>
  </si>
  <si>
    <t>-516.605756683884 229.314693131185 -778.762695524868</t>
  </si>
  <si>
    <t>-434.911333186993 269.701789670474 -475.64372602507</t>
  </si>
  <si>
    <t>-223.781636069674 248.148227981001 -325.304980098837</t>
  </si>
  <si>
    <t>-553.60155882355 23.6657406904096 -766.195416845769</t>
  </si>
  <si>
    <t>-583.849053671386 248.733716102391 -251.967527008501</t>
  </si>
  <si>
    <t>-583.447650580118 264.069835105816 203.468973557447</t>
  </si>
  <si>
    <t>-612.678466374888 252.892112657115 672.242767384326</t>
  </si>
  <si>
    <t>-454.591080178896 266.084865692426 748.254930292827</t>
  </si>
  <si>
    <t>-544.967060946445 57.6195663549486 -224.401878617368</t>
  </si>
  <si>
    <t>-440.318752965149 70.0806387687503 218.93892751835</t>
  </si>
  <si>
    <t>-614.062169918591 7.27164638645331 651.299735262172</t>
  </si>
  <si>
    <t>-460.04367792739 -34.8567129161422 725.103645936716</t>
  </si>
  <si>
    <t>9763-20170724T170129.761451400.bin</t>
  </si>
  <si>
    <t>-563.992669120644 153.466251037868 -238.624116538088</t>
  </si>
  <si>
    <t>-583.770724960244 132.512493031941 -356.257333609911</t>
  </si>
  <si>
    <t>-585.597939061412 111.226761769572 -475.564238959679</t>
  </si>
  <si>
    <t>-579.86352397294 91.394199364724 -583.121824259263</t>
  </si>
  <si>
    <t>-566.909805267442 70.6619835552428 -689.87972022377</t>
  </si>
  <si>
    <t>-541.472736052756 40.6275903727255 -837.022093042454</t>
  </si>
  <si>
    <t>-498.712452377825 22.5714553326136 -927.733331657424</t>
  </si>
  <si>
    <t>-550.517112836723 85.0657605509905 -777.891947227042</t>
  </si>
  <si>
    <t>-516.510148438678 228.101002915799 -779.341082014379</t>
  </si>
  <si>
    <t>-435.095644503942 268.872658929984 -476.198382775017</t>
  </si>
  <si>
    <t>-223.828768854942 249.360604476945 -325.773393024768</t>
  </si>
  <si>
    <t>-554.938568025928 22.7681365876451 -765.940337486535</t>
  </si>
  <si>
    <t>-582.619581138788 249.301886188834 -251.971209306393</t>
  </si>
  <si>
    <t>-582.171414523414 264.251024182937 203.477991532459</t>
  </si>
  <si>
    <t>-612.685886262227 252.922370357426 672.163061151129</t>
  </si>
  <si>
    <t>-454.624785037081 265.644793961019 748.309855095467</t>
  </si>
  <si>
    <t>-545.366758692711 57.729723450366 -224.537524208899</t>
  </si>
  <si>
    <t>-440.528090159669 69.998897337171 218.76374421733</t>
  </si>
  <si>
    <t>-613.990386273559 7.2892980435247 651.255223908517</t>
  </si>
  <si>
    <t>-460.026963084651 -34.9112906384846 725.132724997497</t>
  </si>
  <si>
    <t>9763-20170724T170129.795586200.bin</t>
  </si>
  <si>
    <t>-563.827434244514 153.51161659665 -238.68817850986</t>
  </si>
  <si>
    <t>-583.686280532402 132.703983803954 -356.33374701206</t>
  </si>
  <si>
    <t>-585.582843726517 111.379294458923 -475.632635195903</t>
  </si>
  <si>
    <t>-579.912554473814 91.4351677879138 -583.173038134177</t>
  </si>
  <si>
    <t>-567.028440957752 70.5154721739175 -689.902665603687</t>
  </si>
  <si>
    <t>-541.69757333283 40.1415428029732 -836.993696315226</t>
  </si>
  <si>
    <t>-499.005987698758 21.7451093371988 -927.668935515374</t>
  </si>
  <si>
    <t>-550.563367390914 84.710844722706 -777.935304228896</t>
  </si>
  <si>
    <t>-515.927179224859 227.617494750125 -779.714726205522</t>
  </si>
  <si>
    <t>-434.617203068241 268.994359817385 -476.625912400024</t>
  </si>
  <si>
    <t>-223.136215543759 250.993536100652 -326.313473811432</t>
  </si>
  <si>
    <t>-555.248037045733 22.4512513108484 -765.885622380509</t>
  </si>
  <si>
    <t>-582.086557445278 249.416102568461 -251.966964705504</t>
  </si>
  <si>
    <t>-581.626804032077 264.188491431981 203.488039905998</t>
  </si>
  <si>
    <t>-612.68549760627 252.832733801293 672.153842403493</t>
  </si>
  <si>
    <t>-454.635104156312 265.513747244339 748.329823358285</t>
  </si>
  <si>
    <t>-545.527867599684 57.7180928650887 -224.699487648581</t>
  </si>
  <si>
    <t>-440.778909054644 69.875672421826 218.626027995089</t>
  </si>
  <si>
    <t>-613.968704410062 7.32471210102676 651.280496882834</t>
  </si>
  <si>
    <t>-460.034170488218 -34.9417558368741 725.180542675726</t>
  </si>
  <si>
    <t>9763-20170724T170129.860755800.bin</t>
  </si>
  <si>
    <t>-563.896344389333 153.475601175766 -238.698086967939</t>
  </si>
  <si>
    <t>-584.056565104346 132.962718716343 -356.344230003639</t>
  </si>
  <si>
    <t>-586.275470231789 111.345229121082 -475.584875803808</t>
  </si>
  <si>
    <t>-580.924021922629 90.8948832117114 -583.046431656267</t>
  </si>
  <si>
    <t>-568.398726211339 69.2277718711175 -689.669644938717</t>
  </si>
  <si>
    <t>-543.619993082632 37.564465251397 -836.582715573758</t>
  </si>
  <si>
    <t>-501.214944399028 18.1718880879491 -927.184648608328</t>
  </si>
  <si>
    <t>-551.947258845173 82.6364149994813 -777.828120089483</t>
  </si>
  <si>
    <t>-516.009298852225 225.215782080515 -780.738683054733</t>
  </si>
  <si>
    <t>-434.118379272191 268.690887718834 -478.100397487335</t>
  </si>
  <si>
    <t>-222.121385302003 255.995744518438 -327.973266784416</t>
  </si>
  <si>
    <t>-557.220377958891 20.5126585343692 -765.328426773282</t>
  </si>
  <si>
    <t>-581.423583080539 249.394229330085 -251.821964148682</t>
  </si>
  <si>
    <t>-580.783448001646 263.900035460546 203.641370399973</t>
  </si>
  <si>
    <t>-612.695126575039 252.367734755867 672.260327822515</t>
  </si>
  <si>
    <t>-454.627192050347 265.180790642454 748.377767696574</t>
  </si>
  <si>
    <t>-546.338929300436 57.671260081625 -224.853825404933</t>
  </si>
  <si>
    <t>-441.356857526564 69.3668639093132 218.429004596721</t>
  </si>
  <si>
    <t>-613.942039878909 7.23740407197397 651.370736059168</t>
  </si>
  <si>
    <t>-460.051413099157 -35.1137888722394 725.313761097313</t>
  </si>
  <si>
    <t>9763-20170724T170129.898859600.bin</t>
  </si>
  <si>
    <t>-564.068409025246 153.526834103329 -238.6847726308</t>
  </si>
  <si>
    <t>-584.325362265843 133.126040519648 -356.333570820313</t>
  </si>
  <si>
    <t>-586.656301309201 111.221297108942 -475.519792886044</t>
  </si>
  <si>
    <t>-581.426636198758 90.345826101614 -582.905502329822</t>
  </si>
  <si>
    <t>-569.053349662881 68.0869014590203 -689.424407204998</t>
  </si>
  <si>
    <t>-544.526412445525 35.4270350510069 -836.161643650834</t>
  </si>
  <si>
    <t>-502.292006670358 15.3879071463666 -926.702487936506</t>
  </si>
  <si>
    <t>-552.563460167366 80.887094656634 -777.666260974405</t>
  </si>
  <si>
    <t>-515.927811200738 223.264584426919 -781.412078249142</t>
  </si>
  <si>
    <t>-433.409561433461 268.275472155901 -479.168958805995</t>
  </si>
  <si>
    <t>-221.502050167449 257.209896956364 -328.786591916027</t>
  </si>
  <si>
    <t>-558.194218359003 18.8689637641844 -764.803668047584</t>
  </si>
  <si>
    <t>-581.325025252134 249.422736876108 -251.732146624297</t>
  </si>
  <si>
    <t>-580.538614239501 263.781386250582 203.735533797356</t>
  </si>
  <si>
    <t>-612.74767977776 252.178153234354 672.339344964173</t>
  </si>
  <si>
    <t>-454.641757003518 264.906889972456 748.392007659047</t>
  </si>
  <si>
    <t>-546.740456250005 57.7046257038653 -224.914956821928</t>
  </si>
  <si>
    <t>-441.741331922012 69.1487343605613 218.370362344075</t>
  </si>
  <si>
    <t>-613.948659203439 7.34146102219597 651.488485356406</t>
  </si>
  <si>
    <t>-460.152689888962 -35.373516296253 725.419128872469</t>
  </si>
  <si>
    <t>9763-20170724T170129.967042300.bin</t>
  </si>
  <si>
    <t>-564.504723348454 153.612403489385 -238.60466038946</t>
  </si>
  <si>
    <t>-584.780883768104 133.383552848735 -356.279954996897</t>
  </si>
  <si>
    <t>-587.430867543544 110.860074022699 -475.343889761964</t>
  </si>
  <si>
    <t>-582.640811252182 89.1007625266291 -582.57463468894</t>
  </si>
  <si>
    <t>-570.876528195361 65.6340073880162 -688.903242783471</t>
  </si>
  <si>
    <t>-547.389229226222 30.9579165284526 -835.347467598848</t>
  </si>
  <si>
    <t>-505.652467377374 9.53629083621877 -925.802718065461</t>
  </si>
  <si>
    <t>-554.653961325353 77.1981946587666 -777.364850426335</t>
  </si>
  <si>
    <t>-516.53836742004 219.119106525109 -782.774411267493</t>
  </si>
  <si>
    <t>-431.681321198728 269.447223707853 -482.021079751697</t>
  </si>
  <si>
    <t>-220.411992697796 260.133239309754 -330.62564294577</t>
  </si>
  <si>
    <t>-560.909298073915 15.403837931271 -763.736070225496</t>
  </si>
  <si>
    <t>-581.409019810499 249.471053425205 -251.531846776541</t>
  </si>
  <si>
    <t>-580.425313587105 263.520836285959 203.94515463665</t>
  </si>
  <si>
    <t>-612.803540979425 251.592798533941 672.532535555714</t>
  </si>
  <si>
    <t>-454.637473310682 264.678863016511 748.399362333953</t>
  </si>
  <si>
    <t>-547.501700930072 57.9236872959184 -224.969029507464</t>
  </si>
  <si>
    <t>-442.545192579741 68.7431655397318 218.342129868812</t>
  </si>
  <si>
    <t>-613.978624553022 7.21417742495828 651.801452572533</t>
  </si>
  <si>
    <t>-460.052259240054 -35.1570567627932 725.658538710137</t>
  </si>
  <si>
    <t>9763-20170724T170129.998159000.bin</t>
  </si>
  <si>
    <t>-564.68585983699 153.84085525586 -238.522046666681</t>
  </si>
  <si>
    <t>-584.926146228002 133.656981483166 -356.211299996224</t>
  </si>
  <si>
    <t>-587.748470711615 110.773327036558 -475.202628380389</t>
  </si>
  <si>
    <t>-583.214931170377 88.5219748980403 -582.34348800547</t>
  </si>
  <si>
    <t>-571.817955796622 64.3963630009503 -688.564614827479</t>
  </si>
  <si>
    <t>-548.965696278437 28.6306920456695 -834.847277527726</t>
  </si>
  <si>
    <t>-507.549654431675 6.42131383149876 -925.259750169103</t>
  </si>
  <si>
    <t>-555.797291919537 75.2896799730361 -777.147941272584</t>
  </si>
  <si>
    <t>-517.161927951833 217.040756354517 -783.421165888232</t>
  </si>
  <si>
    <t>-430.940693822088 270.511253817153 -483.599588010288</t>
  </si>
  <si>
    <t>-220.459807644447 260.758982422848 -331.137380527554</t>
  </si>
  <si>
    <t>-562.356890863635 13.6222215471619 -763.095233874414</t>
  </si>
  <si>
    <t>-581.583718262097 249.593847220848 -251.422075895355</t>
  </si>
  <si>
    <t>-580.502510983723 263.534383341479 204.057973159165</t>
  </si>
  <si>
    <t>-612.805734285595 251.29530375999 672.616795374727</t>
  </si>
  <si>
    <t>-454.618625008874 264.649728093101 748.392853465269</t>
  </si>
  <si>
    <t>-547.695711366705 58.2762331630406 -224.919418456309</t>
  </si>
  <si>
    <t>-442.834036912109 68.8008195603084 218.421191691316</t>
  </si>
  <si>
    <t>-613.973266890108 7.3036755472358 651.935068145846</t>
  </si>
  <si>
    <t>-460.075686314574 -35.2006971434059 725.775586046739</t>
  </si>
  <si>
    <t>9763-20170724T170130.062302500.bin</t>
  </si>
  <si>
    <t>-564.635731538918 154.873251682361 -238.380146985817</t>
  </si>
  <si>
    <t>-584.635285767486 134.674046643009 -356.10786093222</t>
  </si>
  <si>
    <t>-587.62243681846 111.196441023274 -474.979474746132</t>
  </si>
  <si>
    <t>-583.42830397105 88.1709729101974 -581.97045015195</t>
  </si>
  <si>
    <t>-572.57667895234 63.0336531853427 -688.013912511419</t>
  </si>
  <si>
    <t>-550.710952249305 25.6147004393192 -834.033461889449</t>
  </si>
  <si>
    <t>-509.943198491307 2.18622362314545 -924.432985367088</t>
  </si>
  <si>
    <t>-556.868784972455 72.9037381894525 -776.773192781648</t>
  </si>
  <si>
    <t>-516.5616144777 214.06841900264 -783.704235212433</t>
  </si>
  <si>
    <t>-427.833351033311 276.380614756235 -486.33123911543</t>
  </si>
  <si>
    <t>-217.096372409556 270.272036770576 -334.033397280495</t>
  </si>
  <si>
    <t>-563.902947765584 11.4391219743895 -762.075589825563</t>
  </si>
  <si>
    <t>-581.650527645129 250.530746002071 -251.324463994936</t>
  </si>
  <si>
    <t>-580.957964862921 264.086161668609 204.168181502583</t>
  </si>
  <si>
    <t>-612.868556996001 251.191947503706 672.680886117009</t>
  </si>
  <si>
    <t>-454.65976530395 264.714343697506 748.381908203466</t>
  </si>
  <si>
    <t>-547.517705036842 59.3808952898783 -224.779474975345</t>
  </si>
  <si>
    <t>-442.967554704831 69.4268397239828 218.645895513029</t>
  </si>
  <si>
    <t>-613.928921026918 7.33859062541273 652.155738488352</t>
  </si>
  <si>
    <t>-460.027147826752 -35.1871747402163 725.975223700988</t>
  </si>
  <si>
    <t>9763-20170724T170130.099451800.bin</t>
  </si>
  <si>
    <t>-564.504645065359 155.594363218403 -238.281372047785</t>
  </si>
  <si>
    <t>-584.401625799554 135.320871588859 -356.013666833412</t>
  </si>
  <si>
    <t>-587.39952333255 111.618398592623 -474.840317659123</t>
  </si>
  <si>
    <t>-583.267850938535 88.3303527214891 -581.777004686257</t>
  </si>
  <si>
    <t>-572.535153619918 62.8729232477149 -687.756081114979</t>
  </si>
  <si>
    <t>-550.896816534426 24.9502766838696 -833.679636340694</t>
  </si>
  <si>
    <t>-510.341020818276 1.14964484934671 -924.077330093342</t>
  </si>
  <si>
    <t>-556.917376846631 72.4330864053045 -776.565126264524</t>
  </si>
  <si>
    <t>-516.102108788736 213.548548408716 -783.767469059965</t>
  </si>
  <si>
    <t>-425.348274644074 279.999946053203 -487.905892696983</t>
  </si>
  <si>
    <t>-215.049527272707 273.965029625418 -335.000491422454</t>
  </si>
  <si>
    <t>-564.024846471541 11.0267224812912 -761.660752962492</t>
  </si>
  <si>
    <t>-581.55844220304 251.242023206857 -251.328917620865</t>
  </si>
  <si>
    <t>-581.099341081597 264.552445348582 204.171085383603</t>
  </si>
  <si>
    <t>-612.895353342084 251.215069315748 672.684404158159</t>
  </si>
  <si>
    <t>-454.685565211201 264.738625520698 748.382932848529</t>
  </si>
  <si>
    <t>-547.356627989872 60.0885441233756 -224.597969596452</t>
  </si>
  <si>
    <t>-442.798038394182 69.8110796966157 218.832557503561</t>
  </si>
  <si>
    <t>-613.895009345799 7.30501066169359 652.215471148706</t>
  </si>
  <si>
    <t>-459.92474830614 -34.9761969141921 726.032591362736</t>
  </si>
  <si>
    <t>9763-20170724T170130.163604100.bin</t>
  </si>
  <si>
    <t>-563.757289206393 156.836138750591 -238.029354657402</t>
  </si>
  <si>
    <t>-583.647701845691 136.300526115481 -355.717298384493</t>
  </si>
  <si>
    <t>-586.659901213353 112.087855123008 -474.440702533824</t>
  </si>
  <si>
    <t>-582.560183676494 88.2400196951339 -581.255087861445</t>
  </si>
  <si>
    <t>-571.885601598066 62.1253059616754 -687.080100211276</t>
  </si>
  <si>
    <t>-550.361929487676 23.1893200228808 -832.753396468292</t>
  </si>
  <si>
    <t>-556.280538811964 71.063721564984 -775.956117336915</t>
  </si>
  <si>
    <t>-514.860304057699 211.919469651372 -783.799803961383</t>
  </si>
  <si>
    <t>-420.550252841128 285.137516493616 -490.659939797986</t>
  </si>
  <si>
    <t>-209.123341465547 282.689332445803 -339.217814753061</t>
  </si>
  <si>
    <t>-563.490447838705 9.77086901784128 -760.638818562308</t>
  </si>
  <si>
    <t>-580.973422041398 252.465879457342 -251.314358510079</t>
  </si>
  <si>
    <t>-580.680224053084 265.369944149932 204.197390754918</t>
  </si>
  <si>
    <t>-612.925773652986 251.344126649876 672.64713600758</t>
  </si>
  <si>
    <t>-454.745702812703 264.859066196183 748.409315563215</t>
  </si>
  <si>
    <t>-546.469077820593 61.2666690577119 -224.119718693568</t>
  </si>
  <si>
    <t>-441.728812105537 70.6604393300795 219.275037553528</t>
  </si>
  <si>
    <t>-613.768807174044 7.45471054541963 652.181458604113</t>
  </si>
  <si>
    <t>-459.864635057563 -34.9112402193737 726.087750621346</t>
  </si>
  <si>
    <t>9763-20170724T170130.196721900.bin</t>
  </si>
  <si>
    <t>-563.266840741021 157.420832788542 -237.978232440377</t>
  </si>
  <si>
    <t>-583.069214621965 136.799652724615 -355.666125030339</t>
  </si>
  <si>
    <t>-586.051889834577 112.417256142974 -474.355505617623</t>
  </si>
  <si>
    <t>-581.952593630723 88.3857895145975 -581.12886121368</t>
  </si>
  <si>
    <t>-571.307078406828 62.0599244933999 -686.904328915512</t>
  </si>
  <si>
    <t>-549.854824973518 22.8037319808816 -832.502190120541</t>
  </si>
  <si>
    <t>-555.764020575965 70.8042288137824 -775.810583822127</t>
  </si>
  <si>
    <t>-514.235731630116 211.640034111053 -783.867833054879</t>
  </si>
  <si>
    <t>-418.163250482448 287.308419301588 -491.925175828756</t>
  </si>
  <si>
    <t>-206.894342854252 285.220861772968 -340.257243757075</t>
  </si>
  <si>
    <t>-562.929526071086 9.54253642322328 -760.348857733219</t>
  </si>
  <si>
    <t>-580.549873846457 253.047606655149 -251.324543679092</t>
  </si>
  <si>
    <t>-580.386383448084 265.750275303122 204.192988977408</t>
  </si>
  <si>
    <t>-612.928889455947 251.390369816951 672.617777591204</t>
  </si>
  <si>
    <t>-454.765828537469 264.868363744051 748.422044311606</t>
  </si>
  <si>
    <t>-545.882364111962 61.9126397700227 -224.006378665216</t>
  </si>
  <si>
    <t>-441.308750275918 71.1481732639027 219.430991542617</t>
  </si>
  <si>
    <t>-613.689447917117 7.64887602523481 652.142239576656</t>
  </si>
  <si>
    <t>-459.912652254755 -35.0519353932366 726.120918989341</t>
  </si>
  <si>
    <t>9763-20170724T170130.262872500.bin</t>
  </si>
  <si>
    <t>-562.411535866515 158.243721076787 -237.978174245731</t>
  </si>
  <si>
    <t>-581.898953640868 137.593835940653 -355.713697772485</t>
  </si>
  <si>
    <t>-584.706056426725 112.936920827224 -474.35058470006</t>
  </si>
  <si>
    <t>-580.515175494038 88.5666739280566 -581.043484344813</t>
  </si>
  <si>
    <t>-569.850772826736 61.8161370746857 -686.710644649381</t>
  </si>
  <si>
    <t>-548.452404748378 21.8852426418466 -832.132904853025</t>
  </si>
  <si>
    <t>-554.440240828331 70.1552663853593 -775.678740783689</t>
  </si>
  <si>
    <t>-513.335582526225 211.091985089279 -784.221905596913</t>
  </si>
  <si>
    <t>-413.44485516781 291.847579274791 -494.935640040749</t>
  </si>
  <si>
    <t>-201.735168435682 291.461266868973 -343.869813360148</t>
  </si>
  <si>
    <t>-561.400806151424 8.95155095063024 -759.897290383563</t>
  </si>
  <si>
    <t>-580.012575551664 253.809784937989 -251.33724407184</t>
  </si>
  <si>
    <t>-579.822321004826 266.211582939979 204.188653193601</t>
  </si>
  <si>
    <t>-612.952833780048 251.420896338703 672.586560123523</t>
  </si>
  <si>
    <t>-454.820079534992 265.001699278673 748.435812516155</t>
  </si>
  <si>
    <t>-544.7954838331 62.8553850503076 -223.997239461957</t>
  </si>
  <si>
    <t>-440.812654500348 71.6454522406771 219.588209861068</t>
  </si>
  <si>
    <t>-613.595400216454 7.58133387898806 652.143626153379</t>
  </si>
  <si>
    <t>-459.886215240043 -35.1760456404893 726.230101532568</t>
  </si>
  <si>
    <t>9763-20170724T170130.300886700.bin</t>
  </si>
  <si>
    <t>-562.192481714062 158.529024971879 -237.972022640986</t>
  </si>
  <si>
    <t>-581.562656212436 137.886048387658 -355.727939504314</t>
  </si>
  <si>
    <t>-584.244708052246 113.099796512501 -474.340869307475</t>
  </si>
  <si>
    <t>-579.943684244141 88.5601361606803 -580.990474093257</t>
  </si>
  <si>
    <t>-569.175705760252 61.5891895044242 -686.591116889869</t>
  </si>
  <si>
    <t>-547.64365984611 21.3004216439479 -831.894827902747</t>
  </si>
  <si>
    <t>-553.756014263599 69.7141664610265 -775.577397387485</t>
  </si>
  <si>
    <t>-513.076436817511 210.753344584181 -784.416717508922</t>
  </si>
  <si>
    <t>-411.185608330415 294.61502592656 -496.716194020176</t>
  </si>
  <si>
    <t>-199.825338431662 294.092895919877 -345.162123338405</t>
  </si>
  <si>
    <t>-560.585913293439 8.53947094022737 -759.627479623551</t>
  </si>
  <si>
    <t>-344.694824999798 0.865019335077022 -370.973014604869</t>
  </si>
  <si>
    <t>-579.914793362748 254.014622071845 -251.307907371952</t>
  </si>
  <si>
    <t>-579.637697051026 266.317329588461 204.220551154455</t>
  </si>
  <si>
    <t>-612.941841153966 251.340234682653 672.584685888796</t>
  </si>
  <si>
    <t>-454.831071645824 265.145017621886 748.439282309904</t>
  </si>
  <si>
    <t>-544.489469607381 63.2086469426752 -223.983139712321</t>
  </si>
  <si>
    <t>-440.677202172523 71.6977057648189 219.648056841958</t>
  </si>
  <si>
    <t>-613.559502989455 7.57014322719738 652.147623886029</t>
  </si>
  <si>
    <t>-459.773315289174 -34.8745727686937 726.254114902031</t>
  </si>
  <si>
    <t>9763-20170724T170130.364057700.bin</t>
  </si>
  <si>
    <t>-561.80006670422 159.019568937604 -237.939490531795</t>
  </si>
  <si>
    <t>-581.053204059864 138.283657943997 -355.698388950021</t>
  </si>
  <si>
    <t>-583.519477389749 113.364486172283 -474.28800077928</t>
  </si>
  <si>
    <t>-578.98593863579 88.6898921856741 -580.89698479471</t>
  </si>
  <si>
    <t>-567.94970172705 61.5700435480614 -686.431645839382</t>
  </si>
  <si>
    <t>-546.009484888059 21.0599792546566 -831.612750094834</t>
  </si>
  <si>
    <t>-552.416508985075 69.5685947237389 -775.40976461386</t>
  </si>
  <si>
    <t>-512.439319594526 210.78512944398 -784.487528735218</t>
  </si>
  <si>
    <t>-406.276092324617 300.811418207803 -500.215111504646</t>
  </si>
  <si>
    <t>-194.871810372519 300.556755425513 -348.721646076302</t>
  </si>
  <si>
    <t>-559.018175164894 8.40023595696994 -759.339564167393</t>
  </si>
  <si>
    <t>-351.06055392154 4.16129102296509 -365.750268210344</t>
  </si>
  <si>
    <t>-579.777104414206 254.379721264881 -251.275691325829</t>
  </si>
  <si>
    <t>-579.468514504775 266.597124645628 204.255093191081</t>
  </si>
  <si>
    <t>-613.039941577657 251.479190430649 672.585828811166</t>
  </si>
  <si>
    <t>-454.915294848574 265.051707124296 748.453338417431</t>
  </si>
  <si>
    <t>-543.759846275889 63.7285515224112 -223.887477117493</t>
  </si>
  <si>
    <t>-440.341079977758 71.981029544796 219.840096749739</t>
  </si>
  <si>
    <t>-613.507226871526 7.43070999141401 652.150850547388</t>
  </si>
  <si>
    <t>-459.695782157009 -34.8797536527879 726.281668925548</t>
  </si>
  <si>
    <t>9763-20170724T170130.395654700.bin</t>
  </si>
  <si>
    <t>-561.682018154328 159.165608028359 -237.890549609809</t>
  </si>
  <si>
    <t>-580.908810357818 138.386278790796 -355.646070857127</t>
  </si>
  <si>
    <t>-583.296001274806 113.467973600725 -474.237489727765</t>
  </si>
  <si>
    <t>-578.668144330571 88.8117552040733 -580.846674789566</t>
  </si>
  <si>
    <t>-567.514020196899 61.7271982719765 -686.378008335579</t>
  </si>
  <si>
    <t>-545.384745080858 21.2837799286465 -831.549018556534</t>
  </si>
  <si>
    <t>-551.907560603239 69.7692841995517 -775.33934576119</t>
  </si>
  <si>
    <t>-512.312396865405 211.098631104183 -784.468949525995</t>
  </si>
  <si>
    <t>-404.210234559772 303.432562821623 -501.671208675586</t>
  </si>
  <si>
    <t>-193.561829157504 301.969793572233 -349.135470007892</t>
  </si>
  <si>
    <t>-558.444945892122 8.58821080888492 -759.291363128719</t>
  </si>
  <si>
    <t>-353.874037777503 5.17751228943416 -364.728273977963</t>
  </si>
  <si>
    <t>-579.765888250221 254.477783602719 -251.267114316566</t>
  </si>
  <si>
    <t>-579.447659600109 266.631245165849 204.265444174873</t>
  </si>
  <si>
    <t>-613.033874518743 251.387634060421 672.59241079052</t>
  </si>
  <si>
    <t>-454.921063754575 265.12105775725 748.455770156042</t>
  </si>
  <si>
    <t>-543.532862482911 63.9580212958467 -223.815422455166</t>
  </si>
  <si>
    <t>-440.178373949434 72.1113818625186 219.928913046894</t>
  </si>
  <si>
    <t>-613.491422572859 7.51439878867768 652.165360640153</t>
  </si>
  <si>
    <t>-459.70385436247 -34.9000476896586 726.286253117344</t>
  </si>
  <si>
    <t>9763-20170724T170130.462840900.bin</t>
  </si>
  <si>
    <t>-561.665036550997 159.336761600001 -237.847181848672</t>
  </si>
  <si>
    <t>-580.820115297082 138.49977478635 -355.60416793678</t>
  </si>
  <si>
    <t>-583.110598104422 113.660402279523 -474.214088514481</t>
  </si>
  <si>
    <t>-578.380252732546 89.1301022782407 -580.847767170883</t>
  </si>
  <si>
    <t>-567.105596623625 62.2244743448571 -686.412116686094</t>
  </si>
  <si>
    <t>-544.786972114956 22.084274110209 -831.63832051743</t>
  </si>
  <si>
    <t>-551.421827557894 70.4546826407957 -775.342627456588</t>
  </si>
  <si>
    <t>-512.417681996616 211.954227261186 -784.555678671334</t>
  </si>
  <si>
    <t>-403.118281777712 305.169540552502 -502.508313405395</t>
  </si>
  <si>
    <t>-195.342193933241 298.889394509694 -346.201822312034</t>
  </si>
  <si>
    <t>-557.90275742305 9.23553969819659 -759.417869313732</t>
  </si>
  <si>
    <t>-356.179191924672 4.46858343295889 -365.272970377467</t>
  </si>
  <si>
    <t>-579.816514643715 254.632315586327 -251.282435517799</t>
  </si>
  <si>
    <t>-579.644829245315 266.783749883105 204.250222529952</t>
  </si>
  <si>
    <t>-613.070561768693 251.472335794842 672.567425472001</t>
  </si>
  <si>
    <t>-454.968324074599 265.166087082383 748.459997263768</t>
  </si>
  <si>
    <t>-543.490222687442 64.0733097536181 -223.719293928176</t>
  </si>
  <si>
    <t>-440.041507869922 72.2607852382025 220.002527989206</t>
  </si>
  <si>
    <t>-613.452716809546 7.52489067762895 652.144187776641</t>
  </si>
  <si>
    <t>-459.592394907709 -34.670166477975 726.239320924136</t>
  </si>
  <si>
    <t>9763-20170724T170130.493423400.bin</t>
  </si>
  <si>
    <t>-561.661609316582 159.387613058639 -237.892711489954</t>
  </si>
  <si>
    <t>-580.820626510209 138.581205412079 -355.654521713843</t>
  </si>
  <si>
    <t>-583.122082427673 113.816325747278 -474.279806050577</t>
  </si>
  <si>
    <t>-578.402472626547 89.3713188136517 -580.933518945277</t>
  </si>
  <si>
    <t>-567.137966557265 62.5688258525977 -686.525078682683</t>
  </si>
  <si>
    <t>-544.831514905546 22.5903358298608 -831.797812635117</t>
  </si>
  <si>
    <t>-551.468767512038 70.8983361595961 -775.448951840539</t>
  </si>
  <si>
    <t>-512.674520686944 212.456794550252 -784.525983954096</t>
  </si>
  <si>
    <t>-403.638528502511 304.541384227393 -502.00550218277</t>
  </si>
  <si>
    <t>-195.887539932705 297.636566674925 -345.692048036146</t>
  </si>
  <si>
    <t>-557.934156177018 9.66063562559339 -759.589284090546</t>
  </si>
  <si>
    <t>-355.479727193545 2.9230659016855 -366.561399984087</t>
  </si>
  <si>
    <t>-579.843730021087 254.722570884699 -251.298105252726</t>
  </si>
  <si>
    <t>-579.68706871592 266.826501203868 204.235809816886</t>
  </si>
  <si>
    <t>-613.122290982108 251.556385031505 672.572213528146</t>
  </si>
  <si>
    <t>-455.008278505306 265.12099618304 748.463509769778</t>
  </si>
  <si>
    <t>-543.430113488099 64.1283281144049 -223.807042411759</t>
  </si>
  <si>
    <t>-440.095513800587 72.3539610599591 219.940561158835</t>
  </si>
  <si>
    <t>-613.436210741067 7.61593523501074 652.145970208711</t>
  </si>
  <si>
    <t>-459.650419593026 -34.8455732015602 726.243625980794</t>
  </si>
  <si>
    <t>9763-20170724T170130.565119900.bin</t>
  </si>
  <si>
    <t>-561.722601657347 159.267338815196 -237.901145124924</t>
  </si>
  <si>
    <t>-580.943928433279 138.569489595256 -355.671919838774</t>
  </si>
  <si>
    <t>-583.256328190753 114.083583594496 -474.354826038656</t>
  </si>
  <si>
    <t>-578.519253854822 89.9547195961002 -581.079790230668</t>
  </si>
  <si>
    <t>-567.206036738755 63.5297984438582 -686.761320623217</t>
  </si>
  <si>
    <t>-544.796027316654 24.1371844245916 -832.177944441093</t>
  </si>
  <si>
    <t>-503.059898889066 0.798480427985169 -922.157883340289</t>
  </si>
  <si>
    <t>-551.452961846064 72.2164285948215 -775.636118658103</t>
  </si>
  <si>
    <t>-512.6573469414 213.804333659229 -784.042531965654</t>
  </si>
  <si>
    <t>-404.75611870196 302.454933108882 -499.992262315199</t>
  </si>
  <si>
    <t>-197.251331558252 294.342909061334 -343.410056679399</t>
  </si>
  <si>
    <t>-557.970582940589 10.9178351966268 -760.03509565322</t>
  </si>
  <si>
    <t>-353.40790199265 0.217551399552121 -370.136903129357</t>
  </si>
  <si>
    <t>-579.790592209407 254.64047982147 -251.263747271132</t>
  </si>
  <si>
    <t>-579.596932803424 266.724304400242 204.27064872079</t>
  </si>
  <si>
    <t>-613.151231658794 251.492389302333 672.59011316313</t>
  </si>
  <si>
    <t>-455.041149420101 265.11201051933 748.479573823392</t>
  </si>
  <si>
    <t>-543.631319107375 64.0039025846745 -223.885799989743</t>
  </si>
  <si>
    <t>-440.193864890145 72.0868049775204 219.8405566158</t>
  </si>
  <si>
    <t>-613.407005708127 7.59049695813792 652.134940956104</t>
  </si>
  <si>
    <t>-459.598901924121 -34.7686719380795 726.244820470033</t>
  </si>
  <si>
    <t>9763-20170724T170130.594699600.bin</t>
  </si>
  <si>
    <t>-561.776141468146 159.25988270371 -237.922489983067</t>
  </si>
  <si>
    <t>-581.090077457129 138.590793424148 -355.683094472661</t>
  </si>
  <si>
    <t>-583.446622997317 114.288441119584 -474.40302760341</t>
  </si>
  <si>
    <t>-578.72328250227 90.3851759594243 -581.179203744288</t>
  </si>
  <si>
    <t>-567.393823221575 64.2434942696771 -686.929428938939</t>
  </si>
  <si>
    <t>-544.926633320155 25.3028805424149 -832.459029296532</t>
  </si>
  <si>
    <t>-503.096358559569 2.25049338157578 -922.469040875117</t>
  </si>
  <si>
    <t>-551.60552354854 73.2062699334474 -775.770779723096</t>
  </si>
  <si>
    <t>-512.62643592371 214.775411926453 -783.64713722995</t>
  </si>
  <si>
    <t>-405.336868792195 301.737765452394 -498.844323813514</t>
  </si>
  <si>
    <t>-196.874797616794 294.549910667569 -343.493267450733</t>
  </si>
  <si>
    <t>-558.129798557916 11.859596304078 -760.362862874476</t>
  </si>
  <si>
    <t>-579.783670673346 254.616383881173 -251.248983514951</t>
  </si>
  <si>
    <t>-579.462240826638 266.726036478021 204.284654773396</t>
  </si>
  <si>
    <t>-613.186718209652 251.548655073773 672.588299588641</t>
  </si>
  <si>
    <t>-455.071660576194 265.03518176177 748.491169380619</t>
  </si>
  <si>
    <t>-543.726845625247 64.0361627818984 -223.930472616979</t>
  </si>
  <si>
    <t>-440.272378632996 71.9650308051923 219.794590226443</t>
  </si>
  <si>
    <t>-613.393980383088 7.6609843510098 652.133681424934</t>
  </si>
  <si>
    <t>-459.599319260854 -34.7408524670077 726.247103538625</t>
  </si>
  <si>
    <t>9763-20170724T170130.661379800.bin</t>
  </si>
  <si>
    <t>-561.85414260473 159.006540328636 -237.968805667749</t>
  </si>
  <si>
    <t>-581.214712910644 138.384300672721 -355.729901790661</t>
  </si>
  <si>
    <t>-583.622100526196 114.450740392609 -474.52365013165</t>
  </si>
  <si>
    <t>-578.932489154321 91.0106053192362 -581.404155393818</t>
  </si>
  <si>
    <t>-567.615435084841 65.4605882922635 -687.300224429534</t>
  </si>
  <si>
    <t>-545.134721301396 27.4743775918744 -833.079753753189</t>
  </si>
  <si>
    <t>-503.191093760239 4.94299128334001 -923.168757329811</t>
  </si>
  <si>
    <t>-551.844637568069 75.0070372211453 -776.083614237597</t>
  </si>
  <si>
    <t>-512.898500128019 216.645049027445 -783.047075303181</t>
  </si>
  <si>
    <t>-406.296105161118 301.214214240285 -497.267216937552</t>
  </si>
  <si>
    <t>-198.245956397765 291.46958360717 -341.503840984779</t>
  </si>
  <si>
    <t>-558.318839461816 13.5572941479713 -761.069820420949</t>
  </si>
  <si>
    <t>-579.761047832547 254.421498742851 -251.239518284853</t>
  </si>
  <si>
    <t>-579.272840684121 266.547209359957 204.293642894057</t>
  </si>
  <si>
    <t>-613.219308867542 251.501181228622 672.585396992682</t>
  </si>
  <si>
    <t>-455.117302061978 265.073462518609 748.500160917306</t>
  </si>
  <si>
    <t>-543.864605853508 63.6616499577667 -224.034970882742</t>
  </si>
  <si>
    <t>-440.508046111665 71.7709797102068 219.7096340485</t>
  </si>
  <si>
    <t>-613.373078629597 7.55813609967754 652.156202070257</t>
  </si>
  <si>
    <t>-459.583597797302 -34.8712051056173 726.264604306921</t>
  </si>
  <si>
    <t>9763-20170724T170130.699934900.bin</t>
  </si>
  <si>
    <t>-561.876627379833 158.891726802552 -238.013784153259</t>
  </si>
  <si>
    <t>-581.24992981882 138.294728278535 -355.777189745873</t>
  </si>
  <si>
    <t>-583.710867616428 114.521917928764 -474.602314649292</t>
  </si>
  <si>
    <t>-579.080563201543 91.2810140671377 -581.528741201822</t>
  </si>
  <si>
    <t>-567.830122375403 65.9828391737851 -687.492287011491</t>
  </si>
  <si>
    <t>-545.445888370821 28.4009449789376 -833.39145510342</t>
  </si>
  <si>
    <t>-503.484095405691 6.09255274387078 -923.527590071544</t>
  </si>
  <si>
    <t>-552.120183101119 75.7754140059533 -776.259643228995</t>
  </si>
  <si>
    <t>-513.173897530093 217.432123394272 -782.903817826926</t>
  </si>
  <si>
    <t>-406.627329470744 300.859450873268 -496.767788077762</t>
  </si>
  <si>
    <t>-198.980161442163 288.648578404272 -340.640677411202</t>
  </si>
  <si>
    <t>-558.580248503362 14.284056571461 -761.411371673042</t>
  </si>
  <si>
    <t>-579.814183075435 254.308507625132 -251.256773672844</t>
  </si>
  <si>
    <t>-579.262942600246 266.483133815313 204.275006817521</t>
  </si>
  <si>
    <t>-613.245437855065 251.48579756571 672.59117571099</t>
  </si>
  <si>
    <t>-455.135409476089 265.009963494487 748.497884174158</t>
  </si>
  <si>
    <t>-543.876091998728 63.6202856907764 -224.114871296646</t>
  </si>
  <si>
    <t>-440.574312981556 71.7184795028829 219.64279378488</t>
  </si>
  <si>
    <t>-613.353961337182 7.55326037166219 652.172071185192</t>
  </si>
  <si>
    <t>-459.591723553175 -34.946947856243 726.29645785548</t>
  </si>
  <si>
    <t>9763-20170724T170130.764610200.bin</t>
  </si>
  <si>
    <t>-562.04428861232 158.546335956467 -238.008535307726</t>
  </si>
  <si>
    <t>-581.558064662315 137.976669000228 -355.753526613677</t>
  </si>
  <si>
    <t>-584.189895310181 114.392934715143 -474.612606216114</t>
  </si>
  <si>
    <t>-579.719064415401 91.3864425565332 -581.596485838888</t>
  </si>
  <si>
    <t>-568.628296741579 66.3849530522368 -687.647344010058</t>
  </si>
  <si>
    <t>-546.461906619994 29.2786647831492 -833.701282236645</t>
  </si>
  <si>
    <t>-504.445909358387 7.39988652372404 -923.917487423965</t>
  </si>
  <si>
    <t>-553.069517069531 76.4679331590294 -776.408932537888</t>
  </si>
  <si>
    <t>-514.460027864025 218.21411573741 -782.675146679909</t>
  </si>
  <si>
    <t>-408.361241961277 298.734233287425 -495.541516185</t>
  </si>
  <si>
    <t>-202.117383778352 280.798176585039 -338.112657843511</t>
  </si>
  <si>
    <t>-559.470152269597 14.9260950488185 -761.745021376559</t>
  </si>
  <si>
    <t>-352.642744648749 1.11353440464563 -379.577944775275</t>
  </si>
  <si>
    <t>-580.044174988771 253.96328580121 -251.202311218873</t>
  </si>
  <si>
    <t>-579.200583212261 266.217615537521 204.326838183586</t>
  </si>
  <si>
    <t>-613.286553733654 251.342622004344 672.63734377406</t>
  </si>
  <si>
    <t>-455.16340562851 264.93807852697 748.503914281919</t>
  </si>
  <si>
    <t>-543.982972507734 63.25816716533 -224.118118974985</t>
  </si>
  <si>
    <t>-440.652780751574 71.530775556397 219.629713657009</t>
  </si>
  <si>
    <t>-613.322105782001 7.59706415552387 652.195180226074</t>
  </si>
  <si>
    <t>-459.511774916714 -34.7282546452877 726.319844389215</t>
  </si>
  <si>
    <t>9763-20170724T170130.795716600.bin</t>
  </si>
  <si>
    <t>-562.144240452706 158.518030476343 -238.01821930507</t>
  </si>
  <si>
    <t>-581.705057937949 137.962066940099 -355.75793050974</t>
  </si>
  <si>
    <t>-584.374263810812 114.470962548598 -474.6343377045</t>
  </si>
  <si>
    <t>-579.929823141937 91.5794961003105 -581.644050725824</t>
  </si>
  <si>
    <t>-568.855980930813 66.7235241471055 -687.730858796673</t>
  </si>
  <si>
    <t>-546.701234545112 29.8505441817588 -833.845678159869</t>
  </si>
  <si>
    <t>-504.645231841787 8.19344191715504 -924.096794502979</t>
  </si>
  <si>
    <t>-553.315825246507 76.949092848773 -776.479393907652</t>
  </si>
  <si>
    <t>-514.883593079691 218.75390625681 -782.553664021858</t>
  </si>
  <si>
    <t>-409.460795848459 297.182963698525 -494.593462566209</t>
  </si>
  <si>
    <t>-203.672224813831 277.029726530773 -336.837499939727</t>
  </si>
  <si>
    <t>-559.692204694851 15.3823874246395 -761.90943618532</t>
  </si>
  <si>
    <t>-353.541328986662 2.39004095597784 -382.593750260418</t>
  </si>
  <si>
    <t>-580.15788062458 253.87686544652 -251.180833524689</t>
  </si>
  <si>
    <t>-579.222800411197 266.173380578883 204.347021554319</t>
  </si>
  <si>
    <t>-613.320643318115 251.334085089475 672.652962185911</t>
  </si>
  <si>
    <t>-455.191405498081 264.943184959973 748.504500736171</t>
  </si>
  <si>
    <t>-544.063976954225 63.3055717646839 -224.150839725953</t>
  </si>
  <si>
    <t>-440.671868761352 71.4702669111714 219.584512589773</t>
  </si>
  <si>
    <t>-613.311682827989 7.59652260521943 652.204420463645</t>
  </si>
  <si>
    <t>-459.552308213088 -34.9140475085001 726.32874013891</t>
  </si>
  <si>
    <t>9763-20170724T170130.862396500.bin</t>
  </si>
  <si>
    <t>-562.401043507428 158.349237660552 -238.017038028024</t>
  </si>
  <si>
    <t>-582.07440995303 137.819072775485 -355.742511081362</t>
  </si>
  <si>
    <t>-584.860551180298 114.558841797194 -474.661643444853</t>
  </si>
  <si>
    <t>-580.515562620384 91.9533589011285 -581.736197794098</t>
  </si>
  <si>
    <t>-569.5298334742 67.4580978136855 -687.915970071401</t>
  </si>
  <si>
    <t>-547.481784462695 31.16043698972 -834.191022255114</t>
  </si>
  <si>
    <t>-505.342431561143 9.93268905080026 -924.505138097304</t>
  </si>
  <si>
    <t>-554.013399620819 78.0300845334725 -776.628025712329</t>
  </si>
  <si>
    <t>-515.531718497009 219.847972164323 -782.170044658223</t>
  </si>
  <si>
    <t>-411.179494182848 294.90616430136 -492.924414037572</t>
  </si>
  <si>
    <t>-204.801041491573 274.39592402742 -335.986988116029</t>
  </si>
  <si>
    <t>-560.461381268359 16.4118878152694 -762.309667637836</t>
  </si>
  <si>
    <t>-355.553399578061 4.69346823813635 -387.300633068322</t>
  </si>
  <si>
    <t>-580.411631439692 253.746244007623 -251.165234831354</t>
  </si>
  <si>
    <t>-579.237761786765 266.087002160886 204.3608326056</t>
  </si>
  <si>
    <t>-613.363065678407 251.307551903137 672.660384233353</t>
  </si>
  <si>
    <t>-455.243748113351 265.073742119445 748.504297522408</t>
  </si>
  <si>
    <t>-544.304424670439 62.9678973110488 -224.197789801928</t>
  </si>
  <si>
    <t>-440.892237654987 71.4746458022814 219.526433553698</t>
  </si>
  <si>
    <t>-613.282251141213 7.60928654596432 652.211801131847</t>
  </si>
  <si>
    <t>-459.553313933879 -34.9993309966819 726.342968446715</t>
  </si>
  <si>
    <t>9763-20170724T170130.893482200.bin</t>
  </si>
  <si>
    <t>-562.611832771867 158.314175042997 -238.039117500351</t>
  </si>
  <si>
    <t>-582.370441506213 137.805547698822 -355.754073799268</t>
  </si>
  <si>
    <t>-585.243279603907 114.628131703428 -474.687348919359</t>
  </si>
  <si>
    <t>-580.974444993311 92.1199678343123 -581.785443358983</t>
  </si>
  <si>
    <t>-570.061336563725 67.742967917098 -688.000020191309</t>
  </si>
  <si>
    <t>-548.109274700356 31.6301326735374 -834.334999483717</t>
  </si>
  <si>
    <t>-505.912848361879 10.5490430154771 -924.656889126194</t>
  </si>
  <si>
    <t>-554.556969272747 78.4239758710526 -776.701120080263</t>
  </si>
  <si>
    <t>-515.879518071082 220.21130438853 -782.015134601939</t>
  </si>
  <si>
    <t>-411.84095517829 293.799950494225 -492.2792735883</t>
  </si>
  <si>
    <t>-205.397613489745 273.455485162567 -335.405709306958</t>
  </si>
  <si>
    <t>-561.087813430227 16.7938724925416 -762.471578329169</t>
  </si>
  <si>
    <t>-356.511109664605 6.61811949828871 -388.764199281105</t>
  </si>
  <si>
    <t>-580.55545126352 253.739410774857 -251.165052023541</t>
  </si>
  <si>
    <t>-579.241159922249 266.046783714133 204.361627712968</t>
  </si>
  <si>
    <t>-613.378181160479 251.283397710743 672.6655645864</t>
  </si>
  <si>
    <t>-455.254504145774 264.98737048553 748.5115488612</t>
  </si>
  <si>
    <t>-544.640343484308 62.9789760314848 -224.22401530966</t>
  </si>
  <si>
    <t>-441.044616149441 71.409576310182 219.458816018774</t>
  </si>
  <si>
    <t>-613.281832014769 7.56472500246991 652.235141848308</t>
  </si>
  <si>
    <t>-459.528272711343 -34.9918660910193 726.345137555761</t>
  </si>
  <si>
    <t>9763-20170724T170130.964175900.bin</t>
  </si>
  <si>
    <t>-563.184209889433 158.401292754386 -238.084961435315</t>
  </si>
  <si>
    <t>-583.071689097779 138.075115158268 -355.809826445729</t>
  </si>
  <si>
    <t>-586.088755998022 115.021812197902 -474.763695241376</t>
  </si>
  <si>
    <t>-581.957260769206 92.6036678714579 -581.886068133208</t>
  </si>
  <si>
    <t>-571.188703028378 68.2960367175906 -688.131253812952</t>
  </si>
  <si>
    <t>-549.445059315287 32.2599443774805 -834.516416349559</t>
  </si>
  <si>
    <t>-507.305426800218 11.2552845841124 -924.88253905737</t>
  </si>
  <si>
    <t>-555.722824038138 79.0175389842711 -776.834196641649</t>
  </si>
  <si>
    <t>-516.892653369789 220.762794815964 -781.87504706095</t>
  </si>
  <si>
    <t>-412.43100978135 292.854111387724 -491.915084419625</t>
  </si>
  <si>
    <t>-205.746349499396 273.120785921554 -335.281498874791</t>
  </si>
  <si>
    <t>-562.409081003798 17.3920352774605 -762.656883995897</t>
  </si>
  <si>
    <t>-356.498775244852 6.58462536947582 -388.375154344165</t>
  </si>
  <si>
    <t>-580.746541525576 253.865397971291 -251.116976539732</t>
  </si>
  <si>
    <t>-579.259265758188 265.968687560546 204.414444422004</t>
  </si>
  <si>
    <t>-613.414114843717 251.094598281133 672.723982379821</t>
  </si>
  <si>
    <t>-455.282496817561 264.953511881669 748.525298675086</t>
  </si>
  <si>
    <t>-545.53636285239 62.9947810813185 -224.386626964381</t>
  </si>
  <si>
    <t>-441.737564499224 71.1627033925392 219.253796242214</t>
  </si>
  <si>
    <t>-613.31935114203 7.63503664153473 652.331488602634</t>
  </si>
  <si>
    <t>-459.563243566234 -35.0424087633796 726.366726188059</t>
  </si>
  <si>
    <t>9763-20170724T170130.996760900.bin</t>
  </si>
  <si>
    <t>-563.468494220985 158.468419765251 -238.09994206545</t>
  </si>
  <si>
    <t>-583.418075209954 138.230232771911 -355.829489105059</t>
  </si>
  <si>
    <t>-586.454162656958 115.159139481238 -474.779326626651</t>
  </si>
  <si>
    <t>-582.325905749562 92.682867227403 -581.889659752925</t>
  </si>
  <si>
    <t>-571.549244950341 68.2755877038032 -688.111192053147</t>
  </si>
  <si>
    <t>-549.784814421789 32.0587127742672 -834.448682413639</t>
  </si>
  <si>
    <t>-507.686988503387 11.0022589537919 -924.822220925113</t>
  </si>
  <si>
    <t>-556.033356381585 78.8848778517902 -776.818885509604</t>
  </si>
  <si>
    <t>-517.143219057368 220.622137090151 -781.942153481722</t>
  </si>
  <si>
    <t>-412.602288235712 292.565578453429 -491.973898322121</t>
  </si>
  <si>
    <t>-205.708762806478 273.360118505072 -335.550489106821</t>
  </si>
  <si>
    <t>-562.796435801081 17.2822621560076 -762.578845388939</t>
  </si>
  <si>
    <t>-356.769942966295 4.62964096958672 -385.961934303122</t>
  </si>
  <si>
    <t>-580.844680888221 254.000227826856 -251.081039721788</t>
  </si>
  <si>
    <t>-579.276298895314 266.011704914468 204.452598699761</t>
  </si>
  <si>
    <t>-613.457300241996 251.09117687382 672.752638035458</t>
  </si>
  <si>
    <t>-455.302040453842 264.772644516166 748.53679046044</t>
  </si>
  <si>
    <t>-546.0350550807 62.9827639934963 -224.43763496039</t>
  </si>
  <si>
    <t>-442.00722388406 70.8782004169645 219.154030962933</t>
  </si>
  <si>
    <t>-613.347549629669 7.46230072832236 652.407189321006</t>
  </si>
  <si>
    <t>-459.48746885049 -34.9209761565301 726.395305627643</t>
  </si>
  <si>
    <t>9763-20170724T170131.060935400.bin</t>
  </si>
  <si>
    <t>-564.135305443682 158.993246554307 -238.246945722243</t>
  </si>
  <si>
    <t>-584.255101429093 138.97812226256 -355.985642792153</t>
  </si>
  <si>
    <t>-587.32156094219 115.83873323911 -474.921511122398</t>
  </si>
  <si>
    <t>-583.175633933286 93.1780782463561 -581.992405779225</t>
  </si>
  <si>
    <t>-572.344594280414 68.4629776133133 -688.13696982232</t>
  </si>
  <si>
    <t>-550.475063567476 31.6885258764571 -834.319736290707</t>
  </si>
  <si>
    <t>-508.437855188206 10.3777093978754 -924.6618548826</t>
  </si>
  <si>
    <t>-556.64794210721 78.7255286192249 -776.853755606465</t>
  </si>
  <si>
    <t>-517.334457099236 220.324794968698 -782.384314639933</t>
  </si>
  <si>
    <t>-412.220122405455 293.311190337276 -492.88442543127</t>
  </si>
  <si>
    <t>-205.584312454026 274.179057839136 -336.111816019458</t>
  </si>
  <si>
    <t>-563.655338786398 17.1947335850518 -762.42304909186</t>
  </si>
  <si>
    <t>-358.566194420521 2.55880166641327 -384.20026905596</t>
  </si>
  <si>
    <t>-581.184392971434 254.563256559547 -251.050780468138</t>
  </si>
  <si>
    <t>-579.438450815362 266.228717147941 204.491270735742</t>
  </si>
  <si>
    <t>-613.536052139737 251.060267681731 672.794058724355</t>
  </si>
  <si>
    <t>-455.353744042885 264.602775954136 748.546688138767</t>
  </si>
  <si>
    <t>-547.045732900502 63.6072403464059 -224.686851492207</t>
  </si>
  <si>
    <t>-442.847030678422 70.5925609423518 218.879947748771</t>
  </si>
  <si>
    <t>-613.357973900033 7.43307094000193 652.491167050785</t>
  </si>
  <si>
    <t>-459.497300660886 -34.95868945699 726.47314688167</t>
  </si>
  <si>
    <t>9763-20170724T170131.098628800.bin</t>
  </si>
  <si>
    <t>-564.401365703145 159.279004663368 -238.254399395875</t>
  </si>
  <si>
    <t>-584.510452069873 139.3325666899 -356.006510318707</t>
  </si>
  <si>
    <t>-587.59074717296 116.035729924613 -474.9112938787</t>
  </si>
  <si>
    <t>-583.477242396958 93.1391097930052 -581.933142693046</t>
  </si>
  <si>
    <t>-572.705141070988 68.0941221684618 -688.006503436413</t>
  </si>
  <si>
    <t>-550.951357305777 30.7633525669949 -834.065346865247</t>
  </si>
  <si>
    <t>-509.018847241207 9.14184855444046 -924.382415999653</t>
  </si>
  <si>
    <t>-556.993867847229 78.012393934682 -776.759747261406</t>
  </si>
  <si>
    <t>-517.371710168308 219.518912111105 -782.743567313977</t>
  </si>
  <si>
    <t>-411.926831325187 293.27169666129 -493.558375125293</t>
  </si>
  <si>
    <t>-205.634238821785 273.652263149147 -336.394355826693</t>
  </si>
  <si>
    <t>-564.159572761799 16.5497055124463 -762.11795245181</t>
  </si>
  <si>
    <t>-358.874597569512 1.41833444326403 -385.058827615404</t>
  </si>
  <si>
    <t>-581.342140643761 254.840181287515 -251.032968456152</t>
  </si>
  <si>
    <t>-579.566827616292 266.381411221317 204.51212774083</t>
  </si>
  <si>
    <t>-613.573603415171 251.075302373801 672.807619033641</t>
  </si>
  <si>
    <t>-455.387166114781 264.615373693181 748.552015698811</t>
  </si>
  <si>
    <t>-547.368917241646 63.8237147756249 -224.748042886128</t>
  </si>
  <si>
    <t>-443.035075183912 70.668746016926 218.789174068377</t>
  </si>
  <si>
    <t>-613.332370840474 7.44126550021133 652.485841846519</t>
  </si>
  <si>
    <t>-459.506818247005 -35.0369198573512 726.491356776541</t>
  </si>
  <si>
    <t>9763-20170724T170131.162304700.bin</t>
  </si>
  <si>
    <t>-564.64528106546 159.929248364066 -238.211533815257</t>
  </si>
  <si>
    <t>-584.713522115284 140.020721479951 -355.977238134611</t>
  </si>
  <si>
    <t>-587.914294057065 116.199986039587 -474.774852717839</t>
  </si>
  <si>
    <t>-584.000582194007 92.5987011092773 -581.65094759761</t>
  </si>
  <si>
    <t>-573.535696027511 66.6176052745354 -687.529808429579</t>
  </si>
  <si>
    <t>-552.336595284266 27.7445205783015 -833.267585061401</t>
  </si>
  <si>
    <t>-510.762539778908 5.21639031085124 -923.528614455864</t>
  </si>
  <si>
    <t>-557.921189268669 75.5779985990032 -776.401927010478</t>
  </si>
  <si>
    <t>-517.325845234427 216.730892848195 -783.492056579054</t>
  </si>
  <si>
    <t>-410.496526526874 292.875515482917 -495.437019580363</t>
  </si>
  <si>
    <t>-204.162285132109 274.516400788386 -338.175588549708</t>
  </si>
  <si>
    <t>-565.511844255127 14.3113681301654 -761.164333123428</t>
  </si>
  <si>
    <t>-581.588143629273 255.606063354789 -251.016311698902</t>
  </si>
  <si>
    <t>-580.033925309503 266.780096097092 204.53869313408</t>
  </si>
  <si>
    <t>-613.651064997858 251.217525225067 672.793314560138</t>
  </si>
  <si>
    <t>-455.459713550077 264.594290080952 748.556556375413</t>
  </si>
  <si>
    <t>-547.616968354183 64.3058689209195 -224.792320862246</t>
  </si>
  <si>
    <t>-443.147595362744 71.1209462879222 218.713522966111</t>
  </si>
  <si>
    <t>-613.245163736024 7.45552060940599 652.422272394749</t>
  </si>
  <si>
    <t>-459.436923325993 -34.9561687816215 726.501868355126</t>
  </si>
  <si>
    <t>9763-20170724T170131.198770600.bin</t>
  </si>
  <si>
    <t>-564.693633236098 160.490267838713 -238.187496551469</t>
  </si>
  <si>
    <t>-584.731846693151 140.569031710394 -355.955894747186</t>
  </si>
  <si>
    <t>-588.005271307671 116.449769995764 -474.691511626337</t>
  </si>
  <si>
    <t>-584.211328144182 92.4642993303589 -581.486354307739</t>
  </si>
  <si>
    <t>-573.928295177628 65.9859884203925 -687.259729636443</t>
  </si>
  <si>
    <t>-553.053595849088 26.3064508801419 -832.826830521631</t>
  </si>
  <si>
    <t>-511.65629794223 3.24622991097203 -923.034727697784</t>
  </si>
  <si>
    <t>-558.382124024196 74.443245265601 -776.193174411625</t>
  </si>
  <si>
    <t>-517.228558335776 215.392800538088 -784.007229484007</t>
  </si>
  <si>
    <t>-409.260551769102 292.985804527293 -496.764335995026</t>
  </si>
  <si>
    <t>-203.148479509269 275.439801433751 -339.119124716867</t>
  </si>
  <si>
    <t>-566.197860658021 13.2836449482934 -760.642798479063</t>
  </si>
  <si>
    <t>-581.530943237798 256.195422803774 -251.043938652993</t>
  </si>
  <si>
    <t>-580.141762485372 267.148061600119 204.517045016846</t>
  </si>
  <si>
    <t>-613.68453134452 251.352705577023 672.758523355631</t>
  </si>
  <si>
    <t>-455.50471398965 264.636588130712 748.562203004228</t>
  </si>
  <si>
    <t>-547.768801746279 64.825319715814 -224.742149041012</t>
  </si>
  <si>
    <t>-443.151681597401 71.4407777145409 218.731699273846</t>
  </si>
  <si>
    <t>-613.200501637927 7.42798859465211 652.374909249238</t>
  </si>
  <si>
    <t>-459.461005973175 -35.146369530514 726.503836555805</t>
  </si>
  <si>
    <t>9763-20170724T170131.260946800.bin</t>
  </si>
  <si>
    <t>-564.747149362306 161.902042321744 -238.125950511385</t>
  </si>
  <si>
    <t>-584.8910176391 141.938535315767 -355.869281777557</t>
  </si>
  <si>
    <t>-588.387774025508 117.241700364341 -474.47962979409</t>
  </si>
  <si>
    <t>-584.864881698628 92.5224074321206 -581.116353227452</t>
  </si>
  <si>
    <t>-574.935494754772 65.1047443893822 -686.683996913634</t>
  </si>
  <si>
    <t>-554.651090724813 23.9102963194873 -831.913327713513</t>
  </si>
  <si>
    <t>-559.495340690982 72.6121496232984 -775.720916512739</t>
  </si>
  <si>
    <t>-517.303975567063 213.172721392047 -784.99431301243</t>
  </si>
  <si>
    <t>-407.692111976882 292.727217660819 -498.913000433328</t>
  </si>
  <si>
    <t>-202.271308126765 275.70912829605 -340.310595529902</t>
  </si>
  <si>
    <t>-567.75728729707 11.662826950326 -759.58668606019</t>
  </si>
  <si>
    <t>-581.186274251014 257.77697669662 -251.115606619661</t>
  </si>
  <si>
    <t>-579.735563237362 268.150253841207 204.458653428302</t>
  </si>
  <si>
    <t>-613.715572641556 251.598228087275 672.656846791596</t>
  </si>
  <si>
    <t>-455.571119315581 264.51966113658 748.596880748418</t>
  </si>
  <si>
    <t>-548.246256869539 66.0866875603024 -224.492957949472</t>
  </si>
  <si>
    <t>-442.735083892998 72.2865494431319 218.775118740121</t>
  </si>
  <si>
    <t>-613.075841044822 7.59757296750854 652.19418375445</t>
  </si>
  <si>
    <t>-459.454373090838 -35.1945264759083 726.442384013108</t>
  </si>
  <si>
    <t>9763-20170724T170131.299052800.bin</t>
  </si>
  <si>
    <t>-564.695134253652 162.567209520124 -238.094522877219</t>
  </si>
  <si>
    <t>-584.948818824683 142.509564997986 -355.803006213184</t>
  </si>
  <si>
    <t>-588.571565652131 117.533408022026 -474.35106122036</t>
  </si>
  <si>
    <t>-585.176359559613 92.4879417876703 -580.915858146157</t>
  </si>
  <si>
    <t>-575.393443815638 64.6718766298795 -686.392905572758</t>
  </si>
  <si>
    <t>-555.336841613007 22.8502776710013 -831.47458585603</t>
  </si>
  <si>
    <t>-559.976300733045 71.7836960887128 -775.466403736072</t>
  </si>
  <si>
    <t>-517.27818713258 212.144828996176 -785.280094603951</t>
  </si>
  <si>
    <t>-407.336440520117 291.865494970654 -499.371490494547</t>
  </si>
  <si>
    <t>-202.266451253693 274.268390231388 -340.378836726529</t>
  </si>
  <si>
    <t>-568.446261360099 10.9262677637687 -759.094392994095</t>
  </si>
  <si>
    <t>-580.952348791829 258.486358625725 -251.143297393264</t>
  </si>
  <si>
    <t>-579.450841009282 268.54990837846 204.437787358336</t>
  </si>
  <si>
    <t>-613.708646736166 251.616862754333 672.605421780049</t>
  </si>
  <si>
    <t>-455.590564579909 264.511121143914 748.604881928545</t>
  </si>
  <si>
    <t>-548.38163998876 66.6628952743752 -224.376630507012</t>
  </si>
  <si>
    <t>-442.747444562641 72.7789715486729 218.863412640296</t>
  </si>
  <si>
    <t>-613.044598909553 7.61477170577837 652.164188735011</t>
  </si>
  <si>
    <t>-459.426779720822 -35.1746149401622 726.42146112567</t>
  </si>
  <si>
    <t>9763-20170724T170131.364730100.bin</t>
  </si>
  <si>
    <t>-564.700969647735 163.586757842794 -238.025434357881</t>
  </si>
  <si>
    <t>-585.056790938508 143.436353464405 -355.70041027857</t>
  </si>
  <si>
    <t>-588.830485926373 118.088896567406 -474.164971996985</t>
  </si>
  <si>
    <t>-585.601868750995 92.599725877827 -580.629544176092</t>
  </si>
  <si>
    <t>-576.022358845638 64.2359983160111 -685.979328118511</t>
  </si>
  <si>
    <t>-556.29285036711 21.5484814921347 -830.853598733095</t>
  </si>
  <si>
    <t>-560.648789148275 70.8004681321318 -775.102331178509</t>
  </si>
  <si>
    <t>-517.206987159354 210.905928741321 -785.63623142109</t>
  </si>
  <si>
    <t>-407.193239487534 289.969814884549 -499.573234886597</t>
  </si>
  <si>
    <t>-202.437125934503 271.10711731072 -340.321112966783</t>
  </si>
  <si>
    <t>-569.396321694511 10.0722887179604 -758.399996565626</t>
  </si>
  <si>
    <t>-580.710122597029 259.74585151619 -251.204134441303</t>
  </si>
  <si>
    <t>-579.101733383474 269.259248552754 204.388417676258</t>
  </si>
  <si>
    <t>-613.759665579285 251.777443189039 672.541285080433</t>
  </si>
  <si>
    <t>-455.653755286391 264.365807504945 748.617317267903</t>
  </si>
  <si>
    <t>-548.68179841172 67.5716281737516 -224.166628689377</t>
  </si>
  <si>
    <t>-442.361720802393 73.3554881230048 218.9138120345</t>
  </si>
  <si>
    <t>-612.980984042371 7.59161665614511 652.105380902647</t>
  </si>
  <si>
    <t>-459.352398311718 -35.1275165741213 726.380809751755</t>
  </si>
  <si>
    <t>9763-20170724T170131.395313300.bin</t>
  </si>
  <si>
    <t>-564.871488817603 164.097575010959 -237.997307810696</t>
  </si>
  <si>
    <t>-585.251983963416 143.879518065653 -355.656391180469</t>
  </si>
  <si>
    <t>-589.08573462091 118.360550057447 -474.082045071017</t>
  </si>
  <si>
    <t>-585.930446813564 92.6748508901535 -580.501747630888</t>
  </si>
  <si>
    <t>-576.446150548722 64.0742480134174 -685.796115264631</t>
  </si>
  <si>
    <t>-556.874585802035 21.0165146674681 -830.58215389313</t>
  </si>
  <si>
    <t>-561.132156477362 70.4071645634388 -774.946205508978</t>
  </si>
  <si>
    <t>-517.528247184365 210.424015341274 -785.81202997628</t>
  </si>
  <si>
    <t>-407.111352476803 289.151690473162 -499.811482622513</t>
  </si>
  <si>
    <t>-202.273337817684 270.519130173223 -340.637972673982</t>
  </si>
  <si>
    <t>-569.936629677099 9.72933887737395 -758.091361494722</t>
  </si>
  <si>
    <t>-580.860881478861 260.288855855095 -251.216398826501</t>
  </si>
  <si>
    <t>-579.133560944586 269.551156827317 204.380876420813</t>
  </si>
  <si>
    <t>-613.774581842733 251.805030051386 672.511984992758</t>
  </si>
  <si>
    <t>-455.665942083669 264.172542188515 748.618511249662</t>
  </si>
  <si>
    <t>-548.893055905602 68.0894275574299 -224.100778019535</t>
  </si>
  <si>
    <t>-442.385263225955 73.6281788645051 218.937667704294</t>
  </si>
  <si>
    <t>-612.965215167155 7.62686795426089 652.092743943156</t>
  </si>
  <si>
    <t>-459.304460504002 -35.0067138253794 726.350817761295</t>
  </si>
  <si>
    <t>9763-20170724T170131.471527300.bin</t>
  </si>
  <si>
    <t>-565.27759417028 165.011039873464 -238.047569675166</t>
  </si>
  <si>
    <t>-585.577173852117 144.793181879651 -355.720603774075</t>
  </si>
  <si>
    <t>-589.361848815536 118.999022857369 -474.088227848395</t>
  </si>
  <si>
    <t>-586.187078508891 92.9574662438481 -580.420750518939</t>
  </si>
  <si>
    <t>-576.715794507954 63.8967163158327 -685.590412695497</t>
  </si>
  <si>
    <t>-557.203067543119 20.0942783933899 -830.16072565056</t>
  </si>
  <si>
    <t>-561.45978932643 69.7727288392705 -774.781693245019</t>
  </si>
  <si>
    <t>-517.950766346566 209.753951359261 -786.470498831038</t>
  </si>
  <si>
    <t>-406.151295606963 288.180131593475 -500.924607358735</t>
  </si>
  <si>
    <t>-201.42302659413 269.624883524756 -341.600699879339</t>
  </si>
  <si>
    <t>-570.21383738068 9.1782557076408 -757.603933611009</t>
  </si>
  <si>
    <t>-581.300246109558 261.093287447706 -251.244387431775</t>
  </si>
  <si>
    <t>-579.238741527958 269.936275592311 204.359816357126</t>
  </si>
  <si>
    <t>-613.797359712895 251.671922054017 672.455840874366</t>
  </si>
  <si>
    <t>-455.709433901678 264.295357483589 748.563402876877</t>
  </si>
  <si>
    <t>-549.148416086733 69.094628867786 -224.154575895223</t>
  </si>
  <si>
    <t>-442.623591680094 74.1087848850266 218.88600128032</t>
  </si>
  <si>
    <t>-612.964923239653 7.78200375288202 652.125555065219</t>
  </si>
  <si>
    <t>-459.32949483967 -35.0269333452386 726.335141854425</t>
  </si>
  <si>
    <t>9763-20170724T170131.500503200.bin</t>
  </si>
  <si>
    <t>-565.523020825231 165.363454373771 -238.025115741641</t>
  </si>
  <si>
    <t>-585.801463729305 145.105762297246 -355.695105807473</t>
  </si>
  <si>
    <t>-589.551495800451 119.209596467881 -474.041534650244</t>
  </si>
  <si>
    <t>-586.342808366001 93.051563813103 -580.34454172798</t>
  </si>
  <si>
    <t>-576.836839736263 63.8507278643012 -685.472165004866</t>
  </si>
  <si>
    <t>-557.276931039762 19.8297603064409 -829.969637280207</t>
  </si>
  <si>
    <t>-561.577284580345 69.5944507211639 -774.671458602214</t>
  </si>
  <si>
    <t>-518.158187120287 209.58080537087 -786.623724361969</t>
  </si>
  <si>
    <t>-405.786299758034 287.936257350949 -501.283289447782</t>
  </si>
  <si>
    <t>-201.082127429776 268.843163033007 -341.992083160007</t>
  </si>
  <si>
    <t>-570.285884211273 9.02087221139391 -757.39658603149</t>
  </si>
  <si>
    <t>-581.617439050959 261.441506392501 -251.250968303757</t>
  </si>
  <si>
    <t>-579.445947677397 270.171745590518 204.354893800614</t>
  </si>
  <si>
    <t>-613.817467157562 251.70497996498 672.45940189656</t>
  </si>
  <si>
    <t>-455.721403471583 264.162158994054 748.577483008781</t>
  </si>
  <si>
    <t>-549.373570933095 69.4092738737322 -224.075521667416</t>
  </si>
  <si>
    <t>-442.608459995389 74.2402268089409 218.909265790612</t>
  </si>
  <si>
    <t>-612.962833368813 7.65974528032075 652.124862294733</t>
  </si>
  <si>
    <t>-459.215764088249 -34.8018734112011 726.30276464345</t>
  </si>
  <si>
    <t>9763-20170724T170131.563686200.bin</t>
  </si>
  <si>
    <t>-565.999103323609 165.864066002049 -238.003412639369</t>
  </si>
  <si>
    <t>-586.310972743677 145.469246743982 -355.643901075945</t>
  </si>
  <si>
    <t>-590.087365834123 119.491665693796 -473.971782085923</t>
  </si>
  <si>
    <t>-586.897769760547 93.2812997551607 -580.262336913645</t>
  </si>
  <si>
    <t>-577.405259350592 64.0480853274887 -685.382101714315</t>
  </si>
  <si>
    <t>-557.857451723856 20.0016481859293 -829.87364213322</t>
  </si>
  <si>
    <t>-562.186688598541 69.7791855686951 -774.589185199536</t>
  </si>
  <si>
    <t>-519.006577193588 209.815484303472 -786.741172141642</t>
  </si>
  <si>
    <t>-405.990363219232 287.147976714393 -501.376041925745</t>
  </si>
  <si>
    <t>-202.392267155283 265.117061498075 -341.049800893695</t>
  </si>
  <si>
    <t>-570.826806767631 9.20236968153267 -757.292068096325</t>
  </si>
  <si>
    <t>-582.353338462816 261.926436013871 -251.2926847836</t>
  </si>
  <si>
    <t>-579.98779110233 270.415677474518 204.31686160347</t>
  </si>
  <si>
    <t>-613.80660529774 251.516862163407 672.478986643769</t>
  </si>
  <si>
    <t>-455.724120620283 264.248784303287 748.579836941504</t>
  </si>
  <si>
    <t>-549.558408614508 69.8561827860869 -224.03091727772</t>
  </si>
  <si>
    <t>-442.727936681893 74.6602847728147 218.938374234509</t>
  </si>
  <si>
    <t>-612.955214204161 7.75645700124983 652.131536156548</t>
  </si>
  <si>
    <t>-459.212235849253 -34.8267609072177 726.248160486671</t>
  </si>
  <si>
    <t>9763-20170724T170131.594335000.bin</t>
  </si>
  <si>
    <t>-566.223380667895 165.922548940938 -237.948436520026</t>
  </si>
  <si>
    <t>-586.488474777609 145.476795302852 -355.588155260293</t>
  </si>
  <si>
    <t>-590.244421895848 119.496343588025 -473.916069718158</t>
  </si>
  <si>
    <t>-587.045273390447 93.3032189473779 -580.210678120923</t>
  </si>
  <si>
    <t>-577.550754120343 64.1071249269057 -685.340460712918</t>
  </si>
  <si>
    <t>-558.00670153312 20.1325635743062 -829.854395364994</t>
  </si>
  <si>
    <t>-562.347273901632 69.8838533790279 -774.547153333503</t>
  </si>
  <si>
    <t>-519.291020530455 209.984387575276 -786.619406368138</t>
  </si>
  <si>
    <t>-406.302644110165 286.492711447988 -501.021321537717</t>
  </si>
  <si>
    <t>-203.577844136177 261.971864622497 -339.95157762738</t>
  </si>
  <si>
    <t>-570.961383416624 9.29605063477288 -757.275723961286</t>
  </si>
  <si>
    <t>-582.605001640436 261.963503811465 -251.296403165319</t>
  </si>
  <si>
    <t>-580.219306534903 270.431084754304 204.313395624681</t>
  </si>
  <si>
    <t>-613.828569018425 251.480048428656 672.488441863943</t>
  </si>
  <si>
    <t>-455.736361072986 264.189080930259 748.5729575552</t>
  </si>
  <si>
    <t>-549.743667096349 69.9734208644029 -223.950515068955</t>
  </si>
  <si>
    <t>-442.777599008248 74.735104635967 218.986605689738</t>
  </si>
  <si>
    <t>-612.950986532966 7.77268634300253 652.147517238958</t>
  </si>
  <si>
    <t>-459.106790328746 -34.5325825377565 726.213282000147</t>
  </si>
  <si>
    <t>9763-20170724T170131.664026500.bin</t>
  </si>
  <si>
    <t>-566.487937586868 165.865484858192 -237.929674138486</t>
  </si>
  <si>
    <t>-586.850449101802 145.321499153078 -355.535428054651</t>
  </si>
  <si>
    <t>-590.583374849831 119.329922710331 -473.861553915075</t>
  </si>
  <si>
    <t>-587.312330932946 93.155724355051 -580.158647829416</t>
  </si>
  <si>
    <t>-577.694408282958 64.0032561031012 -685.289531101981</t>
  </si>
  <si>
    <t>-557.925317694496 20.112089902455 -829.798092354218</t>
  </si>
  <si>
    <t>-562.37731786714 69.8339866693452 -774.473165826231</t>
  </si>
  <si>
    <t>-519.484689014644 209.984342254808 -786.393445005865</t>
  </si>
  <si>
    <t>-406.313845709837 285.214944768758 -500.528258785881</t>
  </si>
  <si>
    <t>-203.651077789348 259.686289927904 -339.537064664395</t>
  </si>
  <si>
    <t>-570.967731275756 9.2312922212875 -757.241787610853</t>
  </si>
  <si>
    <t>-583.151056866416 261.905932945418 -251.29864290628</t>
  </si>
  <si>
    <t>-580.358257143912 270.345332745648 204.309409085237</t>
  </si>
  <si>
    <t>-613.878843796812 251.38599829958 672.503574864225</t>
  </si>
  <si>
    <t>-455.785477764146 264.292704512838 748.55233742259</t>
  </si>
  <si>
    <t>-549.806897912019 69.9178749125936 -223.911028367639</t>
  </si>
  <si>
    <t>-442.717431646518 74.737390109133 218.99556598504</t>
  </si>
  <si>
    <t>-612.921340923304 7.70499478354441 652.14964584</t>
  </si>
  <si>
    <t>-459.063024292875 -34.5614674116925 726.208189145638</t>
  </si>
  <si>
    <t>9763-20170724T170131.699659500.bin</t>
  </si>
  <si>
    <t>-566.699032024674 165.638551763267 -237.987928563421</t>
  </si>
  <si>
    <t>-587.099279565011 145.104162095736 -355.588749443281</t>
  </si>
  <si>
    <t>-590.878435846469 119.147845927622 -473.921207182595</t>
  </si>
  <si>
    <t>-587.652267648574 93.0130626716159 -580.229302447713</t>
  </si>
  <si>
    <t>-578.082425810027 63.9057687211439 -685.376958186481</t>
  </si>
  <si>
    <t>-558.383738319464 20.0817204891171 -829.915609710871</t>
  </si>
  <si>
    <t>-562.799297734176 69.7769573392679 -774.563937106301</t>
  </si>
  <si>
    <t>-519.932682753797 209.942486636383 -786.421243148329</t>
  </si>
  <si>
    <t>-406.566134842792 284.872126009562 -500.554570708922</t>
  </si>
  <si>
    <t>-204.027657743636 259.003576977804 -339.46117720176</t>
  </si>
  <si>
    <t>-571.400306663809 9.16816505852785 -757.359530556376</t>
  </si>
  <si>
    <t>-583.437492244076 261.622396804043 -251.294297061156</t>
  </si>
  <si>
    <t>-580.425462054625 270.12485683351 204.311152817868</t>
  </si>
  <si>
    <t>-613.872397728698 251.205047391164 672.530271275623</t>
  </si>
  <si>
    <t>-455.774357590422 264.238399241334 748.547705779482</t>
  </si>
  <si>
    <t>-549.94810247613 69.7635787135025 -223.970077072342</t>
  </si>
  <si>
    <t>-442.886486815487 74.557839741763 218.943605111588</t>
  </si>
  <si>
    <t>-612.926983745351 7.58136865310439 652.191057885512</t>
  </si>
  <si>
    <t>-459.0014522024 -34.4707356954957 726.232031277973</t>
  </si>
  <si>
    <t>9763-20170724T170131.760820600.bin</t>
  </si>
  <si>
    <t>-567.096651580265 165.149345297343 -237.96025942459</t>
  </si>
  <si>
    <t>-587.560760499153 144.65783750818 -355.557574228839</t>
  </si>
  <si>
    <t>-591.471782949439 118.763043840996 -473.89914425327</t>
  </si>
  <si>
    <t>-588.392292379292 92.6884689153669 -580.226431933452</t>
  </si>
  <si>
    <t>-578.996510095707 63.6446759145422 -685.407431957539</t>
  </si>
  <si>
    <t>-559.568332264403 19.9104149500565 -830.009810362658</t>
  </si>
  <si>
    <t>-563.80831976245 69.5642519944272 -774.60730304458</t>
  </si>
  <si>
    <t>-520.913288073294 209.723897914352 -786.469734751183</t>
  </si>
  <si>
    <t>-407.746419423676 284.499451296775 -500.483704394374</t>
  </si>
  <si>
    <t>-205.452068298763 257.236244471708 -339.313645304562</t>
  </si>
  <si>
    <t>-572.521064124464 8.95860584692264 -757.44806363054</t>
  </si>
  <si>
    <t>-583.819089496238 261.037244858619 -251.237354779779</t>
  </si>
  <si>
    <t>-580.527142338236 269.699816998736 204.363080279218</t>
  </si>
  <si>
    <t>-613.939439464771 251.101620570202 672.591502452718</t>
  </si>
  <si>
    <t>-455.805566536108 264.086560031502 748.542806806983</t>
  </si>
  <si>
    <t>-550.289047348391 69.3367783084443 -224.012317216863</t>
  </si>
  <si>
    <t>-443.220446992846 74.3609957276344 218.897095516889</t>
  </si>
  <si>
    <t>-612.923266241263 7.82045665412875 652.260874185098</t>
  </si>
  <si>
    <t>-459.071335137893 -34.54338678832 726.277085786706</t>
  </si>
  <si>
    <t>9763-20170724T170131.793835400.bin</t>
  </si>
  <si>
    <t>-567.240562467585 164.858749301614 -237.965242094615</t>
  </si>
  <si>
    <t>-587.758619016525 144.385050444586 -355.556097162779</t>
  </si>
  <si>
    <t>-591.745630019201 118.484541702 -473.894017173173</t>
  </si>
  <si>
    <t>-588.744490797463 92.3949440118149 -580.219910860486</t>
  </si>
  <si>
    <t>-579.437286651787 63.3263367595914 -685.401730677201</t>
  </si>
  <si>
    <t>-560.143383646268 19.5475886203087 -830.008716555611</t>
  </si>
  <si>
    <t>-564.276501370309 69.2130840538998 -774.6086397842</t>
  </si>
  <si>
    <t>-521.328673729455 209.353222107864 -786.492111248743</t>
  </si>
  <si>
    <t>-408.107159284298 284.434604783202 -500.607825275182</t>
  </si>
  <si>
    <t>-206.24437100205 255.664286092764 -339.159003973319</t>
  </si>
  <si>
    <t>-573.084183557779 8.62361558301836 -757.44061324441</t>
  </si>
  <si>
    <t>-583.869571713541 260.715378204203 -251.222846084705</t>
  </si>
  <si>
    <t>-580.55313746098 269.54315556175 204.374288665859</t>
  </si>
  <si>
    <t>-614.006677141387 251.160596254956 672.619643303017</t>
  </si>
  <si>
    <t>-455.852771922261 264.076740863189 748.54073846361</t>
  </si>
  <si>
    <t>-550.551873303889 69.0894208067896 -224.026418362622</t>
  </si>
  <si>
    <t>-443.376856032818 74.165918373325 218.856617923869</t>
  </si>
  <si>
    <t>-612.922114572883 8.00140897421829 652.307060588088</t>
  </si>
  <si>
    <t>-459.170824172079 -34.732888800577 726.31945252095</t>
  </si>
  <si>
    <t>9763-20170724T170131.859511400.bin</t>
  </si>
  <si>
    <t>-567.440114504849 163.812714840486 -237.935665591403</t>
  </si>
  <si>
    <t>-588.160478266298 143.424962957345 -355.506154873392</t>
  </si>
  <si>
    <t>-592.316564145659 117.522039145837 -473.837497125654</t>
  </si>
  <si>
    <t>-589.45677153951 91.3944375001568 -580.157890595048</t>
  </si>
  <si>
    <t>-580.280971494403 62.2529872773032 -685.331263489577</t>
  </si>
  <si>
    <t>-561.160847205797 18.3379293947505 -829.919930262894</t>
  </si>
  <si>
    <t>-565.12715332058 68.0454847010951 -774.545402794067</t>
  </si>
  <si>
    <t>-521.973968376148 208.105304121724 -786.51961600796</t>
  </si>
  <si>
    <t>-409.349979718932 283.345213547498 -500.441036128641</t>
  </si>
  <si>
    <t>-208.733339984535 249.160496356774 -338.495157451015</t>
  </si>
  <si>
    <t>-574.114738851961 7.49241030940993 -757.342532786061</t>
  </si>
  <si>
    <t>-583.732033558758 259.743982334215 -251.156043078666</t>
  </si>
  <si>
    <t>-580.180314024527 268.91986800451 204.432497176459</t>
  </si>
  <si>
    <t>-614.089766597339 251.061023413486 672.682257501765</t>
  </si>
  <si>
    <t>-455.910739344656 264.058318637758 748.537234475688</t>
  </si>
  <si>
    <t>-551.096700093819 67.9161750167671 -224.033048772137</t>
  </si>
  <si>
    <t>-443.682085316503 73.3448581844129 218.787810727625</t>
  </si>
  <si>
    <t>-612.932764395518 8.03008033999026 652.466927560015</t>
  </si>
  <si>
    <t>-459.198490122178 -34.7876424133133 726.46642984092</t>
  </si>
  <si>
    <t>9763-20170724T170131.897869400.bin</t>
  </si>
  <si>
    <t>-567.468111205327 163.277399506939 -237.951797835581</t>
  </si>
  <si>
    <t>-588.206136564639 142.955712808872 -355.530613643992</t>
  </si>
  <si>
    <t>-592.351725518173 117.064605736535 -473.865054780699</t>
  </si>
  <si>
    <t>-589.472622980503 90.9266982617257 -580.182328145323</t>
  </si>
  <si>
    <t>-580.268735008017 61.7551626147942 -685.344829564619</t>
  </si>
  <si>
    <t>-561.101646116707 17.7780330431042 -829.90845277196</t>
  </si>
  <si>
    <t>-565.04461053928 67.5050757236868 -774.549756207402</t>
  </si>
  <si>
    <t>-521.864732782738 207.550544074828 -786.583320930487</t>
  </si>
  <si>
    <t>-409.461276155288 283.209302902311 -500.528397493752</t>
  </si>
  <si>
    <t>-210.157849837212 243.66116636236 -338.182718374124</t>
  </si>
  <si>
    <t>-574.120385334589 6.96786206350998 -757.337227517351</t>
  </si>
  <si>
    <t>-583.539358143814 259.260174228795 -251.171124703418</t>
  </si>
  <si>
    <t>-579.913148666875 268.596153281658 204.41353135086</t>
  </si>
  <si>
    <t>-614.127917604503 251.047664318621 672.634960254347</t>
  </si>
  <si>
    <t>-455.937229744656 263.90674342163 748.489150685653</t>
  </si>
  <si>
    <t>-551.308791180814 67.4238425764036 -224.081857040478</t>
  </si>
  <si>
    <t>-443.874931645641 72.8279148041863 218.734593375935</t>
  </si>
  <si>
    <t>-612.936835785566 7.88841655606234 652.549594632368</t>
  </si>
  <si>
    <t>-459.11906814985 -34.6553869798565 726.533559053502</t>
  </si>
  <si>
    <t>9763-20170724T170131.988759700.bin</t>
  </si>
  <si>
    <t>-567.443261307494 162.786369707472 -237.946177184323</t>
  </si>
  <si>
    <t>-588.237326838353 142.526169066077 -355.525635450953</t>
  </si>
  <si>
    <t>-592.410140689398 116.655281040033 -473.863406489718</t>
  </si>
  <si>
    <t>-589.54538929499 90.5180246304117 -580.181416095359</t>
  </si>
  <si>
    <t>-580.346789445588 61.3295914041917 -685.33977697374</t>
  </si>
  <si>
    <t>-561.178689611602 17.3109266401927 -829.890569967853</t>
  </si>
  <si>
    <t>-565.070194300943 67.0486226319777 -774.537719220647</t>
  </si>
  <si>
    <t>-521.759543382169 207.065099387112 -786.653952580802</t>
  </si>
  <si>
    <t>-409.848765804018 283.06794391402 -500.496989383742</t>
  </si>
  <si>
    <t>-211.702541411889 237.801827848009 -338.228233246562</t>
  </si>
  <si>
    <t>-574.249745293334 6.52708215951429 -757.324879297996</t>
  </si>
  <si>
    <t>-583.357992859361 258.767998799986 -251.155428113107</t>
  </si>
  <si>
    <t>-579.559692042345 268.283023435248 204.424097535551</t>
  </si>
  <si>
    <t>-614.149918953889 250.965649431143 672.622970189048</t>
  </si>
  <si>
    <t>-455.957688052161 263.867410211918 748.466649163194</t>
  </si>
  <si>
    <t>-551.444979201175 66.9447636479697 -224.099735825917</t>
  </si>
  <si>
    <t>-443.94418295489 72.3820864554309 218.700124008463</t>
  </si>
  <si>
    <t>-612.93039465534 7.82414459643201 652.627271262654</t>
  </si>
  <si>
    <t>-459.190062237514 -34.9696110929856 726.62808821124</t>
  </si>
  <si>
    <t>9763-20170724T170131.995778100.bin</t>
  </si>
  <si>
    <t>-567.44648869567 161.654965594998 -237.80127261015</t>
  </si>
  <si>
    <t>-588.431673012255 141.414598893604 -355.350222852386</t>
  </si>
  <si>
    <t>-592.557310360351 115.594471110329 -473.700778198428</t>
  </si>
  <si>
    <t>-589.552441622631 89.5077506136909 -580.02723898639</t>
  </si>
  <si>
    <t>-580.117529839533 60.3701212570709 -685.178602967396</t>
  </si>
  <si>
    <t>-560.522910674652 16.4186898461719 -829.692792114196</t>
  </si>
  <si>
    <t>-564.524617634662 66.1249713626505 -774.319562360427</t>
  </si>
  <si>
    <t>-520.831331643204 206.011702660037 -786.109878197213</t>
  </si>
  <si>
    <t>-410.310120003677 281.04570268355 -499.158373479915</t>
  </si>
  <si>
    <t>-213.205055869914 225.241631326373 -338.916324281337</t>
  </si>
  <si>
    <t>-573.861225653226 5.60675435859844 -757.180000275624</t>
  </si>
  <si>
    <t>-583.183977603774 257.644277222672 -251.011894956246</t>
  </si>
  <si>
    <t>-578.764899122248 267.536670804637 204.553893226972</t>
  </si>
  <si>
    <t>-614.20070941349 250.763486190707 672.722682955079</t>
  </si>
  <si>
    <t>-455.992596822138 263.754503344913 748.518043011926</t>
  </si>
  <si>
    <t>-551.619487457992 65.7409121752605 -223.961067416585</t>
  </si>
  <si>
    <t>-443.924828595028 71.7713046327704 218.783940420614</t>
  </si>
  <si>
    <t>-612.911765948926 7.98192241214929 652.77492998582</t>
  </si>
  <si>
    <t>-459.216642525838 -34.9642587627889 726.78127678068</t>
  </si>
  <si>
    <t>9763-20170724T170132.063463700.bin</t>
  </si>
  <si>
    <t>-567.900060789692 160.749481492127 -237.721716128475</t>
  </si>
  <si>
    <t>-589.077001261241 140.420922658442 -355.220943373333</t>
  </si>
  <si>
    <t>-593.134584303901 114.761528961715 -473.608834593392</t>
  </si>
  <si>
    <t>-589.953919608721 88.9085141894025 -579.987218820072</t>
  </si>
  <si>
    <t>-580.225320808903 60.0847393033434 -685.198414970612</t>
  </si>
  <si>
    <t>-560.097527242792 16.6457701347233 -829.79420570452</t>
  </si>
  <si>
    <t>-564.402621672941 66.1659065996498 -774.277173869086</t>
  </si>
  <si>
    <t>-520.254417435536 205.986678762314 -785.231516783735</t>
  </si>
  <si>
    <t>-409.689145202988 278.084620638296 -497.545332674136</t>
  </si>
  <si>
    <t>-212.046824420967 222.537898825236 -337.876443703198</t>
  </si>
  <si>
    <t>-573.60428525585 5.56638768669359 -757.352937534905</t>
  </si>
  <si>
    <t>-583.980390235682 256.595420787379 -250.857784151377</t>
  </si>
  <si>
    <t>-578.050835196287 266.748582736272 204.685146110992</t>
  </si>
  <si>
    <t>-614.150772050669 250.129035506754 672.851139196009</t>
  </si>
  <si>
    <t>-455.955445119394 263.795266563606 748.554429601497</t>
  </si>
  <si>
    <t>-551.810857199114 65.1136621281532 -223.881215147724</t>
  </si>
  <si>
    <t>-444.055058173301 71.2227772774934 218.847821843138</t>
  </si>
  <si>
    <t>-612.88245143273 7.97057183880906 652.943892386271</t>
  </si>
  <si>
    <t>-459.195245029908 -34.9508241488884 726.981082228525</t>
  </si>
  <si>
    <t>9763-20170724T170132.097719400.bin</t>
  </si>
  <si>
    <t>-568.471150206415 160.505176542905 -237.743264206626</t>
  </si>
  <si>
    <t>-589.649991213939 140.140484069334 -355.236105878629</t>
  </si>
  <si>
    <t>-593.583160381564 114.628676906006 -473.660171188305</t>
  </si>
  <si>
    <t>-590.234463703745 88.9718028732432 -580.080737835928</t>
  </si>
  <si>
    <t>-580.280878170529 60.3994442927626 -685.339533025726</t>
  </si>
  <si>
    <t>-559.780455192401 17.3610853955781 -830.002720258032</t>
  </si>
  <si>
    <t>-564.284891770056 66.7331384829631 -774.369665531952</t>
  </si>
  <si>
    <t>-519.921092869477 206.527922384706 -784.626166502892</t>
  </si>
  <si>
    <t>-409.07324953489 276.700869635746 -496.572851452989</t>
  </si>
  <si>
    <t>-210.038782776758 225.121286904605 -337.302980032065</t>
  </si>
  <si>
    <t>-573.417636846905 6.07534909961942 -757.617712855283</t>
  </si>
  <si>
    <t>-584.773509868726 256.063674852855 -250.819899661532</t>
  </si>
  <si>
    <t>-578.130596859544 266.348881731935 204.710336514212</t>
  </si>
  <si>
    <t>-613.978503051624 249.626884964995 672.812637079411</t>
  </si>
  <si>
    <t>-455.868709918854 263.876800191432 748.587049785319</t>
  </si>
  <si>
    <t>-552.183363248889 65.1954800475742 -223.939717298538</t>
  </si>
  <si>
    <t>-444.305721782774 71.1120568591862 218.762210649668</t>
  </si>
  <si>
    <t>-612.843456592387 8.05698048555792 653.010827277102</t>
  </si>
  <si>
    <t>-459.20360921434 -34.9180898545771 727.115112106166</t>
  </si>
  <si>
    <t>9763-20170724T170132.164397800.bin</t>
  </si>
  <si>
    <t>-569.85986042753 160.620734752787 -238.302356997628</t>
  </si>
  <si>
    <t>-590.816770397051 140.18482846629 -355.822596706639</t>
  </si>
  <si>
    <t>-594.494877178406 114.835043746188 -474.28958641846</t>
  </si>
  <si>
    <t>-590.90323133862 89.3931907080387 -580.753948013685</t>
  </si>
  <si>
    <t>-580.697274900849 61.0877230033568 -686.060699432661</t>
  </si>
  <si>
    <t>-559.840455464832 18.4600631023475 -830.794383304193</t>
  </si>
  <si>
    <t>-564.502172228099 67.6759953297048 -775.036316006624</t>
  </si>
  <si>
    <t>-519.533913049086 207.40651773385 -784.30840696975</t>
  </si>
  <si>
    <t>-406.922217648683 273.85024149488 -496.054999632443</t>
  </si>
  <si>
    <t>-204.633903444758 235.267376739355 -337.206451944503</t>
  </si>
  <si>
    <t>-573.635782883019 6.96680642407114 -758.47209256168</t>
  </si>
  <si>
    <t>-586.842895067831 255.553183424507 -251.343467983136</t>
  </si>
  <si>
    <t>-578.872878349825 265.857072532555 204.164986963476</t>
  </si>
  <si>
    <t>-613.306676946853 249.094527330931 672.292280585584</t>
  </si>
  <si>
    <t>-455.554225144338 264.242180284592 748.635064352976</t>
  </si>
  <si>
    <t>-552.768249320139 65.7928729732505 -224.650028471821</t>
  </si>
  <si>
    <t>-445.302857593415 71.1094273222288 218.159881404277</t>
  </si>
  <si>
    <t>-612.641188006844 7.85400997292845 652.891832918198</t>
  </si>
  <si>
    <t>-458.98993509356 -34.1867865568693 727.506721008638</t>
  </si>
  <si>
    <t>9763-20170724T170132.197992000.bin</t>
  </si>
  <si>
    <t>-570.846678946206 160.702712357772 -238.543378891561</t>
  </si>
  <si>
    <t>-591.655761511517 140.204596642301 -356.078933687717</t>
  </si>
  <si>
    <t>-595.195713530842 114.838734662172 -474.54669295314</t>
  </si>
  <si>
    <t>-591.486839807582 89.3897311426488 -581.00532391054</t>
  </si>
  <si>
    <t>-581.174766297429 61.0769914732693 -686.299722247637</t>
  </si>
  <si>
    <t>-560.185796969827 18.433217200999 -831.009650891123</t>
  </si>
  <si>
    <t>-564.930085450863 67.6586763807863 -775.266891537398</t>
  </si>
  <si>
    <t>-519.908561753985 207.359680008275 -784.396315852263</t>
  </si>
  <si>
    <t>-405.521456660106 272.736740375647 -496.598476223021</t>
  </si>
  <si>
    <t>-202.808760640969 238.491579956209 -337.297254238584</t>
  </si>
  <si>
    <t>-574.015452795531 6.94482758851723 -758.693121589693</t>
  </si>
  <si>
    <t>-588.398119855771 255.521423772056 -251.56447867105</t>
  </si>
  <si>
    <t>-579.558270974332 265.827009510823 203.927835961326</t>
  </si>
  <si>
    <t>-613.183662155274 249.066759717001 672.163943594639</t>
  </si>
  <si>
    <t>-455.512349759077 264.289082685969 748.659398986804</t>
  </si>
  <si>
    <t>-553.248388056147 65.9892576938255 -224.942643047949</t>
  </si>
  <si>
    <t>-445.796405006731 71.0343643554133 217.873628910364</t>
  </si>
  <si>
    <t>-612.617114672705 7.60714131963164 652.94949515233</t>
  </si>
  <si>
    <t>-458.952033391936 -34.0855879680403 727.731023099588</t>
  </si>
  <si>
    <t>9763-20170724T170132.260662300.bin</t>
  </si>
  <si>
    <t>-572.405030500286 160.886676897635 -238.796121027923</t>
  </si>
  <si>
    <t>-593.075232680335 140.133108276699 -356.311415490995</t>
  </si>
  <si>
    <t>-596.368217896897 114.6906114902 -474.76980565089</t>
  </si>
  <si>
    <t>-592.394161110198 89.2209342024478 -581.213983649202</t>
  </si>
  <si>
    <t>-581.779028225043 60.9206723303603 -686.481644445478</t>
  </si>
  <si>
    <t>-560.334890220696 18.3155533623906 -831.136212406794</t>
  </si>
  <si>
    <t>-565.33309381326 67.5340616450908 -775.409335899536</t>
  </si>
  <si>
    <t>-520.205046451697 207.230906275156 -784.134295814078</t>
  </si>
  <si>
    <t>-401.73308437677 270.972222987843 -497.624905066391</t>
  </si>
  <si>
    <t>-198.53180980752 240.907065058264 -338.102523779815</t>
  </si>
  <si>
    <t>-574.313391625115 6.80006102375523 -758.852674043206</t>
  </si>
  <si>
    <t>-591.10005275589 255.570504812974 -251.78514801359</t>
  </si>
  <si>
    <t>-581.278636636972 265.976676829482 203.684768980354</t>
  </si>
  <si>
    <t>-613.178029905254 249.170287916651 672.075616263691</t>
  </si>
  <si>
    <t>-455.562580596046 264.778491354796 748.608371397465</t>
  </si>
  <si>
    <t>-553.650500205413 66.3493903535257 -225.13666135573</t>
  </si>
  <si>
    <t>-446.667992618837 71.3744400238609 217.793516714256</t>
  </si>
  <si>
    <t>-612.738320644775 7.43821674603191 653.185065348464</t>
  </si>
  <si>
    <t>-458.844722290605 -33.5410868399244 727.890937410039</t>
  </si>
  <si>
    <t>9763-20170724T170132.296769200.bin</t>
  </si>
  <si>
    <t>-573.165643743396 161.118826815995 -238.743626778275</t>
  </si>
  <si>
    <t>-593.803375412982 140.201453673793 -356.235469486517</t>
  </si>
  <si>
    <t>-597.022971366658 114.683623076004 -474.679801064402</t>
  </si>
  <si>
    <t>-592.965598209633 89.1723346928436 -581.110724060837</t>
  </si>
  <si>
    <t>-582.251247201191 60.8506089072055 -686.362511904267</t>
  </si>
  <si>
    <t>-560.654141424339 18.231701243689 -830.990321224833</t>
  </si>
  <si>
    <t>-565.724043368356 67.4568296707171 -775.275762750895</t>
  </si>
  <si>
    <t>-520.488847226057 207.123274727816 -783.732726778218</t>
  </si>
  <si>
    <t>-400.752547763932 269.64853384962 -497.481091151519</t>
  </si>
  <si>
    <t>-197.510029942379 239.535517280961 -338.020439794391</t>
  </si>
  <si>
    <t>-574.696308697523 6.72177574460579 -758.718256225492</t>
  </si>
  <si>
    <t>-592.313891526676 255.721924554809 -251.783450859936</t>
  </si>
  <si>
    <t>-582.282972970792 266.094963061583 203.682703537818</t>
  </si>
  <si>
    <t>-613.265973944841 249.129990473815 672.161083829292</t>
  </si>
  <si>
    <t>-455.603333862419 264.813048717939 748.581264400066</t>
  </si>
  <si>
    <t>-554.000901455461 66.5541742943858 -224.93637046427</t>
  </si>
  <si>
    <t>-446.712991174773 71.7962558093311 217.917419269655</t>
  </si>
  <si>
    <t>-612.773110699041 7.43716244672669 653.210040427068</t>
  </si>
  <si>
    <t>-458.744354768482 -33.2328788208383 727.806311225111</t>
  </si>
  <si>
    <t>9763-20170724T170132.365484400.bin</t>
  </si>
  <si>
    <t>-574.380721035008 161.204670544443 -238.497144986232</t>
  </si>
  <si>
    <t>-594.948358039369 139.910522093385 -355.933610958216</t>
  </si>
  <si>
    <t>-598.021469629482 114.299739821549 -474.361731646598</t>
  </si>
  <si>
    <t>-593.793829625968 88.8013945112255 -580.789267845988</t>
  </si>
  <si>
    <t>-582.869175112176 60.5779482126145 -686.045794006579</t>
  </si>
  <si>
    <t>-560.937336190524 18.1739258573887 -830.686391397654</t>
  </si>
  <si>
    <t>-566.089140603347 67.3114311995512 -774.902198142652</t>
  </si>
  <si>
    <t>-520.297402748277 206.811514975227 -782.955955220275</t>
  </si>
  <si>
    <t>-399.176332781771 267.181439905969 -496.82422650268</t>
  </si>
  <si>
    <t>-195.663540476294 236.360997756306 -337.843985298165</t>
  </si>
  <si>
    <t>-575.193845120706 6.56139481024888 -758.472631209764</t>
  </si>
  <si>
    <t>-594.175400323926 255.975929308289 -251.74708727904</t>
  </si>
  <si>
    <t>-583.883301395722 266.255409981742 203.715401492466</t>
  </si>
  <si>
    <t>-613.429613311193 249.243007638311 672.218795227861</t>
  </si>
  <si>
    <t>-455.697669815627 264.97164368416 748.486451133053</t>
  </si>
  <si>
    <t>-554.434975773047 66.2992158062721 -224.555949397364</t>
  </si>
  <si>
    <t>-446.352777149458 73.016682231593 218.084702066949</t>
  </si>
  <si>
    <t>-612.574569689845 7.24309788270148 652.913078410305</t>
  </si>
  <si>
    <t>-458.547001879488 -32.7938034869926 727.853498260952</t>
  </si>
  <si>
    <t>9763-20170724T170132.396005200.bin</t>
  </si>
  <si>
    <t>-574.612147069038 161.332193215102 -238.359666029892</t>
  </si>
  <si>
    <t>-595.21466033581 139.891421138953 -355.763293356784</t>
  </si>
  <si>
    <t>-598.277899068751 114.242064549367 -474.18336429239</t>
  </si>
  <si>
    <t>-594.018943656383 88.7482425073022 -580.610638978817</t>
  </si>
  <si>
    <t>-583.038596541488 60.565856737524 -685.872312815835</t>
  </si>
  <si>
    <t>-561.002658875176 18.2537999601955 -830.524046547447</t>
  </si>
  <si>
    <t>-566.15083937089 67.3513420536829 -774.704304880909</t>
  </si>
  <si>
    <t>-520.001794348136 206.755575647564 -782.56538651824</t>
  </si>
  <si>
    <t>-398.552462029833 265.99716349534 -496.337065520092</t>
  </si>
  <si>
    <t>-195.221192587595 234.684000061941 -337.220914768722</t>
  </si>
  <si>
    <t>-575.354918698227 6.59971909807564 -758.33610500971</t>
  </si>
  <si>
    <t>-594.544907650618 256.204392391244 -251.747083934654</t>
  </si>
  <si>
    <t>-584.357324898503 266.399140615834 203.719720313682</t>
  </si>
  <si>
    <t>-613.490525427324 249.291406151686 672.244506727338</t>
  </si>
  <si>
    <t>-455.732644278722 265.005688104044 748.461464719559</t>
  </si>
  <si>
    <t>-554.528654410813 66.4437112729636 -224.348923150522</t>
  </si>
  <si>
    <t>-446.042135148262 73.675606098386 218.184707904843</t>
  </si>
  <si>
    <t>-612.511126741071 7.50232456191816 652.831652200161</t>
  </si>
  <si>
    <t>-458.680899555438 -33.0659354609072 727.891516902489</t>
  </si>
  <si>
    <t>9763-20170724T170132.462213600.bin</t>
  </si>
  <si>
    <t>-575.02024327759 161.931764088891 -238.191677347488</t>
  </si>
  <si>
    <t>-595.598761335873 140.474799599247 -355.596725283171</t>
  </si>
  <si>
    <t>-598.635113081882 114.976296332253 -474.049886589088</t>
  </si>
  <si>
    <t>-594.342570807246 89.6846032892458 -580.524199986641</t>
  </si>
  <si>
    <t>-583.314067748782 61.7693640304069 -685.851992016551</t>
  </si>
  <si>
    <t>-561.190989357929 19.8952782656102 -830.617773230915</t>
  </si>
  <si>
    <t>-566.247311786976 68.8105483919558 -774.629770007858</t>
  </si>
  <si>
    <t>-519.587244062677 208.094733626098 -781.986996198674</t>
  </si>
  <si>
    <t>-398.138555593189 264.148034379995 -495.116831353151</t>
  </si>
  <si>
    <t>-194.936541260483 233.6372262204 -335.68011972626</t>
  </si>
  <si>
    <t>-575.712214441858 8.03601246365292 -758.496992371869</t>
  </si>
  <si>
    <t>-594.796122920811 257.14364513806 -251.705520473267</t>
  </si>
  <si>
    <t>-585.210893890715 266.974549525569 203.782294512773</t>
  </si>
  <si>
    <t>-613.724622773565 249.653233863462 672.352549069761</t>
  </si>
  <si>
    <t>-455.867939657505 264.963429317818 748.447025832712</t>
  </si>
  <si>
    <t>-555.253273131355 67.0203935742386 -224.049822453194</t>
  </si>
  <si>
    <t>-445.704514344169 73.8221906093088 218.228956551627</t>
  </si>
  <si>
    <t>-612.564137918876 7.66420431221673 652.804337563658</t>
  </si>
  <si>
    <t>-458.735348838129 -33.3482384878653 727.625426436257</t>
  </si>
  <si>
    <t>9763-20170724T170132.496277100.bin</t>
  </si>
  <si>
    <t>-575.063692096219 162.454244955964 -238.146832896493</t>
  </si>
  <si>
    <t>-595.589795993653 141.04842509709 -355.570355692112</t>
  </si>
  <si>
    <t>-598.592321591339 115.652441723731 -474.046384146152</t>
  </si>
  <si>
    <t>-594.273802663384 90.4758452437 -580.546896326548</t>
  </si>
  <si>
    <t>-583.221660757641 62.6991386043246 -685.908952808249</t>
  </si>
  <si>
    <t>-561.065687135009 21.0425986826824 -830.732388142974</t>
  </si>
  <si>
    <t>-566.082528053875 69.8679946084985 -774.662564365887</t>
  </si>
  <si>
    <t>-519.29867898221 209.109625384556 -781.858132370981</t>
  </si>
  <si>
    <t>-398.654860542951 263.732038734706 -494.373142140796</t>
  </si>
  <si>
    <t>-195.694121809156 233.50546697227 -334.575359433191</t>
  </si>
  <si>
    <t>-575.655434446878 9.08072412382421 -758.642507120976</t>
  </si>
  <si>
    <t>-594.631072810445 257.763261186968 -251.683894884208</t>
  </si>
  <si>
    <t>-585.495158576408 267.550547801058 203.81408729773</t>
  </si>
  <si>
    <t>-613.907412583971 250.12199939361 672.382069866188</t>
  </si>
  <si>
    <t>-455.982571969918 264.871804458626 748.445849447437</t>
  </si>
  <si>
    <t>-555.51553597562 67.4289296819918 -223.978666904344</t>
  </si>
  <si>
    <t>-445.818024129318 73.8032807531808 218.26961120973</t>
  </si>
  <si>
    <t>-612.621957593703 7.80372336592905 652.795804360758</t>
  </si>
  <si>
    <t>-458.769676272544 -33.5781371647629 727.364772244258</t>
  </si>
  <si>
    <t>9763-20170724T170132.561954500.bin</t>
  </si>
  <si>
    <t>-574.965287189452 163.631470813048 -238.368329793229</t>
  </si>
  <si>
    <t>-595.390721714183 142.2589565348 -355.815549002573</t>
  </si>
  <si>
    <t>-598.334400062337 117.058242198409 -474.334810658582</t>
  </si>
  <si>
    <t>-593.972491676023 92.1224904435874 -580.890124814795</t>
  </si>
  <si>
    <t>-582.8817702623 64.6499795773116 -686.327788543802</t>
  </si>
  <si>
    <t>-560.672309800891 23.4810668479545 -831.282535171392</t>
  </si>
  <si>
    <t>-565.686731744711 72.114915860164 -775.046229801061</t>
  </si>
  <si>
    <t>-519.016515909036 211.37747449682 -781.936794974277</t>
  </si>
  <si>
    <t>-400.605188388813 266.011707630527 -493.52724691342</t>
  </si>
  <si>
    <t>-198.681092167669 233.473278550839 -332.872438481053</t>
  </si>
  <si>
    <t>-575.311889484101 11.2790866696184 -759.242843063277</t>
  </si>
  <si>
    <t>-373.310602007276 0.0578058749340471 -377.852292326143</t>
  </si>
  <si>
    <t>-594.440822295393 259.176222256898 -251.787348595871</t>
  </si>
  <si>
    <t>-585.972584223634 268.901629196419 203.724905794845</t>
  </si>
  <si>
    <t>-614.390114551366 251.304950443428 672.373769477575</t>
  </si>
  <si>
    <t>-456.338321298902 265.008824416611 748.369465712356</t>
  </si>
  <si>
    <t>-555.463733332367 68.3522109973737 -224.302971095558</t>
  </si>
  <si>
    <t>-446.634276812944 74.4194040628868 218.163965542388</t>
  </si>
  <si>
    <t>-612.558511920652 7.77007894579629 652.773653221844</t>
  </si>
  <si>
    <t>-458.587383464632 -33.7967201230799 726.993613661899</t>
  </si>
  <si>
    <t>9763-20170724T170132.594542300.bin</t>
  </si>
  <si>
    <t>-574.882844393169 164.195455719409 -238.500500950098</t>
  </si>
  <si>
    <t>-595.332679179346 142.929670803616 -355.962851889884</t>
  </si>
  <si>
    <t>-598.326027115997 117.87462813425 -474.511669257149</t>
  </si>
  <si>
    <t>-594.015851160267 93.0895436565033 -581.104286410675</t>
  </si>
  <si>
    <t>-582.981065798659 65.7880607020795 -686.592310140574</t>
  </si>
  <si>
    <t>-560.850865674821 24.879195713951 -831.632619112124</t>
  </si>
  <si>
    <t>-517.7541963399 0.830578700989463 -920.780535701074</t>
  </si>
  <si>
    <t>-565.859331440953 73.4149456611415 -775.311166043939</t>
  </si>
  <si>
    <t>-519.794697069283 212.895195032357 -782.538133292284</t>
  </si>
  <si>
    <t>-403.807013053055 269.144816601476 -493.455076796702</t>
  </si>
  <si>
    <t>-202.969202604641 233.376541896048 -332.126561469588</t>
  </si>
  <si>
    <t>-575.426294487518 12.5452137116008 -759.602453718398</t>
  </si>
  <si>
    <t>-594.247016962008 259.759017731133 -251.850378276106</t>
  </si>
  <si>
    <t>-585.79125807767 269.4127851546 203.663511231723</t>
  </si>
  <si>
    <t>-614.562308773848 251.840751358269 672.307043701158</t>
  </si>
  <si>
    <t>-456.497250510794 265.148046485142 748.345630151701</t>
  </si>
  <si>
    <t>-555.550707321634 68.9328376017409 -224.485709822611</t>
  </si>
  <si>
    <t>-446.902565790078 74.6031654674423 218.03109494621</t>
  </si>
  <si>
    <t>-612.503501365082 7.86711704403638 652.795401962202</t>
  </si>
  <si>
    <t>-458.545576631131 -33.8460358951254 726.960635092674</t>
  </si>
  <si>
    <t>9763-20170724T170132.662734200.bin</t>
  </si>
  <si>
    <t>-574.212564642018 165.064222710641 -238.712274529467</t>
  </si>
  <si>
    <t>-594.81763882767 144.013477132824 -356.186057814564</t>
  </si>
  <si>
    <t>-598.005741246693 119.094016941405 -474.758504062203</t>
  </si>
  <si>
    <t>-593.884509193791 94.4159992526261 -581.383420588209</t>
  </si>
  <si>
    <t>-583.047281214457 67.2171361367682 -686.918240255794</t>
  </si>
  <si>
    <t>-561.195752042845 26.4551392990652 -832.042322482156</t>
  </si>
  <si>
    <t>-518.18555658883 2.65938807544694 -921.299688079328</t>
  </si>
  <si>
    <t>-566.137146009469 74.938213009111 -775.669633589702</t>
  </si>
  <si>
    <t>-522.552678174709 215.1405157488 -784.230204292978</t>
  </si>
  <si>
    <t>-417.207442790381 274.868439992345 -491.790141328469</t>
  </si>
  <si>
    <t>-218.479469797914 229.498808110518 -330.263597970973</t>
  </si>
  <si>
    <t>-575.591599937425 14.0438589866399 -759.98929867005</t>
  </si>
  <si>
    <t>-592.827265586123 260.570043849958 -252.059073365033</t>
  </si>
  <si>
    <t>-584.567898659461 270.200107320091 203.45901942955</t>
  </si>
  <si>
    <t>-614.568958346132 252.80995100801 671.892437499596</t>
  </si>
  <si>
    <t>-456.669515279828 265.27958442733 748.415668561037</t>
  </si>
  <si>
    <t>-555.481616413787 69.5708498534482 -224.729429007545</t>
  </si>
  <si>
    <t>-447.064663863044 74.4806293175741 217.853057621408</t>
  </si>
  <si>
    <t>-612.45147639784 7.88175475032699 652.855279498322</t>
  </si>
  <si>
    <t>-458.502428739858 -34.0066906555946 726.940094550236</t>
  </si>
  <si>
    <t>9763-20170724T170132.698829500.bin</t>
  </si>
  <si>
    <t>-573.583518185988 165.307522286159 -238.822300189554</t>
  </si>
  <si>
    <t>-594.239607802822 144.410924517125 -356.314680594681</t>
  </si>
  <si>
    <t>-597.44755478148 119.55758519613 -474.900387877564</t>
  </si>
  <si>
    <t>-593.331990886575 94.9133065038463 -581.533260856939</t>
  </si>
  <si>
    <t>-582.487624326822 67.7280789611088 -687.071106461807</t>
  </si>
  <si>
    <t>-560.611455103924 26.9697523044656 -832.19235165391</t>
  </si>
  <si>
    <t>-517.584352240008 3.3175831253966 -921.479715597969</t>
  </si>
  <si>
    <t>-565.583222544353 75.4538925029631 -775.823025994069</t>
  </si>
  <si>
    <t>-523.018885139292 215.912227862425 -784.685067711484</t>
  </si>
  <si>
    <t>-426.946025617838 279.150156687855 -489.800100179473</t>
  </si>
  <si>
    <t>-228.352732052997 228.10655108082 -329.808372612679</t>
  </si>
  <si>
    <t>-574.99862992196 14.5544593321081 -760.138311131123</t>
  </si>
  <si>
    <t>-591.713458500351 260.87395364444 -252.162592435519</t>
  </si>
  <si>
    <t>-583.711100215291 270.436065427106 203.361496844423</t>
  </si>
  <si>
    <t>-614.520311205863 253.071637527332 671.751904926563</t>
  </si>
  <si>
    <t>-456.699728581601 265.184440550323 748.494658007136</t>
  </si>
  <si>
    <t>-555.341872612953 69.7448980538031 -224.831479674069</t>
  </si>
  <si>
    <t>-446.815292451935 74.1739802237671 217.729282244646</t>
  </si>
  <si>
    <t>-612.453441020054 8.12077499307725 652.828635430248</t>
  </si>
  <si>
    <t>-458.638369299689 -34.2537872979883 726.915253380158</t>
  </si>
  <si>
    <t>9763-20170724T170132.763534700.bin</t>
  </si>
  <si>
    <t>-572.034967275938 164.817350674745 -238.810134700531</t>
  </si>
  <si>
    <t>-592.676791612583 144.330177426079 -356.37709254333</t>
  </si>
  <si>
    <t>-595.588681546187 119.734225894275 -475.02414650083</t>
  </si>
  <si>
    <t>-591.089583997929 95.2855625334726 -581.686559345965</t>
  </si>
  <si>
    <t>-579.743099170166 68.2733016447239 -687.215993958686</t>
  </si>
  <si>
    <t>-557.041928610338 27.7452789116999 -832.275043671965</t>
  </si>
  <si>
    <t>-513.654312249818 4.4813105853118 -921.489913473004</t>
  </si>
  <si>
    <t>-562.6026394122 76.1677568219081 -775.907703247458</t>
  </si>
  <si>
    <t>-520.290249237945 216.710978962874 -785.135177387955</t>
  </si>
  <si>
    <t>-447.792350126832 288.906612879116 -485.605566179462</t>
  </si>
  <si>
    <t>-251.602864628509 222.432385191124 -328.338410896543</t>
  </si>
  <si>
    <t>-571.570321124509 15.1876875018781 -760.273929775995</t>
  </si>
  <si>
    <t>-589.453409721592 260.617907053675 -252.031270943067</t>
  </si>
  <si>
    <t>-581.584463043845 269.933449430383 203.500261571366</t>
  </si>
  <si>
    <t>-614.487648679709 252.670992555505 671.84413142974</t>
  </si>
  <si>
    <t>-456.700277064979 264.850837060719 748.644566586492</t>
  </si>
  <si>
    <t>-554.429105348642 68.9979929723038 -225.016866042693</t>
  </si>
  <si>
    <t>-446.476790193595 73.3603992783483 217.685021906183</t>
  </si>
  <si>
    <t>-612.466159487131 7.85271000566422 652.750219272497</t>
  </si>
  <si>
    <t>-458.639387268616 -34.3839632948445 726.891270071368</t>
  </si>
  <si>
    <t>9763-20170724T170132.793992700.bin</t>
  </si>
  <si>
    <t>-571.403158823374 164.580480032708 -238.801259800001</t>
  </si>
  <si>
    <t>-592.196196317894 144.213910155392 -356.362579183347</t>
  </si>
  <si>
    <t>-595.133081760816 119.639821171112 -475.013569789378</t>
  </si>
  <si>
    <t>-590.604805076271 95.1823109285185 -581.672632094543</t>
  </si>
  <si>
    <t>-579.176303369155 68.139683145841 -687.185497540101</t>
  </si>
  <si>
    <t>-556.305038788653 27.5531387641988 -832.201411465471</t>
  </si>
  <si>
    <t>-512.742389515774 4.36940432518008 -921.351902609125</t>
  </si>
  <si>
    <t>-562.131962179807 76.0177245206078 -775.897272836765</t>
  </si>
  <si>
    <t>-520.553556761848 216.74602708783 -785.433995806159</t>
  </si>
  <si>
    <t>-457.143820199784 291.723642007659 -484.529080951676</t>
  </si>
  <si>
    <t>-261.607802481243 222.51689625091 -327.62750990929</t>
  </si>
  <si>
    <t>-570.717734437359 15.0053110480994 -760.175499542162</t>
  </si>
  <si>
    <t>-588.875749583812 260.418198118882 -251.836428890843</t>
  </si>
  <si>
    <t>-580.482235152041 269.577102635843 203.688967211351</t>
  </si>
  <si>
    <t>-614.491254565924 252.174026632508 672.006015564391</t>
  </si>
  <si>
    <t>-456.665807568441 264.645117055572 748.681430401256</t>
  </si>
  <si>
    <t>-553.899443317432 68.8678220319146 -225.078869189579</t>
  </si>
  <si>
    <t>-446.31049159646 73.1266247605911 217.712469824024</t>
  </si>
  <si>
    <t>-612.458374487555 7.59497495488949 652.717477153698</t>
  </si>
  <si>
    <t>-458.603218361704 -34.4159138333462 726.927898750272</t>
  </si>
  <si>
    <t>9763-20170724T170132.862647200.bin</t>
  </si>
  <si>
    <t>-571.336283930081 164.861941129922 -238.503609680005</t>
  </si>
  <si>
    <t>-592.252314970157 144.494922921729 -356.042965241865</t>
  </si>
  <si>
    <t>-595.123041217419 120.077770694069 -474.727956090749</t>
  </si>
  <si>
    <t>-590.448576350079 95.8316972284963 -581.429177493847</t>
  </si>
  <si>
    <t>-578.781335898496 69.071216197972 -686.987695995856</t>
  </si>
  <si>
    <t>-555.476550092876 28.9516562159679 -832.064613433143</t>
  </si>
  <si>
    <t>-511.480083564854 6.20585443995196 -921.11474099177</t>
  </si>
  <si>
    <t>-561.903708609853 77.2721925183109 -775.702140355776</t>
  </si>
  <si>
    <t>-522.51857220905 218.630999102685 -785.192889709108</t>
  </si>
  <si>
    <t>-466.023601028706 290.390516022668 -482.133367026336</t>
  </si>
  <si>
    <t>-269.729226155666 222.742663260731 -325.498805058882</t>
  </si>
  <si>
    <t>-569.6726838855 16.1344080261326 -760.042990461044</t>
  </si>
  <si>
    <t>-589.481558917633 260.326050269145 -251.326729866638</t>
  </si>
  <si>
    <t>-579.06418731873 269.241003811079 204.161638155225</t>
  </si>
  <si>
    <t>-614.487116256439 251.157763684256 672.302143807829</t>
  </si>
  <si>
    <t>-456.604201616384 264.703423466166 748.676283175201</t>
  </si>
  <si>
    <t>-553.190314388008 69.6449033239469 -224.965920843612</t>
  </si>
  <si>
    <t>-446.040367942761 73.3311064406157 217.93702553223</t>
  </si>
  <si>
    <t>-612.396480720324 7.62694164936602 652.670609927936</t>
  </si>
  <si>
    <t>-458.627942285388 -34.4989034676755 726.995346095303</t>
  </si>
  <si>
    <t>9763-20170724T170132.893808700.bin</t>
  </si>
  <si>
    <t>-571.575625392235 165.329432764714 -238.371954270381</t>
  </si>
  <si>
    <t>-592.532957028911 144.8286465919 -355.88063761972</t>
  </si>
  <si>
    <t>-595.43139550027 120.446436820139 -474.572233120979</t>
  </si>
  <si>
    <t>-590.769588153803 96.2983931932722 -581.296053979368</t>
  </si>
  <si>
    <t>-579.09848907792 69.6994516878606 -686.894938651577</t>
  </si>
  <si>
    <t>-555.767593356887 29.8676579745595 -832.046993080744</t>
  </si>
  <si>
    <t>-511.604763727589 7.38568348649437 -921.081761442473</t>
  </si>
  <si>
    <t>-562.403383914978 78.0917919841368 -775.62600402668</t>
  </si>
  <si>
    <t>-524.342367798438 219.837573125374 -784.92549525351</t>
  </si>
  <si>
    <t>-465.528610340638 288.470018050761 -481.582921355729</t>
  </si>
  <si>
    <t>-268.420318849345 225.436101471493 -324.048330355335</t>
  </si>
  <si>
    <t>-569.778185361112 16.8921327109117 -760.017359745229</t>
  </si>
  <si>
    <t>-590.290405959781 260.566135979861 -251.131807971886</t>
  </si>
  <si>
    <t>-579.037140935818 269.385159154962 204.338612958708</t>
  </si>
  <si>
    <t>-614.479230864457 250.822444988624 672.392114062502</t>
  </si>
  <si>
    <t>-456.58159548688 264.849821167683 748.648745040721</t>
  </si>
  <si>
    <t>-552.761385426108 70.3651766886176 -224.920235113646</t>
  </si>
  <si>
    <t>-445.998323632557 73.8548648309475 218.07763492128</t>
  </si>
  <si>
    <t>-612.370614290948 7.54610010874012 652.691259141824</t>
  </si>
  <si>
    <t>-458.487646801912 -34.1797839530557 727.004741474878</t>
  </si>
  <si>
    <t>9763-20170724T170132.963495000.bin</t>
  </si>
  <si>
    <t>-572.19576038508 166.400000564963 -238.216301729433</t>
  </si>
  <si>
    <t>-592.870706539399 145.571306734292 -355.717378338329</t>
  </si>
  <si>
    <t>-595.636601474867 121.317932816925 -474.438498652847</t>
  </si>
  <si>
    <t>-590.901034942304 97.4620096496528 -581.224810405362</t>
  </si>
  <si>
    <t>-579.192683714662 71.3219387508784 -686.93406591197</t>
  </si>
  <si>
    <t>-555.839027528907 32.2942905001273 -832.30081465525</t>
  </si>
  <si>
    <t>-511.374674307594 10.4544362710135 -921.345300113821</t>
  </si>
  <si>
    <t>-562.686340876687 80.21989809257 -775.651329754328</t>
  </si>
  <si>
    <t>-525.764067263623 222.277145517794 -784.603651047381</t>
  </si>
  <si>
    <t>-460.859567612347 286.41392745113 -481.519445979115</t>
  </si>
  <si>
    <t>-262.415540948731 229.436804666826 -323.356009741095</t>
  </si>
  <si>
    <t>-569.658215888912 18.9058527195057 -760.309819650798</t>
  </si>
  <si>
    <t>-592.009067334728 261.21079921434 -251.08199318368</t>
  </si>
  <si>
    <t>-580.635267408067 269.838718181549 204.389064505668</t>
  </si>
  <si>
    <t>-614.399975794732 250.446647779908 672.427857483476</t>
  </si>
  <si>
    <t>-456.52335137329 265.199500994918 748.591190917448</t>
  </si>
  <si>
    <t>-552.261987064711 71.5582463481453 -224.648712144497</t>
  </si>
  <si>
    <t>-445.651327392703 75.3499187474697 218.383398900659</t>
  </si>
  <si>
    <t>-612.278632783107 7.7322944247162 652.624745801273</t>
  </si>
  <si>
    <t>-458.515319588463 -34.3489300756364 726.985531246232</t>
  </si>
  <si>
    <t>9763-20170724T170132.994084900.bin</t>
  </si>
  <si>
    <t>-572.582057309558 166.992945907035 -238.296268780458</t>
  </si>
  <si>
    <t>-593.109114979583 146.024194584036 -355.798421870806</t>
  </si>
  <si>
    <t>-595.8095898545 121.823900908788 -474.531798792426</t>
  </si>
  <si>
    <t>-591.042368259034 98.0892547345293 -581.343681174146</t>
  </si>
  <si>
    <t>-579.325815501836 72.1403688723053 -687.099187742661</t>
  </si>
  <si>
    <t>-555.981505915953 33.447654636313 -832.556747377528</t>
  </si>
  <si>
    <t>-511.433114141059 11.8152696911372 -921.609967221188</t>
  </si>
  <si>
    <t>-562.832913813164 81.2431516259921 -775.798134232479</t>
  </si>
  <si>
    <t>-525.861880633441 223.303764290376 -784.623951241651</t>
  </si>
  <si>
    <t>-459.761052008058 285.17103527446 -481.326623271927</t>
  </si>
  <si>
    <t>-259.19723152135 234.248150963318 -323.773224739488</t>
  </si>
  <si>
    <t>-569.78838663758 19.8927454325262 -760.594618686129</t>
  </si>
  <si>
    <t>-592.75000197784 261.81406344821 -251.243472079215</t>
  </si>
  <si>
    <t>-581.92897558678 270.241067534524 204.244658064885</t>
  </si>
  <si>
    <t>-614.383896439797 250.661830699411 672.346542221396</t>
  </si>
  <si>
    <t>-456.517909503847 265.207846902697 748.57163367188</t>
  </si>
  <si>
    <t>-552.39371901476 72.1470099858382 -224.58053054329</t>
  </si>
  <si>
    <t>-445.510018606743 75.8287288567656 218.386626848992</t>
  </si>
  <si>
    <t>-612.261380905336 7.65295550666588 652.563767424834</t>
  </si>
  <si>
    <t>-458.402358315012 -34.1090234835647 726.906584368882</t>
  </si>
  <si>
    <t>9763-20170724T170133.062782400.bin</t>
  </si>
  <si>
    <t>-573.286158293913 168.158993128573 -238.337335694632</t>
  </si>
  <si>
    <t>-593.509012022407 147.100253773089 -355.876206556493</t>
  </si>
  <si>
    <t>-595.984738820922 123.12536485885 -474.66008243254</t>
  </si>
  <si>
    <t>-591.034357570901 99.7234406343246 -581.537192524083</t>
  </si>
  <si>
    <t>-579.145909416492 74.2362983657138 -687.385730041836</t>
  </si>
  <si>
    <t>-555.56577656756 36.3184416774898 -833.009243704231</t>
  </si>
  <si>
    <t>-510.809563207065 15.0219406122942 -922.039193588051</t>
  </si>
  <si>
    <t>-562.499203112831 83.8104106544138 -776.006133554433</t>
  </si>
  <si>
    <t>-525.068053839031 225.777710071492 -784.321348643824</t>
  </si>
  <si>
    <t>-457.171126166052 283.196998293389 -480.546407540375</t>
  </si>
  <si>
    <t>-251.975909931511 241.884527077705 -326.175916343582</t>
  </si>
  <si>
    <t>-569.499291022049 22.3814886653386 -761.144670620183</t>
  </si>
  <si>
    <t>-593.443189632339 263.391620312448 -251.577998844859</t>
  </si>
  <si>
    <t>-584.294791777442 271.323815834976 203.955731497229</t>
  </si>
  <si>
    <t>-614.533354988454 251.466570832595 672.25698541545</t>
  </si>
  <si>
    <t>-456.616440993197 264.942175164827 748.573211920797</t>
  </si>
  <si>
    <t>-553.032174240651 72.935351071678 -224.469763788604</t>
  </si>
  <si>
    <t>-445.237053224941 76.4512987737762 218.277890910529</t>
  </si>
  <si>
    <t>-612.280057829101 7.71579533399563 652.363318333573</t>
  </si>
  <si>
    <t>-458.351641475424 -33.8633967182377 726.664877167979</t>
  </si>
  <si>
    <t>9763-20170724T170133.094361800.bin</t>
  </si>
  <si>
    <t>-573.66348401409 168.492984458302 -238.36834790581</t>
  </si>
  <si>
    <t>-593.872198374899 147.374357666755 -355.89867561596</t>
  </si>
  <si>
    <t>-596.287342754515 123.518449013127 -474.707977215981</t>
  </si>
  <si>
    <t>-591.255079298346 100.298075226984 -581.620726550222</t>
  </si>
  <si>
    <t>-579.25245219593 75.0664990360428 -687.517613216588</t>
  </si>
  <si>
    <t>-555.474808308344 37.5815641935469 -833.221153734611</t>
  </si>
  <si>
    <t>-510.575959032791 16.4829091070571 -922.226340259502</t>
  </si>
  <si>
    <t>-562.498847077914 84.9048069492328 -776.088943774487</t>
  </si>
  <si>
    <t>-524.83216122309 226.825106752793 -784.201823225061</t>
  </si>
  <si>
    <t>-455.531829375996 283.332284184776 -480.572658353917</t>
  </si>
  <si>
    <t>-249.332089310957 244.886919030044 -326.801238517307</t>
  </si>
  <si>
    <t>-569.492586360135 23.4301086517166 -761.414744161104</t>
  </si>
  <si>
    <t>-593.75302363338 263.988993895898 -251.702959393463</t>
  </si>
  <si>
    <t>-584.953471811331 271.714187229225 203.841293909754</t>
  </si>
  <si>
    <t>-614.611904492889 251.823488636844 672.197303086972</t>
  </si>
  <si>
    <t>-456.687954853673 264.882443336522 748.571361554765</t>
  </si>
  <si>
    <t>-553.546915130155 73.0004446422042 -224.418728185407</t>
  </si>
  <si>
    <t>-445.234808012409 76.5591191603621 218.202482534227</t>
  </si>
  <si>
    <t>-612.304475884547 7.70798600053081 652.266861639165</t>
  </si>
  <si>
    <t>-458.357512170792 -33.8574895801137 726.537690239483</t>
  </si>
  <si>
    <t>9763-20170724T170133.170073900.bin</t>
  </si>
  <si>
    <t>-574.452365570039 168.398434557679 -238.467314289791</t>
  </si>
  <si>
    <t>-594.950990259923 147.199887723451 -355.933206163495</t>
  </si>
  <si>
    <t>-597.51674237251 123.56773730036 -474.784004819752</t>
  </si>
  <si>
    <t>-592.550128041123 100.664068331277 -581.768169499822</t>
  </si>
  <si>
    <t>-580.535316020036 75.8582556805022 -687.764212742432</t>
  </si>
  <si>
    <t>-556.653616991102 39.0736614491348 -833.628994396721</t>
  </si>
  <si>
    <t>-511.558340272413 18.2926676446566 -922.609701424914</t>
  </si>
  <si>
    <t>-563.635282552348 86.1159695387687 -776.260117892808</t>
  </si>
  <si>
    <t>-525.174253938327 227.872161431225 -783.523518668882</t>
  </si>
  <si>
    <t>-452.071702821174 282.051401400781 -480.362095468949</t>
  </si>
  <si>
    <t>-246.177478908065 243.638634425409 -326.173688312771</t>
  </si>
  <si>
    <t>-570.805800521824 24.5833639998475 -761.916647179623</t>
  </si>
  <si>
    <t>-594.353542018474 264.059717374514 -251.841071641745</t>
  </si>
  <si>
    <t>-585.087677576708 271.599661804439 203.697152391751</t>
  </si>
  <si>
    <t>-614.499085935522 251.592357537639 672.098646797495</t>
  </si>
  <si>
    <t>-456.62327293456 264.656211858239 748.571455143773</t>
  </si>
  <si>
    <t>-554.604132275796 72.8071835982923 -224.390691669317</t>
  </si>
  <si>
    <t>-445.139424442568 76.370927570068 217.946796790479</t>
  </si>
  <si>
    <t>-612.233649604194 7.63788768120071 651.971244366197</t>
  </si>
  <si>
    <t>-458.411334959818 -33.9475466511421 726.488727537222</t>
  </si>
  <si>
    <t>9763-20170724T170133.194216500.bin</t>
  </si>
  <si>
    <t>-574.83785753858 168.222499551821 -238.545522583925</t>
  </si>
  <si>
    <t>-595.463726240463 146.992820246225 -355.98354361925</t>
  </si>
  <si>
    <t>-598.120055172007 123.499929715871 -474.859868438026</t>
  </si>
  <si>
    <t>-593.213035572101 100.785027293967 -581.887000901864</t>
  </si>
  <si>
    <t>-581.231565455807 76.2273778841886 -687.944507184346</t>
  </si>
  <si>
    <t>-557.365691466256 39.8457276614063 -833.913018660383</t>
  </si>
  <si>
    <t>-512.201263850651 19.2221998820648 -922.89534320122</t>
  </si>
  <si>
    <t>-564.269537745138 86.7240116833848 -776.400638296777</t>
  </si>
  <si>
    <t>-525.277615097912 228.354586767071 -783.091587505827</t>
  </si>
  <si>
    <t>-450.714565288603 280.802406936307 -479.98132683548</t>
  </si>
  <si>
    <t>-245.225050191925 241.451254919314 -325.490003899928</t>
  </si>
  <si>
    <t>-571.581674703848 25.1629801474123 -762.252513130325</t>
  </si>
  <si>
    <t>-594.604363534568 263.764906509971 -251.88583436896</t>
  </si>
  <si>
    <t>-585.012629273022 271.218171621399 203.646967705341</t>
  </si>
  <si>
    <t>-614.398068531442 251.166756051056 672.095381106512</t>
  </si>
  <si>
    <t>-456.544573266281 264.575185792719 748.554566748812</t>
  </si>
  <si>
    <t>-555.035207497998 72.7001097032087 -224.532644607007</t>
  </si>
  <si>
    <t>-445.17756831783 76.4185195932605 217.706087650909</t>
  </si>
  <si>
    <t>-612.081754371943 8.06510563946404 651.740208963045</t>
  </si>
  <si>
    <t>-458.562347684847 -33.8911044762945 726.673359079278</t>
  </si>
  <si>
    <t>9763-20170724T170133.260897100.bin</t>
  </si>
  <si>
    <t>-575.450944609264 167.559766596896 -238.773603959326</t>
  </si>
  <si>
    <t>-596.274625534519 146.344863491192 -356.179354531039</t>
  </si>
  <si>
    <t>-599.076400519793 123.152766343633 -475.111455481784</t>
  </si>
  <si>
    <t>-594.266734795795 100.816892024373 -582.222757194793</t>
  </si>
  <si>
    <t>-582.34148857193 76.7402190768109 -688.396826904338</t>
  </si>
  <si>
    <t>-558.505060190821 41.1275409510981 -834.559755738604</t>
  </si>
  <si>
    <t>-513.252293965479 20.7824323551345 -923.561005281488</t>
  </si>
  <si>
    <t>-565.305125544897 87.6951589778196 -776.782927464692</t>
  </si>
  <si>
    <t>-525.49181515158 229.148446692142 -782.613047524884</t>
  </si>
  <si>
    <t>-449.037080084597 279.692435356055 -479.650700515992</t>
  </si>
  <si>
    <t>-244.082371271045 239.723358960873 -324.608412380856</t>
  </si>
  <si>
    <t>-572.79877735452 26.075007155388 -762.991238497732</t>
  </si>
  <si>
    <t>-595.039309097055 263.0867542663 -251.952925658739</t>
  </si>
  <si>
    <t>-585.197215737337 270.444129450521 203.57609602779</t>
  </si>
  <si>
    <t>-614.334500223787 250.46322421522 672.159283462937</t>
  </si>
  <si>
    <t>-456.436696942095 264.188403663418 748.47062151658</t>
  </si>
  <si>
    <t>-555.889784449518 72.1810876433958 -224.858367110377</t>
  </si>
  <si>
    <t>-445.650966278525 75.574816228939 217.288223372912</t>
  </si>
  <si>
    <t>-611.90413561459 7.69979278186565 651.692322343649</t>
  </si>
  <si>
    <t>-458.525635032475 -33.5306909329588 727.313693885651</t>
  </si>
  <si>
    <t>9763-20170724T170133.295505800.bin</t>
  </si>
  <si>
    <t>-575.758785582541 167.283432595457 -238.787501868243</t>
  </si>
  <si>
    <t>-596.628460291082 146.130831442877 -356.196220760253</t>
  </si>
  <si>
    <t>-599.471299480954 123.090545879906 -475.156984011873</t>
  </si>
  <si>
    <t>-594.692967984229 100.92417926832 -582.30480652389</t>
  </si>
  <si>
    <t>-582.791307080694 77.0466786530435 -688.526533013563</t>
  </si>
  <si>
    <t>-558.978024192232 41.7392395067329 -834.767091897023</t>
  </si>
  <si>
    <t>-513.706491974936 21.5034712477186 -923.784006706008</t>
  </si>
  <si>
    <t>-565.726019769834 88.1826359501429 -776.884463475255</t>
  </si>
  <si>
    <t>-525.647519709446 229.565750379728 -782.386260829016</t>
  </si>
  <si>
    <t>-448.781360846431 279.493107288839 -479.42592463143</t>
  </si>
  <si>
    <t>-244.03308734408 238.499094036892 -324.378404201798</t>
  </si>
  <si>
    <t>-573.303346769175 26.5408396401529 -763.235939690852</t>
  </si>
  <si>
    <t>-595.233522144548 262.753757172425 -251.918583375786</t>
  </si>
  <si>
    <t>-585.292582544811 270.121844765801 203.608066857378</t>
  </si>
  <si>
    <t>-614.336270103208 250.165041539959 672.21192326836</t>
  </si>
  <si>
    <t>-456.408673303086 264.052233198282 748.432171379059</t>
  </si>
  <si>
    <t>-556.237259671714 71.9763987972319 -224.936163319326</t>
  </si>
  <si>
    <t>-445.930891928873 75.2023794561344 217.194751096253</t>
  </si>
  <si>
    <t>-611.882665259072 7.66165305275376 651.803565864602</t>
  </si>
  <si>
    <t>-458.655816540342 -33.7224016706944 727.648153804528</t>
  </si>
  <si>
    <t>9763-20170724T170133.363198700.bin</t>
  </si>
  <si>
    <t>-576.174026053325 167.020133872279 -238.7591726745</t>
  </si>
  <si>
    <t>-597.166680441534 145.980937811335 -356.166546091897</t>
  </si>
  <si>
    <t>-600.0182458843 123.202541767819 -475.177382944627</t>
  </si>
  <si>
    <t>-595.195806782487 101.322497108306 -582.382120174971</t>
  </si>
  <si>
    <t>-583.195855641816 77.7748075200686 -688.66640430814</t>
  </si>
  <si>
    <t>-559.18837643087 42.9657013620683 -834.994702292198</t>
  </si>
  <si>
    <t>-513.837534815965 22.9370177109149 -924.017977586191</t>
  </si>
  <si>
    <t>-565.948785941237 89.2061278955173 -776.951270719517</t>
  </si>
  <si>
    <t>-525.181408298384 230.416163299618 -781.893897410176</t>
  </si>
  <si>
    <t>-448.016954211011 279.457986342526 -478.864697045111</t>
  </si>
  <si>
    <t>-243.2198604888 236.432134379749 -324.433579811714</t>
  </si>
  <si>
    <t>-573.673097874913 27.5291470304999 -763.546612454694</t>
  </si>
  <si>
    <t>-595.432213612258 262.431341163842 -251.84438967439</t>
  </si>
  <si>
    <t>-585.371348499162 269.819243961138 203.67935795812</t>
  </si>
  <si>
    <t>-614.353451036306 249.982764608394 672.227267157309</t>
  </si>
  <si>
    <t>-456.413521512347 264.005237754296 748.397106700793</t>
  </si>
  <si>
    <t>-556.860510870754 71.8138736892583 -224.918909372139</t>
  </si>
  <si>
    <t>-446.361119010852 74.2693511777577 217.16878300985</t>
  </si>
  <si>
    <t>-611.930337992927 7.29218501374339 652.06537929734</t>
  </si>
  <si>
    <t>-458.622212745695 -33.4505506925673 728.092749408945</t>
  </si>
  <si>
    <t>9763-20170724T170133.396776000.bin</t>
  </si>
  <si>
    <t>-576.30572884106 166.775691884357 -238.627094122094</t>
  </si>
  <si>
    <t>-597.389878712984 145.755039213766 -356.021276656522</t>
  </si>
  <si>
    <t>-600.319119423806 123.084554037172 -475.050971764804</t>
  </si>
  <si>
    <t>-595.557341266264 101.333349408108 -582.28459192498</t>
  </si>
  <si>
    <t>-583.606392940176 77.9435730232351 -688.609383671867</t>
  </si>
  <si>
    <t>-559.653396244085 43.3813113094334 -835.004971578335</t>
  </si>
  <si>
    <t>-514.28972052972 23.4513204217526 -924.04381147613</t>
  </si>
  <si>
    <t>-566.346332511061 89.5197951292016 -776.872705520111</t>
  </si>
  <si>
    <t>-525.315224908246 230.664860389699 -781.587884974829</t>
  </si>
  <si>
    <t>-447.725371477452 279.079015667896 -478.566534681296</t>
  </si>
  <si>
    <t>-242.825242663432 234.927541103526 -324.590488961986</t>
  </si>
  <si>
    <t>-574.157429234973 27.8282041726104 -763.586228368237</t>
  </si>
  <si>
    <t>-595.507214253745 262.132029220718 -251.742704051061</t>
  </si>
  <si>
    <t>-585.29309428907 269.585089076595 203.77654147282</t>
  </si>
  <si>
    <t>-614.30340761086 249.680616098361 672.286745973361</t>
  </si>
  <si>
    <t>-456.376328037454 264.0515589053 748.418430957158</t>
  </si>
  <si>
    <t>-556.999156005828 71.4550856055778 -224.769990325554</t>
  </si>
  <si>
    <t>-446.29448527415 73.9921544784661 217.265896053832</t>
  </si>
  <si>
    <t>-611.99792264904 7.321532872033 652.176987469798</t>
  </si>
  <si>
    <t>-458.748706748362 -33.7367616297092 728.153330561418</t>
  </si>
  <si>
    <t>9763-20170724T170133.462455500.bin</t>
  </si>
  <si>
    <t>-576.282741770649 166.523168709726 -238.469006250971</t>
  </si>
  <si>
    <t>-597.413185330547 145.539587891431 -355.861498725629</t>
  </si>
  <si>
    <t>-600.363277900007 123.003410430013 -474.916103117939</t>
  </si>
  <si>
    <t>-595.606788908288 101.403044854615 -582.180467173988</t>
  </si>
  <si>
    <t>-583.646858783484 78.1873202205309 -688.542199761423</t>
  </si>
  <si>
    <t>-559.666432566383 43.8858341361397 -834.994717782138</t>
  </si>
  <si>
    <t>-514.227514835598 24.0743178506161 -924.021729324223</t>
  </si>
  <si>
    <t>-566.243847407814 89.9094732044248 -776.75836455611</t>
  </si>
  <si>
    <t>-524.445727475293 230.824601499243 -781.078216483079</t>
  </si>
  <si>
    <t>-445.912938604599 278.201372624336 -478.135599289783</t>
  </si>
  <si>
    <t>-241.00019416995 232.119295718812 -324.743196729178</t>
  </si>
  <si>
    <t>-574.310231966784 28.2168607663011 -763.629841541135</t>
  </si>
  <si>
    <t>-595.388612460423 261.901614671244 -251.617209487954</t>
  </si>
  <si>
    <t>-585.243058830469 269.366341920669 203.903352909235</t>
  </si>
  <si>
    <t>-614.297276117135 249.61076477279 672.324624025093</t>
  </si>
  <si>
    <t>-456.38129004304 264.030862220905 748.469917864956</t>
  </si>
  <si>
    <t>-557.090536492833 71.2985008045716 -224.629247406075</t>
  </si>
  <si>
    <t>-446.364427596874 73.7035152118651 217.40202710427</t>
  </si>
  <si>
    <t>-612.162934036291 7.33135635729582 652.337683635492</t>
  </si>
  <si>
    <t>-458.835827617283 -34.0911125145412 727.958363473113</t>
  </si>
  <si>
    <t>9763-20170724T170133.494040800.bin</t>
  </si>
  <si>
    <t>-576.284085799895 166.529632712193 -238.40552179459</t>
  </si>
  <si>
    <t>-597.450034711028 145.586639655338 -355.798925182076</t>
  </si>
  <si>
    <t>-600.426907752553 123.121437826944 -474.86617804249</t>
  </si>
  <si>
    <t>-595.69041977667 101.590976923937 -582.145600573993</t>
  </si>
  <si>
    <t>-583.74648400941 78.4477598530648 -688.525038804938</t>
  </si>
  <si>
    <t>-559.784791454561 44.2463640762437 -835.003904063183</t>
  </si>
  <si>
    <t>-514.293000192205 24.4397284994227 -924.005024982114</t>
  </si>
  <si>
    <t>-566.258744062525 90.2212815985272 -776.717560946402</t>
  </si>
  <si>
    <t>-523.982694291212 231.01421083263 -780.861626800199</t>
  </si>
  <si>
    <t>-444.863492421044 277.626751029416 -477.953099593712</t>
  </si>
  <si>
    <t>-239.924926933831 230.923314284496 -324.783095425377</t>
  </si>
  <si>
    <t>-574.515495605336 28.53754646119 -763.665685939828</t>
  </si>
  <si>
    <t>-595.291506931302 261.942752572875 -251.57016859478</t>
  </si>
  <si>
    <t>-585.209258751567 269.431112365383 203.951356932842</t>
  </si>
  <si>
    <t>-614.297540514173 249.608349762507 672.33342053605</t>
  </si>
  <si>
    <t>-456.379333012519 263.894335934851 748.499424611267</t>
  </si>
  <si>
    <t>-557.179176816304 71.2621368608372 -224.586469851479</t>
  </si>
  <si>
    <t>-446.396949127202 73.6533014166464 217.430841537534</t>
  </si>
  <si>
    <t>-612.251242975618 7.47214328549444 652.375376607598</t>
  </si>
  <si>
    <t>-458.863755000489 -34.0742780294763 727.805400095654</t>
  </si>
  <si>
    <t>9763-20170724T170133.563227400.bin</t>
  </si>
  <si>
    <t>-576.082597069347 166.48981458524 -238.361862530159</t>
  </si>
  <si>
    <t>-597.290442343263 145.638085754855 -355.763849510138</t>
  </si>
  <si>
    <t>-600.252039074008 123.256181500732 -474.847231748858</t>
  </si>
  <si>
    <t>-595.480166382642 101.787545402542 -582.137341765185</t>
  </si>
  <si>
    <t>-583.481775845743 78.6870653339449 -688.51997044753</t>
  </si>
  <si>
    <t>-559.427499579958 44.5203548380355 -834.991921249973</t>
  </si>
  <si>
    <t>-513.865080003761 24.5921691565613 -923.929619494217</t>
  </si>
  <si>
    <t>-565.749796290799 90.4628601571437 -776.663290728818</t>
  </si>
  <si>
    <t>-522.542353563694 230.972061869266 -780.592522825201</t>
  </si>
  <si>
    <t>-442.635654144405 275.963888399255 -477.645556409002</t>
  </si>
  <si>
    <t>-237.962364872377 228.253121785872 -324.431428471114</t>
  </si>
  <si>
    <t>-574.391757036084 28.8130619037509 -763.701782749288</t>
  </si>
  <si>
    <t>-594.893559913694 262.016685267584 -251.520633971006</t>
  </si>
  <si>
    <t>-585.144776272068 269.404367639355 204.009930873739</t>
  </si>
  <si>
    <t>-614.350156915317 249.66864147535 672.373870286258</t>
  </si>
  <si>
    <t>-456.421370694651 263.783241130124 748.549826331879</t>
  </si>
  <si>
    <t>-557.183600879298 71.0492929743716 -224.594742474259</t>
  </si>
  <si>
    <t>-446.641923749759 73.5602475219985 217.482176262917</t>
  </si>
  <si>
    <t>-612.408355962381 7.32758719678577 652.409748048137</t>
  </si>
  <si>
    <t>-458.823849674545 -34.1980779059847 727.449254772224</t>
  </si>
  <si>
    <t>9763-20170724T170133.594311700.bin</t>
  </si>
  <si>
    <t>-575.938973198785 166.539884171275 -238.415020978172</t>
  </si>
  <si>
    <t>-597.135960150113 145.749093175696 -355.829749124949</t>
  </si>
  <si>
    <t>-600.08300329057 123.394024255413 -474.918571352428</t>
  </si>
  <si>
    <t>-595.298880074013 101.931352364547 -582.209377213078</t>
  </si>
  <si>
    <t>-583.290908380573 78.816961749143 -688.587724757084</t>
  </si>
  <si>
    <t>-559.227961683971 44.6086919131417 -835.048578572202</t>
  </si>
  <si>
    <t>-513.64064539708 24.6044275803172 -923.956454768027</t>
  </si>
  <si>
    <t>-565.471540831305 90.55951145271 -776.718136541047</t>
  </si>
  <si>
    <t>-521.887699010327 230.957351630322 -780.617238229087</t>
  </si>
  <si>
    <t>-441.640589666339 275.374138234875 -477.675459455878</t>
  </si>
  <si>
    <t>-236.996791537702 227.379910097337 -324.510439704572</t>
  </si>
  <si>
    <t>-574.278630208859 28.9300927158495 -763.7705385088</t>
  </si>
  <si>
    <t>-594.684744814022 262.144114868096 -251.522488644538</t>
  </si>
  <si>
    <t>-585.008061962653 269.438813520751 204.011154981936</t>
  </si>
  <si>
    <t>-614.359448483123 249.622427225906 672.400019015172</t>
  </si>
  <si>
    <t>-456.436031209934 263.895912087887 748.557570642528</t>
  </si>
  <si>
    <t>-557.130913232864 71.0863450929123 -224.656379353734</t>
  </si>
  <si>
    <t>-446.716044943533 73.5063751863634 217.452603746093</t>
  </si>
  <si>
    <t>-612.472037829475 7.30812469715056 652.422283956221</t>
  </si>
  <si>
    <t>-458.884066840524 -34.435512641986 727.333626244975</t>
  </si>
  <si>
    <t>9763-20170724T170133.661993700.bin</t>
  </si>
  <si>
    <t>-575.555108852199 166.662234491515 -238.319686321028</t>
  </si>
  <si>
    <t>-596.738921454035 145.960447490609 -355.752625693805</t>
  </si>
  <si>
    <t>-599.72086363584 123.627973370551 -474.84481202945</t>
  </si>
  <si>
    <t>-594.99094246775 102.156835163409 -582.13620524025</t>
  </si>
  <si>
    <t>-583.062103222186 79.0039957648216 -688.51524760255</t>
  </si>
  <si>
    <t>-559.136933845311 44.710582328395 -834.978738724006</t>
  </si>
  <si>
    <t>-513.56552003315 24.5686773965379 -923.863761057718</t>
  </si>
  <si>
    <t>-565.199645845677 90.6820418801683 -776.645346014683</t>
  </si>
  <si>
    <t>-521.02767399792 230.879535590263 -780.562184603856</t>
  </si>
  <si>
    <t>-440.160777670887 274.750606869828 -477.705836920311</t>
  </si>
  <si>
    <t>-235.487404137376 226.229341613205 -324.746466931337</t>
  </si>
  <si>
    <t>-574.246538494244 29.0865494538689 -763.7010710011</t>
  </si>
  <si>
    <t>-593.980202587163 262.318377478396 -251.442619999099</t>
  </si>
  <si>
    <t>-584.674031790671 269.557607706581 204.099520738277</t>
  </si>
  <si>
    <t>-614.37576833232 249.558362759762 672.410537908097</t>
  </si>
  <si>
    <t>-456.472322384722 264.003188262586 748.577210239365</t>
  </si>
  <si>
    <t>-557.104895891577 71.1184405613781 -224.563137224795</t>
  </si>
  <si>
    <t>-446.455831535071 73.1886280609526 217.489083221609</t>
  </si>
  <si>
    <t>-612.55885965397 7.15066922183223 652.377417840551</t>
  </si>
  <si>
    <t>-458.859944435592 -34.5329645074416 727.094431116791</t>
  </si>
  <si>
    <t>9763-20170724T170133.698189100.bin</t>
  </si>
  <si>
    <t>-575.351357347295 166.874547356504 -238.333577283907</t>
  </si>
  <si>
    <t>-596.543658699792 146.202988119688 -355.770256856383</t>
  </si>
  <si>
    <t>-599.539926457487 123.894993501993 -474.866572197796</t>
  </si>
  <si>
    <t>-594.825960951616 102.441051095897 -582.162226187371</t>
  </si>
  <si>
    <t>-582.916560518083 79.2995163469996 -688.545874708355</t>
  </si>
  <si>
    <t>-559.022709614859 45.0146509492747 -835.016544117699</t>
  </si>
  <si>
    <t>-513.45465639578 24.8489655766327 -923.897813961978</t>
  </si>
  <si>
    <t>-565.031497626713 90.978179661209 -776.671402109388</t>
  </si>
  <si>
    <t>-520.652726508047 231.116238357381 -780.549053171291</t>
  </si>
  <si>
    <t>-439.291987907426 274.70195883494 -477.783512901874</t>
  </si>
  <si>
    <t>-234.413973080169 226.162423094414 -325.104288997715</t>
  </si>
  <si>
    <t>-574.158539972522 29.3909727892219 -763.744322083167</t>
  </si>
  <si>
    <t>-593.751046784292 262.581193228863 -251.423076820678</t>
  </si>
  <si>
    <t>-584.626668612269 269.718076055632 204.124371473697</t>
  </si>
  <si>
    <t>-614.406835499253 249.588192380666 672.427466084739</t>
  </si>
  <si>
    <t>-456.48278959308 263.780367631681 748.598973537423</t>
  </si>
  <si>
    <t>-557.006488314968 71.3441047030515 -224.55717868742</t>
  </si>
  <si>
    <t>-446.265365000062 73.1551518461961 217.473165131503</t>
  </si>
  <si>
    <t>-612.600670212512 7.06399622268259 652.324485898145</t>
  </si>
  <si>
    <t>-458.914301266004 -34.807950546287 726.961981528714</t>
  </si>
  <si>
    <t>9763-20170724T170133.766887700.bin</t>
  </si>
  <si>
    <t>-574.857114806259 167.432174734563 -238.253825217867</t>
  </si>
  <si>
    <t>-596.008489758304 146.818391498023 -355.708068129444</t>
  </si>
  <si>
    <t>-599.075561086176 124.576894756182 -474.815017807413</t>
  </si>
  <si>
    <t>-594.470107360854 103.188739860141 -582.128523854758</t>
  </si>
  <si>
    <t>-582.712581126348 80.1196720426076 -688.54480021554</t>
  </si>
  <si>
    <t>-559.073305187008 45.943531758827 -835.082048335341</t>
  </si>
  <si>
    <t>-513.581841703444 25.8072314197211 -924.009254312246</t>
  </si>
  <si>
    <t>-564.945600731291 91.8600052260463 -776.685912011739</t>
  </si>
  <si>
    <t>-520.347485479781 231.921535846699 -780.485298644741</t>
  </si>
  <si>
    <t>-437.42077910454 275.062258797218 -478.081284812124</t>
  </si>
  <si>
    <t>-232.416900327397 226.619415142441 -325.540286300371</t>
  </si>
  <si>
    <t>-574.120309061449 30.2708357254796 -763.80183680998</t>
  </si>
  <si>
    <t>-593.075289074794 263.048596409059 -251.330787044576</t>
  </si>
  <si>
    <t>-584.255720035902 270.048077473234 204.224862711292</t>
  </si>
  <si>
    <t>-614.452543632283 249.496152778875 672.479174598873</t>
  </si>
  <si>
    <t>-456.528871883482 263.835409076298 748.623943586857</t>
  </si>
  <si>
    <t>-556.544117245892 71.926995817782 -224.515477852347</t>
  </si>
  <si>
    <t>-445.799329736669 73.0699909666907 217.516201542373</t>
  </si>
  <si>
    <t>-612.674175108895 7.01146134732335 652.197862628459</t>
  </si>
  <si>
    <t>-459.013887447427 -35.1466266609239 726.727870110555</t>
  </si>
  <si>
    <t>9763-20170724T170133.794021300.bin</t>
  </si>
  <si>
    <t>-574.456862864834 167.740972940474 -238.236373668162</t>
  </si>
  <si>
    <t>-595.646533725748 147.156477889315 -355.688771603396</t>
  </si>
  <si>
    <t>-598.758516845976 124.967033202039 -474.804341882104</t>
  </si>
  <si>
    <t>-594.194917248157 103.635380407455 -582.130960348597</t>
  </si>
  <si>
    <t>-582.479325207077 80.6326485366326 -688.566206729989</t>
  </si>
  <si>
    <t>-558.897526207761 46.5589737232863 -835.136692421798</t>
  </si>
  <si>
    <t>-513.450261933019 26.4989381060634 -924.103680273223</t>
  </si>
  <si>
    <t>-564.748630116482 92.4347595214961 -776.706336948531</t>
  </si>
  <si>
    <t>-520.074042513057 232.490356350554 -780.430788003312</t>
  </si>
  <si>
    <t>-436.419419054385 275.210068557354 -478.167411646841</t>
  </si>
  <si>
    <t>-231.189474092759 226.962408458525 -325.868777887688</t>
  </si>
  <si>
    <t>-573.914899764262 30.8362259228622 -763.861181625501</t>
  </si>
  <si>
    <t>-592.678032426196 263.370476847112 -251.292168495244</t>
  </si>
  <si>
    <t>-583.963207855255 270.222173711402 204.267633410622</t>
  </si>
  <si>
    <t>-614.468683063201 249.50037073819 672.479337764319</t>
  </si>
  <si>
    <t>-456.542766844167 263.720231424506 748.641740318953</t>
  </si>
  <si>
    <t>-556.134238331821 72.2089758729633 -224.526298393904</t>
  </si>
  <si>
    <t>-445.554274248831 73.1188130805538 217.547194257376</t>
  </si>
  <si>
    <t>-612.688908303407 6.90356301085853 652.098944393514</t>
  </si>
  <si>
    <t>-459.041272310383 -35.3158205174796 726.6203560083</t>
  </si>
  <si>
    <t>9763-20170724T170133.864710400.bin</t>
  </si>
  <si>
    <t>-573.637563400035 168.38977982459 -238.17423776766</t>
  </si>
  <si>
    <t>-594.803695540089 147.779133175259 -355.626514333043</t>
  </si>
  <si>
    <t>-597.978361576137 125.653074331559 -474.75207146441</t>
  </si>
  <si>
    <t>-593.501872068224 104.417118544508 -582.101196683714</t>
  </si>
  <si>
    <t>-581.900432906261 81.5492274491892 -688.578142903512</t>
  </si>
  <si>
    <t>-558.501722524475 47.7046275578739 -835.230906437481</t>
  </si>
  <si>
    <t>-513.184482932701 27.8468333924839 -924.309472918801</t>
  </si>
  <si>
    <t>-564.27931614349 93.4891318716723 -776.721717822549</t>
  </si>
  <si>
    <t>-519.505216930767 233.505040972469 -780.211523565083</t>
  </si>
  <si>
    <t>-434.067799913478 275.614707799174 -478.361604632439</t>
  </si>
  <si>
    <t>-228.52533828563 227.413566414026 -326.470282653615</t>
  </si>
  <si>
    <t>-573.430555463004 31.87061801491 -763.961515839725</t>
  </si>
  <si>
    <t>-381.249855753495 1.18716137384422 -394.311573937039</t>
  </si>
  <si>
    <t>-591.86444740628 264.054051314418 -251.25652298638</t>
  </si>
  <si>
    <t>-583.488649015453 270.667751845318 204.313299027354</t>
  </si>
  <si>
    <t>-614.500129664166 249.542560730442 672.472869943717</t>
  </si>
  <si>
    <t>-456.600097356676 263.861266420638 748.670504178114</t>
  </si>
  <si>
    <t>-555.329215680647 72.8459098188644 -224.396723959346</t>
  </si>
  <si>
    <t>-444.71492988158 73.286220953056 217.668887671059</t>
  </si>
  <si>
    <t>-612.75193886034 6.83444136120056 651.905328405874</t>
  </si>
  <si>
    <t>-459.232481078192 -35.792813454289 726.458663101082</t>
  </si>
  <si>
    <t>9763-20170724T170133.898300300.bin</t>
  </si>
  <si>
    <t>-573.29233934758 168.736348558491 -238.119986389476</t>
  </si>
  <si>
    <t>-594.396764489608 148.147408471955 -355.587044990096</t>
  </si>
  <si>
    <t>-597.584804672557 126.073520709696 -474.721961087919</t>
  </si>
  <si>
    <t>-593.149227381812 104.900360618972 -582.085240547698</t>
  </si>
  <si>
    <t>-581.615771327458 82.112414544182 -688.586687859947</t>
  </si>
  <si>
    <t>-558.337783940264 48.3980090433729 -835.288627821871</t>
  </si>
  <si>
    <t>-513.082084751963 28.6596945444869 -924.425019292397</t>
  </si>
  <si>
    <t>-564.080632416442 94.1320309142527 -776.736657494929</t>
  </si>
  <si>
    <t>-519.283277540936 234.149178163478 -780.135181480048</t>
  </si>
  <si>
    <t>-432.966250807506 275.755344964439 -478.465718961258</t>
  </si>
  <si>
    <t>-227.349033346357 227.520197195515 -326.686386371029</t>
  </si>
  <si>
    <t>-573.194420176482 32.4993101994328 -764.018592392224</t>
  </si>
  <si>
    <t>-381.22061899384 2.20591249835707 -394.260002649018</t>
  </si>
  <si>
    <t>-591.529839862652 264.410677051917 -251.205322864841</t>
  </si>
  <si>
    <t>-583.415064991215 270.880262796589 204.371334512249</t>
  </si>
  <si>
    <t>-614.537613804006 249.535614946211 672.518769781961</t>
  </si>
  <si>
    <t>-456.626757467345 263.85939667973 748.692939458985</t>
  </si>
  <si>
    <t>-555.00723820518 73.1875786613753 -224.318020797903</t>
  </si>
  <si>
    <t>-444.27267006467 73.0429640646134 217.717652867074</t>
  </si>
  <si>
    <t>-612.81350447464 6.64102189422283 651.820871040496</t>
  </si>
  <si>
    <t>-459.304589930388 -35.9862480268644 726.39599439575</t>
  </si>
  <si>
    <t>9763-20170724T170133.963479800.bin</t>
  </si>
  <si>
    <t>-572.738878593543 169.578861516754 -238.005456294426</t>
  </si>
  <si>
    <t>-593.700843024584 149.026215034096 -355.504281237936</t>
  </si>
  <si>
    <t>-596.866614603265 127.015819755929 -474.651666483744</t>
  </si>
  <si>
    <t>-592.458867756704 105.913463765307 -582.029997158681</t>
  </si>
  <si>
    <t>-580.999762989626 83.2113469860963 -688.557699408918</t>
  </si>
  <si>
    <t>-557.87181212755 49.6327713557146 -835.314526868476</t>
  </si>
  <si>
    <t>-512.740501414465 30.0702521080214 -924.552762533798</t>
  </si>
  <si>
    <t>-563.54560636851 95.311364066609 -776.71278895747</t>
  </si>
  <si>
    <t>-518.735133051122 235.339032519581 -780.015871607164</t>
  </si>
  <si>
    <t>-430.555666639199 276.097980860308 -478.769688648694</t>
  </si>
  <si>
    <t>-224.916851894536 227.915618473923 -327.002662546034</t>
  </si>
  <si>
    <t>-572.664834775628 33.6690283571586 -764.045859470919</t>
  </si>
  <si>
    <t>-380.37207314529 2.42978379886904 -394.240014433296</t>
  </si>
  <si>
    <t>-590.93736454794 265.28427502815 -251.115029678841</t>
  </si>
  <si>
    <t>-583.276378522762 271.459985957193 204.473417670876</t>
  </si>
  <si>
    <t>-614.611884197467 249.655239465906 672.532884960911</t>
  </si>
  <si>
    <t>-456.689152389085 263.787421047383 748.718212660986</t>
  </si>
  <si>
    <t>-554.474496811054 74.0056965384815 -224.202537722813</t>
  </si>
  <si>
    <t>-443.572360857942 72.7887718493823 217.789313053542</t>
  </si>
  <si>
    <t>-612.88929121577 6.56129499560575 651.565754200518</t>
  </si>
  <si>
    <t>-459.509760566127 -36.4002148659797 726.215179387702</t>
  </si>
  <si>
    <t>9763-20170724T170133.999154100.bin</t>
  </si>
  <si>
    <t>-572.486704012846 169.968689725806 -237.987679933117</t>
  </si>
  <si>
    <t>-593.408295326038 149.443366409007 -355.49854039661</t>
  </si>
  <si>
    <t>-596.568340608791 127.457838260349 -474.650642591952</t>
  </si>
  <si>
    <t>-592.169732484358 106.377365344058 -582.033708854281</t>
  </si>
  <si>
    <t>-580.734000774006 83.696936461575 -688.568454710925</t>
  </si>
  <si>
    <t>-557.653179809699 50.1484006369164 -835.339641317843</t>
  </si>
  <si>
    <t>-512.556637251945 30.6216274915939 -924.603314963394</t>
  </si>
  <si>
    <t>-563.289311711618 95.8130207339686 -776.723116950469</t>
  </si>
  <si>
    <t>-518.41217257442 235.82227625697 -779.969432612592</t>
  </si>
  <si>
    <t>-429.668559341816 276.040132864281 -478.816135178778</t>
  </si>
  <si>
    <t>-224.21993669999 227.46464244537 -326.917038431698</t>
  </si>
  <si>
    <t>-572.442174821125 34.1721993746373 -764.072887601897</t>
  </si>
  <si>
    <t>-380.421818402577 3.08102093979255 -394.90063485764</t>
  </si>
  <si>
    <t>-590.627221017235 265.635328859638 -251.083853860887</t>
  </si>
  <si>
    <t>-583.197466108724 271.652950647999 204.510606795461</t>
  </si>
  <si>
    <t>-614.64458357091 249.607636338294 672.566208397115</t>
  </si>
  <si>
    <t>-456.718147107179 263.807420875147 748.731264955333</t>
  </si>
  <si>
    <t>-554.291200956238 74.4179070763157 -224.206237571501</t>
  </si>
  <si>
    <t>-443.324975177979 72.8383504504122 217.768462157528</t>
  </si>
  <si>
    <t>-612.884120144832 6.44567958123184 651.383413663123</t>
  </si>
  <si>
    <t>-459.521265343632 -36.4904146703384 726.081715558027</t>
  </si>
  <si>
    <t>9763-20170724T170134.063824400.bin</t>
  </si>
  <si>
    <t>-572.035648862287 170.854536488674 -237.9573780291</t>
  </si>
  <si>
    <t>-592.976849716581 150.376672804965 -355.473110402675</t>
  </si>
  <si>
    <t>-596.12931011839 128.40555513138 -474.627906503736</t>
  </si>
  <si>
    <t>-591.714217632326 107.324349473289 -582.010186889919</t>
  </si>
  <si>
    <t>-580.253446854219 84.6295789530234 -688.539348504683</t>
  </si>
  <si>
    <t>-557.129761110753 51.0474984828106 -835.296063550716</t>
  </si>
  <si>
    <t>-512.057650926937 31.5169594913084 -924.571131833017</t>
  </si>
  <si>
    <t>-562.725551375827 96.7190280120724 -776.680995313426</t>
  </si>
  <si>
    <t>-517.597902907304 236.635308401017 -779.922431816506</t>
  </si>
  <si>
    <t>-428.434573677058 276.693226759154 -478.871898267009</t>
  </si>
  <si>
    <t>-223.456591953297 227.281728452662 -326.60703568366</t>
  </si>
  <si>
    <t>-571.997017841609 35.0939711733786 -764.040324262716</t>
  </si>
  <si>
    <t>-381.358839611469 6.10685097374835 -396.744787561873</t>
  </si>
  <si>
    <t>-590.007321362979 266.473353546887 -251.026395077422</t>
  </si>
  <si>
    <t>-582.864751747721 272.211830325472 204.576179137258</t>
  </si>
  <si>
    <t>-614.754394113829 249.614363286605 672.630582356986</t>
  </si>
  <si>
    <t>-456.788361770766 263.764338032578 748.722777332508</t>
  </si>
  <si>
    <t>-554.009328185401 75.3378765801035 -224.228526534269</t>
  </si>
  <si>
    <t>-442.821223779931 73.1781538295891 217.687949507326</t>
  </si>
  <si>
    <t>-612.80843126444 6.48089537876126 650.997283638936</t>
  </si>
  <si>
    <t>-459.572866058078 -36.7521016376804 725.785515522393</t>
  </si>
  <si>
    <t>9763-20170724T170134.095410100.bin</t>
  </si>
  <si>
    <t>-571.792424880124 171.164687413711 -237.944369230097</t>
  </si>
  <si>
    <t>-592.819328598974 150.671238390548 -355.44194254046</t>
  </si>
  <si>
    <t>-596.065149988353 128.711770713243 -474.596448764858</t>
  </si>
  <si>
    <t>-591.735639702872 107.651454590226 -581.986267511527</t>
  </si>
  <si>
    <t>-580.360403363889 84.9881750873124 -688.531291917737</t>
  </si>
  <si>
    <t>-557.354661727811 51.4602335516317 -835.318929355047</t>
  </si>
  <si>
    <t>-512.29998491115 31.9101593237513 -924.598531907401</t>
  </si>
  <si>
    <t>-562.862102918391 97.1053845549573 -776.675025918672</t>
  </si>
  <si>
    <t>-517.564803632708 236.980719432129 -779.814848900874</t>
  </si>
  <si>
    <t>-428.413191880988 276.61809898132 -478.705133713675</t>
  </si>
  <si>
    <t>-223.470427020341 227.511907651459 -326.29413387735</t>
  </si>
  <si>
    <t>-572.205969811171 35.4850034311614 -764.064805893893</t>
  </si>
  <si>
    <t>-381.311862209321 7.75161369647799 -398.643001883338</t>
  </si>
  <si>
    <t>-589.699607476488 266.763109914845 -250.976654774304</t>
  </si>
  <si>
    <t>-582.608832049617 272.431447877511 204.627547692902</t>
  </si>
  <si>
    <t>-614.84128107968 249.570683188467 672.699746197558</t>
  </si>
  <si>
    <t>-456.845587332426 263.894892454897 748.697722488278</t>
  </si>
  <si>
    <t>-553.843493339036 75.5995102193194 -224.226046529879</t>
  </si>
  <si>
    <t>-442.528888239481 73.3733998976545 217.658245362294</t>
  </si>
  <si>
    <t>-612.733309002785 6.54792708772447 650.803855309769</t>
  </si>
  <si>
    <t>-459.542898715436 -36.7177158836623 725.665685957096</t>
  </si>
  <si>
    <t>9763-20170724T170134.126493300.bin</t>
  </si>
  <si>
    <t>-571.570387372038 171.48144362092 -237.872378778722</t>
  </si>
  <si>
    <t>-592.607233457425 151.000614974666 -355.370401494032</t>
  </si>
  <si>
    <t>-595.884708878706 129.024560704625 -474.521197471939</t>
  </si>
  <si>
    <t>-591.593622464396 107.938754205159 -581.907462961955</t>
  </si>
  <si>
    <t>-580.266916638708 85.240699244086 -688.45018700845</t>
  </si>
  <si>
    <t>-557.339420944104 51.6557361206569 -835.237119388388</t>
  </si>
  <si>
    <t>-512.299546111181 32.0462025373633 -924.51120993513</t>
  </si>
  <si>
    <t>-562.782931703915 97.3200234829253 -776.602148239525</t>
  </si>
  <si>
    <t>-517.423031179678 237.169229181953 -779.714075133963</t>
  </si>
  <si>
    <t>-428.129845743908 276.441698046764 -478.598443708924</t>
  </si>
  <si>
    <t>-223.116949058766 228.079055387905 -326.044201181241</t>
  </si>
  <si>
    <t>-572.185274599835 35.7120981935054 -763.974794166651</t>
  </si>
  <si>
    <t>-380.521686914218 8.33547281166693 -400.410674725018</t>
  </si>
  <si>
    <t>-589.406534541288 267.133766060255 -250.888180220776</t>
  </si>
  <si>
    <t>-582.454388140698 272.72094406672 204.719243237495</t>
  </si>
  <si>
    <t>-615.011348497385 249.668060676519 672.800407415061</t>
  </si>
  <si>
    <t>-456.94189753495 263.876509005752 748.666646228764</t>
  </si>
  <si>
    <t>-553.644974586882 75.9098809155591 -224.216307140232</t>
  </si>
  <si>
    <t>-442.268392231996 73.6854790483776 217.652398569007</t>
  </si>
  <si>
    <t>-612.661449545485 6.74929450878562 650.677088092381</t>
  </si>
  <si>
    <t>-459.62460105165 -36.9374596992172 725.608389442079</t>
  </si>
  <si>
    <t>9763-20170724T170134.227308200.bin</t>
  </si>
  <si>
    <t>-571.370802095229 171.70140630054 -237.82949667321</t>
  </si>
  <si>
    <t>-592.428078100761 151.241187341095 -355.327430825553</t>
  </si>
  <si>
    <t>-595.714340272023 129.220462332523 -474.469620573011</t>
  </si>
  <si>
    <t>-591.429165331016 108.068545827671 -581.843191487311</t>
  </si>
  <si>
    <t>-580.108143151548 85.2793073957628 -688.367118668187</t>
  </si>
  <si>
    <t>-557.189797793926 51.5422755509398 -835.12045113932</t>
  </si>
  <si>
    <t>-512.138616000621 31.8533537338162 -924.371372672261</t>
  </si>
  <si>
    <t>-562.598521976271 97.263580103395 -776.526818862432</t>
  </si>
  <si>
    <t>-517.121168634836 237.076635483279 -779.708678253119</t>
  </si>
  <si>
    <t>-427.709850137461 276.496287146365 -478.647440949446</t>
  </si>
  <si>
    <t>-222.330095437182 229.821849427197 -326.06060371433</t>
  </si>
  <si>
    <t>-572.062411358302 35.6760109560987 -763.846495054388</t>
  </si>
  <si>
    <t>-379.018017752703 8.5022448018442 -401.235196507806</t>
  </si>
  <si>
    <t>-589.141745798733 267.475274854903 -250.836004136775</t>
  </si>
  <si>
    <t>-582.314212430399 272.973727098243 204.774274166451</t>
  </si>
  <si>
    <t>-615.126743878128 249.724551663125 672.781106119051</t>
  </si>
  <si>
    <t>-457.008881835819 263.749668543044 748.580506593983</t>
  </si>
  <si>
    <t>-553.512646150747 76.0139325760879 -224.208809415174</t>
  </si>
  <si>
    <t>-442.093915941384 73.8984196236604 217.649778448221</t>
  </si>
  <si>
    <t>-612.597833657356 6.76879446145927 650.587029630109</t>
  </si>
  <si>
    <t>-459.527717749362 -36.7179373010395 725.566778341737</t>
  </si>
  <si>
    <t>9763-20170724T170134.263412700.bin</t>
  </si>
  <si>
    <t>-571.559631160683 172.439345180016 -237.893390041134</t>
  </si>
  <si>
    <t>-592.719197208803 152.048447923423 -355.385104790423</t>
  </si>
  <si>
    <t>-595.981552002954 129.736157344724 -474.47360587257</t>
  </si>
  <si>
    <t>-591.639228514738 108.176648479409 -581.763715514003</t>
  </si>
  <si>
    <t>-580.236070972819 84.8380592615197 -688.159807931071</t>
  </si>
  <si>
    <t>-557.18750869419 50.1927949464341 -834.681090612386</t>
  </si>
  <si>
    <t>-512.019922181831 30.1492798521874 -923.794245747448</t>
  </si>
  <si>
    <t>-562.613447397174 96.2722934094988 -776.370264366165</t>
  </si>
  <si>
    <t>-517.121505042648 236.056889589995 -780.16088967743</t>
  </si>
  <si>
    <t>-427.026170730433 276.393645130116 -479.425126057969</t>
  </si>
  <si>
    <t>-220.319288635191 234.429727705219 -327.26295653023</t>
  </si>
  <si>
    <t>-572.158109073961 34.7721929293505 -763.329796507477</t>
  </si>
  <si>
    <t>-376.985571734749 8.19458005156366 -398.751227269363</t>
  </si>
  <si>
    <t>-589.113404348421 268.358755105167 -250.871391180486</t>
  </si>
  <si>
    <t>-582.103391656323 273.527071819151 204.740081454748</t>
  </si>
  <si>
    <t>-615.255983256627 250.064307455385 672.713587491598</t>
  </si>
  <si>
    <t>-457.144889332955 263.736608005763 748.591539928236</t>
  </si>
  <si>
    <t>-553.911259105366 76.6693010191493 -224.256453452192</t>
  </si>
  <si>
    <t>-442.070236691439 74.3089418681552 217.494205700352</t>
  </si>
  <si>
    <t>-612.457514789701 6.73127020260631 650.413302416019</t>
  </si>
  <si>
    <t>-459.448866707369 -36.7925772647684 725.496805225947</t>
  </si>
  <si>
    <t>9763-20170724T170134.296250900.bin</t>
  </si>
  <si>
    <t>-571.735023073068 172.870125954755 -237.996194645439</t>
  </si>
  <si>
    <t>-592.819093761094 152.480550677076 -355.50175923816</t>
  </si>
  <si>
    <t>-596.021420445478 130.022508011034 -474.564485670668</t>
  </si>
  <si>
    <t>-591.638662361989 108.271581567995 -581.814436561799</t>
  </si>
  <si>
    <t>-580.213587617948 84.6824110475184 -688.152884041918</t>
  </si>
  <si>
    <t>-557.158126039119 49.6283818371182 -834.575725427825</t>
  </si>
  <si>
    <t>-511.94550325814 29.4085320888328 -923.626158574851</t>
  </si>
  <si>
    <t>-562.56296436713 95.8677293990152 -776.389642829294</t>
  </si>
  <si>
    <t>-517.105592586981 235.656318185278 -780.511123836161</t>
  </si>
  <si>
    <t>-426.782484290929 276.812657837693 -479.954831697082</t>
  </si>
  <si>
    <t>-219.450813250053 235.866533669584 -328.366429941295</t>
  </si>
  <si>
    <t>-572.155961316299 34.4098566366756 -763.186749033708</t>
  </si>
  <si>
    <t>-376.67944291143 8.63927327075089 -398.102249911131</t>
  </si>
  <si>
    <t>-589.271607896519 268.730347641705 -250.946410527849</t>
  </si>
  <si>
    <t>-582.294196486828 273.794198237301 204.6667966268</t>
  </si>
  <si>
    <t>-615.278233687016 250.158265478053 672.668391489889</t>
  </si>
  <si>
    <t>-457.17774307378 263.710415852227 748.589978800206</t>
  </si>
  <si>
    <t>-554.091162688382 77.1866044625226 -224.38192232316</t>
  </si>
  <si>
    <t>-442.358014530389 74.5817322700502 217.39472541999</t>
  </si>
  <si>
    <t>-612.429440758313 6.96164228814041 650.402818297278</t>
  </si>
  <si>
    <t>-459.492777487845 -36.7935457818348 725.498584674422</t>
  </si>
  <si>
    <t>9763-20170724T170134.365936800.bin</t>
  </si>
  <si>
    <t>-572.059302360305 173.276308073881 -238.110912516515</t>
  </si>
  <si>
    <t>-592.989128569958 152.909390331421 -355.647772504432</t>
  </si>
  <si>
    <t>-596.123659038806 130.12252964217 -474.649859210008</t>
  </si>
  <si>
    <t>-591.731695383632 107.935797956003 -581.81007504612</t>
  </si>
  <si>
    <t>-580.359713572571 83.7752086046221 -688.025931400697</t>
  </si>
  <si>
    <t>-557.452086775519 47.788912975642 -834.245640611576</t>
  </si>
  <si>
    <t>-512.211298670881 27.0988380140818 -923.173660748637</t>
  </si>
  <si>
    <t>-562.76844206439 94.3945255728183 -776.344299513795</t>
  </si>
  <si>
    <t>-517.752124621828 234.302272021418 -781.409345459145</t>
  </si>
  <si>
    <t>-426.44406137616 278.193356837639 -481.538379368915</t>
  </si>
  <si>
    <t>-219.070638714106 235.173575860097 -330.582829211033</t>
  </si>
  <si>
    <t>-572.407525731938 33.0289649132123 -762.751680073293</t>
  </si>
  <si>
    <t>-377.0992739933 10.1002702964399 -397.927023191267</t>
  </si>
  <si>
    <t>-589.694281507696 269.138014809298 -251.069028267924</t>
  </si>
  <si>
    <t>-582.899407047233 274.04254404633 204.54870405137</t>
  </si>
  <si>
    <t>-615.285158252063 250.27930733316 672.590414958794</t>
  </si>
  <si>
    <t>-457.213489168138 263.813451875562 748.575152321178</t>
  </si>
  <si>
    <t>-554.332497453085 77.5196672144659 -224.511071222697</t>
  </si>
  <si>
    <t>-442.673621054027 74.9623579263273 217.284726912409</t>
  </si>
  <si>
    <t>-612.366823078153 6.90253037695879 650.385227605201</t>
  </si>
  <si>
    <t>-459.305153908682 -36.4470327969839 725.461515796195</t>
  </si>
  <si>
    <t>9763-20170724T170134.397522500.bin</t>
  </si>
  <si>
    <t>-572.089153358516 173.565478366919 -238.164151751239</t>
  </si>
  <si>
    <t>-592.969853323468 153.165094456372 -355.704049519192</t>
  </si>
  <si>
    <t>-596.104379728453 130.135878267404 -474.659411427397</t>
  </si>
  <si>
    <t>-591.74205970907 107.648208043998 -581.758096063833</t>
  </si>
  <si>
    <t>-580.435211608456 83.1072891042595 -687.893725989728</t>
  </si>
  <si>
    <t>-557.660356912461 46.5116996877337 -833.982858935686</t>
  </si>
  <si>
    <t>-512.473168744956 25.5017554304468 -922.863076921516</t>
  </si>
  <si>
    <t>-562.888511756247 93.3542987015958 -776.264982017274</t>
  </si>
  <si>
    <t>-518.117250883773 233.303736533216 -781.9699208186</t>
  </si>
  <si>
    <t>-426.583418816408 280.123990641719 -482.611238979598</t>
  </si>
  <si>
    <t>-220.669072450821 230.873224739678 -331.562678219277</t>
  </si>
  <si>
    <t>-572.586505912347 32.0541555419616 -762.421063164481</t>
  </si>
  <si>
    <t>-377.472536970513 10.7794384076706 -398.461193222682</t>
  </si>
  <si>
    <t>-589.769820426107 269.482981799249 -251.153739184677</t>
  </si>
  <si>
    <t>-583.14299487695 274.356038891975 204.466662596814</t>
  </si>
  <si>
    <t>-615.34242186323 250.625366630766 672.50765041415</t>
  </si>
  <si>
    <t>-457.28236152637 263.86598392666 748.568279330148</t>
  </si>
  <si>
    <t>-554.290795129967 77.7401628069122 -224.5370936309</t>
  </si>
  <si>
    <t>-442.750469114264 75.4502760167484 217.289918394086</t>
  </si>
  <si>
    <t>-612.321367593879 7.06641832313517 650.35362909749</t>
  </si>
  <si>
    <t>-459.328819936961 -36.5560730275943 725.412737849503</t>
  </si>
  <si>
    <t>9763-20170724T170134.462712900.bin</t>
  </si>
  <si>
    <t>-571.841291796775 174.251806160533 -238.394465227179</t>
  </si>
  <si>
    <t>-592.549712286758 153.834749978345 -355.961846287442</t>
  </si>
  <si>
    <t>-595.77690694011 130.451657170698 -474.845829004232</t>
  </si>
  <si>
    <t>-591.621528140546 107.514526974945 -581.857400118728</t>
  </si>
  <si>
    <t>-580.653206271302 82.4005205481526 -687.894268617746</t>
  </si>
  <si>
    <t>-558.492841342117 44.8846599853339 -833.84452915955</t>
  </si>
  <si>
    <t>-513.530369709122 23.289712723674 -922.698581800925</t>
  </si>
  <si>
    <t>-563.27238270088 92.0655759340784 -776.363793092936</t>
  </si>
  <si>
    <t>-518.766827843431 232.074549052914 -783.259986749111</t>
  </si>
  <si>
    <t>-430.949625580449 285.18234537016 -483.83744771785</t>
  </si>
  <si>
    <t>-230.094767454461 217.875195414273 -332.942995940324</t>
  </si>
  <si>
    <t>-573.323787257435 30.9030807543616 -762.16841170725</t>
  </si>
  <si>
    <t>-377.056418373767 12.8052771536816 -398.875359831135</t>
  </si>
  <si>
    <t>-589.261902962871 270.417105605283 -251.461379115364</t>
  </si>
  <si>
    <t>-583.568258994839 275.240381062924 204.172319187912</t>
  </si>
  <si>
    <t>-615.462749837739 251.567730317749 672.241852946576</t>
  </si>
  <si>
    <t>-457.45640992549 264.05401220189 748.541172800097</t>
  </si>
  <si>
    <t>-554.341744072428 78.1334997375038 -224.657566599153</t>
  </si>
  <si>
    <t>-442.965553528606 76.0692903180136 217.212007215166</t>
  </si>
  <si>
    <t>-612.225875322006 7.03802628549738 650.284702194408</t>
  </si>
  <si>
    <t>-459.026893042948 -35.9679865993301 725.278440969959</t>
  </si>
  <si>
    <t>9763-20170724T170134.508831000.bin</t>
  </si>
  <si>
    <t>-571.403400954382 174.45110970964 -238.51029950502</t>
  </si>
  <si>
    <t>-592.021651630956 154.063387315587 -356.098652786732</t>
  </si>
  <si>
    <t>-595.274994951196 130.547151491033 -474.955623612877</t>
  </si>
  <si>
    <t>-591.197912939038 107.427626898458 -581.930927078251</t>
  </si>
  <si>
    <t>-580.366440491858 82.0727721232799 -687.924511710498</t>
  </si>
  <si>
    <t>-558.460377472906 44.1643443296443 -833.811706758407</t>
  </si>
  <si>
    <t>-513.648422714066 22.2890356638559 -922.67320471239</t>
  </si>
  <si>
    <t>-562.990181793163 91.4812416476273 -776.422678843564</t>
  </si>
  <si>
    <t>-518.816610736154 231.560950004184 -783.730523964552</t>
  </si>
  <si>
    <t>-435.400373336089 287.012702862531 -483.475650524787</t>
  </si>
  <si>
    <t>-237.103793393246 210.336698799719 -333.671473994166</t>
  </si>
  <si>
    <t>-573.316072692233 30.3941006683413 -762.09980825134</t>
  </si>
  <si>
    <t>-376.335890442604 13.072724034464 -399.456514502574</t>
  </si>
  <si>
    <t>-588.515032154807 270.735225547663 -251.632085539675</t>
  </si>
  <si>
    <t>-583.519188998086 275.538842847767 204.009920005125</t>
  </si>
  <si>
    <t>-615.511273343893 251.964390023398 672.071242017296</t>
  </si>
  <si>
    <t>-457.530675726638 263.976843611829 748.499894842694</t>
  </si>
  <si>
    <t>-554.19395219959 78.15256375013 -224.753732446802</t>
  </si>
  <si>
    <t>-443.078353235663 76.298325171274 217.182377985137</t>
  </si>
  <si>
    <t>-612.195335318042 7.12695311718403 650.301104772188</t>
  </si>
  <si>
    <t>-458.972793576224 -35.8831169260357 725.244372543419</t>
  </si>
  <si>
    <t>9763-20170724T170134.565489100.bin</t>
  </si>
  <si>
    <t>-570.177701402758 174.362307555276 -238.627201671501</t>
  </si>
  <si>
    <t>-590.769445804298 154.07623773691 -356.237778610203</t>
  </si>
  <si>
    <t>-593.972779372248 130.572892923772 -475.098766497587</t>
  </si>
  <si>
    <t>-589.8405722418 107.445597424695 -582.070186132922</t>
  </si>
  <si>
    <t>-578.94191811312 82.0744165498377 -688.053135044132</t>
  </si>
  <si>
    <t>-556.926808596112 44.1436707510975 -833.918059752966</t>
  </si>
  <si>
    <t>-512.239640097753 22.0974021898555 -922.800102973482</t>
  </si>
  <si>
    <t>-561.4592969292 91.4641174140049 -776.532201409533</t>
  </si>
  <si>
    <t>-517.280773874581 231.498695904506 -784.038273135085</t>
  </si>
  <si>
    <t>-445.435541791161 293.346719067686 -482.046205377119</t>
  </si>
  <si>
    <t>-249.963756748767 199.017674144087 -338.746220988258</t>
  </si>
  <si>
    <t>-571.876350102339 30.3894617270594 -762.222455906887</t>
  </si>
  <si>
    <t>-373.309075587117 12.4180188987787 -402.92313898869</t>
  </si>
  <si>
    <t>-586.486818169309 270.831317532198 -251.863160237101</t>
  </si>
  <si>
    <t>-582.497660673475 275.627430227296 203.788852012853</t>
  </si>
  <si>
    <t>-615.518174332621 252.226566823603 671.921710887305</t>
  </si>
  <si>
    <t>-457.586761629652 263.689584469942 748.536172832307</t>
  </si>
  <si>
    <t>-553.883475992075 77.8531884180682 -224.714570527681</t>
  </si>
  <si>
    <t>-442.637321362181 75.9824892775125 217.188728322603</t>
  </si>
  <si>
    <t>-612.175280908064 7.48132408449669 650.361167215413</t>
  </si>
  <si>
    <t>-459.044572513172 -35.9425261493723 725.253554232072</t>
  </si>
  <si>
    <t>9763-20170724T170134.596643500.bin</t>
  </si>
  <si>
    <t>-569.624917526167 173.871210012185 -238.553888970921</t>
  </si>
  <si>
    <t>-590.342358598298 153.62424383714 -356.149176790225</t>
  </si>
  <si>
    <t>-593.570247987797 130.167328079463 -475.018504028489</t>
  </si>
  <si>
    <t>-589.415731967574 107.092298762808 -582.000531805634</t>
  </si>
  <si>
    <t>-578.447749190402 81.7876848647666 -687.99217116239</t>
  </si>
  <si>
    <t>-556.284768015321 43.9680012722488 -833.863507972905</t>
  </si>
  <si>
    <t>-511.565627394352 21.9733219920035 -922.742185272281</t>
  </si>
  <si>
    <t>-560.968668467802 91.2565647759939 -776.463516620079</t>
  </si>
  <si>
    <t>-516.801717947117 231.34099939657 -784.013653200978</t>
  </si>
  <si>
    <t>-450.01743753814 295.184453067153 -481.275952532447</t>
  </si>
  <si>
    <t>-255.203251248254 195.563305325663 -340.687357933477</t>
  </si>
  <si>
    <t>-571.213768609763 30.14749300226 -762.176533496761</t>
  </si>
  <si>
    <t>-371.44131708404 10.7742942547197 -403.040278568018</t>
  </si>
  <si>
    <t>-585.719651199767 270.387431878538 -251.776254188479</t>
  </si>
  <si>
    <t>-581.56758017956 275.197844014067 203.874114900057</t>
  </si>
  <si>
    <t>-615.503877753566 251.913276878142 671.985016943141</t>
  </si>
  <si>
    <t>-457.563586845874 263.366797505899 748.582537595826</t>
  </si>
  <si>
    <t>-553.612883737698 77.389582302508 -224.619789272425</t>
  </si>
  <si>
    <t>-442.217383232995 75.3687909274981 217.245239707124</t>
  </si>
  <si>
    <t>-612.196398597047 7.53533077040652 650.428320877462</t>
  </si>
  <si>
    <t>-459.090503337939 -36.0073540213477 725.302448968176</t>
  </si>
  <si>
    <t>9763-20170724T170134.664334400.bin</t>
  </si>
  <si>
    <t>-568.771744457293 172.714370259789 -238.30773764258</t>
  </si>
  <si>
    <t>-589.51095607087 152.640837225825 -355.928918873379</t>
  </si>
  <si>
    <t>-592.632073148704 129.519918577817 -474.866993670236</t>
  </si>
  <si>
    <t>-588.321635349229 106.811902994326 -581.921221043629</t>
  </si>
  <si>
    <t>-577.134310929516 81.9347348982751 -687.991194947086</t>
  </si>
  <si>
    <t>-554.596811575762 44.7702741891289 -833.973475163094</t>
  </si>
  <si>
    <t>-509.691416431134 23.2314951821049 -922.86991236945</t>
  </si>
  <si>
    <t>-559.577887968716 91.81908260149 -776.401710180562</t>
  </si>
  <si>
    <t>-515.932013991051 232.061747022144 -782.944779877823</t>
  </si>
  <si>
    <t>-455.877903780233 294.853051360872 -478.58158373448</t>
  </si>
  <si>
    <t>-260.34186293116 190.602075467924 -342.421981289429</t>
  </si>
  <si>
    <t>-569.560031124905 30.609755975594 -762.359965606142</t>
  </si>
  <si>
    <t>-367.983785367168 5.95784373331344 -401.714426467059</t>
  </si>
  <si>
    <t>-584.791568844679 268.790473361112 -251.278896690749</t>
  </si>
  <si>
    <t>-579.626704484877 273.71144870183 204.359897108476</t>
  </si>
  <si>
    <t>-615.404315218296 250.405447611008 672.36063029995</t>
  </si>
  <si>
    <t>-457.3983973608 263.091489401798 748.627960285753</t>
  </si>
  <si>
    <t>-552.675423312734 76.8814330796445 -224.55992948866</t>
  </si>
  <si>
    <t>-441.862016740168 73.8354013974176 217.445524614196</t>
  </si>
  <si>
    <t>-612.270251333239 7.36703187551257 650.646536153712</t>
  </si>
  <si>
    <t>-459.158760853739 -36.1775033578115 725.508078155837</t>
  </si>
  <si>
    <t>9763-20170724T170134.700522000.bin</t>
  </si>
  <si>
    <t>-568.328870548514 172.373701696557 -238.130097280547</t>
  </si>
  <si>
    <t>-589.091684913718 152.341322639438 -355.754207508134</t>
  </si>
  <si>
    <t>-592.148920174136 129.497891497208 -474.747473054118</t>
  </si>
  <si>
    <t>-587.735103948798 107.132795660283 -581.869643124045</t>
  </si>
  <si>
    <t>-576.392665479648 82.6877296820257 -688.023518386889</t>
  </si>
  <si>
    <t>-553.580473765618 46.2136497122779 -834.137326547923</t>
  </si>
  <si>
    <t>-508.532600354106 25.0558939904581 -923.053175525453</t>
  </si>
  <si>
    <t>-558.776270764559 93.0024979588648 -776.372961458778</t>
  </si>
  <si>
    <t>-515.529959693331 233.435030400694 -782.128410552678</t>
  </si>
  <si>
    <t>-457.112726339932 292.609482897187 -476.723768106289</t>
  </si>
  <si>
    <t>-259.169256768064 188.207020398243 -344.207391659078</t>
  </si>
  <si>
    <t>-568.572070017296 31.702033778241 -762.600025542497</t>
  </si>
  <si>
    <t>-366.492701519642 3.45162658220261 -401.011479541795</t>
  </si>
  <si>
    <t>-584.421709208846 268.230477484673 -251.008862494214</t>
  </si>
  <si>
    <t>-578.84386055996 273.248989969716 204.624054727433</t>
  </si>
  <si>
    <t>-615.411855837702 249.9629927506 672.49112716976</t>
  </si>
  <si>
    <t>-457.37365846353 263.080900492463 748.618513393711</t>
  </si>
  <si>
    <t>-552.110806705474 76.6530435426848 -224.498208600069</t>
  </si>
  <si>
    <t>-441.854141047621 73.5394575440721 217.645886834771</t>
  </si>
  <si>
    <t>-612.269053161324 7.42332116325338 650.775930344236</t>
  </si>
  <si>
    <t>-459.230766065785 -36.3770794497925 725.637884173904</t>
  </si>
  <si>
    <t>9763-20170724T170134.764696900.bin</t>
  </si>
  <si>
    <t>-567.416811055387 171.678413619671 -237.840395754712</t>
  </si>
  <si>
    <t>-588.210032193424 151.638710506314 -355.457766545786</t>
  </si>
  <si>
    <t>-591.262374382103 129.279696525907 -474.543057418277</t>
  </si>
  <si>
    <t>-586.807163271781 107.552255612309 -581.794769338537</t>
  </si>
  <si>
    <t>-575.371570065484 83.9431272019942 -688.127721172691</t>
  </si>
  <si>
    <t>-552.362188342794 48.8352553694185 -834.544950011574</t>
  </si>
  <si>
    <t>-507.06952957792 28.4486917246529 -923.516524924374</t>
  </si>
  <si>
    <t>-557.826974064625 95.1048793345808 -776.388545830698</t>
  </si>
  <si>
    <t>-515.60484594811 235.895709524585 -780.868385009254</t>
  </si>
  <si>
    <t>-456.719160576111 289.303311348065 -474.492247918064</t>
  </si>
  <si>
    <t>-256.632772970091 184.615397293402 -345.465465191277</t>
  </si>
  <si>
    <t>-567.259248919072 33.6339168578434 -763.13120192787</t>
  </si>
  <si>
    <t>-364.78138196852 0.133615006360515 -399.524103399749</t>
  </si>
  <si>
    <t>-583.718620036476 267.311117036601 -250.657638644309</t>
  </si>
  <si>
    <t>-577.926717207433 272.571445316192 204.969959693428</t>
  </si>
  <si>
    <t>-615.388451500573 249.218708471473 672.699012866108</t>
  </si>
  <si>
    <t>-457.331136931355 263.249385233547 748.62360535327</t>
  </si>
  <si>
    <t>-551.005053708226 76.1143446214342 -224.265832185218</t>
  </si>
  <si>
    <t>-441.429827658099 73.3079459484914 218.049745389896</t>
  </si>
  <si>
    <t>-612.208780681894 7.42736550458108 650.956340557824</t>
  </si>
  <si>
    <t>-459.142603818349 -36.2525558480809 725.831705501011</t>
  </si>
  <si>
    <t>9763-20170724T170134.798437100.bin</t>
  </si>
  <si>
    <t>-567.015720441459 171.393807130074 -237.717950954099</t>
  </si>
  <si>
    <t>-587.752149591448 151.354390172628 -355.345499321319</t>
  </si>
  <si>
    <t>-590.771488636514 129.152865609211 -474.461201750519</t>
  </si>
  <si>
    <t>-586.28922983896 107.632375546025 -581.753365997528</t>
  </si>
  <si>
    <t>-574.824867919618 84.2943036639997 -688.143056995398</t>
  </si>
  <si>
    <t>-551.769107612304 49.6298809647456 -834.658625343108</t>
  </si>
  <si>
    <t>-506.360785061163 29.5550897878945 -923.642219432293</t>
  </si>
  <si>
    <t>-557.298710610522 95.7283470927437 -776.372619337452</t>
  </si>
  <si>
    <t>-515.193094741942 236.569367890151 -780.537684054</t>
  </si>
  <si>
    <t>-455.151388995946 288.257653360498 -474.091180882638</t>
  </si>
  <si>
    <t>-254.882275544365 182.703308561037 -346.057503944286</t>
  </si>
  <si>
    <t>-566.642446535306 34.2071212901265 -763.287462701147</t>
  </si>
  <si>
    <t>-583.381217288808 267.010073618911 -250.556636858465</t>
  </si>
  <si>
    <t>-577.771676316475 272.408326178103 205.071645176567</t>
  </si>
  <si>
    <t>-615.446603821504 249.17333197184 672.776935098339</t>
  </si>
  <si>
    <t>-457.357552854461 263.194299371537 748.637121461419</t>
  </si>
  <si>
    <t>-550.600303611575 75.8813114544012 -224.165850524471</t>
  </si>
  <si>
    <t>-441.096704599975 73.0230913970254 218.167118150382</t>
  </si>
  <si>
    <t>-612.17600888239 7.2938235474337 651.033566351107</t>
  </si>
  <si>
    <t>-459.029278876335 -36.0943198402606 725.913861543981</t>
  </si>
  <si>
    <t>9763-20170724T170134.863112300.bin</t>
  </si>
  <si>
    <t>-566.335171869566 171.115772432833 -237.632494665717</t>
  </si>
  <si>
    <t>-586.976637957715 151.208546994023 -355.299149643034</t>
  </si>
  <si>
    <t>-589.899265916996 129.259664944168 -474.463985653713</t>
  </si>
  <si>
    <t>-585.324582260155 108.01435226287 -581.80727219173</t>
  </si>
  <si>
    <t>-573.759719132665 84.9974903000775 -688.255967045441</t>
  </si>
  <si>
    <t>-550.553257543631 50.8258042978509 -834.863482747054</t>
  </si>
  <si>
    <t>-504.909606057554 31.128638049147 -923.811003122171</t>
  </si>
  <si>
    <t>-556.166879406236 96.7309312492687 -776.432855999172</t>
  </si>
  <si>
    <t>-513.81757719309 237.505510947097 -780.085543821223</t>
  </si>
  <si>
    <t>-450.539331871965 286.029591006026 -473.772877419522</t>
  </si>
  <si>
    <t>-249.434428663208 178.6419158005 -348.606025128101</t>
  </si>
  <si>
    <t>-565.475895756771 35.1605772802993 -763.555421194122</t>
  </si>
  <si>
    <t>-363.404245623489 0.0645216161155986 -398.729319955027</t>
  </si>
  <si>
    <t>-582.662988199473 266.663383497612 -250.435816288376</t>
  </si>
  <si>
    <t>-577.442911632501 272.210933628882 205.195160136135</t>
  </si>
  <si>
    <t>-615.512739989059 249.074669268989 672.870037429958</t>
  </si>
  <si>
    <t>-457.398037360089 263.130597079153 748.670302404457</t>
  </si>
  <si>
    <t>-549.900450294377 75.6552718875998 -224.186558636115</t>
  </si>
  <si>
    <t>-440.870872401033 72.5555233620239 218.261910706442</t>
  </si>
  <si>
    <t>-612.147300379049 7.28024811089858 651.18438397564</t>
  </si>
  <si>
    <t>-459.14994564554 -36.5270216913621 726.125982808964</t>
  </si>
  <si>
    <t>9763-20170724T170134.899248200.bin</t>
  </si>
  <si>
    <t>-566.073508129305 170.955591573337 -237.616345774345</t>
  </si>
  <si>
    <t>-586.661505691722 151.146864115084 -355.309021873695</t>
  </si>
  <si>
    <t>-589.488133541304 129.355123146173 -474.504996033635</t>
  </si>
  <si>
    <t>-584.807754373339 108.27275371725 -581.875869167821</t>
  </si>
  <si>
    <t>-573.117486630258 85.4380350016068 -688.35013130674</t>
  </si>
  <si>
    <t>-549.715675272891 51.5379103246059 -834.989429598103</t>
  </si>
  <si>
    <t>-503.949404166938 31.9524610621122 -923.898632654675</t>
  </si>
  <si>
    <t>-555.400606929373 97.3339019675459 -776.480338180359</t>
  </si>
  <si>
    <t>-512.737345593643 238.005604475269 -779.821736960128</t>
  </si>
  <si>
    <t>-447.635392929401 284.913160522417 -473.639385741768</t>
  </si>
  <si>
    <t>-245.685321494891 177.837907282589 -349.570347272558</t>
  </si>
  <si>
    <t>-564.739932059849 35.7413055978905 -763.731912984272</t>
  </si>
  <si>
    <t>-363.407148312449 1.2601730909139 -399.13973441455</t>
  </si>
  <si>
    <t>-582.310256895192 266.441431086371 -250.366115659706</t>
  </si>
  <si>
    <t>-577.221198195164 272.025528130035 205.266041949255</t>
  </si>
  <si>
    <t>-615.484079409199 248.850379807994 672.913532966345</t>
  </si>
  <si>
    <t>-457.388729454914 263.211049312667 748.696991081273</t>
  </si>
  <si>
    <t>-549.752307831937 75.5579050481838 -224.204630806431</t>
  </si>
  <si>
    <t>-440.843744976269 72.225209230782 218.271958851295</t>
  </si>
  <si>
    <t>-612.146084699139 7.23073984642019 651.254964273623</t>
  </si>
  <si>
    <t>-459.129555000487 -36.463575086894 726.223344900209</t>
  </si>
  <si>
    <t>9763-20170724T170134.964925200.bin</t>
  </si>
  <si>
    <t>-565.859334899419 170.893229256123 -237.517658953405</t>
  </si>
  <si>
    <t>-586.399699138991 151.174563194229 -355.23380815243</t>
  </si>
  <si>
    <t>-589.028763973875 129.446473750175 -474.445936940811</t>
  </si>
  <si>
    <t>-584.111413508095 108.406965630367 -581.814407387217</t>
  </si>
  <si>
    <t>-572.128541815899 85.5978882108352 -688.261765815706</t>
  </si>
  <si>
    <t>-548.264904567463 51.7139365366063 -834.830358919349</t>
  </si>
  <si>
    <t>-502.263925580742 32.0199517541514 -923.594464290512</t>
  </si>
  <si>
    <t>-554.085436946748 97.4980206328064 -776.325157811439</t>
  </si>
  <si>
    <t>-510.860484911832 238.028027170813 -779.364198063681</t>
  </si>
  <si>
    <t>-441.438101287465 283.965169810838 -473.984907468044</t>
  </si>
  <si>
    <t>-238.972836288085 175.855668701003 -351.664977026747</t>
  </si>
  <si>
    <t>-563.562165973545 35.9150990392066 -763.63130324626</t>
  </si>
  <si>
    <t>-364.268235342819 3.01209789785207 -397.955894158971</t>
  </si>
  <si>
    <t>-581.835126553352 266.331648141127 -250.272640608742</t>
  </si>
  <si>
    <t>-577.130536873949 271.925319820409 205.363492885085</t>
  </si>
  <si>
    <t>-615.512711086435 248.804223388851 672.962837408088</t>
  </si>
  <si>
    <t>-457.421393753322 263.16805254423 748.754207529131</t>
  </si>
  <si>
    <t>-549.816441170679 75.5128899338565 -224.094015852874</t>
  </si>
  <si>
    <t>-440.742059037663 71.8750753365391 218.339265624283</t>
  </si>
  <si>
    <t>-612.127683982527 7.23748852254676 651.31978311191</t>
  </si>
  <si>
    <t>-459.196993009094 -36.6882063778044 726.328090028288</t>
  </si>
  <si>
    <t>9763-20170724T170134.998020800.bin</t>
  </si>
  <si>
    <t>-565.736154560219 170.820113439629 -237.480469384712</t>
  </si>
  <si>
    <t>-586.239064812899 151.129477344559 -355.207897360247</t>
  </si>
  <si>
    <t>-588.74699311784 129.358669810587 -474.414785616414</t>
  </si>
  <si>
    <t>-583.690827879553 108.247106707638 -581.762766610233</t>
  </si>
  <si>
    <t>-571.543445610476 85.3303183232802 -688.168281317246</t>
  </si>
  <si>
    <t>-547.428115968104 51.2582073907474 -834.652127910651</t>
  </si>
  <si>
    <t>-501.288064208598 31.3952898791781 -923.306150497463</t>
  </si>
  <si>
    <t>-553.297336582291 97.1114131204072 -776.205926426452</t>
  </si>
  <si>
    <t>-509.514580343091 237.462465160099 -779.230765587743</t>
  </si>
  <si>
    <t>-439.115106109783 284.231105808954 -474.201471883138</t>
  </si>
  <si>
    <t>-237.753601577275 175.515578983447 -350.603312773186</t>
  </si>
  <si>
    <t>-562.899430550892 35.5567901287779 -763.46903979765</t>
  </si>
  <si>
    <t>-365.065746125123 3.95515062307572 -396.731314643286</t>
  </si>
  <si>
    <t>-581.641623780033 266.301286278198 -250.2468937738</t>
  </si>
  <si>
    <t>-577.148242755717 271.89175797404 205.391383112075</t>
  </si>
  <si>
    <t>-615.490898501712 248.693036720438 672.982345439408</t>
  </si>
  <si>
    <t>-457.407939577434 263.124723185545 748.778236772888</t>
  </si>
  <si>
    <t>-549.727392690951 75.3829359919323 -224.075566700659</t>
  </si>
  <si>
    <t>-440.616902706985 71.7869201168896 218.34907925944</t>
  </si>
  <si>
    <t>-612.121706594281 7.11747631498338 651.323603640268</t>
  </si>
  <si>
    <t>-459.21477570479 -36.8391330937436 726.362295874252</t>
  </si>
  <si>
    <t>9763-20170724T170135.064700300.bin</t>
  </si>
  <si>
    <t>-565.655293773626 171.08248727622 -237.421095264279</t>
  </si>
  <si>
    <t>-586.157400391189 151.452998787472 -355.158657840459</t>
  </si>
  <si>
    <t>-588.344289706389 129.693809040211 -474.374237443641</t>
  </si>
  <si>
    <t>-582.873178293855 108.561031041355 -581.697590536447</t>
  </si>
  <si>
    <t>-570.192022962338 85.5850269589425 -688.027942055062</t>
  </si>
  <si>
    <t>-545.217897618916 51.3853727936496 -834.338062023861</t>
  </si>
  <si>
    <t>-498.637803327171 31.2895667437608 -922.709151588695</t>
  </si>
  <si>
    <t>-551.372750565331 97.2827323213282 -775.956022062784</t>
  </si>
  <si>
    <t>-506.73783955975 237.365961259751 -778.689849529953</t>
  </si>
  <si>
    <t>-436.833368004811 283.853391559138 -473.503949863938</t>
  </si>
  <si>
    <t>-235.557574136667 176.538554687087 -348.549378320074</t>
  </si>
  <si>
    <t>-561.163591415744 35.7525964831807 -763.244782855784</t>
  </si>
  <si>
    <t>-366.878037841715 5.89601244631922 -393.056288049723</t>
  </si>
  <si>
    <t>-581.486011314546 266.721210962938 -250.215542800521</t>
  </si>
  <si>
    <t>-577.243536929853 272.140738095349 205.42724401898</t>
  </si>
  <si>
    <t>-615.547234928327 248.805866758127 672.983606078096</t>
  </si>
  <si>
    <t>-457.460996623888 262.980055311227 748.821246540094</t>
  </si>
  <si>
    <t>-549.730332938972 75.604202300115 -223.998943092649</t>
  </si>
  <si>
    <t>-440.40547271731 71.7884724942935 218.37103804342</t>
  </si>
  <si>
    <t>-612.103131789112 7.08717776667618 651.273294516875</t>
  </si>
  <si>
    <t>-459.294924378619 -37.0798738209598 726.389422834662</t>
  </si>
  <si>
    <t>9763-20170724T170135.097841000.bin</t>
  </si>
  <si>
    <t>-565.813106608413 171.425337264471 -237.3732454362</t>
  </si>
  <si>
    <t>-586.382932571547 151.777706769631 -355.096025090671</t>
  </si>
  <si>
    <t>-588.431897794705 130.0516693634 -474.319921410682</t>
  </si>
  <si>
    <t>-582.751780742485 108.962262933883 -581.641006713319</t>
  </si>
  <si>
    <t>-569.778425237 86.0387725456017 -687.947540050283</t>
  </si>
  <si>
    <t>-544.313646323785 51.9177478877639 -834.191441741472</t>
  </si>
  <si>
    <t>-497.468391250994 31.7356479414063 -922.402546231327</t>
  </si>
  <si>
    <t>-550.647036420656 97.7817486684703 -775.802226708174</t>
  </si>
  <si>
    <t>-505.684602374323 237.771464436301 -778.181971193764</t>
  </si>
  <si>
    <t>-436.725724845916 283.338592161322 -472.642319304549</t>
  </si>
  <si>
    <t>-234.379646354621 177.368497159276 -348.270035509816</t>
  </si>
  <si>
    <t>-560.515012765878 36.2487989624258 -763.163975821653</t>
  </si>
  <si>
    <t>-368.39898431485 6.95734530942991 -391.256325451947</t>
  </si>
  <si>
    <t>-581.615804030236 267.052944814942 -250.199434709805</t>
  </si>
  <si>
    <t>-577.287137748621 272.329400281488 205.444138499044</t>
  </si>
  <si>
    <t>-615.493404872358 248.701166822508 672.977446570321</t>
  </si>
  <si>
    <t>-457.436378885017 263.015521168123 748.849565646116</t>
  </si>
  <si>
    <t>-549.997375933033 75.9562189502922 -223.869915234631</t>
  </si>
  <si>
    <t>-440.136181166149 71.9238692761023 218.365165140113</t>
  </si>
  <si>
    <t>-612.080761572194 7.17837380971764 651.17467979264</t>
  </si>
  <si>
    <t>-459.351578189614 -37.184373072701 726.336200009867</t>
  </si>
  <si>
    <t>9763-20170724T170135.164028700.bin</t>
  </si>
  <si>
    <t>-566.40225661146 172.04203377753 -237.38072629061</t>
  </si>
  <si>
    <t>-586.97418691828 152.302503894287 -355.08781011043</t>
  </si>
  <si>
    <t>-588.726891087564 130.568764503672 -474.315028358506</t>
  </si>
  <si>
    <t>-582.656758578656 109.498129520463 -581.618555099945</t>
  </si>
  <si>
    <t>-569.1724305041 86.6149516802802 -687.870007601777</t>
  </si>
  <si>
    <t>-542.874347625771 52.5674972884087 -833.983543881193</t>
  </si>
  <si>
    <t>-495.454177037395 32.2375828978943 -921.852893709268</t>
  </si>
  <si>
    <t>-549.550877518789 98.4032253732564 -775.610483247722</t>
  </si>
  <si>
    <t>-504.302713261062 238.309739653564 -777.57250156542</t>
  </si>
  <si>
    <t>-435.468493408203 283.650891408731 -471.971050263721</t>
  </si>
  <si>
    <t>-231.286362491937 179.209043083143 -349.318520012838</t>
  </si>
  <si>
    <t>-559.470023302556 36.8615818153341 -763.055270224735</t>
  </si>
  <si>
    <t>-371.248532637206 8.7794490586773 -388.495901522269</t>
  </si>
  <si>
    <t>-582.131785620202 267.725250360287 -250.282855582211</t>
  </si>
  <si>
    <t>-577.901325383394 272.768326935309 205.364287239961</t>
  </si>
  <si>
    <t>-615.476910951444 248.809919394552 672.903777903575</t>
  </si>
  <si>
    <t>-457.468239243385 263.113149200787 748.878651901139</t>
  </si>
  <si>
    <t>-550.56485128865 76.4983196312246 -223.837662069342</t>
  </si>
  <si>
    <t>-440.167976081507 72.4615941631387 218.264017927303</t>
  </si>
  <si>
    <t>-612.040452658842 7.05078210161309 650.959682536312</t>
  </si>
  <si>
    <t>-459.311868822828 -37.2580817738685 726.154241205799</t>
  </si>
  <si>
    <t>9763-20170724T170135.196609800.bin</t>
  </si>
  <si>
    <t>-566.780623211697 172.457015463604 -237.516494729335</t>
  </si>
  <si>
    <t>-587.33799350354 152.720828089781 -355.226673623945</t>
  </si>
  <si>
    <t>-588.974589834294 130.97902822265 -474.454208940008</t>
  </si>
  <si>
    <t>-582.759760468458 109.893954419265 -581.746555714094</t>
  </si>
  <si>
    <t>-569.093034274221 86.9867509592202 -687.969462234199</t>
  </si>
  <si>
    <t>-542.504000466232 52.8952704430819 -834.020247763855</t>
  </si>
  <si>
    <t>-494.78637620487 32.5072546739113 -921.714812514548</t>
  </si>
  <si>
    <t>-549.319609086119 98.7512862736621 -775.679110447838</t>
  </si>
  <si>
    <t>-504.071800183495 238.660411517762 -777.660362529886</t>
  </si>
  <si>
    <t>-434.539315246691 284.241861245331 -472.252777115923</t>
  </si>
  <si>
    <t>-229.797187351042 180.208855830361 -350.187918838446</t>
  </si>
  <si>
    <t>-559.21809259106 37.2080120331227 -763.115538201757</t>
  </si>
  <si>
    <t>-372.632696799061 10.0534902844158 -388.17526173505</t>
  </si>
  <si>
    <t>-582.626331210931 268.097147846552 -250.40990831457</t>
  </si>
  <si>
    <t>-578.246053168568 272.932283807736 205.238175421659</t>
  </si>
  <si>
    <t>-615.413295092074 248.767035628518 672.820137249156</t>
  </si>
  <si>
    <t>-457.440011677304 263.00089280143 748.881671706774</t>
  </si>
  <si>
    <t>-550.838927125753 76.9904622454037 -224.026975549677</t>
  </si>
  <si>
    <t>-440.472721292547 72.8542311935316 218.081504152957</t>
  </si>
  <si>
    <t>-612.020424496872 7.17481163214961 650.872138593271</t>
  </si>
  <si>
    <t>-459.352102910758 -37.3250090365148 726.076236636646</t>
  </si>
  <si>
    <t>9763-20170724T170135.262785700.bin</t>
  </si>
  <si>
    <t>-567.944960399753 173.008936260456 -237.799379287972</t>
  </si>
  <si>
    <t>-588.49811614261 153.362544983816 -355.525215316478</t>
  </si>
  <si>
    <t>-590.02882127625 131.591200220731 -474.748765151244</t>
  </si>
  <si>
    <t>-583.684053210992 110.424598609316 -582.017393082709</t>
  </si>
  <si>
    <t>-569.858688355771 87.3777732721414 -688.189652092122</t>
  </si>
  <si>
    <t>-543.025496624046 53.0281779278528 -834.135148532567</t>
  </si>
  <si>
    <t>-494.96312214878 32.5066302278972 -921.610143315065</t>
  </si>
  <si>
    <t>-549.967005017488 98.9905600239435 -775.892763695415</t>
  </si>
  <si>
    <t>-504.789486604278 238.931275434202 -778.004897396651</t>
  </si>
  <si>
    <t>-432.674767498768 284.200476357477 -473.150194242344</t>
  </si>
  <si>
    <t>-227.558400830573 180.473742561763 -351.453617139056</t>
  </si>
  <si>
    <t>-559.829739465685 37.4628720867388 -763.224890041211</t>
  </si>
  <si>
    <t>-374.787044288089 12.5149366161297 -386.258689633643</t>
  </si>
  <si>
    <t>-583.937293456846 268.572502931868 -250.586222647907</t>
  </si>
  <si>
    <t>-579.102106777765 273.085165798913 205.060496605877</t>
  </si>
  <si>
    <t>-615.270682579914 248.650115838778 672.685426454428</t>
  </si>
  <si>
    <t>-457.358438603976 262.802034431146 748.88877315809</t>
  </si>
  <si>
    <t>-551.93362891566 77.5025303087687 -224.378397904821</t>
  </si>
  <si>
    <t>-441.214293665955 73.2948239833715 217.640986055362</t>
  </si>
  <si>
    <t>-612.01127618088 6.92606438979283 650.694008753066</t>
  </si>
  <si>
    <t>-459.27398465469 -37.334277284803 725.899369281291</t>
  </si>
  <si>
    <t>9763-20170724T170135.328525900.bin</t>
  </si>
  <si>
    <t>-569.298052688123 173.844292838541 -238.091690064554</t>
  </si>
  <si>
    <t>-589.814422791298 154.296938605072 -355.840472719662</t>
  </si>
  <si>
    <t>-591.252398648308 132.53229847951 -475.066326789707</t>
  </si>
  <si>
    <t>-584.806675896277 111.329840989136 -582.321967818672</t>
  </si>
  <si>
    <t>-570.86760934138 88.2026030482591 -688.461781711403</t>
  </si>
  <si>
    <t>-543.86715861061 53.6938603950973 -834.338983292548</t>
  </si>
  <si>
    <t>-495.663158662822 33.0685672422537 -921.711440549168</t>
  </si>
  <si>
    <t>-550.86378528608 99.718516734669 -776.152151708461</t>
  </si>
  <si>
    <t>-505.319524005587 239.519199626382 -778.179602319296</t>
  </si>
  <si>
    <t>-430.221936923282 284.485539957084 -474.000995343442</t>
  </si>
  <si>
    <t>-225.358422598234 181.168600917877 -351.532424572795</t>
  </si>
  <si>
    <t>-560.764176936946 38.2074140811631 -763.433517188786</t>
  </si>
  <si>
    <t>-376.06084874581 14.4015107705377 -386.22248120729</t>
  </si>
  <si>
    <t>-585.368422464734 269.371204669579 -250.773073806654</t>
  </si>
  <si>
    <t>-580.28621535542 273.382820693063 204.875779425808</t>
  </si>
  <si>
    <t>-615.231648972642 248.600322991459 672.623370410718</t>
  </si>
  <si>
    <t>-457.35651458634 262.932277344266 748.87001894959</t>
  </si>
  <si>
    <t>-553.167214672405 78.3983753222974 -224.744110644522</t>
  </si>
  <si>
    <t>-442.149523414049 73.677944328088 217.195381199746</t>
  </si>
  <si>
    <t>-612.04553909517 6.87662974645627 650.560501526205</t>
  </si>
  <si>
    <t>-459.224643784488 -37.2082620399829 725.699059933846</t>
  </si>
  <si>
    <t>9763-20170724T170135.364130000.bin</t>
  </si>
  <si>
    <t>-569.920488101439 174.171589090429 -238.163701825714</t>
  </si>
  <si>
    <t>-590.479280510316 154.6453571435 -355.908585434121</t>
  </si>
  <si>
    <t>-591.947316488483 132.899072599816 -475.137380482888</t>
  </si>
  <si>
    <t>-585.523532164252 111.711787640568 -582.397390388968</t>
  </si>
  <si>
    <t>-571.60101051419 88.5984570804721 -688.542341642555</t>
  </si>
  <si>
    <t>-544.618228234326 54.1072776330993 -834.426929832686</t>
  </si>
  <si>
    <t>-496.394295394286 33.4052248943908 -921.770352418929</t>
  </si>
  <si>
    <t>-551.586071813636 100.122315431048 -776.229139800233</t>
  </si>
  <si>
    <t>-505.797357794494 239.864677201549 -778.12442192715</t>
  </si>
  <si>
    <t>-429.010888572772 284.53266266855 -474.32389105373</t>
  </si>
  <si>
    <t>-224.270447970255 181.761685819254 -351.19161846236</t>
  </si>
  <si>
    <t>-561.528509657557 38.6147161209242 -763.52598260665</t>
  </si>
  <si>
    <t>-377.062540868773 15.3338290564247 -386.966907465176</t>
  </si>
  <si>
    <t>-585.961609709596 269.779289092344 -250.832562781552</t>
  </si>
  <si>
    <t>-580.934901457587 273.626885646226 204.818262907866</t>
  </si>
  <si>
    <t>-615.277639845396 248.702508131255 672.600795725429</t>
  </si>
  <si>
    <t>-457.396336655667 262.941417235565 748.852067864178</t>
  </si>
  <si>
    <t>-553.834065054402 78.5704170376821 -224.80906979472</t>
  </si>
  <si>
    <t>-442.520369144838 73.7167028730228 217.054483566602</t>
  </si>
  <si>
    <t>-612.088190133323 6.76669571497177 650.513558048982</t>
  </si>
  <si>
    <t>-459.171427807677 -37.0834780599641 725.594481085002</t>
  </si>
  <si>
    <t>9763-20170724T170135.394716000.bin</t>
  </si>
  <si>
    <t>-570.47832786412 174.520193966124 -238.175506522056</t>
  </si>
  <si>
    <t>-591.063184596983 155.003175422223 -355.917443946442</t>
  </si>
  <si>
    <t>-592.52529775661 133.242414269054 -475.14364892402</t>
  </si>
  <si>
    <t>-586.084296911872 112.031302327487 -582.397814053171</t>
  </si>
  <si>
    <t>-572.133820319107 88.8829892386962 -688.531647454427</t>
  </si>
  <si>
    <t>-545.101969466007 54.3312565224451 -834.392768838421</t>
  </si>
  <si>
    <t>-496.877257364957 33.5400059582046 -921.714492152888</t>
  </si>
  <si>
    <t>-552.055378074852 100.366401234407 -776.209169618892</t>
  </si>
  <si>
    <t>-506.065325823613 240.026083481238 -777.999627751163</t>
  </si>
  <si>
    <t>-427.461306421608 284.592345608913 -474.649392466431</t>
  </si>
  <si>
    <t>-222.796644782193 182.255834903709 -351.030244553451</t>
  </si>
  <si>
    <t>-562.070106885538 38.8720976456239 -763.498312825516</t>
  </si>
  <si>
    <t>-377.629043946583 15.228542102773 -387.683738168577</t>
  </si>
  <si>
    <t>-586.470829226877 270.246697619406 -250.875418869829</t>
  </si>
  <si>
    <t>-581.600324862008 273.85377488451 204.779039163813</t>
  </si>
  <si>
    <t>-615.334393750829 248.813925768222 672.594408018666</t>
  </si>
  <si>
    <t>-457.437680368904 262.928135475565 748.83689366263</t>
  </si>
  <si>
    <t>-554.413863045252 78.8361061280764 -224.82920154442</t>
  </si>
  <si>
    <t>-442.75901563421 73.90555981686 216.947393740637</t>
  </si>
  <si>
    <t>-612.124608887474 6.80847627372054 650.469581075376</t>
  </si>
  <si>
    <t>-459.216615762032 -37.1739836180311 725.490914265469</t>
  </si>
  <si>
    <t>9763-20170724T170135.461893800.bin</t>
  </si>
  <si>
    <t>-571.548173709106 175.14501631646 -238.255398016426</t>
  </si>
  <si>
    <t>-592.249720469165 155.626401077566 -355.976480204469</t>
  </si>
  <si>
    <t>-593.794455107967 133.878947127562 -475.204155019245</t>
  </si>
  <si>
    <t>-587.413374279432 112.681919062525 -582.464634169519</t>
  </si>
  <si>
    <t>-573.507878497422 89.5487807684844 -688.607651678499</t>
  </si>
  <si>
    <t>-546.523418130591 55.0171738555639 -834.482392356944</t>
  </si>
  <si>
    <t>-498.298956184873 34.1197683363639 -921.778911939375</t>
  </si>
  <si>
    <t>-553.346921969203 101.030906112967 -776.266521802558</t>
  </si>
  <si>
    <t>-506.634865949113 240.462524337108 -777.752738737571</t>
  </si>
  <si>
    <t>-424.647435920874 284.516228227994 -475.224197118897</t>
  </si>
  <si>
    <t>-219.918221592916 183.390896382248 -350.718436612444</t>
  </si>
  <si>
    <t>-563.579516046309 39.5616419414525 -763.608165748683</t>
  </si>
  <si>
    <t>-378.840432926187 15.8243655568419 -388.038381627802</t>
  </si>
  <si>
    <t>-587.34699017129 271.170323408755 -250.978414051347</t>
  </si>
  <si>
    <t>-582.662391152538 274.349101246952 204.681021955876</t>
  </si>
  <si>
    <t>-615.440363769255 249.138756473833 672.534451158624</t>
  </si>
  <si>
    <t>-457.51216752504 262.629739203788 748.824599332002</t>
  </si>
  <si>
    <t>-555.748010873973 79.1588512200485 -224.837746141165</t>
  </si>
  <si>
    <t>-442.986496882705 74.2196837123572 216.65761597075</t>
  </si>
  <si>
    <t>-612.109317960771 6.80846449119599 650.217827324726</t>
  </si>
  <si>
    <t>-459.194299700965 -37.2209592145671 725.197309578355</t>
  </si>
  <si>
    <t>9763-20170724T170135.498005300.bin</t>
  </si>
  <si>
    <t>-572.071290966161 175.582331486343 -238.316155189385</t>
  </si>
  <si>
    <t>-592.796830839606 156.088098870766 -356.037177503941</t>
  </si>
  <si>
    <t>-594.384657364152 134.349116354657 -475.265752648689</t>
  </si>
  <si>
    <t>-588.050806318043 113.15213309813 -582.52910327008</t>
  </si>
  <si>
    <t>-574.201575841183 90.0100444542993 -688.6776336451</t>
  </si>
  <si>
    <t>-547.30501131796 55.4567646608218 -834.56331350005</t>
  </si>
  <si>
    <t>-499.103410234496 34.5042418679031 -921.85927708815</t>
  </si>
  <si>
    <t>-554.036102915265 101.47211770985 -776.337882603794</t>
  </si>
  <si>
    <t>-506.978725668966 240.783673838608 -777.673177619432</t>
  </si>
  <si>
    <t>-423.345991142062 284.416107057283 -475.534194478265</t>
  </si>
  <si>
    <t>-218.508091443934 183.830907072758 -350.769899004631</t>
  </si>
  <si>
    <t>-564.375697896057 40.0189626442198 -763.688887772518</t>
  </si>
  <si>
    <t>-379.449494044496 15.9573645264359 -387.764621155544</t>
  </si>
  <si>
    <t>-587.729947306145 271.695066943939 -251.024515929826</t>
  </si>
  <si>
    <t>-582.981876184233 274.616048981078 204.636063221106</t>
  </si>
  <si>
    <t>-615.493732534528 249.210953478107 672.520250675507</t>
  </si>
  <si>
    <t>-457.547108020182 262.474116640106 748.812254332296</t>
  </si>
  <si>
    <t>-556.329477363492 79.6551154608374 -224.929120810293</t>
  </si>
  <si>
    <t>-443.214815844277 74.4121394370468 216.472248022951</t>
  </si>
  <si>
    <t>-612.102253616191 6.82712958912884 650.105206881227</t>
  </si>
  <si>
    <t>-459.152417095176 -37.0870965069244 725.081183358879</t>
  </si>
  <si>
    <t>9763-20170724T170135.564188700.bin</t>
  </si>
  <si>
    <t>-572.870431074179 176.347733820463 -238.368495716904</t>
  </si>
  <si>
    <t>-593.748212562189 156.977209072278 -356.082941973506</t>
  </si>
  <si>
    <t>-595.468148651532 135.281919773743 -475.317742023203</t>
  </si>
  <si>
    <t>-589.248663148574 114.087067994158 -582.588144767462</t>
  </si>
  <si>
    <t>-575.511037437486 90.9088521785973 -688.743256299234</t>
  </si>
  <si>
    <t>-548.769655585394 56.2634461389646 -834.635682058987</t>
  </si>
  <si>
    <t>-500.634494753067 35.1396318578581 -921.926975174421</t>
  </si>
  <si>
    <t>-555.293415604971 102.297139700158 -776.401204755427</t>
  </si>
  <si>
    <t>-507.450241108759 241.340445277324 -777.479935474712</t>
  </si>
  <si>
    <t>-421.378954558936 284.162882532313 -475.910507057999</t>
  </si>
  <si>
    <t>-216.510453619326 184.223861018202 -350.678240670595</t>
  </si>
  <si>
    <t>-565.910382734159 40.8887651893056 -763.764381843055</t>
  </si>
  <si>
    <t>-381.450072707567 16.6854131440216 -386.471250858312</t>
  </si>
  <si>
    <t>-588.195974689607 272.454099792893 -251.013321516665</t>
  </si>
  <si>
    <t>-583.184882975546 274.983953296454 204.646821175629</t>
  </si>
  <si>
    <t>-615.565572376528 249.169085262228 672.54164439128</t>
  </si>
  <si>
    <t>-457.590627578236 262.307447973132 748.796570878047</t>
  </si>
  <si>
    <t>-557.456244820811 80.2881857629541 -225.054386600513</t>
  </si>
  <si>
    <t>-443.575015275577 74.6930466672061 216.145643966333</t>
  </si>
  <si>
    <t>-612.052865912703 6.82417102221075 649.876494966386</t>
  </si>
  <si>
    <t>-459.274659959472 -37.5185111157057 724.950159578268</t>
  </si>
  <si>
    <t>9763-20170724T170135.593776100.bin</t>
  </si>
  <si>
    <t>-573.216055419296 176.655329394541 -238.392334951638</t>
  </si>
  <si>
    <t>-594.174224098919 157.341684575548 -356.101878682053</t>
  </si>
  <si>
    <t>-595.906185921991 135.672633659503 -475.341175400163</t>
  </si>
  <si>
    <t>-589.671246011925 114.485646290499 -582.612310147313</t>
  </si>
  <si>
    <t>-575.893712193738 91.2972737669454 -688.760015538474</t>
  </si>
  <si>
    <t>-549.073280152895 56.6180884153569 -834.629942648422</t>
  </si>
  <si>
    <t>-500.92568209859 35.4009743273364 -921.891779755225</t>
  </si>
  <si>
    <t>-555.555662840658 102.655844661957 -776.393955821512</t>
  </si>
  <si>
    <t>-507.22702267302 241.522278335485 -777.237304328479</t>
  </si>
  <si>
    <t>-419.968192882885 284.101081807562 -475.974788331445</t>
  </si>
  <si>
    <t>-215.216332334012 184.782670716394 -350.059852088549</t>
  </si>
  <si>
    <t>-566.325317935159 41.2692955302052 -763.780065541974</t>
  </si>
  <si>
    <t>-382.614341837568 16.5922312112148 -385.502526991964</t>
  </si>
  <si>
    <t>-588.395712679002 272.851664525328 -250.994421543199</t>
  </si>
  <si>
    <t>-583.246533483594 275.109874991632 204.665572537433</t>
  </si>
  <si>
    <t>-615.603633192713 249.120218903576 672.561303173651</t>
  </si>
  <si>
    <t>-457.621392504515 262.358487839205 748.783868679993</t>
  </si>
  <si>
    <t>-557.922381723525 80.5310076604808 -225.116418776748</t>
  </si>
  <si>
    <t>-443.715676693528 74.7812809069173 215.997389120006</t>
  </si>
  <si>
    <t>-612.033068265915 6.869674495867 649.799520389357</t>
  </si>
  <si>
    <t>-459.29196624697 -37.5372434309184 724.910722363945</t>
  </si>
  <si>
    <t>9763-20170724T170135.659952000.bin</t>
  </si>
  <si>
    <t>-573.988942914743 177.198617530471 -238.301128354155</t>
  </si>
  <si>
    <t>-595.05794797659 157.897115129579 -355.992800414322</t>
  </si>
  <si>
    <t>-596.797609333028 136.238116765677 -475.233906214009</t>
  </si>
  <si>
    <t>-590.529099813962 115.049015551117 -582.502741290405</t>
  </si>
  <si>
    <t>-576.680034569726 91.8421918911806 -688.637100907894</t>
  </si>
  <si>
    <t>-549.724017153053 57.1155814316051 -834.470532535251</t>
  </si>
  <si>
    <t>-501.52106911887 35.68385202113 -921.649402358512</t>
  </si>
  <si>
    <t>-556.063404926853 103.145807009705 -776.212967334435</t>
  </si>
  <si>
    <t>-506.828559251937 241.717423147042 -776.69835673373</t>
  </si>
  <si>
    <t>-416.300180409378 283.730718930739 -476.322395169533</t>
  </si>
  <si>
    <t>-211.536267996233 188.372367469311 -347.40151894504</t>
  </si>
  <si>
    <t>-567.239003490849 41.81629168991 -763.674621683153</t>
  </si>
  <si>
    <t>-385.631961043625 16.8861430056159 -383.534276296549</t>
  </si>
  <si>
    <t>-588.838857162358 273.605536454525 -250.937716247761</t>
  </si>
  <si>
    <t>-583.705022643889 275.563904684574 204.723841494543</t>
  </si>
  <si>
    <t>-615.744734611346 249.261243464652 672.597520880731</t>
  </si>
  <si>
    <t>-457.709407531685 262.158896424025 748.768367372704</t>
  </si>
  <si>
    <t>-559.039899029687 80.8682965425958 -224.954747897054</t>
  </si>
  <si>
    <t>-443.835445112608 75.0434689218541 215.898589331503</t>
  </si>
  <si>
    <t>-611.99725370621 6.89922848194101 649.667195437965</t>
  </si>
  <si>
    <t>-459.316556826894 -37.6409153931768 724.822316249031</t>
  </si>
  <si>
    <t>9763-20170724T170135.696554000.bin</t>
  </si>
  <si>
    <t>-574.463899794628 177.460182360631 -238.260372268453</t>
  </si>
  <si>
    <t>-595.546590410692 158.17109428595 -355.951747001366</t>
  </si>
  <si>
    <t>-597.279971185085 136.484046496828 -475.187744627779</t>
  </si>
  <si>
    <t>-591.000341423413 115.248865503504 -582.446679777055</t>
  </si>
  <si>
    <t>-577.136863463365 91.9737429293525 -688.564236495071</t>
  </si>
  <si>
    <t>-550.159904893187 57.1269944671851 -834.365288278349</t>
  </si>
  <si>
    <t>-501.9246974731 35.538350828999 -921.487572811017</t>
  </si>
  <si>
    <t>-556.413525607385 103.192046321901 -776.125987554116</t>
  </si>
  <si>
    <t>-506.744837825347 241.605178485015 -776.541905782324</t>
  </si>
  <si>
    <t>-414.491732292369 283.285985093226 -476.644750255648</t>
  </si>
  <si>
    <t>-209.552920520601 189.065376059497 -347.166525622145</t>
  </si>
  <si>
    <t>-567.779219102457 41.8991810452903 -763.579694962394</t>
  </si>
  <si>
    <t>-387.335640900088 17.1256463524287 -382.415172599481</t>
  </si>
  <si>
    <t>-589.301650828136 274.017003024037 -250.928779730061</t>
  </si>
  <si>
    <t>-584.264367495213 275.807367083373 204.734449497239</t>
  </si>
  <si>
    <t>-615.86565959091 249.427055465832 672.647326922014</t>
  </si>
  <si>
    <t>-457.77451854305 261.990024094368 748.758135057647</t>
  </si>
  <si>
    <t>-559.572313138285 81.0572091508272 -224.950285932547</t>
  </si>
  <si>
    <t>-444.038190143099 75.3712028377849 215.818560737144</t>
  </si>
  <si>
    <t>-611.973848917011 6.93441516010625 649.606825857985</t>
  </si>
  <si>
    <t>-459.323854612249 -37.7014648276809 724.767529156489</t>
  </si>
  <si>
    <t>9763-20170724T170135.763733900.bin</t>
  </si>
  <si>
    <t>-575.890954302718 178.009464301033 -238.25495064557</t>
  </si>
  <si>
    <t>-597.020927527596 158.727753467256 -355.938988606052</t>
  </si>
  <si>
    <t>-598.777035301859 137.02593297589 -475.171998743141</t>
  </si>
  <si>
    <t>-592.511050542038 115.756708572972 -582.425105324644</t>
  </si>
  <si>
    <t>-578.657711071028 92.4206807296398 -688.530557729424</t>
  </si>
  <si>
    <t>-551.695181466426 57.4556251650754 -834.305858039495</t>
  </si>
  <si>
    <t>-503.388895771562 35.6749031229265 -921.340776897956</t>
  </si>
  <si>
    <t>-557.807293159143 103.548574631952 -776.07352702614</t>
  </si>
  <si>
    <t>-507.368821835454 241.673176492446 -776.31466515165</t>
  </si>
  <si>
    <t>-411.938297990673 282.486097851073 -477.293829621707</t>
  </si>
  <si>
    <t>-207.388318382943 190.28213131634 -345.765127812472</t>
  </si>
  <si>
    <t>-569.443230140947 42.3045906669663 -763.535967939019</t>
  </si>
  <si>
    <t>-390.540928015679 18.6335289189778 -380.570555120134</t>
  </si>
  <si>
    <t>-590.77652496927 274.644558623564 -250.892686170146</t>
  </si>
  <si>
    <t>-585.452085712905 276.157193132194 204.768388738908</t>
  </si>
  <si>
    <t>-616.06901868888 249.535334660083 672.756666711192</t>
  </si>
  <si>
    <t>-457.895018867183 261.975276244543 748.715419647539</t>
  </si>
  <si>
    <t>-560.970275201432 81.5483777697921 -224.967371164734</t>
  </si>
  <si>
    <t>-444.61532242072 75.7325022713812 215.583834198971</t>
  </si>
  <si>
    <t>-611.945740785529 6.98797767746987 649.547477509807</t>
  </si>
  <si>
    <t>-459.304555626182 -37.6539756987979 724.722458630094</t>
  </si>
  <si>
    <t>9763-20170724T170135.797835900.bin</t>
  </si>
  <si>
    <t>-576.690806878434 178.292055306925 -238.331278867858</t>
  </si>
  <si>
    <t>-597.867775575419 159.045994246416 -356.012712262295</t>
  </si>
  <si>
    <t>-599.638663835463 137.347868781085 -475.246151404431</t>
  </si>
  <si>
    <t>-593.37471492239 116.065985262116 -582.496800731758</t>
  </si>
  <si>
    <t>-579.513954381982 92.699019667911 -688.594548499981</t>
  </si>
  <si>
    <t>-552.533198532903 57.6704974104764 -834.351342231359</t>
  </si>
  <si>
    <t>-504.199729947959 35.8344524303068 -921.357269981232</t>
  </si>
  <si>
    <t>-558.646411955603 103.787803009258 -776.138383206203</t>
  </si>
  <si>
    <t>-508.165061123262 241.901335600961 -776.348737959099</t>
  </si>
  <si>
    <t>-411.1302779269 281.780558072572 -477.718301104804</t>
  </si>
  <si>
    <t>-206.718643086932 190.122020790409 -345.594871935942</t>
  </si>
  <si>
    <t>-570.296293782412 42.5512297397838 -763.578402973296</t>
  </si>
  <si>
    <t>-392.11689113709 19.3864885392825 -380.06652553539</t>
  </si>
  <si>
    <t>-591.658049076936 274.90204847455 -250.896148913887</t>
  </si>
  <si>
    <t>-586.00195703837 276.286168064541 204.761361804058</t>
  </si>
  <si>
    <t>-616.126290225653 249.532784506677 672.778324978846</t>
  </si>
  <si>
    <t>-457.918581353517 261.838451658301 748.688869880305</t>
  </si>
  <si>
    <t>-561.640882322278 81.8193966389372 -225.111039610708</t>
  </si>
  <si>
    <t>-445.179367061272 75.993982385243 215.411933373232</t>
  </si>
  <si>
    <t>-611.923390697438 6.99549954727786 649.529468645239</t>
  </si>
  <si>
    <t>-459.329705187073 -37.7124661192797 724.761629644793</t>
  </si>
  <si>
    <t>9763-20170724T170135.863008300.bin</t>
  </si>
  <si>
    <t>-578.401755853748 178.735968404732 -238.438722851985</t>
  </si>
  <si>
    <t>-599.672615235823 159.532446931672 -356.110216545356</t>
  </si>
  <si>
    <t>-601.418814738896 137.90472253427 -475.356866780014</t>
  </si>
  <si>
    <t>-595.083652317843 116.692403038078 -582.617078666004</t>
  </si>
  <si>
    <t>-581.103530832989 93.3975897163389 -688.714893901898</t>
  </si>
  <si>
    <t>-553.907993161782 58.469592262948 -834.455988631202</t>
  </si>
  <si>
    <t>-505.470723621641 36.7315375484609 -921.428837631335</t>
  </si>
  <si>
    <t>-560.154379399855 104.553576523012 -776.230842806747</t>
  </si>
  <si>
    <t>-509.788810998859 242.715726836671 -776.46411892493</t>
  </si>
  <si>
    <t>-410.199811191267 280.891430624338 -478.452665179491</t>
  </si>
  <si>
    <t>-206.07063638134 190.58969465363 -344.965121610077</t>
  </si>
  <si>
    <t>-571.728014214746 43.294596497868 -763.709267639263</t>
  </si>
  <si>
    <t>-394.814880619001 20.6982766519002 -379.830899673551</t>
  </si>
  <si>
    <t>-593.557562429794 275.342477389578 -250.915179739465</t>
  </si>
  <si>
    <t>-587.196155713097 276.373882752939 204.733993481009</t>
  </si>
  <si>
    <t>-616.177658325689 249.432150118099 672.814488806391</t>
  </si>
  <si>
    <t>-457.941209819259 261.902798246237 748.638129093319</t>
  </si>
  <si>
    <t>-563.185424120624 82.2365408460239 -225.262681666591</t>
  </si>
  <si>
    <t>-446.131155194699 76.3900093617751 215.102762930917</t>
  </si>
  <si>
    <t>-611.882135600058 6.77709805315817 649.524485345413</t>
  </si>
  <si>
    <t>-459.250897263474 -37.5713826426565 724.893168089542</t>
  </si>
  <si>
    <t>9763-20170724T170135.893627500.bin</t>
  </si>
  <si>
    <t>-579.332011283782 179.062699754683 -238.445960756196</t>
  </si>
  <si>
    <t>-600.638297638554 159.847085367839 -356.10920136491</t>
  </si>
  <si>
    <t>-602.382446067182 138.229255176027 -475.357508801322</t>
  </si>
  <si>
    <t>-596.029322343349 117.033056608805 -582.619841477604</t>
  </si>
  <si>
    <t>-582.014933543697 93.7605517744596 -688.718176886186</t>
  </si>
  <si>
    <t>-554.754996875724 58.8688379327336 -834.455809856432</t>
  </si>
  <si>
    <t>-506.27072969215 37.1831124302519 -921.415450629194</t>
  </si>
  <si>
    <t>-561.041701508249 104.940463993609 -776.225288081693</t>
  </si>
  <si>
    <t>-510.762916616424 243.126787250811 -776.491065695329</t>
  </si>
  <si>
    <t>-410.235801107355 280.61315833052 -478.707181672738</t>
  </si>
  <si>
    <t>-206.236497705002 190.705963299785 -344.7556782199</t>
  </si>
  <si>
    <t>-572.591611370488 43.6741938158611 -763.717559519308</t>
  </si>
  <si>
    <t>-396.265908695896 21.347314355045 -380.0492009599</t>
  </si>
  <si>
    <t>-594.595438095219 275.696531848643 -250.916391795499</t>
  </si>
  <si>
    <t>-587.954417233985 276.577193008946 204.729073544927</t>
  </si>
  <si>
    <t>-616.291789914783 249.576926031875 672.86740408269</t>
  </si>
  <si>
    <t>-457.996695584036 261.775482997836 748.612823476868</t>
  </si>
  <si>
    <t>-564.022053921333 82.5202015357147 -225.260410241234</t>
  </si>
  <si>
    <t>-446.618805307517 76.6471760649852 215.011808813065</t>
  </si>
  <si>
    <t>-611.880231395672 6.7979074054681 649.544437240307</t>
  </si>
  <si>
    <t>-459.238811736083 -37.4871797430792 724.929753820177</t>
  </si>
  <si>
    <t>9763-20170724T170135.966829300.bin</t>
  </si>
  <si>
    <t>-581.01433969151 179.38831258494 -238.393597695502</t>
  </si>
  <si>
    <t>-602.383765362745 160.155684026269 -356.042426224734</t>
  </si>
  <si>
    <t>-604.183477636479 138.580239001057 -475.297646432277</t>
  </si>
  <si>
    <t>-597.874629773381 117.443950682532 -582.574556280646</t>
  </si>
  <si>
    <t>-583.897030237595 94.2513295108859 -688.695060201552</t>
  </si>
  <si>
    <t>-556.679283286812 59.4895907906521 -834.471657191392</t>
  </si>
  <si>
    <t>-508.14028623843 37.9213174315751 -921.430090750343</t>
  </si>
  <si>
    <t>-562.968007818986 105.51202287865 -776.202476468339</t>
  </si>
  <si>
    <t>-512.840203848949 243.769684931151 -776.55647802212</t>
  </si>
  <si>
    <t>-410.770845699421 279.91668537133 -479.131739873423</t>
  </si>
  <si>
    <t>-207.350509378382 190.508582470313 -343.971026842209</t>
  </si>
  <si>
    <t>-574.476554887154 44.2291686670783 -763.737696509153</t>
  </si>
  <si>
    <t>-397.800589590757 21.6439076907793 -379.891264505704</t>
  </si>
  <si>
    <t>-596.499618735572 276.031814971719 -250.845821889792</t>
  </si>
  <si>
    <t>-589.438664536567 276.615116052393 204.793817509638</t>
  </si>
  <si>
    <t>-616.373902030107 249.333933852279 672.991009729995</t>
  </si>
  <si>
    <t>-458.016589606961 261.866596995503 748.551648924237</t>
  </si>
  <si>
    <t>-565.456745732262 82.7967802755118 -225.272073063192</t>
  </si>
  <si>
    <t>-447.478498041549 77.0492913819453 214.848149441617</t>
  </si>
  <si>
    <t>-611.899136545287 6.74068491819457 649.626889962787</t>
  </si>
  <si>
    <t>-459.21295255523 -37.3961007683433 725.008484355984</t>
  </si>
  <si>
    <t>9763-20170724T170135.993091600.bin</t>
  </si>
  <si>
    <t>-581.756411372887 179.628402244481 -238.362899229321</t>
  </si>
  <si>
    <t>-603.155612050078 160.389785332552 -356.005287367314</t>
  </si>
  <si>
    <t>-605.017723872585 138.814147061816 -475.259666455189</t>
  </si>
  <si>
    <t>-598.777704179482 117.680660252445 -582.540959631493</t>
  </si>
  <si>
    <t>-584.880685137051 94.493959970868 -688.673454151331</t>
  </si>
  <si>
    <t>-557.786457481718 59.7438508817818 -834.47583117862</t>
  </si>
  <si>
    <t>-509.245670234503 38.1829101020853 -921.435117201785</t>
  </si>
  <si>
    <t>-564.013397168608 105.759727301014 -776.194842861878</t>
  </si>
  <si>
    <t>-513.964538147681 244.03368567699 -776.611239726937</t>
  </si>
  <si>
    <t>-411.622806952438 279.727238690561 -479.225391279228</t>
  </si>
  <si>
    <t>-208.645264131474 190.446482977769 -343.317028557098</t>
  </si>
  <si>
    <t>-575.536307034311 44.4794266945582 -763.730845181676</t>
  </si>
  <si>
    <t>-398.748631407974 22.047242788208 -380.204715148606</t>
  </si>
  <si>
    <t>-597.219932247671 276.389499324786 -250.835737634893</t>
  </si>
  <si>
    <t>-590.145893984725 276.842200312718 204.803883735159</t>
  </si>
  <si>
    <t>-616.456513965697 249.570414039957 672.986168494241</t>
  </si>
  <si>
    <t>-458.058969546227 261.633684800859 748.538777974655</t>
  </si>
  <si>
    <t>-566.255237811305 82.9414894708761 -225.214776619493</t>
  </si>
  <si>
    <t>-447.769455823496 77.2896091085929 214.770282712407</t>
  </si>
  <si>
    <t>-611.883456074677 6.80755733834644 649.615484867516</t>
  </si>
  <si>
    <t>-459.166855906354 -37.2255242742374 724.996146057263</t>
  </si>
  <si>
    <t>9763-20170724T170136.064786400.bin</t>
  </si>
  <si>
    <t>-582.877340166615 180.232751854322 -238.413381756838</t>
  </si>
  <si>
    <t>-604.406274873193 160.973416576052 -356.02886045788</t>
  </si>
  <si>
    <t>-606.431076504959 139.365783801167 -475.274696624541</t>
  </si>
  <si>
    <t>-600.350724583266 118.198329201677 -582.558500609163</t>
  </si>
  <si>
    <t>-586.625518758323 94.9727794515841 -688.704813945215</t>
  </si>
  <si>
    <t>-559.782337023222 60.1635447830427 -834.539616644598</t>
  </si>
  <si>
    <t>-511.224369864239 38.5027132342655 -921.464442053025</t>
  </si>
  <si>
    <t>-565.849847285533 106.194655322881 -776.253696962374</t>
  </si>
  <si>
    <t>-515.907223519192 244.507482413822 -776.875527270262</t>
  </si>
  <si>
    <t>-413.762050797184 279.73522780062 -479.366607756481</t>
  </si>
  <si>
    <t>-211.660051292316 189.977248666645 -342.471174402868</t>
  </si>
  <si>
    <t>-577.469328820405 44.9365228123979 -763.770860269031</t>
  </si>
  <si>
    <t>-399.888923622339 22.1170117555127 -381.67074597489</t>
  </si>
  <si>
    <t>-598.334372020659 277.118874485412 -250.924320684623</t>
  </si>
  <si>
    <t>-591.351747458636 277.286698053728 204.716835621107</t>
  </si>
  <si>
    <t>-616.541859134081 249.852600375919 672.957909642827</t>
  </si>
  <si>
    <t>-458.136498469374 261.696998972482 748.528859175849</t>
  </si>
  <si>
    <t>-567.326781757848 83.4657199683306 -225.259286377238</t>
  </si>
  <si>
    <t>-448.157161658798 77.8993080885921 214.542055606073</t>
  </si>
  <si>
    <t>-611.750424663742 7.16743996883679 649.449385533493</t>
  </si>
  <si>
    <t>-459.185384064754 -37.0920052615213 725.004144653463</t>
  </si>
  <si>
    <t>9763-20170724T170136.097886500.bin</t>
  </si>
  <si>
    <t>-583.188594284338 180.493729548517 -238.488600013976</t>
  </si>
  <si>
    <t>-604.771111628664 161.207762436906 -356.089765781242</t>
  </si>
  <si>
    <t>-606.866860778986 139.558719781124 -475.326980350587</t>
  </si>
  <si>
    <t>-600.857342101608 118.349800410008 -582.606563912636</t>
  </si>
  <si>
    <t>-587.209359710956 95.0799662427987 -688.753129768475</t>
  </si>
  <si>
    <t>-560.479660250786 60.2072734220992 -834.593658629114</t>
  </si>
  <si>
    <t>-511.918653025877 38.4305705295953 -921.487659923357</t>
  </si>
  <si>
    <t>-566.45948794496 106.25763843589 -776.313716460464</t>
  </si>
  <si>
    <t>-516.484088184415 244.550999554871 -777.006348820731</t>
  </si>
  <si>
    <t>-414.897370918534 280.150797555758 -479.350521759776</t>
  </si>
  <si>
    <t>-213.378425879749 189.974747010488 -341.87176142997</t>
  </si>
  <si>
    <t>-578.153932743441 45.0171603004089 -763.813663064606</t>
  </si>
  <si>
    <t>-400.050119082623 21.8625638173055 -383.001306163888</t>
  </si>
  <si>
    <t>-598.502207646385 277.572100537642 -251.058299281034</t>
  </si>
  <si>
    <t>-591.763011690365 277.74518684979 204.586591664209</t>
  </si>
  <si>
    <t>-616.609799922697 250.363801303563 672.829891665501</t>
  </si>
  <si>
    <t>-458.220916767658 261.719599916252 748.510337516196</t>
  </si>
  <si>
    <t>-567.746423542653 83.4773405846006 -225.31723798432</t>
  </si>
  <si>
    <t>-448.230993500611 78.2211188557276 214.39413285992</t>
  </si>
  <si>
    <t>-611.614584957437 7.20110795603932 649.290540783819</t>
  </si>
  <si>
    <t>-459.067472145249 -36.7639482432651 725.053148502659</t>
  </si>
  <si>
    <t>9763-20170724T170136.167574900.bin</t>
  </si>
  <si>
    <t>-583.389274702228 181.149142610122 -238.705295791471</t>
  </si>
  <si>
    <t>-604.876466327047 161.793755373369 -356.312618480117</t>
  </si>
  <si>
    <t>-607.01084644626 139.92161355001 -475.508337395791</t>
  </si>
  <si>
    <t>-601.097656953424 118.453633056871 -582.74182073868</t>
  </si>
  <si>
    <t>-587.61047889426 94.8716870900721 -688.840082362648</t>
  </si>
  <si>
    <t>-561.173719023376 59.5136025666166 -834.616984112017</t>
  </si>
  <si>
    <t>-512.653494423322 37.2642269565558 -921.414082920531</t>
  </si>
  <si>
    <t>-566.922678840327 105.740801954732 -776.454135209425</t>
  </si>
  <si>
    <t>-516.841533899246 243.997067420278 -777.815444297827</t>
  </si>
  <si>
    <t>-415.898020013696 280.996345282277 -480.111437739061</t>
  </si>
  <si>
    <t>-215.843901589917 189.453224397726 -341.402182445469</t>
  </si>
  <si>
    <t>-578.819642640281 44.576105821877 -763.776335507203</t>
  </si>
  <si>
    <t>-399.099889598744 20.239015137078 -385.190348377553</t>
  </si>
  <si>
    <t>-598.704706417877 278.697217015737 -251.343823161823</t>
  </si>
  <si>
    <t>-592.690734232559 278.826104236829 204.311115621156</t>
  </si>
  <si>
    <t>-616.852264930611 251.514249374341 672.632222888714</t>
  </si>
  <si>
    <t>-458.462598973895 261.638248653572 748.485576463214</t>
  </si>
  <si>
    <t>-567.917064722393 83.8125548875641 -225.47859963863</t>
  </si>
  <si>
    <t>-448.281391955969 79.3069142485667 214.208352478994</t>
  </si>
  <si>
    <t>-611.372173289412 7.34270650586041 649.114539562698</t>
  </si>
  <si>
    <t>-458.990698539655 -36.6042376320229 725.220182563033</t>
  </si>
  <si>
    <t>9763-20170724T170136.195654500.bin</t>
  </si>
  <si>
    <t>-583.362739039085 181.611480028315 -238.797232895615</t>
  </si>
  <si>
    <t>-604.728542921235 162.219927062311 -356.420682218694</t>
  </si>
  <si>
    <t>-606.882429390494 140.174585890678 -475.584122776456</t>
  </si>
  <si>
    <t>-601.050587825997 118.498733660087 -582.780243354242</t>
  </si>
  <si>
    <t>-587.711587147517 94.6605417087872 -688.839825365229</t>
  </si>
  <si>
    <t>-561.552563504685 58.898639752739 -834.568329494827</t>
  </si>
  <si>
    <t>-513.10887599321 36.3246122118251 -921.324405329539</t>
  </si>
  <si>
    <t>-567.119854858687 105.276244484556 -776.507624858538</t>
  </si>
  <si>
    <t>-516.982117811594 243.505024231815 -778.435328288436</t>
  </si>
  <si>
    <t>-416.683939129128 281.665403310908 -480.659776486491</t>
  </si>
  <si>
    <t>-217.386336294557 188.610594088941 -341.867511850392</t>
  </si>
  <si>
    <t>-579.134382933089 44.1680828964315 -763.668383976702</t>
  </si>
  <si>
    <t>-398.262096315037 19.0451923759281 -385.52953182038</t>
  </si>
  <si>
    <t>-598.659920443735 279.271416834984 -251.478287846433</t>
  </si>
  <si>
    <t>-593.08368200489 279.334444038558 204.182252469489</t>
  </si>
  <si>
    <t>-616.907209398764 251.953682093039 672.519263461042</t>
  </si>
  <si>
    <t>-458.54917098191 261.727431347711 748.484524822239</t>
  </si>
  <si>
    <t>-567.968293149233 84.1778561292442 -225.423720461306</t>
  </si>
  <si>
    <t>-448.167655145137 79.7034966395836 214.218766470414</t>
  </si>
  <si>
    <t>-611.373243144809 7.48198334963263 649.139477102089</t>
  </si>
  <si>
    <t>-458.962972499845 -36.4182161271151 725.214409098145</t>
  </si>
  <si>
    <t>9763-20170724T170136.260825200.bin</t>
  </si>
  <si>
    <t>-583.108777632462 182.436030478751 -238.990203146925</t>
  </si>
  <si>
    <t>-604.217792452969 162.98145026016 -356.649554891953</t>
  </si>
  <si>
    <t>-606.34162500143 140.584806070232 -475.748044381974</t>
  </si>
  <si>
    <t>-600.589953632837 118.478284258762 -582.860473672543</t>
  </si>
  <si>
    <t>-587.44666744679 94.1000834374131 -688.821838184879</t>
  </si>
  <si>
    <t>-561.68702314379 57.476759610611 -834.407471839477</t>
  </si>
  <si>
    <t>-513.456587238279 34.2273689340782 -921.103932132482</t>
  </si>
  <si>
    <t>-566.947567548917 104.174446023317 -776.575206832589</t>
  </si>
  <si>
    <t>-516.911866833144 242.402829141784 -779.644172636854</t>
  </si>
  <si>
    <t>-419.802735189321 283.328183564811 -481.179448074804</t>
  </si>
  <si>
    <t>-221.850867246328 186.480100619498 -343.057863394727</t>
  </si>
  <si>
    <t>-579.222169111902 43.1884162973979 -763.405468869728</t>
  </si>
  <si>
    <t>-396.341458087289 16.6234520617616 -386.20780949507</t>
  </si>
  <si>
    <t>-598.302108823937 280.150647775195 -251.807933042234</t>
  </si>
  <si>
    <t>-593.396008325445 280.244004221699 203.860377048897</t>
  </si>
  <si>
    <t>-616.881950811913 252.795189902303 672.186634753637</t>
  </si>
  <si>
    <t>-458.654829947233 261.927258524966 748.503651203859</t>
  </si>
  <si>
    <t>-567.853375040592 84.8595645936423 -225.474556738253</t>
  </si>
  <si>
    <t>-448.329756902487 80.4673678631109 214.244086719485</t>
  </si>
  <si>
    <t>-611.434033390344 7.70188389619557 649.159981969326</t>
  </si>
  <si>
    <t>-458.892628462284 -36.2112612619012 724.964124915628</t>
  </si>
  <si>
    <t>9763-20170724T170136.297461400.bin</t>
  </si>
  <si>
    <t>-582.803240505337 182.763933386247 -239.132836990238</t>
  </si>
  <si>
    <t>-603.785955736485 163.3295327555 -356.818170834067</t>
  </si>
  <si>
    <t>-605.865916057567 140.847014938262 -475.901190862396</t>
  </si>
  <si>
    <t>-600.113159588633 118.624302673304 -582.989439901007</t>
  </si>
  <si>
    <t>-587.010001935119 94.0937397642228 -688.920757771939</t>
  </si>
  <si>
    <t>-561.350509425967 57.2242727552593 -834.461816984087</t>
  </si>
  <si>
    <t>-513.202466053278 33.7425185982543 -921.141539635109</t>
  </si>
  <si>
    <t>-566.540070093721 104.014787340466 -776.698321392604</t>
  </si>
  <si>
    <t>-516.656302983132 242.278302959517 -780.189370347866</t>
  </si>
  <si>
    <t>-421.881349563058 284.877486384379 -481.209149688433</t>
  </si>
  <si>
    <t>-224.517548438246 186.627441386852 -343.236345321353</t>
  </si>
  <si>
    <t>-578.86799346092 43.0609215230666 -763.430493585519</t>
  </si>
  <si>
    <t>-395.237931525932 15.9053052355505 -386.328293363187</t>
  </si>
  <si>
    <t>-597.882604348592 280.495964383215 -251.979349435163</t>
  </si>
  <si>
    <t>-593.221499658641 280.57685378359 203.691472344475</t>
  </si>
  <si>
    <t>-616.859443166999 253.137154943152 672.021589364737</t>
  </si>
  <si>
    <t>-458.700908200757 261.984466924949 748.514150835319</t>
  </si>
  <si>
    <t>-567.672833255982 85.1741893066346 -225.612376603372</t>
  </si>
  <si>
    <t>-448.512578132869 80.7747539767677 214.204728270574</t>
  </si>
  <si>
    <t>-611.46531350196 7.78349029411584 649.155004985598</t>
  </si>
  <si>
    <t>-458.813952664626 -36.0188217571122 724.801782751293</t>
  </si>
  <si>
    <t>9763-20170724T170136.361631700.bin</t>
  </si>
  <si>
    <t>-582.047713182936 182.893743578935 -239.307496066514</t>
  </si>
  <si>
    <t>-602.940379977352 163.502831579284 -357.015915068332</t>
  </si>
  <si>
    <t>-604.922911336468 140.869316500194 -476.072140018342</t>
  </si>
  <si>
    <t>-599.087758208786 118.437887867537 -583.112355038915</t>
  </si>
  <si>
    <t>-585.91269434245 93.6311554954375 -688.970289049445</t>
  </si>
  <si>
    <t>-560.168406635888 56.3118972481543 -834.381882747754</t>
  </si>
  <si>
    <t>-512.162802795561 32.5114532342677 -921.053491170263</t>
  </si>
  <si>
    <t>-565.370354089924 103.277612617379 -776.761640071168</t>
  </si>
  <si>
    <t>-515.700194992325 241.634383554946 -780.868181888512</t>
  </si>
  <si>
    <t>-428.19403279631 287.712588298956 -480.192981740616</t>
  </si>
  <si>
    <t>-230.633401529899 186.670260087607 -344.537878660165</t>
  </si>
  <si>
    <t>-577.748515604388 42.3715123534587 -763.321924896407</t>
  </si>
  <si>
    <t>-393.069058391719 14.3687871516365 -387.202288496952</t>
  </si>
  <si>
    <t>-596.840173018307 280.488263079613 -252.156461439552</t>
  </si>
  <si>
    <t>-592.377645606965 280.632788112187 203.51644674487</t>
  </si>
  <si>
    <t>-616.772576698848 253.179852866943 671.871383018494</t>
  </si>
  <si>
    <t>-458.697850423694 261.881689403852 748.553760996045</t>
  </si>
  <si>
    <t>-567.245055780859 85.3522807112527 -225.696488917235</t>
  </si>
  <si>
    <t>-448.466409893545 80.8921269724474 214.223341943218</t>
  </si>
  <si>
    <t>-611.536829844549 8.02552488053516 649.172686868308</t>
  </si>
  <si>
    <t>-458.79531607432 -35.8886001764565 724.572283946089</t>
  </si>
  <si>
    <t>9763-20170724T170136.397780600.bin</t>
  </si>
  <si>
    <t>-581.511733550345 182.713356750229 -239.304287886438</t>
  </si>
  <si>
    <t>-602.387765911111 163.323687664562 -357.015945373778</t>
  </si>
  <si>
    <t>-604.366176908381 140.631246815291 -476.060979117551</t>
  </si>
  <si>
    <t>-598.534018557851 118.127781775067 -583.086257541591</t>
  </si>
  <si>
    <t>-585.368994957991 93.2338737369275 -688.924973751272</t>
  </si>
  <si>
    <t>-559.645941964434 55.7808742840416 -834.30580286447</t>
  </si>
  <si>
    <t>-511.727090544947 31.9448334224726 -921.01578562584</t>
  </si>
  <si>
    <t>-564.859284157881 102.802509276179 -776.732467264544</t>
  </si>
  <si>
    <t>-515.513426422204 241.250629184661 -780.988742725122</t>
  </si>
  <si>
    <t>-431.783522167481 288.816847288889 -479.471023030279</t>
  </si>
  <si>
    <t>-233.882787876292 186.570818378734 -345.220974236868</t>
  </si>
  <si>
    <t>-577.19591016937 41.9027719923711 -763.226181690879</t>
  </si>
  <si>
    <t>-392.018164258045 13.3819462347533 -387.795767608436</t>
  </si>
  <si>
    <t>-596.144870206785 280.231070712588 -252.168858076572</t>
  </si>
  <si>
    <t>-591.876553107236 280.488195816626 203.505827129883</t>
  </si>
  <si>
    <t>-616.757294960935 253.134717655991 671.834952904561</t>
  </si>
  <si>
    <t>-458.699673314787 261.72379669624 748.565206706457</t>
  </si>
  <si>
    <t>-566.847691321266 85.2733830692739 -225.692564200048</t>
  </si>
  <si>
    <t>-448.255646624445 80.7356410153013 214.276733939724</t>
  </si>
  <si>
    <t>-611.541726000463 8.12490342799151 649.148561475146</t>
  </si>
  <si>
    <t>-458.771895222408 -35.8104634231267 724.478288747272</t>
  </si>
  <si>
    <t>9763-20170724T170136.459947700.bin</t>
  </si>
  <si>
    <t>-580.555564642198 181.781435521881 -239.259905932851</t>
  </si>
  <si>
    <t>-601.538402889278 162.438556417678 -356.960359832789</t>
  </si>
  <si>
    <t>-603.606520617432 139.785061562695 -476.011151534032</t>
  </si>
  <si>
    <t>-597.84539361622 117.323121919583 -583.049134687672</t>
  </si>
  <si>
    <t>-584.738374233221 92.4822351335133 -688.907400524365</t>
  </si>
  <si>
    <t>-559.079404675897 55.1191650395865 -834.322763045475</t>
  </si>
  <si>
    <t>-511.344157938902 31.5514031426119 -921.20710981813</t>
  </si>
  <si>
    <t>-564.416523051804 102.128013216465 -776.750044034473</t>
  </si>
  <si>
    <t>-515.998858251322 240.914443299395 -781.263161696816</t>
  </si>
  <si>
    <t>-438.491001216855 291.587908271205 -478.59014592686</t>
  </si>
  <si>
    <t>-239.957222186637 187.873142325025 -346.417370528908</t>
  </si>
  <si>
    <t>-576.448868446508 41.1744436749134 -763.211779383736</t>
  </si>
  <si>
    <t>-389.735799591489 11.4803744855788 -387.613203417496</t>
  </si>
  <si>
    <t>-595.259131517558 278.974897860801 -252.007251995814</t>
  </si>
  <si>
    <t>-590.674069462966 279.435480314744 203.664105354853</t>
  </si>
  <si>
    <t>-616.731215850044 252.115885291647 672.077656037059</t>
  </si>
  <si>
    <t>-458.595368749919 261.386545578413 748.566983014374</t>
  </si>
  <si>
    <t>-565.851785798223 84.67021588891 -225.756074367772</t>
  </si>
  <si>
    <t>-447.914841587365 80.0573936483745 214.388474667153</t>
  </si>
  <si>
    <t>-611.548379842169 8.12355453194323 649.207412772102</t>
  </si>
  <si>
    <t>-458.733270241244 -35.7370224449521 724.48894125493</t>
  </si>
  <si>
    <t>9763-20170724T170136.496565200.bin</t>
  </si>
  <si>
    <t>-580.065528866356 181.217806405745 -239.128442658471</t>
  </si>
  <si>
    <t>-601.10281520638 161.884067943752 -356.820558277188</t>
  </si>
  <si>
    <t>-603.228549603351 139.267720361131 -475.877574425629</t>
  </si>
  <si>
    <t>-597.517546784973 116.855952297039 -582.92871520481</t>
  </si>
  <si>
    <t>-584.45618058736 92.0842293776784 -688.808944676056</t>
  </si>
  <si>
    <t>-558.853350546995 54.8392402823802 -834.264448312957</t>
  </si>
  <si>
    <t>-511.200916322493 31.4856553116269 -921.251929398487</t>
  </si>
  <si>
    <t>-564.282210813489 101.818125933499 -776.675940589196</t>
  </si>
  <si>
    <t>-516.516060861015 240.810227076248 -781.269425063045</t>
  </si>
  <si>
    <t>-440.827684200295 292.633634980811 -478.330715479824</t>
  </si>
  <si>
    <t>-242.337965552451 189.393549382045 -345.720927636617</t>
  </si>
  <si>
    <t>-576.081412067077 40.8198212172185 -763.13373418392</t>
  </si>
  <si>
    <t>-388.715125644562 10.3594701150323 -387.150251816579</t>
  </si>
  <si>
    <t>-594.854011143986 278.181373191153 -251.818275755176</t>
  </si>
  <si>
    <t>-589.961772179488 278.800408471619 203.849659466103</t>
  </si>
  <si>
    <t>-616.718826735186 251.568357476434 672.19840672872</t>
  </si>
  <si>
    <t>-458.543080383934 261.254655184996 748.55365474412</t>
  </si>
  <si>
    <t>-565.204176487342 84.3434904885564 -225.700900821963</t>
  </si>
  <si>
    <t>-447.714107795602 79.7856725936995 214.56372925725</t>
  </si>
  <si>
    <t>-611.547742399222 8.29992217906783 649.282227820703</t>
  </si>
  <si>
    <t>-458.814964459126 -35.8380445850059 724.568697079524</t>
  </si>
  <si>
    <t>9763-20170724T170136.567272300.bin</t>
  </si>
  <si>
    <t>-578.920912341961 180.386246887715 -238.877934561413</t>
  </si>
  <si>
    <t>-600.008577081386 161.027857550474 -356.557119381529</t>
  </si>
  <si>
    <t>-602.255732591825 138.505411180573 -475.62953483565</t>
  </si>
  <si>
    <t>-596.675468942854 116.234023776322 -582.716799519271</t>
  </si>
  <si>
    <t>-583.759541300364 91.6610457937527 -688.661188280006</t>
  </si>
  <si>
    <t>-558.367611943395 54.7560943414692 -834.240293476819</t>
  </si>
  <si>
    <t>-510.845404175308 31.9188350804457 -921.435961514965</t>
  </si>
  <si>
    <t>-563.934445245246 101.631988743413 -776.581038368251</t>
  </si>
  <si>
    <t>-517.27722458527 240.999177866587 -781.217262075555</t>
  </si>
  <si>
    <t>-442.411738773384 292.983817873413 -478.101863497532</t>
  </si>
  <si>
    <t>-244.876793661495 191.687427608789 -342.598862714201</t>
  </si>
  <si>
    <t>-575.27097407703 40.5389064884573 -763.071012329028</t>
  </si>
  <si>
    <t>-386.992148459164 9.13992813359755 -385.894850682942</t>
  </si>
  <si>
    <t>-594.098765623492 276.917419978463 -251.47940018754</t>
  </si>
  <si>
    <t>-588.515724758357 277.747761239322 204.180314508324</t>
  </si>
  <si>
    <t>-616.639425390733 250.51143277046 672.444231455527</t>
  </si>
  <si>
    <t>-458.406954200785 261.222760917853 748.544547067757</t>
  </si>
  <si>
    <t>-563.690014281063 83.9651087514424 -225.569547758779</t>
  </si>
  <si>
    <t>-447.108901449509 79.1554821697948 214.934039793148</t>
  </si>
  <si>
    <t>-611.535395275945 8.25897551188336 649.45270415422</t>
  </si>
  <si>
    <t>-458.776534885144 -35.7277297434168 724.774740274688</t>
  </si>
  <si>
    <t>9763-20170724T170136.596902000.bin</t>
  </si>
  <si>
    <t>-578.370172286546 180.211511805695 -238.730351083033</t>
  </si>
  <si>
    <t>-599.431408490747 160.835231043797 -356.411305514695</t>
  </si>
  <si>
    <t>-601.733980608814 138.382827313608 -475.495956948749</t>
  </si>
  <si>
    <t>-596.232474278311 116.21259737812 -582.608230633319</t>
  </si>
  <si>
    <t>-583.420420736046 91.7792342652856 -688.597605111292</t>
  </si>
  <si>
    <t>-558.195288245578 55.1085357358293 -834.264815439514</t>
  </si>
  <si>
    <t>-510.737221941892 32.5493413755503 -921.567662566978</t>
  </si>
  <si>
    <t>-563.769567907049 101.901693911967 -776.539135254492</t>
  </si>
  <si>
    <t>-517.559888327044 241.41879217986 -781.116829358713</t>
  </si>
  <si>
    <t>-442.252700104447 292.63815545033 -477.980588777591</t>
  </si>
  <si>
    <t>-245.275036828334 193.180251500981 -340.321696461363</t>
  </si>
  <si>
    <t>-574.943676256844 40.7667415018745 -763.083978902892</t>
  </si>
  <si>
    <t>-386.222055127817 9.45811618534526 -385.893606063731</t>
  </si>
  <si>
    <t>-593.69069141181 276.581938092671 -251.309406408953</t>
  </si>
  <si>
    <t>-587.901946275735 277.55878523466 204.347485713565</t>
  </si>
  <si>
    <t>-616.674265775385 250.324939600859 672.545730512531</t>
  </si>
  <si>
    <t>-458.406101971225 261.174503580104 748.552203412589</t>
  </si>
  <si>
    <t>-563.000476113997 84.0010623372102 -225.434523409792</t>
  </si>
  <si>
    <t>-446.813033323893 78.9905656380399 215.170745729047</t>
  </si>
  <si>
    <t>-611.522376129375 8.2076677556488 649.536569683902</t>
  </si>
  <si>
    <t>-458.738408447253 -35.6580835768882 724.878226887554</t>
  </si>
  <si>
    <t>9763-20170724T170136.662074400.bin</t>
  </si>
  <si>
    <t>-576.93630928475 180.184123755212 -238.471155599401</t>
  </si>
  <si>
    <t>-597.947690329685 160.761940112971 -356.153464590275</t>
  </si>
  <si>
    <t>-600.394828108658 138.380862002859 -475.248612228549</t>
  </si>
  <si>
    <t>-595.096682941753 116.326687772101 -582.39522239206</t>
  </si>
  <si>
    <t>-582.555407564747 92.0618920002682 -688.455491353681</t>
  </si>
  <si>
    <t>-557.771067912393 55.6813377041071 -834.271140775397</t>
  </si>
  <si>
    <t>-510.461975142773 33.5029950345947 -921.752310160828</t>
  </si>
  <si>
    <t>-563.21887609885 102.365978234217 -776.445698118961</t>
  </si>
  <si>
    <t>-517.295583244021 242.000679683981 -780.957609158071</t>
  </si>
  <si>
    <t>-441.825750100773 291.931094227017 -477.646769060601</t>
  </si>
  <si>
    <t>-245.307978015226 192.42778891947 -339.364802292061</t>
  </si>
  <si>
    <t>-574.255953945443 41.191037977869 -763.058743231955</t>
  </si>
  <si>
    <t>-384.40132802536 10.7358422741534 -387.068011612996</t>
  </si>
  <si>
    <t>-592.466193493944 276.259827768572 -251.064412942068</t>
  </si>
  <si>
    <t>-586.537597017329 277.464273600583 204.590100198517</t>
  </si>
  <si>
    <t>-616.683482565736 249.97024378201 672.675678460951</t>
  </si>
  <si>
    <t>-458.394353136934 261.237634697678 748.577582107371</t>
  </si>
  <si>
    <t>-561.275905818707 84.161115791725 -225.224150363302</t>
  </si>
  <si>
    <t>-445.932843608339 79.1249285881279 215.602647472813</t>
  </si>
  <si>
    <t>-611.422765923862 8.39022171877241 649.614816046578</t>
  </si>
  <si>
    <t>-458.815631781573 -35.8585938179551 725.090710326666</t>
  </si>
  <si>
    <t>9763-20170724T170136.700716300.bin</t>
  </si>
  <si>
    <t>-576.150708105858 180.189044628736 -238.399820932619</t>
  </si>
  <si>
    <t>-597.192353316038 160.760757294999 -356.075608533575</t>
  </si>
  <si>
    <t>-599.763635572985 138.378515273422 -475.167978197565</t>
  </si>
  <si>
    <t>-594.614444173655 116.328028622754 -582.322546953282</t>
  </si>
  <si>
    <t>-582.25742105245 92.073100187022 -688.406797314182</t>
  </si>
  <si>
    <t>-557.764011395432 55.7144165327459 -834.276959939951</t>
  </si>
  <si>
    <t>-510.56765711665 33.5964837284926 -921.83422718638</t>
  </si>
  <si>
    <t>-563.072789128099 102.387203314397 -776.429083939834</t>
  </si>
  <si>
    <t>-517.224910993154 242.037426122496 -781.034650922101</t>
  </si>
  <si>
    <t>-442.199961786902 292.012462098247 -477.62077344476</t>
  </si>
  <si>
    <t>-245.891848407097 192.848025141201 -338.798735033562</t>
  </si>
  <si>
    <t>-574.130410028426 41.2167924577639 -763.038833814763</t>
  </si>
  <si>
    <t>-383.560493724551 11.5064371289968 -387.715869495237</t>
  </si>
  <si>
    <t>-591.632433038319 276.169477913076 -250.995428749528</t>
  </si>
  <si>
    <t>-585.65947713597 277.41067325421 204.658531034186</t>
  </si>
  <si>
    <t>-616.649902379201 249.851314744379 672.682540014812</t>
  </si>
  <si>
    <t>-458.385130639017 261.413841102973 748.590943711856</t>
  </si>
  <si>
    <t>-560.587713619077 84.2022747812168 -225.125799315364</t>
  </si>
  <si>
    <t>-445.503758466906 79.1147374691932 215.76805908119</t>
  </si>
  <si>
    <t>-611.342550086919 8.37860975792955 649.620467445031</t>
  </si>
  <si>
    <t>-458.7824993857 -35.8731282344561 725.189813422209</t>
  </si>
  <si>
    <t>9763-20170724T170136.763880300.bin</t>
  </si>
  <si>
    <t>-574.520853162339 180.225116487421 -238.364795016151</t>
  </si>
  <si>
    <t>-595.617222244498 160.926519100527 -356.052099664406</t>
  </si>
  <si>
    <t>-598.424714089252 138.517354526364 -475.134092167247</t>
  </si>
  <si>
    <t>-593.566523178386 116.389439961631 -582.286376951322</t>
  </si>
  <si>
    <t>-581.578630615825 92.0107373749868 -688.384397397357</t>
  </si>
  <si>
    <t>-557.679285980165 55.4375076698361 -834.299673811314</t>
  </si>
  <si>
    <t>-510.772295743283 33.2043652387522 -921.983181779972</t>
  </si>
  <si>
    <t>-562.689707226641 102.186725697062 -776.486814677029</t>
  </si>
  <si>
    <t>-516.925425137113 241.845692247391 -781.45133029079</t>
  </si>
  <si>
    <t>-443.616570778484 291.757060468053 -477.607924285755</t>
  </si>
  <si>
    <t>-247.464935863919 193.729391423593 -337.76095442798</t>
  </si>
  <si>
    <t>-573.818343652291 41.0532721144195 -762.986610614114</t>
  </si>
  <si>
    <t>-382.229143715895 12.8398406289575 -389.828035968853</t>
  </si>
  <si>
    <t>-589.61349394726 276.309845036866 -250.9174087939</t>
  </si>
  <si>
    <t>-583.692220951368 277.493383185946 204.73719865353</t>
  </si>
  <si>
    <t>-616.645771405945 249.986680761251 672.627515363618</t>
  </si>
  <si>
    <t>-458.419524574315 261.340131671584 748.647668368382</t>
  </si>
  <si>
    <t>-559.395754529572 84.1773846648441 -225.169590773199</t>
  </si>
  <si>
    <t>-444.910925939626 78.9160589991191 215.878346269842</t>
  </si>
  <si>
    <t>-611.193964360609 8.25936903547358 649.670663228337</t>
  </si>
  <si>
    <t>-458.749588813773 -35.9925946579735 725.472940184225</t>
  </si>
  <si>
    <t>9763-20170724T170136.823083300.bin</t>
  </si>
  <si>
    <t>-573.954647103612 180.446026367792 -238.340550277595</t>
  </si>
  <si>
    <t>-595.111754631411 161.234833560365 -356.031226294478</t>
  </si>
  <si>
    <t>-598.018978556925 138.820807119553 -475.109981765859</t>
  </si>
  <si>
    <t>-593.269828766955 116.653229212379 -582.258832106031</t>
  </si>
  <si>
    <t>-581.411118130338 92.2023655689384 -688.354975526613</t>
  </si>
  <si>
    <t>-557.713628889644 55.4964400701008 -834.269733708566</t>
  </si>
  <si>
    <t>-510.937020503219 33.1368996114481 -921.990807186437</t>
  </si>
  <si>
    <t>-562.601985147908 102.292310490977 -776.484149142736</t>
  </si>
  <si>
    <t>-516.673130975054 241.893605865778 -781.681974924167</t>
  </si>
  <si>
    <t>-444.220161655177 292.155687366123 -477.691010722408</t>
  </si>
  <si>
    <t>-248.131515468098 194.388597878484 -337.573660139991</t>
  </si>
  <si>
    <t>-573.796086471401 41.1830016843041 -762.929709102953</t>
  </si>
  <si>
    <t>-381.933717950148 13.0418993542773 -390.097550568097</t>
  </si>
  <si>
    <t>-588.810539773763 276.59591662649 -250.877796952887</t>
  </si>
  <si>
    <t>-582.743902515947 277.669098370235 204.775219327792</t>
  </si>
  <si>
    <t>-616.640894879005 250.115454178922 672.578459751157</t>
  </si>
  <si>
    <t>-458.450938277928 261.368861561191 748.689008732868</t>
  </si>
  <si>
    <t>-559.132811978345 84.4475987988444 -225.130882363651</t>
  </si>
  <si>
    <t>-444.571653711691 78.8302762783489 215.892777272329</t>
  </si>
  <si>
    <t>-611.118639010491 8.28201462014204 649.663858728437</t>
  </si>
  <si>
    <t>-458.805066234726 -36.1894710774147 725.600483874997</t>
  </si>
  <si>
    <t>9763-20170724T170136.865192800.bin</t>
  </si>
  <si>
    <t>-572.909778917237 180.938541991676 -238.273867121126</t>
  </si>
  <si>
    <t>-594.269558384845 161.842077820859 -355.946699948611</t>
  </si>
  <si>
    <t>-597.407202072107 139.395029440267 -475.013176771677</t>
  </si>
  <si>
    <t>-592.881774043256 117.140227505445 -582.153790924437</t>
  </si>
  <si>
    <t>-581.264737476687 92.5472224830664 -688.243762184017</t>
  </si>
  <si>
    <t>-557.924008883615 55.5888184139153 -834.152231003133</t>
  </si>
  <si>
    <t>-511.372636014584 32.9286022127485 -921.915885723998</t>
  </si>
  <si>
    <t>-562.578776370385 102.47176879041 -776.417987291021</t>
  </si>
  <si>
    <t>-516.371654508654 241.961630428716 -782.012696169956</t>
  </si>
  <si>
    <t>-444.498894311916 293.543109211583 -478.105143399321</t>
  </si>
  <si>
    <t>-248.860717561961 195.251016788462 -337.725381080651</t>
  </si>
  <si>
    <t>-573.924321186023 41.4118550868318 -762.766481421791</t>
  </si>
  <si>
    <t>-383.142694959675 15.4532370867041 -389.479440867234</t>
  </si>
  <si>
    <t>-587.320644219589 277.114021393482 -250.790145770584</t>
  </si>
  <si>
    <t>-581.05473200674 278.034531849079 204.860550750909</t>
  </si>
  <si>
    <t>-616.579352456961 250.238333238276 672.474434454692</t>
  </si>
  <si>
    <t>-458.49328004966 261.630031280849 748.779938831544</t>
  </si>
  <si>
    <t>-558.406832391289 84.8646394817533 -225.078582519104</t>
  </si>
  <si>
    <t>-443.980415754863 78.9371565650699 215.975928558861</t>
  </si>
  <si>
    <t>-610.979451881406 8.30787318790203 649.596799889094</t>
  </si>
  <si>
    <t>-458.774612018619 -36.1850820453874 725.738549468355</t>
  </si>
  <si>
    <t>9763-20170724T170136.896282000.bin</t>
  </si>
  <si>
    <t>-572.550770008468 181.348089847943 -238.208194951783</t>
  </si>
  <si>
    <t>-593.97079995251 162.2831969664 -355.875172500239</t>
  </si>
  <si>
    <t>-597.162807366395 139.773324967504 -474.928441564175</t>
  </si>
  <si>
    <t>-592.687284366204 117.425708470165 -582.051850538215</t>
  </si>
  <si>
    <t>-581.123022247633 92.7054274939187 -688.117932561412</t>
  </si>
  <si>
    <t>-557.860379899031 55.535969227846 -833.98528727996</t>
  </si>
  <si>
    <t>-511.373046282821 32.7207060923859 -921.74267491068</t>
  </si>
  <si>
    <t>-562.438821573512 102.495735181198 -776.307512811077</t>
  </si>
  <si>
    <t>-516.08397532883 241.91731352115 -782.137494258613</t>
  </si>
  <si>
    <t>-444.188662502792 294.335288639778 -478.378340839719</t>
  </si>
  <si>
    <t>-248.749557184329 194.523269031592 -338.796223700874</t>
  </si>
  <si>
    <t>-573.868014288173 41.4686720321968 -762.579477705668</t>
  </si>
  <si>
    <t>-383.727696942616 16.7979649535987 -389.033281331931</t>
  </si>
  <si>
    <t>-586.768873186671 277.502893744844 -250.744022199192</t>
  </si>
  <si>
    <t>-580.527667281452 278.270460884743 204.907300417917</t>
  </si>
  <si>
    <t>-616.567400116798 250.245767047737 672.466099739998</t>
  </si>
  <si>
    <t>-458.49866643327 261.493034173523 748.828968655745</t>
  </si>
  <si>
    <t>-558.247590692093 85.3152186021632 -224.980968155796</t>
  </si>
  <si>
    <t>-443.614656279295 79.0248331625976 216.014950618935</t>
  </si>
  <si>
    <t>-610.918613204209 8.25833844028739 649.54087122058</t>
  </si>
  <si>
    <t>-458.753130306479 -36.2379669985005 725.759322318735</t>
  </si>
  <si>
    <t>9763-20170724T170136.966470000.bin</t>
  </si>
  <si>
    <t>-572.288620763078 182.097555071494 -238.050241286498</t>
  </si>
  <si>
    <t>-593.824320050547 163.064327858707 -355.70118215916</t>
  </si>
  <si>
    <t>-597.268701412224 140.441125974067 -474.726005019544</t>
  </si>
  <si>
    <t>-593.080852651393 117.937995622896 -581.828234637061</t>
  </si>
  <si>
    <t>-581.865387513393 93.0136027822787 -687.884110334659</t>
  </si>
  <si>
    <t>-559.152146708971 55.513651741423 -833.753523022351</t>
  </si>
  <si>
    <t>-512.827554097029 32.3982124509403 -921.518544732937</t>
  </si>
  <si>
    <t>-563.375972330547 102.584267780345 -776.138863007676</t>
  </si>
  <si>
    <t>-516.563664318313 241.843736849956 -782.345704798756</t>
  </si>
  <si>
    <t>-445.116162847572 294.623680530622 -478.543696750453</t>
  </si>
  <si>
    <t>-249.766351274742 193.058177336098 -340.106186277691</t>
  </si>
  <si>
    <t>-575.028095363312 41.6281948435048 -762.282834395543</t>
  </si>
  <si>
    <t>-384.423004042201 20.1104871952307 -390.594512525136</t>
  </si>
  <si>
    <t>-586.033436549939 278.338924624185 -250.651087376623</t>
  </si>
  <si>
    <t>-580.165886883157 278.798844035618 205.005651611312</t>
  </si>
  <si>
    <t>-616.590273068536 250.374387176834 672.458688558481</t>
  </si>
  <si>
    <t>-458.548521340007 261.389118277775 748.91127546857</t>
  </si>
  <si>
    <t>-558.517581156999 85.8843954128811 -224.750841056056</t>
  </si>
  <si>
    <t>-443.067516404307 79.4997397615412 216.030545337529</t>
  </si>
  <si>
    <t>-610.815914143775 8.25931265630788 649.377003015558</t>
  </si>
  <si>
    <t>-458.747074744012 -36.3919120564726 725.69771575778</t>
  </si>
  <si>
    <t>9763-20170724T170136.996556000.bin</t>
  </si>
  <si>
    <t>-572.323148580418 182.645177090338 -238.028192735811</t>
  </si>
  <si>
    <t>-593.834862399759 163.64628525908 -355.689118241369</t>
  </si>
  <si>
    <t>-597.318166913584 140.951860562932 -474.699112933185</t>
  </si>
  <si>
    <t>-593.195738563228 118.34317574533 -581.781940224191</t>
  </si>
  <si>
    <t>-582.078258806304 93.2742339139652 -687.81400231014</t>
  </si>
  <si>
    <t>-559.537269728731 55.5342114725809 -833.648198821891</t>
  </si>
  <si>
    <t>-513.270943230602 32.2444458995285 -921.397765294098</t>
  </si>
  <si>
    <t>-563.623230987559 102.689238669636 -776.092588147107</t>
  </si>
  <si>
    <t>-516.596341992462 241.868242674284 -782.494344396124</t>
  </si>
  <si>
    <t>-445.444576558967 294.390480882794 -478.578210874011</t>
  </si>
  <si>
    <t>-250.003229119183 192.372141481765 -340.603608166077</t>
  </si>
  <si>
    <t>-575.398690833982 41.7767279003633 -762.149374833465</t>
  </si>
  <si>
    <t>-384.040277879422 20.5878345585461 -391.886802008158</t>
  </si>
  <si>
    <t>-585.861281838747 278.921664888041 -250.649824980013</t>
  </si>
  <si>
    <t>-580.203187447378 279.14043842704 205.009734398408</t>
  </si>
  <si>
    <t>-616.602763061382 250.469264298395 672.441620184664</t>
  </si>
  <si>
    <t>-458.573742900315 261.341725972845 748.940848392695</t>
  </si>
  <si>
    <t>-558.705419313256 86.5154586276694 -224.711360521981</t>
  </si>
  <si>
    <t>-443.038840412692 79.7690664123868 216.007818006037</t>
  </si>
  <si>
    <t>-610.791624708011 8.28032131026021 649.316826459518</t>
  </si>
  <si>
    <t>-458.702985754554 -36.2935609167625 725.64329048338</t>
  </si>
  <si>
    <t>9763-20170724T170137.061728100.bin</t>
  </si>
  <si>
    <t>-572.420662129011 183.98984901528 -237.946488014221</t>
  </si>
  <si>
    <t>-593.955563265167 164.994834218763 -355.603826687203</t>
  </si>
  <si>
    <t>-597.502103284602 142.113131674508 -474.576250256364</t>
  </si>
  <si>
    <t>-593.461501227824 119.258965537237 -581.609905811002</t>
  </si>
  <si>
    <t>-582.456123298926 93.8695505819503 -687.577445064828</t>
  </si>
  <si>
    <t>-560.107347306227 55.6078438175775 -833.305074543793</t>
  </si>
  <si>
    <t>-513.968435232367 31.9613189764209 -921.026451277116</t>
  </si>
  <si>
    <t>-563.988557719128 102.94909554897 -775.888599471352</t>
  </si>
  <si>
    <t>-516.502446450464 241.959720740682 -782.747641910731</t>
  </si>
  <si>
    <t>-445.939836149004 294.847850580281 -478.75766386014</t>
  </si>
  <si>
    <t>-250.798470879353 191.570236492169 -341.296295458469</t>
  </si>
  <si>
    <t>-576.003411394711 42.1258150701924 -761.761670228339</t>
  </si>
  <si>
    <t>-383.434720027078 19.7921009117463 -390.852928583633</t>
  </si>
  <si>
    <t>-585.708795069442 280.298218142862 -250.644528367157</t>
  </si>
  <si>
    <t>-580.325040814893 280.040745466451 205.018343816234</t>
  </si>
  <si>
    <t>-616.637404702292 250.632000862616 672.410107137017</t>
  </si>
  <si>
    <t>-458.639273191276 261.455602356705 748.9799697233</t>
  </si>
  <si>
    <t>-559.077133353008 87.8160933065585 -224.589553850122</t>
  </si>
  <si>
    <t>-442.789870798106 80.5106385928659 215.957311833356</t>
  </si>
  <si>
    <t>-610.723064356341 8.43312901218337 649.136546448476</t>
  </si>
  <si>
    <t>-458.752619470555 -36.4753553774469 725.502265060939</t>
  </si>
  <si>
    <t>9763-20170724T170137.098661200.bin</t>
  </si>
  <si>
    <t>-572.487302467345 184.605189673577 -237.94580242142</t>
  </si>
  <si>
    <t>-594.063632747974 165.599277435101 -355.593668923242</t>
  </si>
  <si>
    <t>-597.649915096801 142.605036162554 -474.543140579879</t>
  </si>
  <si>
    <t>-593.649167411781 119.607523508388 -581.547712249891</t>
  </si>
  <si>
    <t>-582.690536016849 94.0339368969387 -687.475766571251</t>
  </si>
  <si>
    <t>-560.41706509861 55.4739736573179 -833.136425004682</t>
  </si>
  <si>
    <t>-514.354890558002 31.630654130239 -920.844695812783</t>
  </si>
  <si>
    <t>-564.212434077442 102.924080425851 -775.803924959097</t>
  </si>
  <si>
    <t>-516.572262113325 241.854530281314 -782.883387142432</t>
  </si>
  <si>
    <t>-446.069939674993 295.230993529628 -478.964680903023</t>
  </si>
  <si>
    <t>-251.363074111769 191.500806055577 -341.228198669571</t>
  </si>
  <si>
    <t>-576.332267321866 42.1471170881621 -761.568160565095</t>
  </si>
  <si>
    <t>-383.885755971144 19.4150813263652 -390.398986341372</t>
  </si>
  <si>
    <t>-585.724157237244 280.96218411579 -250.652503035776</t>
  </si>
  <si>
    <t>-580.485935797247 280.415793027029 205.011694527921</t>
  </si>
  <si>
    <t>-616.624611598717 250.630332272582 672.386929334741</t>
  </si>
  <si>
    <t>-458.63960697269 261.361735459628 748.996930805351</t>
  </si>
  <si>
    <t>-559.194414541863 88.3135064571309 -224.563387982347</t>
  </si>
  <si>
    <t>-442.753078592264 80.927742945257 215.941445263579</t>
  </si>
  <si>
    <t>-610.699241138212 8.35060083119038 649.042778667983</t>
  </si>
  <si>
    <t>-458.653194195511 -36.3065743450143 725.405424877896</t>
  </si>
  <si>
    <t>9763-20170724T170137.165836900.bin</t>
  </si>
  <si>
    <t>-572.578253273536 185.992302638493 -237.91900062648</t>
  </si>
  <si>
    <t>-593.981959682624 166.988353701991 -355.598788277802</t>
  </si>
  <si>
    <t>-597.46712807605 143.84699272204 -474.522787909008</t>
  </si>
  <si>
    <t>-593.412929347503 120.655480251579 -581.483316276975</t>
  </si>
  <si>
    <t>-582.444428486297 94.8270959886218 -687.348436688066</t>
  </si>
  <si>
    <t>-560.207532840367 55.8503546861391 -832.903807489021</t>
  </si>
  <si>
    <t>-514.249744322931 31.7191583777023 -920.588207518453</t>
  </si>
  <si>
    <t>-563.885737443113 103.448500275363 -775.686534831074</t>
  </si>
  <si>
    <t>-515.875798537762 242.233385050616 -783.094256847815</t>
  </si>
  <si>
    <t>-445.455719166225 295.900926155639 -479.207762169725</t>
  </si>
  <si>
    <t>-251.1367720776 192.14226724939 -340.945824084022</t>
  </si>
  <si>
    <t>-576.207573940487 42.7443974370378 -761.313657157826</t>
  </si>
  <si>
    <t>-385.745531699846 19.8909566989562 -390.501765857233</t>
  </si>
  <si>
    <t>-585.707636263172 282.422113568498 -250.69165276533</t>
  </si>
  <si>
    <t>-580.87709971017 281.267199071102 204.975987673797</t>
  </si>
  <si>
    <t>-616.634445157762 250.740706076835 672.336714006648</t>
  </si>
  <si>
    <t>-458.672512310307 261.410707778261 749.002862408464</t>
  </si>
  <si>
    <t>-559.345238144318 89.7217931261728 -224.546434918713</t>
  </si>
  <si>
    <t>-442.649867777251 81.9150837765314 215.883923451781</t>
  </si>
  <si>
    <t>-610.631930806104 8.57839337420933 648.843835517786</t>
  </si>
  <si>
    <t>-458.671001834247 -36.3143317563533 725.237737223788</t>
  </si>
  <si>
    <t>9763-20170724T170137.198930300.bin</t>
  </si>
  <si>
    <t>-572.575220600646 186.62172812172 -237.93960386857</t>
  </si>
  <si>
    <t>-594.01394057824 167.590954263317 -355.608716160088</t>
  </si>
  <si>
    <t>-597.572183326829 144.421035311369 -474.524944526273</t>
  </si>
  <si>
    <t>-593.600197717946 121.200419526002 -581.482378412635</t>
  </si>
  <si>
    <t>-582.730665033363 95.3382720201214 -687.349447634258</t>
  </si>
  <si>
    <t>-560.649557701864 56.3085134298783 -832.914208449496</t>
  </si>
  <si>
    <t>-514.752465376218 32.0664556428051 -920.599890288311</t>
  </si>
  <si>
    <t>-564.197892307492 103.916593415221 -775.697073407562</t>
  </si>
  <si>
    <t>-515.935381285267 242.637803937383 -783.134425643095</t>
  </si>
  <si>
    <t>-445.452869035273 296.333280366218 -479.267411124979</t>
  </si>
  <si>
    <t>-251.147600870815 192.567338184984 -340.991866060114</t>
  </si>
  <si>
    <t>-576.641595562285 43.2395350753743 -761.315588196151</t>
  </si>
  <si>
    <t>-386.461743351926 20.9701241658429 -391.453898284171</t>
  </si>
  <si>
    <t>-585.709948782203 283.06776470279 -250.718330032727</t>
  </si>
  <si>
    <t>-581.034326008356 281.718018789668 204.950499427135</t>
  </si>
  <si>
    <t>-616.650881923537 250.837065851874 672.297640194571</t>
  </si>
  <si>
    <t>-458.697537154079 261.392350589758 748.997287469742</t>
  </si>
  <si>
    <t>-559.393429216041 90.2784086928336 -224.523884130079</t>
  </si>
  <si>
    <t>-442.556926157836 82.343856171716 215.86684857954</t>
  </si>
  <si>
    <t>-610.587322634434 8.64630660894773 648.725997686148</t>
  </si>
  <si>
    <t>-458.688594007725 -36.3968065861045 725.155090517811</t>
  </si>
  <si>
    <t>9763-20170724T170137.265106300.bin</t>
  </si>
  <si>
    <t>-572.592816265422 187.664675851927 -237.963594418748</t>
  </si>
  <si>
    <t>-593.982850292837 168.618309602223 -355.639158882028</t>
  </si>
  <si>
    <t>-597.645140682367 145.365692162515 -474.535926242352</t>
  </si>
  <si>
    <t>-593.832282564971 122.045812654292 -581.477556979241</t>
  </si>
  <si>
    <t>-583.187986785702 96.0620888186033 -687.337819897115</t>
  </si>
  <si>
    <t>-561.489272796417 56.8420167155869 -832.909009200546</t>
  </si>
  <si>
    <t>-515.758402257318 32.3551163688289 -920.613328799891</t>
  </si>
  <si>
    <t>-564.794537921745 104.510010107192 -775.727121726899</t>
  </si>
  <si>
    <t>-516.285672547597 243.118134455945 -783.337220974173</t>
  </si>
  <si>
    <t>-445.044623644382 296.702408490035 -479.627296555134</t>
  </si>
  <si>
    <t>-250.274903601691 193.996135701308 -341.213998790987</t>
  </si>
  <si>
    <t>-577.386010535102 43.8813791170639 -761.269446241398</t>
  </si>
  <si>
    <t>-386.390063210719 20.7023660081043 -400.186063624935</t>
  </si>
  <si>
    <t>-585.636173949421 284.197342943845 -250.775363259437</t>
  </si>
  <si>
    <t>-581.185497513908 282.367470703217 204.893925974178</t>
  </si>
  <si>
    <t>-616.713729943797 251.015146152035 672.245639014396</t>
  </si>
  <si>
    <t>-458.763906703289 261.32113188181 748.986471544984</t>
  </si>
  <si>
    <t>-559.481353298265 91.1958116760768 -224.526468856234</t>
  </si>
  <si>
    <t>-442.498548238201 82.9519923728915 215.819661836967</t>
  </si>
  <si>
    <t>-610.53610898302 8.58778401277755 648.588488468999</t>
  </si>
  <si>
    <t>-458.571268624159 -36.211529738777 725.029448856703</t>
  </si>
  <si>
    <t>9763-20170724T170137.297795300.bin</t>
  </si>
  <si>
    <t>-572.725247587427 188.068795131034 -238.001638024281</t>
  </si>
  <si>
    <t>-594.113468836125 169.056581766976 -355.682925733586</t>
  </si>
  <si>
    <t>-597.811392626904 145.808380489102 -474.579533232088</t>
  </si>
  <si>
    <t>-594.047327674441 122.480334619383 -581.521092373368</t>
  </si>
  <si>
    <t>-583.469290949505 96.4766152859872 -687.383072604366</t>
  </si>
  <si>
    <t>-561.881514449011 57.2163346282866 -832.959911477187</t>
  </si>
  <si>
    <t>-516.192993081924 32.6758957647742 -920.67146315327</t>
  </si>
  <si>
    <t>-565.099825368649 104.893007727162 -775.780419021656</t>
  </si>
  <si>
    <t>-516.451358237567 243.428736389342 -783.421974990753</t>
  </si>
  <si>
    <t>-444.659060029337 297.310713055504 -479.894849868631</t>
  </si>
  <si>
    <t>-249.629547452037 194.819127260509 -341.688428388952</t>
  </si>
  <si>
    <t>-577.767048164696 44.28250645708 -761.312841810494</t>
  </si>
  <si>
    <t>-385.018161675526 18.5762693143797 -404.181943154751</t>
  </si>
  <si>
    <t>-585.672392318852 284.67209945907 -250.793018423053</t>
  </si>
  <si>
    <t>-581.149677293786 282.620362583213 204.874588015354</t>
  </si>
  <si>
    <t>-616.739857274867 251.097930505167 672.209228300831</t>
  </si>
  <si>
    <t>-458.799175077297 261.292649487433 748.983628434998</t>
  </si>
  <si>
    <t>-559.783298188663 91.5494073012701 -224.56383144521</t>
  </si>
  <si>
    <t>-442.590802955941 83.1637101633439 215.72388181713</t>
  </si>
  <si>
    <t>-610.507457361711 8.65397303473287 648.517327860173</t>
  </si>
  <si>
    <t>-458.575102870134 -36.2081487073822 724.985973258455</t>
  </si>
  <si>
    <t>9763-20170724T170137.363993500.bin</t>
  </si>
  <si>
    <t>-573.052762445887 188.879789299609 -238.137426948663</t>
  </si>
  <si>
    <t>-594.494255441082 169.988053348394 -355.828469192789</t>
  </si>
  <si>
    <t>-598.236951111989 146.862229945115 -474.747637105182</t>
  </si>
  <si>
    <t>-594.510306727723 123.641657217066 -581.713848936864</t>
  </si>
  <si>
    <t>-583.967403743414 97.7398313465167 -687.604335350506</t>
  </si>
  <si>
    <t>-562.427038743991 58.6133708183595 -833.224081624225</t>
  </si>
  <si>
    <t>-516.794027686481 34.0003078963414 -920.944138834976</t>
  </si>
  <si>
    <t>-565.57324279875 106.228754625884 -775.989531402509</t>
  </si>
  <si>
    <t>-516.280762868645 244.599510314221 -783.328471334902</t>
  </si>
  <si>
    <t>-443.758964415861 298.687242979023 -480.011466020487</t>
  </si>
  <si>
    <t>-249.097984000373 194.427991083141 -342.609902931376</t>
  </si>
  <si>
    <t>-578.342700656513 45.6225353579337 -761.594238696597</t>
  </si>
  <si>
    <t>-384.391490470243 15.7019561532566 -406.405753107332</t>
  </si>
  <si>
    <t>-585.85419817021 285.542548288675 -250.80864833882</t>
  </si>
  <si>
    <t>-581.177945159061 283.094393526385 204.855573123805</t>
  </si>
  <si>
    <t>-616.790476852072 251.279608088475 672.150114228355</t>
  </si>
  <si>
    <t>-458.855547630435 261.04886390001 748.991746210888</t>
  </si>
  <si>
    <t>-560.216334119049 92.3921872451099 -224.757555379876</t>
  </si>
  <si>
    <t>-442.850306055514 83.5132812428458 215.474249774522</t>
  </si>
  <si>
    <t>-610.437366786698 8.67562698209872 648.379431556421</t>
  </si>
  <si>
    <t>-458.612087743743 -36.3760761045348 724.949227852549</t>
  </si>
  <si>
    <t>9763-20170724T170137.399088100.bin</t>
  </si>
  <si>
    <t>-573.313941184309 189.258182499098 -238.135033415138</t>
  </si>
  <si>
    <t>-594.764030369212 170.426337168571 -355.834140584719</t>
  </si>
  <si>
    <t>-598.440144577596 147.32922851734 -474.76085671172</t>
  </si>
  <si>
    <t>-594.624578276192 124.1200628155 -581.726422187971</t>
  </si>
  <si>
    <t>-583.965391014853 98.2148735889805 -687.604395299024</t>
  </si>
  <si>
    <t>-562.236579780337 59.0678210311087 -833.190759139989</t>
  </si>
  <si>
    <t>-516.564129167756 34.4622163319636 -920.892338828134</t>
  </si>
  <si>
    <t>-565.455013546748 106.690921273286 -775.966702430032</t>
  </si>
  <si>
    <t>-516.005322795466 244.961137294199 -783.253944143868</t>
  </si>
  <si>
    <t>-443.236311568335 298.917662722467 -479.972552744631</t>
  </si>
  <si>
    <t>-249.089844839937 193.274930567746 -342.900320502464</t>
  </si>
  <si>
    <t>-578.246801968615 46.0874206911019 -761.579981576067</t>
  </si>
  <si>
    <t>-385.700870559203 14.7366626484713 -406.982895690653</t>
  </si>
  <si>
    <t>-586.021392455419 285.907948701623 -250.792543944224</t>
  </si>
  <si>
    <t>-581.220452058339 283.217116629666 204.868968579963</t>
  </si>
  <si>
    <t>-616.790501076616 251.191673504797 672.146580328066</t>
  </si>
  <si>
    <t>-458.870978874221 261.164840109952 748.993537705126</t>
  </si>
  <si>
    <t>-560.518128483806 92.7603580176842 -224.801082645135</t>
  </si>
  <si>
    <t>-442.999418626299 83.4970358944759 215.382111794899</t>
  </si>
  <si>
    <t>-610.428407835073 8.40621247637523 648.337021591565</t>
  </si>
  <si>
    <t>-458.423846230777 -36.0295156520422 724.911132046995</t>
  </si>
  <si>
    <t>9763-20170724T170137.463257000.bin</t>
  </si>
  <si>
    <t>-573.965309386956 189.900646098854 -238.148177931267</t>
  </si>
  <si>
    <t>-595.543132076353 171.075378947713 -355.824960642587</t>
  </si>
  <si>
    <t>-599.263154337588 148.153795746709 -474.784361860731</t>
  </si>
  <si>
    <t>-595.44623910772 125.163535855048 -581.796982220728</t>
  </si>
  <si>
    <t>-584.741344393308 99.5321348289845 -687.737118128391</t>
  </si>
  <si>
    <t>-562.900162037408 60.818361267105 -833.422412971564</t>
  </si>
  <si>
    <t>-517.060566113523 36.3920743218816 -921.08692656446</t>
  </si>
  <si>
    <t>-566.09800558295 108.260218157692 -776.046811982673</t>
  </si>
  <si>
    <t>-516.172519754977 246.41266699223 -782.837331316764</t>
  </si>
  <si>
    <t>-443.614072523191 298.43902902843 -479.168519086056</t>
  </si>
  <si>
    <t>-249.590759190175 192.353236376466 -342.264072670039</t>
  </si>
  <si>
    <t>-579.030383291729 47.6358110490121 -761.87557175156</t>
  </si>
  <si>
    <t>-385.981507740718 11.7492724913473 -410.305105286559</t>
  </si>
  <si>
    <t>-586.590729187677 286.55093101476 -250.782604009875</t>
  </si>
  <si>
    <t>-581.510800384278 283.602791485553 204.87421959899</t>
  </si>
  <si>
    <t>-616.843319338708 251.078737309071 672.170693754481</t>
  </si>
  <si>
    <t>-458.895515476792 260.825124062184 748.988715731856</t>
  </si>
  <si>
    <t>-561.287672478824 93.2654683978249 -224.795259682247</t>
  </si>
  <si>
    <t>-443.222283399907 83.8887693297231 215.23921692664</t>
  </si>
  <si>
    <t>-610.381590708338 8.48506441645509 648.212272298346</t>
  </si>
  <si>
    <t>-458.517876211553 -36.3158279019058 724.853043024465</t>
  </si>
  <si>
    <t>9763-20170724T170137.495897000.bin</t>
  </si>
  <si>
    <t>-574.415646330927 189.923076598938 -238.100978156797</t>
  </si>
  <si>
    <t>-596.04770084011 171.115844712432 -355.770685821219</t>
  </si>
  <si>
    <t>-599.814024794179 148.297938537118 -474.748594215229</t>
  </si>
  <si>
    <t>-596.032785401196 125.430285038743 -581.788741290092</t>
  </si>
  <si>
    <t>-585.356162750883 99.946819152731 -687.767421985556</t>
  </si>
  <si>
    <t>-563.545676780269 61.4617237878178 -833.517828614951</t>
  </si>
  <si>
    <t>-517.635572867787 37.0838875317231 -921.158986683755</t>
  </si>
  <si>
    <t>-566.665552732638 108.802379405369 -776.054266663942</t>
  </si>
  <si>
    <t>-516.357825911971 246.847277243771 -782.55873885347</t>
  </si>
  <si>
    <t>-443.977669482391 297.886040114849 -478.679858741643</t>
  </si>
  <si>
    <t>-249.913022910069 191.342799127196 -342.190024453594</t>
  </si>
  <si>
    <t>-579.726756072825 48.1780368803441 -762.001196406223</t>
  </si>
  <si>
    <t>-385.306832090651 10.4014919079605 -411.544347092147</t>
  </si>
  <si>
    <t>-587.077569386037 286.455868513109 -250.697660639215</t>
  </si>
  <si>
    <t>-581.834356342268 283.360818470409 204.956371826941</t>
  </si>
  <si>
    <t>-616.872332654804 250.582294427263 672.342433234287</t>
  </si>
  <si>
    <t>-458.869048194753 260.743663594924 748.992364424251</t>
  </si>
  <si>
    <t>-561.675992552309 93.3927112873064 -224.816869650379</t>
  </si>
  <si>
    <t>-443.584366747626 84.0601202085181 215.211459249585</t>
  </si>
  <si>
    <t>-610.382679187219 8.44323757085749 648.236683292051</t>
  </si>
  <si>
    <t>-458.478594433467 -36.254689898266 724.857562232072</t>
  </si>
  <si>
    <t>9763-20170724T170137.568593600.bin</t>
  </si>
  <si>
    <t>-575.442307535544 189.779906247206 -238.024649165484</t>
  </si>
  <si>
    <t>-597.291723797303 171.087426100219 -355.672396561852</t>
  </si>
  <si>
    <t>-601.220677869115 148.300810101899 -474.651006452077</t>
  </si>
  <si>
    <t>-597.566659337947 125.425303210078 -581.6939694468</t>
  </si>
  <si>
    <t>-586.999572890761 99.8976241405212 -687.672874943232</t>
  </si>
  <si>
    <t>-565.325342240592 61.3129374006894 -833.417311040543</t>
  </si>
  <si>
    <t>-519.366201747641 36.7948636598849 -920.993591403508</t>
  </si>
  <si>
    <t>-568.299993106803 108.677000262147 -775.965626275486</t>
  </si>
  <si>
    <t>-517.632065485676 246.567317138625 -782.382021452339</t>
  </si>
  <si>
    <t>-445.074936760147 296.848157392629 -478.419102288036</t>
  </si>
  <si>
    <t>-251.145313404321 189.293483814627 -342.532023970183</t>
  </si>
  <si>
    <t>-581.531040942043 48.0938133340358 -761.894308182785</t>
  </si>
  <si>
    <t>-384.679945686182 7.25021210751584 -408.283899661546</t>
  </si>
  <si>
    <t>-587.866256643176 286.234565504928 -250.543007023158</t>
  </si>
  <si>
    <t>-582.164721809693 282.860245326658 205.103599770664</t>
  </si>
  <si>
    <t>-616.830226841625 249.967812571836 672.439191088428</t>
  </si>
  <si>
    <t>-458.791627079371 260.590398650337 748.953785342257</t>
  </si>
  <si>
    <t>-563.00268980925 93.3633590093973 -224.822271814434</t>
  </si>
  <si>
    <t>-444.3785793156 83.9078567404883 215.060206168759</t>
  </si>
  <si>
    <t>-610.409443134981 8.49946322267442 648.337976985996</t>
  </si>
  <si>
    <t>-458.489417582043 -36.2546199312567 724.89444796921</t>
  </si>
  <si>
    <t>9763-20170724T170137.598193300.bin</t>
  </si>
  <si>
    <t>-575.929096763751 189.807849838184 -238.063303229741</t>
  </si>
  <si>
    <t>-597.863009825992 171.210371871919 -355.710417311276</t>
  </si>
  <si>
    <t>-601.774698118751 148.467967433146 -474.698040681825</t>
  </si>
  <si>
    <t>-598.064435844511 125.613808466332 -581.743734484562</t>
  </si>
  <si>
    <t>-587.401076595666 100.090451893598 -687.714013578206</t>
  </si>
  <si>
    <t>-565.552039432501 61.4956314565663 -833.429733194392</t>
  </si>
  <si>
    <t>-519.535846922132 36.9658186101319 -920.972776707311</t>
  </si>
  <si>
    <t>-568.624479453235 108.868840708408 -775.99049390585</t>
  </si>
  <si>
    <t>-517.986387532568 246.755834567544 -782.430568202474</t>
  </si>
  <si>
    <t>-445.171844335207 296.907055969527 -478.507690180155</t>
  </si>
  <si>
    <t>-250.956370162529 190.613254951835 -342.03764606203</t>
  </si>
  <si>
    <t>-581.814634352074 48.2764767861108 -761.919647596062</t>
  </si>
  <si>
    <t>-385.971390191743 6.81016131598903 -403.923466369325</t>
  </si>
  <si>
    <t>-588.183117806211 286.3871311442 -250.53541521034</t>
  </si>
  <si>
    <t>-582.346052437066 282.869903469057 205.108356142836</t>
  </si>
  <si>
    <t>-616.845630619184 249.963784960923 672.437643669238</t>
  </si>
  <si>
    <t>-458.795853222798 260.406172321429 748.953898227835</t>
  </si>
  <si>
    <t>-563.552693103776 93.3756110210916 -224.953329807575</t>
  </si>
  <si>
    <t>-444.928605870184 83.8289337811868 214.927220611116</t>
  </si>
  <si>
    <t>-610.451887084611 8.44066231060447 648.432134323167</t>
  </si>
  <si>
    <t>-458.441800293554 -36.1116875094749 724.927396238263</t>
  </si>
  <si>
    <t>9763-20170724T170137.662363600.bin</t>
  </si>
  <si>
    <t>-577.015851695249 190.082256340533 -238.095134755876</t>
  </si>
  <si>
    <t>-599.127266557303 171.603832857771 -355.727773291143</t>
  </si>
  <si>
    <t>-603.002570424515 148.764257904292 -474.698045782963</t>
  </si>
  <si>
    <t>-599.18038041321 125.73619393459 -581.702474525274</t>
  </si>
  <si>
    <t>-588.332018059482 99.9549362883349 -687.591549499978</t>
  </si>
  <si>
    <t>-566.156017763077 60.9160989150073 -833.13936676738</t>
  </si>
  <si>
    <t>-520.086721777942 36.3254754963875 -920.637452117148</t>
  </si>
  <si>
    <t>-569.40247655034 108.471886289532 -775.860882726791</t>
  </si>
  <si>
    <t>-519.1246453505 246.499714816092 -782.621818016205</t>
  </si>
  <si>
    <t>-445.338838376916 297.492585750933 -479.073539514981</t>
  </si>
  <si>
    <t>-250.131392561321 192.058124827125 -343.354346525675</t>
  </si>
  <si>
    <t>-582.53390748518 47.9073166121459 -761.616948208944</t>
  </si>
  <si>
    <t>-387.964048374561 5.23852308512369 -400.126455067024</t>
  </si>
  <si>
    <t>-589.14459978003 286.782078212773 -250.508772191057</t>
  </si>
  <si>
    <t>-582.907346835942 283.052370294488 205.127974354727</t>
  </si>
  <si>
    <t>-616.926622060469 250.018623925006 672.489305609224</t>
  </si>
  <si>
    <t>-458.851359481849 260.283929233164 748.976857061989</t>
  </si>
  <si>
    <t>-564.837506198355 93.5801724703558 -224.968838205872</t>
  </si>
  <si>
    <t>-445.592951934032 83.7519639222708 214.737702307263</t>
  </si>
  <si>
    <t>-610.49720071925 8.34920206076458 648.515200194492</t>
  </si>
  <si>
    <t>-458.400351892466 -36.0226402942442 724.942937440635</t>
  </si>
  <si>
    <t>9763-20170724T170137.693121300.bin</t>
  </si>
  <si>
    <t>-577.539565394698 190.292575378734 -238.10585566957</t>
  </si>
  <si>
    <t>-599.730465004003 171.845108817258 -355.728347490453</t>
  </si>
  <si>
    <t>-603.69661752743 148.914404687662 -474.678070377201</t>
  </si>
  <si>
    <t>-599.967145548424 125.752183908991 -581.656801816141</t>
  </si>
  <si>
    <t>-589.226408787522 99.7840484845592 -687.51116285685</t>
  </si>
  <si>
    <t>-567.219643440147 60.4304716300896 -833.000053940859</t>
  </si>
  <si>
    <t>-521.162646742007 35.7379436551869 -920.47579500381</t>
  </si>
  <si>
    <t>-570.341783656272 108.100052181951 -775.80933140656</t>
  </si>
  <si>
    <t>-519.949182880011 246.084216663807 -782.882451607015</t>
  </si>
  <si>
    <t>-445.873035563528 298.64406083367 -479.67238529865</t>
  </si>
  <si>
    <t>-250.568915694751 190.72630791105 -346.060509117184</t>
  </si>
  <si>
    <t>-583.572186230244 47.5862103422114 -761.441973243117</t>
  </si>
  <si>
    <t>-387.504313302856 6.79577016153803 -401.204168935069</t>
  </si>
  <si>
    <t>-589.673555453943 286.978643073556 -250.500830265263</t>
  </si>
  <si>
    <t>-583.331298271662 283.195229474254 205.133985880409</t>
  </si>
  <si>
    <t>-616.989580103099 250.164117197585 672.495360940327</t>
  </si>
  <si>
    <t>-458.904961782275 260.284016449391 748.982985179814</t>
  </si>
  <si>
    <t>-565.321875132956 93.7948018050297 -224.994723436795</t>
  </si>
  <si>
    <t>-445.838557908994 83.9429059600718 214.646443949572</t>
  </si>
  <si>
    <t>-610.465464838134 8.4353404632393 648.444620799261</t>
  </si>
  <si>
    <t>-458.4508405304 -36.1528654693798 724.910004563241</t>
  </si>
  <si>
    <t>9763-20170724T170137.764311900.bin</t>
  </si>
  <si>
    <t>-578.563574568199 190.876255445724 -238.161847114583</t>
  </si>
  <si>
    <t>-600.731797057625 172.49210760969 -355.798589742972</t>
  </si>
  <si>
    <t>-604.864973765888 149.144357298193 -474.661430301475</t>
  </si>
  <si>
    <t>-601.38859863539 125.409101346694 -581.523005002171</t>
  </si>
  <si>
    <t>-591.019287526543 98.6730713149777 -687.223093806715</t>
  </si>
  <si>
    <t>-569.667072882246 58.0512012580141 -832.460584498686</t>
  </si>
  <si>
    <t>-523.70712310036 32.748119442386 -919.812953739314</t>
  </si>
  <si>
    <t>-572.325520467357 106.182263906941 -775.634061603859</t>
  </si>
  <si>
    <t>-521.527973967865 243.92091068248 -783.67470444262</t>
  </si>
  <si>
    <t>-446.710825940788 297.834832342712 -480.884509696959</t>
  </si>
  <si>
    <t>-251.222545945398 189.041339994597 -348.255787683119</t>
  </si>
  <si>
    <t>-585.904007005271 45.868022857346 -760.760914091195</t>
  </si>
  <si>
    <t>-386.77858616763 9.52993986687648 -411.998122463756</t>
  </si>
  <si>
    <t>-590.726567391374 287.560466088474 -250.534442334861</t>
  </si>
  <si>
    <t>-584.228070630169 283.527108746481 205.096006663263</t>
  </si>
  <si>
    <t>-617.075125222261 250.325221046578 672.500915708887</t>
  </si>
  <si>
    <t>-458.970008003474 260.127920112614 748.987468902292</t>
  </si>
  <si>
    <t>-566.246077660904 94.2039556414256 -225.222767052426</t>
  </si>
  <si>
    <t>-446.471259851401 84.3933020123643 214.340069220822</t>
  </si>
  <si>
    <t>-610.430638918401 8.45319260080555 648.377372075567</t>
  </si>
  <si>
    <t>-458.398892604235 -36.0472936628528 724.859813289527</t>
  </si>
  <si>
    <t>9763-20170724T170137.797424400.bin</t>
  </si>
  <si>
    <t>-579.019515042374 191.105136725346 -238.196893221944</t>
  </si>
  <si>
    <t>-601.267852013823 172.776703441501 -355.827248229964</t>
  </si>
  <si>
    <t>-605.523889846795 149.278838799318 -474.65598432639</t>
  </si>
  <si>
    <t>-602.186016716858 125.323515012208 -581.472891995893</t>
  </si>
  <si>
    <t>-591.989510570612 98.2832915321001 -687.112476787619</t>
  </si>
  <si>
    <t>-570.919601320441 57.1523473755674 -832.247891111164</t>
  </si>
  <si>
    <t>-525.055372513059 31.55432157166 -919.56466825287</t>
  </si>
  <si>
    <t>-573.366515674269 105.46441108236 -775.565744904125</t>
  </si>
  <si>
    <t>-522.216130075882 243.07369369983 -783.975993169811</t>
  </si>
  <si>
    <t>-446.917167633769 296.88178242152 -481.286554858874</t>
  </si>
  <si>
    <t>-251.203563026754 187.227031852303 -349.703625137066</t>
  </si>
  <si>
    <t>-587.11826386662 45.2385790658957 -760.494311235521</t>
  </si>
  <si>
    <t>-386.304696417624 8.96079962459567 -416.179016469475</t>
  </si>
  <si>
    <t>-591.129444096674 287.803805190917 -250.536201942478</t>
  </si>
  <si>
    <t>-584.454088502621 283.592110852734 205.090160417728</t>
  </si>
  <si>
    <t>-617.047001347816 250.206370209259 672.495518805205</t>
  </si>
  <si>
    <t>-458.956833363058 260.138765772358 748.996209002889</t>
  </si>
  <si>
    <t>-566.804170039813 94.4393381122509 -225.268025626729</t>
  </si>
  <si>
    <t>-446.811407681045 84.4880493923035 214.232042470921</t>
  </si>
  <si>
    <t>-610.440506865626 8.4611962617239 648.372206618668</t>
  </si>
  <si>
    <t>-458.405478347536 -36.0695313501719 724.830590808194</t>
  </si>
  <si>
    <t>9763-20170724T170137.862596800.bin</t>
  </si>
  <si>
    <t>-579.764098530007 191.72454600257 -238.278671185405</t>
  </si>
  <si>
    <t>-602.08653491921 173.450393701421 -355.90330248235</t>
  </si>
  <si>
    <t>-606.483709895769 149.625453211659 -474.661941472004</t>
  </si>
  <si>
    <t>-603.320471547832 125.218024718016 -581.381803618466</t>
  </si>
  <si>
    <t>-593.358606803168 97.5713671930548 -686.886589305139</t>
  </si>
  <si>
    <t>-572.690060641757 55.4383039633024 -831.792057194834</t>
  </si>
  <si>
    <t>-527.065736497923 29.1608150917168 -919.032670375383</t>
  </si>
  <si>
    <t>-574.768001237252 104.102301935715 -775.397017176447</t>
  </si>
  <si>
    <t>-522.879397477941 241.372002403055 -784.546372589468</t>
  </si>
  <si>
    <t>-446.006974715063 296.199179300099 -482.435780924507</t>
  </si>
  <si>
    <t>-250.499347828005 183.556644471237 -353.089636743977</t>
  </si>
  <si>
    <t>-588.902504299299 44.0593898147758 -759.954896170676</t>
  </si>
  <si>
    <t>-387.069727594592 7.25167398110784 -419.868608944242</t>
  </si>
  <si>
    <t>-591.680850193257 288.494336244784 -250.573256347414</t>
  </si>
  <si>
    <t>-584.706582051845 283.829713454447 205.044127029169</t>
  </si>
  <si>
    <t>-617.06586241687 250.190652133892 672.472407882728</t>
  </si>
  <si>
    <t>-458.971800528773 259.809291525081 749.005195183548</t>
  </si>
  <si>
    <t>-567.754748705507 94.9560532875855 -225.357814886705</t>
  </si>
  <si>
    <t>-447.540465367954 84.823284054534 214.077608116806</t>
  </si>
  <si>
    <t>-610.479531273352 8.26014458023906 648.395553160127</t>
  </si>
  <si>
    <t>-458.33182618467 -36.0333894397174 724.767441782894</t>
  </si>
  <si>
    <t>9763-20170724T170137.898240000.bin</t>
  </si>
  <si>
    <t>-580.126245228674 192.015949789449 -238.290785868937</t>
  </si>
  <si>
    <t>-602.482750538328 173.775595340366 -355.914257615956</t>
  </si>
  <si>
    <t>-607.005530603925 149.816172881548 -474.641154962747</t>
  </si>
  <si>
    <t>-604.001699946018 125.219107497328 -581.321982801217</t>
  </si>
  <si>
    <t>-594.250831963211 97.3156505130851 -686.778915972457</t>
  </si>
  <si>
    <t>-573.93433026319 54.7572605037687 -831.609894580085</t>
  </si>
  <si>
    <t>-528.480593429312 28.1681478061237 -918.845003548867</t>
  </si>
  <si>
    <t>-575.742319178253 103.561842291733 -775.327174766766</t>
  </si>
  <si>
    <t>-523.312415765014 240.643527315148 -784.765517904711</t>
  </si>
  <si>
    <t>-445.873867056973 295.931025726914 -482.883390299498</t>
  </si>
  <si>
    <t>-250.647034398402 181.604132069558 -354.595109576094</t>
  </si>
  <si>
    <t>-590.105150616449 43.6142588651599 -759.72630959325</t>
  </si>
  <si>
    <t>-386.215736040566 7.70434825386383 -417.917336506404</t>
  </si>
  <si>
    <t>-591.946517807584 288.860253008942 -250.571806467465</t>
  </si>
  <si>
    <t>-584.905097619269 284.001307832099 205.042659407828</t>
  </si>
  <si>
    <t>-617.121153862102 250.260446671212 672.483655277519</t>
  </si>
  <si>
    <t>-459.004765218419 259.589955354946 749.006035379931</t>
  </si>
  <si>
    <t>-568.251464719577 95.254018614504 -225.358973055699</t>
  </si>
  <si>
    <t>-447.849824043976 85.0570906951036 214.023696640025</t>
  </si>
  <si>
    <t>-610.491602605278 8.44430243243141 648.421001285555</t>
  </si>
  <si>
    <t>-458.402388469699 -36.1332743555424 724.744125785543</t>
  </si>
  <si>
    <t>9763-20170724T170137.963412800.bin</t>
  </si>
  <si>
    <t>-580.845580508579 192.390318821921 -238.259150497111</t>
  </si>
  <si>
    <t>-603.277958481645 174.22403365174 -355.879579998854</t>
  </si>
  <si>
    <t>-608.068757749886 150.013412295666 -474.544917474477</t>
  </si>
  <si>
    <t>-605.399796672174 125.063767848031 -581.152899009041</t>
  </si>
  <si>
    <t>-596.084649614013 96.6884674701796 -686.523341686751</t>
  </si>
  <si>
    <t>-576.486266238436 53.3549270739466 -831.223311344764</t>
  </si>
  <si>
    <t>-531.402725153049 26.2311484016511 -918.485947728618</t>
  </si>
  <si>
    <t>-577.812010144241 102.421363812199 -775.155170518903</t>
  </si>
  <si>
    <t>-524.54467788458 239.107460682209 -785.088403024909</t>
  </si>
  <si>
    <t>-446.13222499531 294.179959850141 -483.418451359052</t>
  </si>
  <si>
    <t>-251.499686474005 177.267567488775 -356.565365148858</t>
  </si>
  <si>
    <t>-592.503914120068 42.6359638453143 -759.240946550591</t>
  </si>
  <si>
    <t>-385.761571158948 11.4333261931231 -413.335292392518</t>
  </si>
  <si>
    <t>-592.314141086447 289.333303441984 -250.541429887695</t>
  </si>
  <si>
    <t>-585.198018915483 284.056835033157 205.067117360125</t>
  </si>
  <si>
    <t>-617.130502759164 250.025124177604 672.508351682662</t>
  </si>
  <si>
    <t>-458.999522773172 259.414203268316 748.99330269193</t>
  </si>
  <si>
    <t>-569.381034129432 95.5716445394166 -225.332938474592</t>
  </si>
  <si>
    <t>-448.693917895258 84.9048947297056 213.960261513431</t>
  </si>
  <si>
    <t>-610.651749548218 8.57948832308853 648.689025778886</t>
  </si>
  <si>
    <t>-458.437132894913 -36.0437542968027 724.734995049261</t>
  </si>
  <si>
    <t>9763-20170724T170137.995006600.bin</t>
  </si>
  <si>
    <t>-581.11330180868 192.633972102023 -238.22153304091</t>
  </si>
  <si>
    <t>-603.553590677951 174.530803937917 -355.850191267723</t>
  </si>
  <si>
    <t>-608.450630661109 150.223048381596 -474.491240176742</t>
  </si>
  <si>
    <t>-605.92160813145 125.131296196809 -581.069236683225</t>
  </si>
  <si>
    <t>-596.791562589278 96.5666117245366 -686.40476284582</t>
  </si>
  <si>
    <t>-577.49784561638 52.9267732867104 -831.053620381046</t>
  </si>
  <si>
    <t>-532.596674237654 25.6479987505443 -918.361937314154</t>
  </si>
  <si>
    <t>-578.681571740925 102.107123897418 -775.082170780979</t>
  </si>
  <si>
    <t>-525.382992604226 238.769336726741 -785.280312096126</t>
  </si>
  <si>
    <t>-446.356424938135 293.665134642662 -483.738445947436</t>
  </si>
  <si>
    <t>-252.136319927886 175.459367443623 -357.452967936024</t>
  </si>
  <si>
    <t>-593.38786572798 42.3649745868945 -759.019683182347</t>
  </si>
  <si>
    <t>-386.813950468252 14.4835092317451 -413.415866933787</t>
  </si>
  <si>
    <t>-592.332767666543 289.646248604084 -250.508709833813</t>
  </si>
  <si>
    <t>-585.314663837512 284.160527137197 205.098901706633</t>
  </si>
  <si>
    <t>-617.151204829559 249.948134121166 672.539079136914</t>
  </si>
  <si>
    <t>-458.994721722586 259.036604644971 749.007536100405</t>
  </si>
  <si>
    <t>-569.8177315295 95.7535476687226 -225.281311334756</t>
  </si>
  <si>
    <t>-448.989560508138 84.7227330006497 213.964042664239</t>
  </si>
  <si>
    <t>-610.72056394518 8.61930729261553 648.807859076667</t>
  </si>
  <si>
    <t>-458.461254622602 -36.051351645878 724.736405206372</t>
  </si>
  <si>
    <t>9763-20170724T170138.061181900.bin</t>
  </si>
  <si>
    <t>-581.268439679825 193.273630035251 -238.162634154846</t>
  </si>
  <si>
    <t>-603.827321929154 175.19530297628 -355.772421125792</t>
  </si>
  <si>
    <t>-608.971400040951 150.709628458159 -474.366528153947</t>
  </si>
  <si>
    <t>-606.724404945271 125.383437707477 -580.895346941812</t>
  </si>
  <si>
    <t>-597.938456269402 96.5162195492217 -686.17749763046</t>
  </si>
  <si>
    <t>-579.190170183216 52.3908003367812 -830.750846238146</t>
  </si>
  <si>
    <t>-534.534580276939 24.9305137020817 -918.128134393005</t>
  </si>
  <si>
    <t>-580.075059442728 101.741673277398 -774.92400231798</t>
  </si>
  <si>
    <t>-526.283594242603 238.214500741506 -785.550647644153</t>
  </si>
  <si>
    <t>-446.800982593632 292.70462036342 -484.05513308288</t>
  </si>
  <si>
    <t>-253.725972225096 172.11346540693 -358.269975548259</t>
  </si>
  <si>
    <t>-594.896288575295 42.0883290981365 -758.639129537786</t>
  </si>
  <si>
    <t>-387.895476214654 19.7244454740589 -411.474634608703</t>
  </si>
  <si>
    <t>-592.157098570711 290.241140924644 -250.468158020363</t>
  </si>
  <si>
    <t>-585.020129601678 284.401577012167 205.133308391235</t>
  </si>
  <si>
    <t>-617.106689632478 249.734794376064 672.52316750126</t>
  </si>
  <si>
    <t>-458.976619944477 259.108664722383 749.011833852446</t>
  </si>
  <si>
    <t>-570.319736547844 96.4980800923015 -225.136183591382</t>
  </si>
  <si>
    <t>-449.09865521992 84.839165303167 213.984744591678</t>
  </si>
  <si>
    <t>-610.72290395287 8.76681576688566 648.811166707388</t>
  </si>
  <si>
    <t>-458.571767835245 -36.3078061430081 724.717799586803</t>
  </si>
  <si>
    <t>9763-20170724T170138.099307600.bin</t>
  </si>
  <si>
    <t>-581.350021691721 193.619625376797 -238.16212092865</t>
  </si>
  <si>
    <t>-603.892915160804 175.568689864764 -355.779122152063</t>
  </si>
  <si>
    <t>-609.094183176782 150.937360624002 -474.340673034082</t>
  </si>
  <si>
    <t>-606.938395642761 125.409623331051 -580.823264086503</t>
  </si>
  <si>
    <t>-598.289678555929 96.2718006671184 -686.042208699136</t>
  </si>
  <si>
    <t>-579.785991085539 51.6996072963368 -830.509965965383</t>
  </si>
  <si>
    <t>-535.221301307533 24.0527561490235 -917.874880509219</t>
  </si>
  <si>
    <t>-580.483867020636 101.204532465725 -774.817064841737</t>
  </si>
  <si>
    <t>-526.379155468482 237.510751653383 -785.803447683216</t>
  </si>
  <si>
    <t>-446.92884199564 292.002736659493 -484.299763574555</t>
  </si>
  <si>
    <t>-254.545740614119 170.640491096019 -358.196697395258</t>
  </si>
  <si>
    <t>-595.462691310923 41.6383736906471 -758.357882242856</t>
  </si>
  <si>
    <t>-388.435552477714 21.7310818547101 -410.194600858331</t>
  </si>
  <si>
    <t>-592.119551246238 290.580957015037 -250.45516216279</t>
  </si>
  <si>
    <t>-584.977038713646 284.578964709881 205.143966720331</t>
  </si>
  <si>
    <t>-617.142818948182 249.830084949482 672.501065627709</t>
  </si>
  <si>
    <t>-459.022367235137 259.13370643093 749.01821802369</t>
  </si>
  <si>
    <t>-570.491893133429 96.8392092243453 -225.136296467306</t>
  </si>
  <si>
    <t>-449.102434907317 84.9853179995625 213.932863924131</t>
  </si>
  <si>
    <t>-610.698319666716 8.83668468343512 648.781493072512</t>
  </si>
  <si>
    <t>-458.603695641794 -36.3808849369896 724.71637326137</t>
  </si>
  <si>
    <t>9763-20170724T170138.164473700.bin</t>
  </si>
  <si>
    <t>-581.40891738172 194.288412735568 -238.185003313502</t>
  </si>
  <si>
    <t>-603.969514900823 176.31343681749 -355.810387852559</t>
  </si>
  <si>
    <t>-609.308849162225 151.473121936889 -474.322059318439</t>
  </si>
  <si>
    <t>-607.341771835405 125.642978165534 -580.735325894451</t>
  </si>
  <si>
    <t>-598.954963633645 96.0926790713884 -685.86039661407</t>
  </si>
  <si>
    <t>-580.900297111091 50.8354623381667 -830.171971530506</t>
  </si>
  <si>
    <t>-536.433454937714 22.8526655020955 -917.479692289051</t>
  </si>
  <si>
    <t>-581.26675512585 100.572237065326 -774.682881559055</t>
  </si>
  <si>
    <t>-526.342955903257 236.482551331248 -786.303769119899</t>
  </si>
  <si>
    <t>-446.970445975749 291.250409860624 -484.829636905946</t>
  </si>
  <si>
    <t>-255.861301388552 168.193710905514 -358.431760392886</t>
  </si>
  <si>
    <t>-596.511074802535 41.14866261047 -757.954357931363</t>
  </si>
  <si>
    <t>-389.376265362082 26.8740894052423 -410.002111351743</t>
  </si>
  <si>
    <t>-591.981323502789 291.194433749446 -250.448455191374</t>
  </si>
  <si>
    <t>-584.855454622252 284.82824389511 205.146034203789</t>
  </si>
  <si>
    <t>-617.100109260934 249.639418822585 672.477630515053</t>
  </si>
  <si>
    <t>-458.997273646296 258.902183846047 749.036184915459</t>
  </si>
  <si>
    <t>-570.71261327779 97.389811875049 -225.255653861416</t>
  </si>
  <si>
    <t>-449.377478564911 85.3941949234081 213.824729261404</t>
  </si>
  <si>
    <t>-610.654949251422 8.93694834391181 648.751322087039</t>
  </si>
  <si>
    <t>-458.652022134573 -36.518433996835 724.727792295786</t>
  </si>
  <si>
    <t>9763-20170724T170138.196572000.bin</t>
  </si>
  <si>
    <t>-581.445866927387 194.595776274147 -238.234284485235</t>
  </si>
  <si>
    <t>-603.983410051355 176.681371942512 -355.873377226371</t>
  </si>
  <si>
    <t>-609.368580278967 151.76287598814 -474.366510215009</t>
  </si>
  <si>
    <t>-607.476771378468 125.81018910952 -580.751307301431</t>
  </si>
  <si>
    <t>-599.20224929476 96.0890298911543 -685.837127197817</t>
  </si>
  <si>
    <t>-581.344899047921 50.5472291086396 -830.083666164691</t>
  </si>
  <si>
    <t>-536.947684040471 22.3933895250095 -917.371827243947</t>
  </si>
  <si>
    <t>-581.594334061886 100.384916627675 -774.684456321102</t>
  </si>
  <si>
    <t>-526.540986808046 236.196349037093 -786.578332316341</t>
  </si>
  <si>
    <t>-446.857270500115 291.384277896251 -485.262905252743</t>
  </si>
  <si>
    <t>-256.000507212272 168.493813420879 -358.323281868431</t>
  </si>
  <si>
    <t>-596.898109420105 41.0112357881785 -757.833625105773</t>
  </si>
  <si>
    <t>-389.000049428811 28.6111131645753 -411.071398925593</t>
  </si>
  <si>
    <t>-591.870433837326 291.579267260763 -250.463801665585</t>
  </si>
  <si>
    <t>-584.794176300697 284.992536005169 205.12833613509</t>
  </si>
  <si>
    <t>-617.126895081128 249.731922302315 672.43845501372</t>
  </si>
  <si>
    <t>-459.026331339937 258.685486968211 749.038355243421</t>
  </si>
  <si>
    <t>-570.914610054415 97.67592751592 -225.327422828775</t>
  </si>
  <si>
    <t>-449.630644539193 85.2811939551307 213.75599999879</t>
  </si>
  <si>
    <t>-610.675929948532 8.69913491225475 648.801845972194</t>
  </si>
  <si>
    <t>-458.517806332267 -36.2978856981324 724.740508996941</t>
  </si>
  <si>
    <t>9763-20170724T170138.260742300.bin</t>
  </si>
  <si>
    <t>-581.560465621625 195.618151678913 -238.214185692052</t>
  </si>
  <si>
    <t>-604.041223562831 177.84395563671 -355.88532093443</t>
  </si>
  <si>
    <t>-609.462418294187 152.907857375227 -474.373099991726</t>
  </si>
  <si>
    <t>-607.643892461493 126.887634545441 -580.742813561485</t>
  </si>
  <si>
    <t>-599.483898349484 97.0546001950029 -685.80589471618</t>
  </si>
  <si>
    <t>-581.828354857482 51.3177125081725 -830.01557241574</t>
  </si>
  <si>
    <t>-537.484986582616 22.9891737059822 -917.27449492444</t>
  </si>
  <si>
    <t>-582.033450858098 101.237066837804 -774.689793177036</t>
  </si>
  <si>
    <t>-526.94956065968 237.032388597189 -786.912521714847</t>
  </si>
  <si>
    <t>-446.297938714625 292.081947841846 -485.829381039873</t>
  </si>
  <si>
    <t>-255.249831162049 171.19781890427 -357.261399860394</t>
  </si>
  <si>
    <t>-597.24727175603 41.8728043786741 -757.72467466085</t>
  </si>
  <si>
    <t>-388.862840522657 32.5100243701459 -412.074781855939</t>
  </si>
  <si>
    <t>-591.719843594243 292.518600477237 -250.41489854618</t>
  </si>
  <si>
    <t>-584.593123814888 285.464846420157 205.169344039027</t>
  </si>
  <si>
    <t>-617.11445386244 249.623529474865 672.430387904702</t>
  </si>
  <si>
    <t>-459.03513063901 258.654618290428 749.065127782878</t>
  </si>
  <si>
    <t>-571.327265499845 98.8968643811336 -225.325704024435</t>
  </si>
  <si>
    <t>-449.899570731638 85.4044047737339 213.685598240157</t>
  </si>
  <si>
    <t>-610.679523901987 8.80166393629338 648.824958638502</t>
  </si>
  <si>
    <t>-458.65771556619 -36.611335623367 724.78905503658</t>
  </si>
  <si>
    <t>9763-20170724T170138.298849700.bin</t>
  </si>
  <si>
    <t>-581.548640655594 196.152874208562 -238.164546073412</t>
  </si>
  <si>
    <t>-604.058149866275 178.370765735641 -355.829046453728</t>
  </si>
  <si>
    <t>-609.454735436038 153.439066150541 -474.318892427938</t>
  </si>
  <si>
    <t>-607.590288518168 127.429145891085 -580.690217740357</t>
  </si>
  <si>
    <t>-599.35934213728 97.613377793358 -685.752656396857</t>
  </si>
  <si>
    <t>-581.578063978449 51.9081624667958 -829.956871008603</t>
  </si>
  <si>
    <t>-537.199430978423 23.5884961312324 -917.200870075373</t>
  </si>
  <si>
    <t>-581.883617774497 101.825816269894 -774.630227997475</t>
  </si>
  <si>
    <t>-526.933695341386 237.6624586526 -786.847207017429</t>
  </si>
  <si>
    <t>-445.555327188964 293.101108644624 -486.0311034212</t>
  </si>
  <si>
    <t>-254.203089508756 173.497122670607 -356.720353012594</t>
  </si>
  <si>
    <t>-597.007870221417 42.4367914834456 -757.671911062465</t>
  </si>
  <si>
    <t>-389.424158945219 32.4116187322286 -412.383998822452</t>
  </si>
  <si>
    <t>-591.724814421716 293.065794058778 -250.384830925104</t>
  </si>
  <si>
    <t>-584.565104575046 285.824240978912 205.196062439433</t>
  </si>
  <si>
    <t>-617.111745289742 249.702067218722 672.384505308529</t>
  </si>
  <si>
    <t>-459.058768459122 258.687101509702 749.078938594613</t>
  </si>
  <si>
    <t>-571.320284757521 99.3845943825652 -225.244080474462</t>
  </si>
  <si>
    <t>-449.72797177002 85.6767657200455 213.714983534451</t>
  </si>
  <si>
    <t>-610.647493496008 8.87255604996767 648.759338213484</t>
  </si>
  <si>
    <t>-458.641345646855 -36.5415288930417 724.754076343958</t>
  </si>
  <si>
    <t>9763-20170724T170138.363020300.bin</t>
  </si>
  <si>
    <t>-581.402624887935 197.209739403052 -238.125072289053</t>
  </si>
  <si>
    <t>-603.836772632486 179.335418544732 -355.789954878039</t>
  </si>
  <si>
    <t>-609.111198954775 154.492271327807 -474.303947425743</t>
  </si>
  <si>
    <t>-607.110867792654 128.630528693818 -580.708807531793</t>
  </si>
  <si>
    <t>-598.715052397417 99.0265709884945 -685.818099139793</t>
  </si>
  <si>
    <t>-580.670926880002 53.6786586758064 -830.102533235309</t>
  </si>
  <si>
    <t>-536.118807190708 25.5645562520872 -917.32450153133</t>
  </si>
  <si>
    <t>-581.146927166007 103.473099760414 -774.666004869938</t>
  </si>
  <si>
    <t>-526.130565758179 239.331616972651 -786.478854004734</t>
  </si>
  <si>
    <t>-443.171594293481 296.094931707497 -486.342286308249</t>
  </si>
  <si>
    <t>-252.424883128302 178.281613720887 -354.517488417062</t>
  </si>
  <si>
    <t>-596.162865287142 44.0143174732818 -757.856264981001</t>
  </si>
  <si>
    <t>-388.902470890127 32.7488118226249 -413.362250751056</t>
  </si>
  <si>
    <t>-591.779717001273 294.163994192757 -250.38821809641</t>
  </si>
  <si>
    <t>-584.717086693198 286.572660699576 205.188539556745</t>
  </si>
  <si>
    <t>-617.135897045122 249.90682296802 672.321314282529</t>
  </si>
  <si>
    <t>-459.120910059162 258.811705277151 749.103371077706</t>
  </si>
  <si>
    <t>-570.932947490869 100.4497935578 -225.16858529856</t>
  </si>
  <si>
    <t>-449.148798589203 86.3187279775891 213.723853468386</t>
  </si>
  <si>
    <t>-610.545813505741 8.80431107261575 648.519472920752</t>
  </si>
  <si>
    <t>-458.520494806636 -36.3750203671605 724.615776468159</t>
  </si>
  <si>
    <t>9763-20170724T170138.393659900.bin</t>
  </si>
  <si>
    <t>-581.342568500278 197.863964072208 -238.092864328297</t>
  </si>
  <si>
    <t>-603.712205123952 179.97209553217 -355.767453402849</t>
  </si>
  <si>
    <t>-608.886389275784 155.182667677066 -474.297134191652</t>
  </si>
  <si>
    <t>-606.778627083066 129.396081386135 -580.718212697063</t>
  </si>
  <si>
    <t>-598.257164508813 99.8923368724072 -685.845581820525</t>
  </si>
  <si>
    <t>-580.018416815608 54.7078800168283 -830.156812537205</t>
  </si>
  <si>
    <t>-535.351100238332 26.7161581546536 -917.359280365904</t>
  </si>
  <si>
    <t>-580.611490001019 104.448013287261 -774.672592900092</t>
  </si>
  <si>
    <t>-525.622076571497 240.322494757999 -786.258121897523</t>
  </si>
  <si>
    <t>-441.940806563626 297.377907551934 -486.377759743118</t>
  </si>
  <si>
    <t>-251.682437369244 179.572897882794 -353.841745271429</t>
  </si>
  <si>
    <t>-595.565455929411 44.9534196523805 -757.934520586706</t>
  </si>
  <si>
    <t>-389.089660617155 32.7937889550149 -412.762885255535</t>
  </si>
  <si>
    <t>-591.836613652646 294.730607560208 -250.366095906254</t>
  </si>
  <si>
    <t>-584.867415540445 286.955339936294 205.209008787939</t>
  </si>
  <si>
    <t>-617.166499378719 249.932503102169 672.331813731832</t>
  </si>
  <si>
    <t>-459.151046807436 258.809707265156 749.116125934286</t>
  </si>
  <si>
    <t>-570.784136411038 101.143284735009 -225.133961627337</t>
  </si>
  <si>
    <t>-448.808913607541 86.6582021419056 213.693915239042</t>
  </si>
  <si>
    <t>-610.471544586697 8.90345308414135 648.35772962388</t>
  </si>
  <si>
    <t>-458.555945740296 -36.4988145792631 724.540386640248</t>
  </si>
  <si>
    <t>9763-20170724T170138.461842300.bin</t>
  </si>
  <si>
    <t>-581.177464389038 199.114457450863 -238.147793403292</t>
  </si>
  <si>
    <t>-603.578857395864 181.222842385951 -355.816208500912</t>
  </si>
  <si>
    <t>-608.611450125122 156.664721286541 -474.400102226716</t>
  </si>
  <si>
    <t>-606.293790542468 131.175632267225 -580.888559892303</t>
  </si>
  <si>
    <t>-597.4737704743 102.053724376075 -686.097750857338</t>
  </si>
  <si>
    <t>-578.722035456755 57.4834096723921 -830.534145961849</t>
  </si>
  <si>
    <t>-533.816759882467 29.909811572199 -917.747682940143</t>
  </si>
  <si>
    <t>-579.623777139048 107.009045243409 -774.862484154613</t>
  </si>
  <si>
    <t>-524.646938153577 242.970700508045 -785.658090145645</t>
  </si>
  <si>
    <t>-439.846841461386 298.306730480457 -485.769594851388</t>
  </si>
  <si>
    <t>-250.431710256779 180.872410687247 -351.705571592059</t>
  </si>
  <si>
    <t>-594.414346369658 47.3999197842556 -758.388426488966</t>
  </si>
  <si>
    <t>-389.178517632488 34.4343688618451 -413.57384818707</t>
  </si>
  <si>
    <t>-591.789638330662 295.904165959437 -250.372805525669</t>
  </si>
  <si>
    <t>-584.828798158416 287.657863255515 205.194052510813</t>
  </si>
  <si>
    <t>-617.13717105564 249.951009597353 672.246566686084</t>
  </si>
  <si>
    <t>-459.172154246283 258.934244030915 749.122223218052</t>
  </si>
  <si>
    <t>-570.439877062007 102.42595601994 -225.22941400152</t>
  </si>
  <si>
    <t>-448.632791112028 87.3393342604295 213.624826486041</t>
  </si>
  <si>
    <t>-610.397027121266 8.91433121586397 648.125510931821</t>
  </si>
  <si>
    <t>-458.532349862574 -36.5434977249522 724.376494932595</t>
  </si>
  <si>
    <t>9763-20170724T170138.494004500.bin</t>
  </si>
  <si>
    <t>-581.079513533825 199.586690133287 -238.157857043885</t>
  </si>
  <si>
    <t>-603.41918918195 181.708324320831 -355.839992809058</t>
  </si>
  <si>
    <t>-608.330927838667 157.292497098197 -474.458340856829</t>
  </si>
  <si>
    <t>-605.87263964352 131.985273249086 -580.987063997767</t>
  </si>
  <si>
    <t>-596.87563316897 103.098461491274 -686.246054680847</t>
  </si>
  <si>
    <t>-577.83518868414 58.9099987776485 -830.761972989087</t>
  </si>
  <si>
    <t>-532.809741660704 31.5989836235276 -917.996138139513</t>
  </si>
  <si>
    <t>-578.924952089452 108.303236669138 -774.976166407806</t>
  </si>
  <si>
    <t>-524.107764409603 244.344614332007 -785.412959357137</t>
  </si>
  <si>
    <t>-438.417027078705 298.207500029812 -485.509481516799</t>
  </si>
  <si>
    <t>-249.229483106438 182.260806754961 -349.839038133455</t>
  </si>
  <si>
    <t>-593.595008802663 48.6209120659507 -758.660069410931</t>
  </si>
  <si>
    <t>-389.153146586482 35.371180004393 -413.105947356957</t>
  </si>
  <si>
    <t>-591.695570762311 296.423014419818 -250.385215461299</t>
  </si>
  <si>
    <t>-584.845017928819 287.980197772562 205.179724956643</t>
  </si>
  <si>
    <t>-617.170522528943 250.026863765477 672.241909413996</t>
  </si>
  <si>
    <t>-459.190841715367 258.601462212123 749.134096671459</t>
  </si>
  <si>
    <t>-570.350383469023 102.769534657432 -225.238301746856</t>
  </si>
  <si>
    <t>-448.539917215012 87.5860288783085 213.611710175687</t>
  </si>
  <si>
    <t>-610.378228401456 8.89616403632135 648.027674812898</t>
  </si>
  <si>
    <t>-458.508216341953 -36.5163279362648 724.295039895394</t>
  </si>
  <si>
    <t>9763-20170724T170138.562189300.bin</t>
  </si>
  <si>
    <t>-581.002894931708 200.300185800092 -238.111241377849</t>
  </si>
  <si>
    <t>-603.370447571965 182.397142036018 -355.784469739069</t>
  </si>
  <si>
    <t>-608.056462534629 158.187789735147 -474.454232705386</t>
  </si>
  <si>
    <t>-605.279600851605 133.155566882108 -581.040021126327</t>
  </si>
  <si>
    <t>-595.843200323598 104.627845324819 -686.358441865241</t>
  </si>
  <si>
    <t>-576.061103956666 61.0219182415826 -830.951639380035</t>
  </si>
  <si>
    <t>-530.754060536873 34.1899689530217 -918.188767724627</t>
  </si>
  <si>
    <t>-577.560545250837 110.213504861969 -774.997656053056</t>
  </si>
  <si>
    <t>-522.954934639755 246.400984594114 -784.94018747708</t>
  </si>
  <si>
    <t>-435.395824036356 297.039130534155 -485.014597356658</t>
  </si>
  <si>
    <t>-246.055030285808 182.318057606731 -348.518418369233</t>
  </si>
  <si>
    <t>-592.067602238368 50.4188963642121 -758.949768869057</t>
  </si>
  <si>
    <t>-390.292981763217 36.5284543545947 -410.732486327237</t>
  </si>
  <si>
    <t>-591.693731845017 297.218583031715 -250.363281889272</t>
  </si>
  <si>
    <t>-585.034712019199 288.462040846611 205.198537993204</t>
  </si>
  <si>
    <t>-617.195926618755 250.032343933909 672.218761623633</t>
  </si>
  <si>
    <t>-459.236110498663 258.756708731372 749.134901094182</t>
  </si>
  <si>
    <t>-570.271536494775 103.540537364029 -225.126029272508</t>
  </si>
  <si>
    <t>-448.072923524626 88.0122362217451 213.60392567722</t>
  </si>
  <si>
    <t>-610.331872270562 8.85236707617878 647.803135585586</t>
  </si>
  <si>
    <t>-458.447841045109 -36.4923588277045 724.082983860102</t>
  </si>
  <si>
    <t>9763-20170724T170138.599895700.bin</t>
  </si>
  <si>
    <t>-580.895134729181 200.76517500485 -238.105465220258</t>
  </si>
  <si>
    <t>-603.201954203005 182.846031144977 -355.787753579505</t>
  </si>
  <si>
    <t>-607.742550276046 158.724389901708 -474.481111337859</t>
  </si>
  <si>
    <t>-604.796721417972 133.808623236767 -581.089575495143</t>
  </si>
  <si>
    <t>-595.152469188198 105.431361996466 -686.429806278934</t>
  </si>
  <si>
    <t>-575.039927155506 62.0671243286793 -831.05010286743</t>
  </si>
  <si>
    <t>-529.58104641303 35.4327946543565 -918.268770723809</t>
  </si>
  <si>
    <t>-576.701366198369 111.171658744123 -775.024188692897</t>
  </si>
  <si>
    <t>-522.019136805019 247.309312927789 -784.765482472836</t>
  </si>
  <si>
    <t>-433.349834981302 297.024356357077 -485.011564650713</t>
  </si>
  <si>
    <t>-244.079429591469 183.794730585012 -347.178951755517</t>
  </si>
  <si>
    <t>-591.176830367647 51.3372347226464 -759.096048810104</t>
  </si>
  <si>
    <t>-390.816635829944 37.1773789445624 -409.567476509712</t>
  </si>
  <si>
    <t>-591.659674545509 297.656439597333 -250.36135450926</t>
  </si>
  <si>
    <t>-585.183574648197 288.753703199852 205.200346026373</t>
  </si>
  <si>
    <t>-617.219077951413 250.094558924858 672.205344942888</t>
  </si>
  <si>
    <t>-459.261524994772 258.766684565114 749.132029081071</t>
  </si>
  <si>
    <t>-570.028393120451 104.05374203061 -225.16086023334</t>
  </si>
  <si>
    <t>-447.892536277341 88.3103478021633 213.578982090805</t>
  </si>
  <si>
    <t>-610.298708432533 8.97016467659273 647.669130851843</t>
  </si>
  <si>
    <t>-458.447053088894 -36.4415617308464 723.973528659711</t>
  </si>
  <si>
    <t>9763-20170724T170138.663070200.bin</t>
  </si>
  <si>
    <t>-580.544615675587 201.553525830361 -238.167626077949</t>
  </si>
  <si>
    <t>-602.704377260644 183.680070292422 -355.884758748155</t>
  </si>
  <si>
    <t>-607.014427974034 159.719315199684 -474.619179034305</t>
  </si>
  <si>
    <t>-603.822496960027 134.992712974059 -581.264563676805</t>
  </si>
  <si>
    <t>-593.892344547542 106.845241595267 -686.639943184248</t>
  </si>
  <si>
    <t>-573.33902196057 63.8409431749451 -831.305810351342</t>
  </si>
  <si>
    <t>-527.613916028219 37.4613731414572 -918.462659346716</t>
  </si>
  <si>
    <t>-575.231782412401 112.817265953892 -775.175092536962</t>
  </si>
  <si>
    <t>-520.369978595725 248.933828220504 -784.452848360572</t>
  </si>
  <si>
    <t>-429.801021253991 296.660454290129 -484.943780149704</t>
  </si>
  <si>
    <t>-240.093896266235 185.429360603488 -346.088170124626</t>
  </si>
  <si>
    <t>-589.63469615277 52.9206281356278 -759.4162124258</t>
  </si>
  <si>
    <t>-392.198328637976 38.7482372550039 -406.835104271657</t>
  </si>
  <si>
    <t>-591.4544891425 298.453813689651 -250.38310260964</t>
  </si>
  <si>
    <t>-585.512522300545 289.319422776524 205.181290991123</t>
  </si>
  <si>
    <t>-617.278397679304 250.227775448782 672.174467954066</t>
  </si>
  <si>
    <t>-459.326976819003 258.947463986289 749.108337931056</t>
  </si>
  <si>
    <t>-569.558178190158 104.739899896745 -225.3013163927</t>
  </si>
  <si>
    <t>-447.669043658322 88.675387468365 213.495489278114</t>
  </si>
  <si>
    <t>-610.227377428148 8.77823107197241 647.416988537433</t>
  </si>
  <si>
    <t>-458.318489885101 -36.318114123545 723.794488003583</t>
  </si>
  <si>
    <t>9763-20170724T170138.696706400.bin</t>
  </si>
  <si>
    <t>-580.362700383939 201.941154291781 -238.148990427924</t>
  </si>
  <si>
    <t>-602.469499054712 184.072956692066 -355.876776973756</t>
  </si>
  <si>
    <t>-606.670642817519 160.163442529757 -474.625539410852</t>
  </si>
  <si>
    <t>-603.355846665309 135.500423619189 -581.282023264548</t>
  </si>
  <si>
    <t>-593.277549720703 107.433120028184 -686.66453638158</t>
  </si>
  <si>
    <t>-572.491299565697 64.5565843664367 -831.334941622112</t>
  </si>
  <si>
    <t>-526.66481895301 38.2619260511945 -918.464294688288</t>
  </si>
  <si>
    <t>-574.482311962412 113.484857870398 -775.165895652653</t>
  </si>
  <si>
    <t>-519.52042512683 249.576587882929 -784.289050901</t>
  </si>
  <si>
    <t>-428.37006037646 296.501559416723 -484.829845176324</t>
  </si>
  <si>
    <t>-238.195615877746 186.613386988721 -345.544886704513</t>
  </si>
  <si>
    <t>-588.894840642358 53.5714179873721 -759.479822453894</t>
  </si>
  <si>
    <t>-392.595536781392 39.917631916165 -406.398312955432</t>
  </si>
  <si>
    <t>-591.18245707701 298.827853359991 -250.392209087074</t>
  </si>
  <si>
    <t>-585.589371236846 289.62333371282 205.175274244967</t>
  </si>
  <si>
    <t>-617.28799049243 250.284690036335 672.13420122442</t>
  </si>
  <si>
    <t>-459.352011097392 258.961742813164 749.104667953946</t>
  </si>
  <si>
    <t>-569.491502400073 105.119237694252 -225.25682553039</t>
  </si>
  <si>
    <t>-447.387215706366 88.7785113063812 213.469928465569</t>
  </si>
  <si>
    <t>-610.184128035715 8.84541189522724 647.296375352743</t>
  </si>
  <si>
    <t>-458.302942962967 -36.286977287431 723.707661643658</t>
  </si>
  <si>
    <t>9763-20170724T170138.763866500.bin</t>
  </si>
  <si>
    <t>-580.02980445518 202.604424597647 -238.224159726793</t>
  </si>
  <si>
    <t>-602.124373041133 184.735936319973 -355.954138152811</t>
  </si>
  <si>
    <t>-606.193965867308 160.927181361349 -474.727673328073</t>
  </si>
  <si>
    <t>-602.70727702454 136.393190630777 -581.408341683354</t>
  </si>
  <si>
    <t>-592.401670131324 108.491228704998 -686.812974964209</t>
  </si>
  <si>
    <t>-571.239919656389 65.8803871570144 -831.507507998664</t>
  </si>
  <si>
    <t>-525.22137321475 39.7154184505739 -918.574529265329</t>
  </si>
  <si>
    <t>-573.396558189867 114.709093079904 -775.257912731196</t>
  </si>
  <si>
    <t>-518.103734322556 250.68573452887 -783.981614921853</t>
  </si>
  <si>
    <t>-425.492431499079 296.867025999776 -484.855135687251</t>
  </si>
  <si>
    <t>-234.651774955118 187.816934074461 -345.822967671731</t>
  </si>
  <si>
    <t>-587.81012580851 54.7596285521495 -759.711432121087</t>
  </si>
  <si>
    <t>-392.756131924424 41.7920895676089 -406.216824386433</t>
  </si>
  <si>
    <t>-590.637573951352 299.494391643439 -250.472360808713</t>
  </si>
  <si>
    <t>-585.342995332885 290.131699780191 205.09536360477</t>
  </si>
  <si>
    <t>-617.323720243565 250.507804163551 672.039726398712</t>
  </si>
  <si>
    <t>-459.425468610693 259.058761474981 749.101643773911</t>
  </si>
  <si>
    <t>-569.344185235296 105.813433941394 -225.310320576556</t>
  </si>
  <si>
    <t>-446.946895677481 89.0878913414285 213.320349172336</t>
  </si>
  <si>
    <t>-610.109824421889 9.08440369977757 647.062642626197</t>
  </si>
  <si>
    <t>-458.438885775083 -36.5759225834163 723.577830924034</t>
  </si>
  <si>
    <t>9763-20170724T170138.794120400.bin</t>
  </si>
  <si>
    <t>-579.941136262496 202.839894430893 -238.214068271523</t>
  </si>
  <si>
    <t>-601.989383030256 184.991014367692 -355.955674106819</t>
  </si>
  <si>
    <t>-605.96834809007 161.216280523323 -474.739071266888</t>
  </si>
  <si>
    <t>-602.382378410092 136.716125570717 -581.424279108938</t>
  </si>
  <si>
    <t>-591.960992924895 108.849235354179 -686.826849832426</t>
  </si>
  <si>
    <t>-570.622043132317 66.2870894839114 -831.509580977103</t>
  </si>
  <si>
    <t>-524.518870740164 40.1335653886206 -918.535364730539</t>
  </si>
  <si>
    <t>-572.841937127863 115.095915780435 -775.245071985617</t>
  </si>
  <si>
    <t>-517.381607941758 251.027542188212 -783.881281535772</t>
  </si>
  <si>
    <t>-423.717954191968 296.495930141177 -484.973325792191</t>
  </si>
  <si>
    <t>-232.476649327572 188.394026662375 -345.751414381002</t>
  </si>
  <si>
    <t>-587.28583284631 55.1430831385178 -759.738746645168</t>
  </si>
  <si>
    <t>-392.386603015747 41.9830771472116 -405.432401943046</t>
  </si>
  <si>
    <t>-590.52808584398 299.742946396883 -250.470769335313</t>
  </si>
  <si>
    <t>-585.174400525158 290.276362404537 205.094127088311</t>
  </si>
  <si>
    <t>-617.320390426147 250.505018373246 672.011049481122</t>
  </si>
  <si>
    <t>-459.437396667831 258.996977491622 749.110619087777</t>
  </si>
  <si>
    <t>-569.283967280862 106.111515821329 -225.300396954138</t>
  </si>
  <si>
    <t>-446.701651779012 89.1516170263349 213.269598822913</t>
  </si>
  <si>
    <t>-610.061596494117 9.0288195456078 646.931336152307</t>
  </si>
  <si>
    <t>-458.449024980447 -36.7085352506595 723.516128205726</t>
  </si>
  <si>
    <t>9763-20170724T170138.863304200.bin</t>
  </si>
  <si>
    <t>-579.639491066481 203.0571183435 -238.293017985589</t>
  </si>
  <si>
    <t>-601.641449293901 185.207681784698 -356.043253088547</t>
  </si>
  <si>
    <t>-605.512332653093 161.407780579482 -474.825169616248</t>
  </si>
  <si>
    <t>-601.806510090029 136.87159136754 -581.497924369791</t>
  </si>
  <si>
    <t>-591.245789558477 108.953145525304 -686.872949023024</t>
  </si>
  <si>
    <t>-569.695603877744 66.3018133760816 -831.498205104787</t>
  </si>
  <si>
    <t>-523.478087336072 40.108610092469 -918.451263351122</t>
  </si>
  <si>
    <t>-572.008385958644 115.147423746912 -775.269224513066</t>
  </si>
  <si>
    <t>-516.408541117289 251.003163806125 -783.802036743375</t>
  </si>
  <si>
    <t>-420.442575876686 295.710459390911 -485.510407624546</t>
  </si>
  <si>
    <t>-229.20796980286 188.927503064662 -345.264937518039</t>
  </si>
  <si>
    <t>-586.45337176205 55.2001427694429 -759.742714538338</t>
  </si>
  <si>
    <t>-392.875887193102 41.5261710832885 -403.862591374327</t>
  </si>
  <si>
    <t>-590.269335528776 300.008226262526 -250.484454061777</t>
  </si>
  <si>
    <t>-585.132931244193 290.490169254866 205.081899309347</t>
  </si>
  <si>
    <t>-617.34287845156 250.570709711942 671.937694171196</t>
  </si>
  <si>
    <t>-459.498897590371 259.19531539419 749.102477700705</t>
  </si>
  <si>
    <t>-568.891390834305 106.177766614389 -225.423190205295</t>
  </si>
  <si>
    <t>-446.406166461485 89.2945447629143 213.176794533129</t>
  </si>
  <si>
    <t>-609.981577711732 8.88672067477842 646.713472769205</t>
  </si>
  <si>
    <t>-458.352124200584 -36.6401574762397 723.390281651807</t>
  </si>
  <si>
    <t>9763-20170724T170138.894989600.bin</t>
  </si>
  <si>
    <t>-579.490111777011 203.241837975562 -238.342089414956</t>
  </si>
  <si>
    <t>-601.423357948283 185.375951888634 -356.102632236977</t>
  </si>
  <si>
    <t>-605.18952359756 161.583281061065 -474.889361819702</t>
  </si>
  <si>
    <t>-601.374918081595 137.060479736907 -581.561479481866</t>
  </si>
  <si>
    <t>-590.691651717322 109.161346479201 -686.929161718227</t>
  </si>
  <si>
    <t>-568.957572317181 66.5414891098762 -831.536198189995</t>
  </si>
  <si>
    <t>-522.633815948624 40.3819326282955 -918.442840568528</t>
  </si>
  <si>
    <t>-571.357181525115 115.377695496649 -775.302732259706</t>
  </si>
  <si>
    <t>-515.617694570588 251.178260398929 -783.770411172902</t>
  </si>
  <si>
    <t>-418.93097290682 295.654780658875 -485.6769621893</t>
  </si>
  <si>
    <t>-227.952576659387 189.299567128764 -344.758785986621</t>
  </si>
  <si>
    <t>-585.791231447514 55.4213378265713 -759.801307786098</t>
  </si>
  <si>
    <t>-392.98792610193 41.3980455440953 -403.415207733398</t>
  </si>
  <si>
    <t>-590.227190060091 300.160236485562 -250.534478119042</t>
  </si>
  <si>
    <t>-585.17740945963 290.613443323226 205.032243629315</t>
  </si>
  <si>
    <t>-617.33578162459 250.528307682262 671.915007262381</t>
  </si>
  <si>
    <t>-459.506692596245 259.296919890632 749.094101448224</t>
  </si>
  <si>
    <t>-568.631775625364 106.477465746172 -225.483380066354</t>
  </si>
  <si>
    <t>-446.245725226423 89.4233202620553 213.137743697407</t>
  </si>
  <si>
    <t>-609.939564045127 8.95665002056307 646.622571505896</t>
  </si>
  <si>
    <t>-458.396856975471 -36.7705234413552 723.351610935362</t>
  </si>
  <si>
    <t>9763-20170724T170138.966180500.bin</t>
  </si>
  <si>
    <t>-579.424304922142 203.511809659373 -238.349330028148</t>
  </si>
  <si>
    <t>-601.34835072014 185.612947088359 -356.106640229225</t>
  </si>
  <si>
    <t>-604.965207557123 161.852210185689 -474.904498218071</t>
  </si>
  <si>
    <t>-600.958462460495 137.376360838343 -581.580199574077</t>
  </si>
  <si>
    <t>-590.027243090064 109.537062862382 -686.93833544754</t>
  </si>
  <si>
    <t>-567.892306166904 67.0096851921865 -831.511786595116</t>
  </si>
  <si>
    <t>-521.338436012931 40.8707803727461 -918.301616003115</t>
  </si>
  <si>
    <t>-570.467279689524 115.813620635823 -775.258087449877</t>
  </si>
  <si>
    <t>-514.454467451207 251.530161349635 -783.522136767414</t>
  </si>
  <si>
    <t>-417.482424490279 295.593504171933 -485.459971602282</t>
  </si>
  <si>
    <t>-226.150354456856 189.957993306843 -344.480576022995</t>
  </si>
  <si>
    <t>-584.905328929631 55.8400061391671 -759.826967025181</t>
  </si>
  <si>
    <t>-393.404255808615 42.1024150117012 -401.886314526743</t>
  </si>
  <si>
    <t>-590.286417596366 300.372239562801 -250.565685691417</t>
  </si>
  <si>
    <t>-585.124921286442 290.792438474668 204.999037859908</t>
  </si>
  <si>
    <t>-617.336941122984 250.453195416693 671.862029730159</t>
  </si>
  <si>
    <t>-459.539206107652 259.448353474747 749.079150789946</t>
  </si>
  <si>
    <t>-568.496807153861 106.713018635163 -225.46305691272</t>
  </si>
  <si>
    <t>-445.973133201112 89.7015307067709 213.121304744792</t>
  </si>
  <si>
    <t>-609.868176327483 9.02933972964024 646.442132567472</t>
  </si>
  <si>
    <t>-458.406584239651 -36.8130670812359 723.262540993099</t>
  </si>
  <si>
    <t>9763-20170724T170138.993727300.bin</t>
  </si>
  <si>
    <t>-579.441896645268 203.505471646044 -238.336037036073</t>
  </si>
  <si>
    <t>-601.386162526089 185.570323116526 -356.083996373476</t>
  </si>
  <si>
    <t>-604.923245355934 161.802182031229 -474.882750575167</t>
  </si>
  <si>
    <t>-600.80216838854 137.330674153237 -581.555099904212</t>
  </si>
  <si>
    <t>-589.713949114353 109.505766000823 -686.900745856866</t>
  </si>
  <si>
    <t>-567.316157236146 67.0086243865953 -831.442456161575</t>
  </si>
  <si>
    <t>-520.639327371693 40.8866877213691 -918.171385034287</t>
  </si>
  <si>
    <t>-570.042043711669 115.809796364581 -775.19367949884</t>
  </si>
  <si>
    <t>-514.065839544628 251.538576849552 -783.41068614254</t>
  </si>
  <si>
    <t>-417.114367884526 295.087926969403 -485.26622211485</t>
  </si>
  <si>
    <t>-225.263378084966 190.182206741892 -344.447155097021</t>
  </si>
  <si>
    <t>-584.410890310992 55.814889814066 -759.780829675207</t>
  </si>
  <si>
    <t>-393.911025962695 42.5531986367041 -401.106815513995</t>
  </si>
  <si>
    <t>-590.364323865751 300.373135988667 -250.573248554387</t>
  </si>
  <si>
    <t>-585.114997401025 290.781153088115 204.990169552493</t>
  </si>
  <si>
    <t>-617.347501538769 250.425871090499 671.852077116344</t>
  </si>
  <si>
    <t>-459.555559759159 259.510371930738 749.070537533872</t>
  </si>
  <si>
    <t>-568.440553116441 106.700989070116 -225.448539896418</t>
  </si>
  <si>
    <t>-445.830506199496 89.7959528698145 213.115787577457</t>
  </si>
  <si>
    <t>-609.838734284394 9.04858172188392 646.371952966088</t>
  </si>
  <si>
    <t>-458.376755899384 -36.761881082861 723.210639785167</t>
  </si>
  <si>
    <t>9763-20170724T170139.060905800.bin</t>
  </si>
  <si>
    <t>-579.800443689008 203.453097545812 -238.377578011539</t>
  </si>
  <si>
    <t>-601.779530529967 185.426013317277 -356.105093084026</t>
  </si>
  <si>
    <t>-605.232480737661 161.622584906434 -474.899205682837</t>
  </si>
  <si>
    <t>-600.984194538377 137.141090873045 -581.564271204664</t>
  </si>
  <si>
    <t>-589.716197979376 109.327563369883 -686.893751152346</t>
  </si>
  <si>
    <t>-567.013175898299 66.8672230940958 -831.398763800799</t>
  </si>
  <si>
    <t>-520.111192271571 40.8029943491813 -918.023584766045</t>
  </si>
  <si>
    <t>-569.96174830786 115.67309876372 -775.165290825056</t>
  </si>
  <si>
    <t>-514.251292978994 251.514167114269 -783.345818356315</t>
  </si>
  <si>
    <t>-416.07238930379 294.750633451024 -485.557942109706</t>
  </si>
  <si>
    <t>-224.047520407661 189.667623384002 -345.108265929627</t>
  </si>
  <si>
    <t>-584.155383833741 55.6361081891475 -759.754359236541</t>
  </si>
  <si>
    <t>-395.525900911595 44.1458855476797 -399.839111163542</t>
  </si>
  <si>
    <t>-590.991641589168 300.325834430701 -250.625315195954</t>
  </si>
  <si>
    <t>-585.282063981826 290.752316009643 204.933115956299</t>
  </si>
  <si>
    <t>-617.34448204265 250.388324730691 671.79002599085</t>
  </si>
  <si>
    <t>-459.580199821336 259.480598653073 749.064051848189</t>
  </si>
  <si>
    <t>-568.535773128738 106.75431113396 -225.475104773599</t>
  </si>
  <si>
    <t>-445.872784231445 89.941703352878 213.077907706335</t>
  </si>
  <si>
    <t>-609.823042982641 9.11135247553716 646.303497385985</t>
  </si>
  <si>
    <t>-458.326052150706 -36.6367636581335 723.110321466211</t>
  </si>
  <si>
    <t>9763-20170724T170139.092513300.bin</t>
  </si>
  <si>
    <t>-580.084625647971 203.367903850871 -238.406498911904</t>
  </si>
  <si>
    <t>-602.012936903534 185.318328482842 -356.14000421605</t>
  </si>
  <si>
    <t>-605.39313627667 161.501506341254 -474.933521772141</t>
  </si>
  <si>
    <t>-601.070440627099 137.011123550739 -581.593639480853</t>
  </si>
  <si>
    <t>-589.719900086586 109.19095758053 -686.912523913856</t>
  </si>
  <si>
    <t>-566.894054994596 66.7234712561099 -831.395995808495</t>
  </si>
  <si>
    <t>-519.905266412762 40.6948848228667 -917.984400278977</t>
  </si>
  <si>
    <t>-569.928627631027 115.539014400931 -775.175515145601</t>
  </si>
  <si>
    <t>-514.341032972561 251.436680099904 -783.39565032999</t>
  </si>
  <si>
    <t>-415.613842894748 294.863564958363 -485.816807742052</t>
  </si>
  <si>
    <t>-223.528532638937 190.228874674535 -345.115421436171</t>
  </si>
  <si>
    <t>-584.058959319726 55.4889288121362 -759.75755664725</t>
  </si>
  <si>
    <t>-396.341043434425 44.9092124645185 -398.788279083285</t>
  </si>
  <si>
    <t>-591.386640667487 300.175565792157 -250.670890038416</t>
  </si>
  <si>
    <t>-585.574214947638 290.629699411164 204.886693371079</t>
  </si>
  <si>
    <t>-617.291586294859 250.233302317243 671.764761540863</t>
  </si>
  <si>
    <t>-459.554628352753 259.663397221462 749.054051008352</t>
  </si>
  <si>
    <t>-568.708458600576 106.746233071856 -225.500396250971</t>
  </si>
  <si>
    <t>-446.036051730553 89.911639159759 213.04915843684</t>
  </si>
  <si>
    <t>-609.846944257022 8.94987886304875 646.302058516308</t>
  </si>
  <si>
    <t>-458.227427022459 -36.4913804263072 723.049249517167</t>
  </si>
  <si>
    <t>9763-20170724T170139.163702800.bin</t>
  </si>
  <si>
    <t>-580.689836984419 203.215742634242 -238.474127874435</t>
  </si>
  <si>
    <t>-602.540052047384 185.091484753569 -356.21061596793</t>
  </si>
  <si>
    <t>-605.818153696747 161.217054885452 -474.99542061669</t>
  </si>
  <si>
    <t>-601.393079830475 136.682738722551 -581.641182163546</t>
  </si>
  <si>
    <t>-589.929813083252 108.827170814344 -686.938582877224</t>
  </si>
  <si>
    <t>-566.936287478762 66.3194142023433 -831.383556546539</t>
  </si>
  <si>
    <t>-519.904764614484 40.3502788789303 -917.966597272659</t>
  </si>
  <si>
    <t>-570.106492805368 115.163282451369 -775.19519364265</t>
  </si>
  <si>
    <t>-514.982515414997 251.232779671722 -783.669556422544</t>
  </si>
  <si>
    <t>-415.877317888716 295.14839009642 -486.288006473548</t>
  </si>
  <si>
    <t>-223.759075265065 190.991745954292 -345.277249350795</t>
  </si>
  <si>
    <t>-584.113946055241 55.0921368739962 -759.747048338502</t>
  </si>
  <si>
    <t>-398.109316108537 45.3008295464808 -397.969242537315</t>
  </si>
  <si>
    <t>-592.261921637172 300.031120005387 -250.763847717337</t>
  </si>
  <si>
    <t>-586.397348377696 290.638060848849 204.796247123004</t>
  </si>
  <si>
    <t>-617.40841376252 250.441464126289 671.781592906096</t>
  </si>
  <si>
    <t>-459.633431231357 259.513891203249 749.036102115628</t>
  </si>
  <si>
    <t>-568.99619779404 106.445398126549 -225.55685639654</t>
  </si>
  <si>
    <t>-446.323490601463 90.212425174929 213.015327246729</t>
  </si>
  <si>
    <t>-609.865717202224 8.9553928681139 646.266811346231</t>
  </si>
  <si>
    <t>-458.240838957368 -36.5790632142232 722.948126889719</t>
  </si>
  <si>
    <t>9763-20170724T170139.198348200.bin</t>
  </si>
  <si>
    <t>-580.952801420093 202.983452702282 -238.47857315893</t>
  </si>
  <si>
    <t>-602.82924283402 184.804934082846 -356.201823910115</t>
  </si>
  <si>
    <t>-606.090400573045 160.906069898116 -474.982225603809</t>
  </si>
  <si>
    <t>-601.631024228267 136.360998606872 -581.624158142667</t>
  </si>
  <si>
    <t>-590.113646777002 108.505997586388 -686.915521682086</t>
  </si>
  <si>
    <t>-567.02384611797 66.0101416164814 -831.348877316441</t>
  </si>
  <si>
    <t>-520.042657824876 40.08121678302 -917.971338455947</t>
  </si>
  <si>
    <t>-570.253089223934 114.853273161773 -775.163198566874</t>
  </si>
  <si>
    <t>-515.342631251015 250.990755439505 -783.785341831178</t>
  </si>
  <si>
    <t>-416.39961389713 295.435631508307 -486.428517352507</t>
  </si>
  <si>
    <t>-224.336810824982 191.248620826001 -345.364498720418</t>
  </si>
  <si>
    <t>-584.227671313954 54.7731122224973 -759.720135937046</t>
  </si>
  <si>
    <t>-398.411662291932 45.0481541783049 -396.850191033466</t>
  </si>
  <si>
    <t>-592.627566894226 299.891945203794 -250.781029058463</t>
  </si>
  <si>
    <t>-586.773967543754 290.608709633146 204.781533266693</t>
  </si>
  <si>
    <t>-617.547778112026 250.669581631881 671.829147711837</t>
  </si>
  <si>
    <t>-459.715273011957 259.260020476941 749.021187089423</t>
  </si>
  <si>
    <t>-569.216571133528 106.126371521146 -225.522063239752</t>
  </si>
  <si>
    <t>-446.408907040511 90.2096167687664 213.024000801481</t>
  </si>
  <si>
    <t>-609.873762133523 8.96180127804132 646.277978134885</t>
  </si>
  <si>
    <t>-458.189851856287 -36.4403785098752 722.920982338575</t>
  </si>
  <si>
    <t>9763-20170724T170139.259547700.bin</t>
  </si>
  <si>
    <t>-581.497753630212 202.351994787485 -238.485168767212</t>
  </si>
  <si>
    <t>-603.35867288399 184.162295441804 -356.209666404222</t>
  </si>
  <si>
    <t>-606.607095487776 160.262060192889 -474.990113080922</t>
  </si>
  <si>
    <t>-602.134174891061 135.726743232029 -581.633734463497</t>
  </si>
  <si>
    <t>-590.598513272407 107.895933079743 -686.929504159616</t>
  </si>
  <si>
    <t>-567.475303900368 65.4522068201002 -831.372875010253</t>
  </si>
  <si>
    <t>-520.84818301017 39.5537324054217 -918.195447467602</t>
  </si>
  <si>
    <t>-570.756392515839 114.281975597868 -775.178460652894</t>
  </si>
  <si>
    <t>-516.559334588845 250.700487921618 -784.090921760125</t>
  </si>
  <si>
    <t>-418.201579965391 295.242969895143 -486.554506034606</t>
  </si>
  <si>
    <t>-226.196892412244 191.183630105666 -345.317343097709</t>
  </si>
  <si>
    <t>-584.656835080627 54.1825318634028 -759.743871326508</t>
  </si>
  <si>
    <t>-399.797406016252 44.3724420512358 -395.856819463584</t>
  </si>
  <si>
    <t>-593.064414042603 299.263411350445 -250.805768703884</t>
  </si>
  <si>
    <t>-587.353548763867 290.209344441495 204.763212007602</t>
  </si>
  <si>
    <t>-617.640432497142 250.609011819329 671.869044465829</t>
  </si>
  <si>
    <t>-459.774966204252 259.392710629637 748.971833190999</t>
  </si>
  <si>
    <t>-569.872892638153 105.524597292936 -225.50239973412</t>
  </si>
  <si>
    <t>-446.764237977403 89.9385055391151 212.971131756012</t>
  </si>
  <si>
    <t>-609.916775665149 8.9969584077603 646.372824544733</t>
  </si>
  <si>
    <t>-458.144698498974 -36.2681899802412 722.922257028516</t>
  </si>
  <si>
    <t>9763-20170724T170139.297614100.bin</t>
  </si>
  <si>
    <t>-581.670543343828 201.992099994402 -238.489772045012</t>
  </si>
  <si>
    <t>-603.471644570857 183.838007692591 -356.230669046072</t>
  </si>
  <si>
    <t>-606.725079209477 159.975777609868 -475.018710524686</t>
  </si>
  <si>
    <t>-602.280816057851 135.482361593158 -581.673227562722</t>
  </si>
  <si>
    <t>-590.795328318419 107.705061675064 -686.988710253227</t>
  </si>
  <si>
    <t>-567.761292371404 65.3507851773336 -831.472446061111</t>
  </si>
  <si>
    <t>-521.472117730188 39.4808285546976 -918.484160940749</t>
  </si>
  <si>
    <t>-571.013536188999 114.146762242804 -775.247058486714</t>
  </si>
  <si>
    <t>-517.302112751884 250.729073935769 -784.348514481009</t>
  </si>
  <si>
    <t>-418.963727626961 295.556619423312 -486.848681893743</t>
  </si>
  <si>
    <t>-227.273676630961 191.001715131179 -345.550306431718</t>
  </si>
  <si>
    <t>-584.892697534089 54.0357241833842 -759.838587779213</t>
  </si>
  <si>
    <t>-399.868595118167 43.037516409961 -395.720821823449</t>
  </si>
  <si>
    <t>-593.069067921916 299.022337259976 -250.863377319351</t>
  </si>
  <si>
    <t>-587.542675189102 290.09538514726 204.71035125082</t>
  </si>
  <si>
    <t>-617.664638557337 250.831095540826 671.800713076091</t>
  </si>
  <si>
    <t>-459.811170955907 259.220882782299 748.97199145463</t>
  </si>
  <si>
    <t>-570.141390596423 105.021955442963 -225.519661853024</t>
  </si>
  <si>
    <t>-446.94618819319 89.8386322252063 212.943639871115</t>
  </si>
  <si>
    <t>-609.930728351266 9.04914548201623 646.400139751131</t>
  </si>
  <si>
    <t>-458.181173429442 -36.3339321812259 722.924418650794</t>
  </si>
  <si>
    <t>9763-20170724T170139.361786500.bin</t>
  </si>
  <si>
    <t>-581.999384832759 201.30052297386 -238.736306195671</t>
  </si>
  <si>
    <t>-603.78441005359 183.241493518746 -356.494869546215</t>
  </si>
  <si>
    <t>-607.121170565577 159.446419375982 -475.294101315149</t>
  </si>
  <si>
    <t>-602.790370839258 135.011412322994 -581.966605986262</t>
  </si>
  <si>
    <t>-591.453717426775 107.295234112082 -687.314301412964</t>
  </si>
  <si>
    <t>-568.65973522266 65.0334226279617 -831.863138038774</t>
  </si>
  <si>
    <t>-522.948888952126 39.2437211064157 -919.203842749699</t>
  </si>
  <si>
    <t>-571.788614567872 113.78810416618 -775.594990712932</t>
  </si>
  <si>
    <t>-518.586557847787 250.557556265702 -785.021658492199</t>
  </si>
  <si>
    <t>-421.083474023884 296.458445078772 -487.410466397472</t>
  </si>
  <si>
    <t>-229.579337617331 191.663778730417 -346.037429107306</t>
  </si>
  <si>
    <t>-585.702131292604 53.6777605271975 -760.21453779265</t>
  </si>
  <si>
    <t>-399.125424132097 40.3088541701911 -397.343307331175</t>
  </si>
  <si>
    <t>-593.066547552954 298.398355352695 -251.058139843726</t>
  </si>
  <si>
    <t>-587.81481932078 289.757052428294 204.524321915978</t>
  </si>
  <si>
    <t>-617.74600068393 251.125635258923 671.747088517599</t>
  </si>
  <si>
    <t>-459.902132058707 259.125785112079 748.979299304187</t>
  </si>
  <si>
    <t>-570.930948832074 104.350593896039 -225.734401919584</t>
  </si>
  <si>
    <t>-447.534713479278 89.3129029019876 212.677389323084</t>
  </si>
  <si>
    <t>-609.962477814352 9.20911685542819 646.496891001234</t>
  </si>
  <si>
    <t>-458.289905459739 -36.5359963100223 722.958194167861</t>
  </si>
  <si>
    <t>9763-20170724T170139.396930400.bin</t>
  </si>
  <si>
    <t>-582.218506980386 200.696739585551 -238.855090169759</t>
  </si>
  <si>
    <t>-604.013009709558 182.730135431574 -356.626147328377</t>
  </si>
  <si>
    <t>-607.410280589611 158.991905223146 -475.434915618261</t>
  </si>
  <si>
    <t>-603.154795153915 134.597848423988 -582.119716959557</t>
  </si>
  <si>
    <t>-591.913517505608 106.914135414248 -687.486253970687</t>
  </si>
  <si>
    <t>-569.271931161997 64.6910074407765 -832.070418733946</t>
  </si>
  <si>
    <t>-523.902455487396 38.9317399226381 -919.597871548918</t>
  </si>
  <si>
    <t>-572.326156972789 113.42798011849 -775.782699428963</t>
  </si>
  <si>
    <t>-519.362788201005 250.280179437093 -785.355162444819</t>
  </si>
  <si>
    <t>-422.326363967623 296.160888430738 -487.588495858272</t>
  </si>
  <si>
    <t>-230.813201837486 191.32735000963 -346.256488771419</t>
  </si>
  <si>
    <t>-586.254073650181 53.3189461251106 -760.410083628795</t>
  </si>
  <si>
    <t>-398.29858836081 38.2930145978014 -397.90750259626</t>
  </si>
  <si>
    <t>-593.14648017454 297.748423616049 -251.107168894713</t>
  </si>
  <si>
    <t>-587.794215401167 289.259691737209 204.477035588549</t>
  </si>
  <si>
    <t>-617.775109773568 250.994334801254 671.785536992242</t>
  </si>
  <si>
    <t>-459.909071838845 258.973451923767 748.974747995984</t>
  </si>
  <si>
    <t>-571.248408196808 103.69280198963 -225.934630088195</t>
  </si>
  <si>
    <t>-448.009546886394 88.8766989196488 212.528994464352</t>
  </si>
  <si>
    <t>-609.998888472624 9.18558866090029 646.60039237922</t>
  </si>
  <si>
    <t>-458.240355548208 -36.3968687294462 722.98815144348</t>
  </si>
  <si>
    <t>9763-20170724T170139.461096100.bin</t>
  </si>
  <si>
    <t>-582.253686431281 199.236973258886 -238.906867227675</t>
  </si>
  <si>
    <t>-604.146366450775 181.418543171118 -356.68208197191</t>
  </si>
  <si>
    <t>-607.728741275142 157.796068564314 -475.508467642472</t>
  </si>
  <si>
    <t>-603.673495216175 133.499978503107 -582.223607519334</t>
  </si>
  <si>
    <t>-592.662460426411 105.912633346313 -687.639555528938</t>
  </si>
  <si>
    <t>-570.369199410003 63.8246475620169 -832.31723587217</t>
  </si>
  <si>
    <t>-525.597863423725 38.1433414714686 -920.17500734797</t>
  </si>
  <si>
    <t>-573.251695240273 112.502467104327 -775.969317165534</t>
  </si>
  <si>
    <t>-520.604482072964 249.462330332463 -785.429262887183</t>
  </si>
  <si>
    <t>-424.180388710862 296.309959391833 -487.614221594214</t>
  </si>
  <si>
    <t>-232.762589217217 191.420117014243 -346.194913333321</t>
  </si>
  <si>
    <t>-587.21485505978 52.3921418802752 -760.634414150556</t>
  </si>
  <si>
    <t>-396.793695093166 33.8711505281419 -398.302743955666</t>
  </si>
  <si>
    <t>-592.903452793993 296.345888691244 -251.080566634577</t>
  </si>
  <si>
    <t>-587.518047569735 288.236875487205 204.510132159358</t>
  </si>
  <si>
    <t>-617.816363275594 250.722657690603 671.852845682432</t>
  </si>
  <si>
    <t>-459.91713886598 258.88351843131 748.955095290399</t>
  </si>
  <si>
    <t>-571.554242781649 102.182060202292 -226.06532524167</t>
  </si>
  <si>
    <t>-448.52900062102 87.889490388384 212.475638645876</t>
  </si>
  <si>
    <t>-610.065253107964 9.0636973438086 646.824391234426</t>
  </si>
  <si>
    <t>-458.115277087986 -36.1024516641478 723.078775152673</t>
  </si>
  <si>
    <t>9763-20170724T170139.498211200.bin</t>
  </si>
  <si>
    <t>-582.270993365422 198.673621447103 -238.889149838381</t>
  </si>
  <si>
    <t>-604.187777953987 180.875214826545 -356.662972586386</t>
  </si>
  <si>
    <t>-607.799920649927 157.304879957702 -475.49887670783</t>
  </si>
  <si>
    <t>-603.772510402618 133.067456583996 -582.228282586649</t>
  </si>
  <si>
    <t>-592.789343894734 105.549823341104 -687.665607246858</t>
  </si>
  <si>
    <t>-570.534074551838 63.5693022951796 -832.380260416567</t>
  </si>
  <si>
    <t>-525.970369354382 37.9654197200471 -920.365966481249</t>
  </si>
  <si>
    <t>-573.363461213725 112.198216149756 -775.987552189057</t>
  </si>
  <si>
    <t>-520.592291719356 249.132834544724 -785.274783376391</t>
  </si>
  <si>
    <t>-424.867642764856 296.174191206528 -487.264578936349</t>
  </si>
  <si>
    <t>-233.324578853805 191.341274986504 -345.972729851981</t>
  </si>
  <si>
    <t>-587.399266800251 52.0903474136107 -760.709306400167</t>
  </si>
  <si>
    <t>-396.44778729258 32.2054874614773 -398.955572645551</t>
  </si>
  <si>
    <t>-592.803183098796 295.761660619498 -251.051725198878</t>
  </si>
  <si>
    <t>-587.369122189981 287.806154319988 204.541101234603</t>
  </si>
  <si>
    <t>-617.833852508622 250.529907407644 671.907905263444</t>
  </si>
  <si>
    <t>-459.911796451047 258.804100430621 748.951274775447</t>
  </si>
  <si>
    <t>-571.706217505917 101.686118963777 -226.033123928481</t>
  </si>
  <si>
    <t>-448.617099783799 87.4981774654982 212.493340378567</t>
  </si>
  <si>
    <t>-610.088551062183 9.18631746340975 646.938665812221</t>
  </si>
  <si>
    <t>-458.178403462703 -36.1897150852551 723.147798524551</t>
  </si>
  <si>
    <t>9763-20170724T170139.562384000.bin</t>
  </si>
  <si>
    <t>-582.122009847529 197.8610239146 -238.79974352439</t>
  </si>
  <si>
    <t>-604.115310829326 180.077607585558 -356.561606234522</t>
  </si>
  <si>
    <t>-607.88658539857 156.628846210855 -475.416543836232</t>
  </si>
  <si>
    <t>-604.032237307023 132.540459740884 -582.186182038466</t>
  </si>
  <si>
    <t>-593.248538939819 105.208361602878 -687.692175543163</t>
  </si>
  <si>
    <t>-571.295338539765 63.521383272272 -832.537716794237</t>
  </si>
  <si>
    <t>-527.066747088102 38.1134165808671 -920.749251000796</t>
  </si>
  <si>
    <t>-573.904011926807 112.017071167613 -776.019956467522</t>
  </si>
  <si>
    <t>-520.839439528448 248.864984094422 -784.937416883105</t>
  </si>
  <si>
    <t>-426.152719186784 295.835181650711 -486.584487684126</t>
  </si>
  <si>
    <t>-234.759316089361 190.009502752018 -345.830827217841</t>
  </si>
  <si>
    <t>-588.113911794113 51.9160376193925 -760.876302587826</t>
  </si>
  <si>
    <t>-395.827642460388 29.5243069628032 -400.105620617144</t>
  </si>
  <si>
    <t>-592.533787069347 294.835453259647 -250.964486016927</t>
  </si>
  <si>
    <t>-586.95778225934 287.19537316418 204.631991480266</t>
  </si>
  <si>
    <t>-617.875994459844 250.309665171517 671.986131112188</t>
  </si>
  <si>
    <t>-459.913939202638 258.465493816746 748.960030053266</t>
  </si>
  <si>
    <t>-571.609229182084 100.956387662305 -225.942335365963</t>
  </si>
  <si>
    <t>-448.655795884088 86.9891258411083 212.629239657478</t>
  </si>
  <si>
    <t>-610.100805721232 9.31771174641267 647.121174123651</t>
  </si>
  <si>
    <t>-458.19165685389 -36.1667573059399 723.267614352026</t>
  </si>
  <si>
    <t>9763-20170724T170139.597731700.bin</t>
  </si>
  <si>
    <t>-581.880705982481 197.335890818227 -238.7513093145</t>
  </si>
  <si>
    <t>-603.934842563362 179.555866387572 -356.50227094774</t>
  </si>
  <si>
    <t>-607.844835684543 156.191081905528 -475.369195360886</t>
  </si>
  <si>
    <t>-604.142786221985 132.212116588781 -582.168927633894</t>
  </si>
  <si>
    <t>-593.534678764894 105.023180455821 -687.7295834209</t>
  </si>
  <si>
    <t>-571.846099919022 63.5703882731214 -832.682291269496</t>
  </si>
  <si>
    <t>-527.765600422578 38.2888543331974 -921.004143944696</t>
  </si>
  <si>
    <t>-574.33259536571 111.971359869158 -776.07766220647</t>
  </si>
  <si>
    <t>-521.153280257261 248.781625925682 -784.800035133757</t>
  </si>
  <si>
    <t>-426.823611237319 295.620604690267 -486.313521518289</t>
  </si>
  <si>
    <t>-235.423571770979 189.718453010615 -345.626647522932</t>
  </si>
  <si>
    <t>-588.552593075382 51.8528130497066 -761.013012242343</t>
  </si>
  <si>
    <t>-396.196837833593 28.9544002938435 -400.984291905989</t>
  </si>
  <si>
    <t>-592.352219350279 294.348072858438 -250.918001724172</t>
  </si>
  <si>
    <t>-586.75147830614 286.829075630655 204.680275861151</t>
  </si>
  <si>
    <t>-617.913901915756 250.209124722869 672.045097808967</t>
  </si>
  <si>
    <t>-459.922703425969 258.315492262176 748.964460163246</t>
  </si>
  <si>
    <t>-571.278113824909 100.298491168288 -225.970283750304</t>
  </si>
  <si>
    <t>-448.698314686602 86.8511009131405 212.722187478316</t>
  </si>
  <si>
    <t>-610.11123930551 9.30535121900971 647.242692885509</t>
  </si>
  <si>
    <t>-458.150560733177 -36.0883313072814 723.340485752494</t>
  </si>
  <si>
    <t>9763-20170724T170139.662906300.bin</t>
  </si>
  <si>
    <t>-581.484512859585 196.535366706349 -238.650553783164</t>
  </si>
  <si>
    <t>-603.671282156728 178.775932415416 -356.379667283298</t>
  </si>
  <si>
    <t>-607.882520824005 155.540497108844 -475.261704462453</t>
  </si>
  <si>
    <t>-604.512839935712 131.728146798812 -582.109605002104</t>
  </si>
  <si>
    <t>-594.290509171697 104.758064889101 -687.764511320938</t>
  </si>
  <si>
    <t>-573.186607059826 63.6657871547691 -832.906089350203</t>
  </si>
  <si>
    <t>-529.299195746643 38.6225645042357 -921.391835133383</t>
  </si>
  <si>
    <t>-575.439374649013 111.924809086897 -776.170540926923</t>
  </si>
  <si>
    <t>-522.27763567385 248.77799822791 -784.605366556111</t>
  </si>
  <si>
    <t>-428.507078851265 294.835438557796 -485.821335222185</t>
  </si>
  <si>
    <t>-237.239271079664 188.094672384932 -345.589173705438</t>
  </si>
  <si>
    <t>-589.609487633726 51.7708682806597 -761.20023860001</t>
  </si>
  <si>
    <t>-396.074955865743 27.6616782397853 -401.797965484364</t>
  </si>
  <si>
    <t>-591.927751638731 293.463421889291 -250.799075092645</t>
  </si>
  <si>
    <t>-586.247937574144 286.104323216566 204.800783237219</t>
  </si>
  <si>
    <t>-617.916629098387 249.752732703564 672.181287783276</t>
  </si>
  <si>
    <t>-459.883864033073 258.26770412429 748.97080441538</t>
  </si>
  <si>
    <t>-571.004001342855 99.7695553977499 -225.819110228616</t>
  </si>
  <si>
    <t>-448.592544349206 86.2708130769663 212.918739611641</t>
  </si>
  <si>
    <t>-610.13462779517 9.52156757734861 647.469917841734</t>
  </si>
  <si>
    <t>-458.24218989738 -36.1669805693073 723.527527613846</t>
  </si>
  <si>
    <t>9763-20170724T170139.695998300.bin</t>
  </si>
  <si>
    <t>-581.310667076943 196.364013726311 -238.555983256461</t>
  </si>
  <si>
    <t>-603.557324936759 178.598000221286 -356.272763543065</t>
  </si>
  <si>
    <t>-607.897809745457 155.380747702647 -475.153782952682</t>
  </si>
  <si>
    <t>-604.67032036568 131.597993063841 -582.012587927979</t>
  </si>
  <si>
    <t>-594.613096782264 104.672665424323 -687.694829006854</t>
  </si>
  <si>
    <t>-573.760067949133 63.6595918140877 -832.895063550619</t>
  </si>
  <si>
    <t>-529.945782950469 38.6936816801372 -921.438788444494</t>
  </si>
  <si>
    <t>-575.914679469201 111.887662792601 -776.129444811998</t>
  </si>
  <si>
    <t>-522.815474644407 248.762167282504 -784.539513458646</t>
  </si>
  <si>
    <t>-429.421590713566 294.860478307275 -485.643740339719</t>
  </si>
  <si>
    <t>-238.439268810276 187.676185118846 -345.360474839156</t>
  </si>
  <si>
    <t>-590.059048015422 51.7256784605781 -761.167543112371</t>
  </si>
  <si>
    <t>-396.233340211305 27.4732197095482 -402.801811892453</t>
  </si>
  <si>
    <t>-591.685513683407 293.280493419581 -250.734285807203</t>
  </si>
  <si>
    <t>-585.953404275856 286.012137527761 204.866478299296</t>
  </si>
  <si>
    <t>-617.957410243492 249.787404621741 672.213091281982</t>
  </si>
  <si>
    <t>-459.901410202901 258.011539465879 748.986704835783</t>
  </si>
  <si>
    <t>-570.863231455249 99.6178422205287 -225.691974116596</t>
  </si>
  <si>
    <t>-448.38607706588 85.9691026989169 213.022866715147</t>
  </si>
  <si>
    <t>-610.1303137161 9.44380277026312 647.547158191157</t>
  </si>
  <si>
    <t>-458.173503480416 -36.0492888434496 723.593302769536</t>
  </si>
  <si>
    <t>9763-20170724T170139.762172500.bin</t>
  </si>
  <si>
    <t>-580.888410698828 196.142898615833 -238.391781696905</t>
  </si>
  <si>
    <t>-603.228456020256 178.326792960775 -356.083244046711</t>
  </si>
  <si>
    <t>-607.8010560997 155.109055137861 -474.955530020419</t>
  </si>
  <si>
    <t>-604.834306836961 131.353126201532 -581.827871573054</t>
  </si>
  <si>
    <t>-595.084187556236 104.485062647232 -687.553561869837</t>
  </si>
  <si>
    <t>-574.701224608096 63.5863995730103 -832.852570826452</t>
  </si>
  <si>
    <t>-531.040050043493 38.7133731652934 -921.498044593324</t>
  </si>
  <si>
    <t>-576.675534113533 111.770384791892 -776.043059230511</t>
  </si>
  <si>
    <t>-523.742142396692 248.693420975041 -784.665390279047</t>
  </si>
  <si>
    <t>-432.261875973934 295.366867166054 -485.26740863759</t>
  </si>
  <si>
    <t>-242.098546477527 187.01338559932 -344.769980256463</t>
  </si>
  <si>
    <t>-590.764585221707 51.5952391017129 -761.081425168723</t>
  </si>
  <si>
    <t>-395.843091869608 27.169006859182 -404.149570755051</t>
  </si>
  <si>
    <t>-591.148570848325 293.045605043199 -250.634296205113</t>
  </si>
  <si>
    <t>-585.325614855853 285.871622768278 204.966732142911</t>
  </si>
  <si>
    <t>-617.955444235937 249.720535615894 672.248881001872</t>
  </si>
  <si>
    <t>-459.911811569671 258.128859002303 749.027847748458</t>
  </si>
  <si>
    <t>-570.509580553672 99.3034543750341 -225.460175021642</t>
  </si>
  <si>
    <t>-447.828023554941 85.8635686691266 213.204060010202</t>
  </si>
  <si>
    <t>-610.09793168395 9.63143971257568 647.596839934025</t>
  </si>
  <si>
    <t>-458.257699242134 -36.19657652001 723.67474508189</t>
  </si>
  <si>
    <t>9763-20170724T170139.795266400.bin</t>
  </si>
  <si>
    <t>-580.624139182469 196.102561821001 -238.340712335789</t>
  </si>
  <si>
    <t>-602.975751662875 178.247350294671 -356.024156966665</t>
  </si>
  <si>
    <t>-607.607140494155 155.009345101983 -474.890106328573</t>
  </si>
  <si>
    <t>-604.710851366899 131.245530587849 -581.762725672934</t>
  </si>
  <si>
    <t>-595.046679565804 104.381939111031 -687.497251316324</t>
  </si>
  <si>
    <t>-574.797371523013 63.5037044004916 -832.820923494257</t>
  </si>
  <si>
    <t>-531.189299710266 38.6365695651 -921.494131204963</t>
  </si>
  <si>
    <t>-576.725432253634 111.68084962761 -776.00394174123</t>
  </si>
  <si>
    <t>-523.846438754971 248.610016293806 -784.63148596589</t>
  </si>
  <si>
    <t>-433.58734353297 295.842259620524 -484.950582598777</t>
  </si>
  <si>
    <t>-243.769669639732 187.118544108219 -344.271980608896</t>
  </si>
  <si>
    <t>-590.788689303482 51.5012055937063 -761.035523941415</t>
  </si>
  <si>
    <t>-395.575776694914 27.4459661638055 -404.572780218753</t>
  </si>
  <si>
    <t>-590.89973798976 293.090315991813 -250.611460165262</t>
  </si>
  <si>
    <t>-585.145759962404 285.92785384374 204.990658672243</t>
  </si>
  <si>
    <t>-618.009786040925 249.88706407739 672.25420574447</t>
  </si>
  <si>
    <t>-459.95401100089 257.863152986991 749.054450943176</t>
  </si>
  <si>
    <t>-570.204844826994 99.227674351856 -225.388028267801</t>
  </si>
  <si>
    <t>-447.630760629719 85.802724026476 213.30666065118</t>
  </si>
  <si>
    <t>-610.097037817532 9.4707897884648 647.631245263539</t>
  </si>
  <si>
    <t>-458.18371412006 -36.1289876607484 723.70037934045</t>
  </si>
  <si>
    <t>9763-20170724T170139.860434600.bin</t>
  </si>
  <si>
    <t>-580.271078677805 196.262813151256 -238.231175730044</t>
  </si>
  <si>
    <t>-602.584146650922 178.349717685729 -355.91314904357</t>
  </si>
  <si>
    <t>-607.188596202943 155.104645566607 -474.778889762121</t>
  </si>
  <si>
    <t>-604.268383947593 131.361075361987 -581.655282871287</t>
  </si>
  <si>
    <t>-594.577328984411 104.547357016161 -687.400029348597</t>
  </si>
  <si>
    <t>-574.284053536797 63.7713837047438 -832.746183637911</t>
  </si>
  <si>
    <t>-530.737935257417 38.9709165323186 -921.468459593857</t>
  </si>
  <si>
    <t>-576.312216136681 111.923723245271 -775.911780769663</t>
  </si>
  <si>
    <t>-523.779393777094 248.993954010167 -784.519676298349</t>
  </si>
  <si>
    <t>-435.533610428339 296.877235015921 -484.34299774477</t>
  </si>
  <si>
    <t>-245.972591265683 188.187006960103 -343.2931227009</t>
  </si>
  <si>
    <t>-590.214220629645 51.7031341375439 -760.958261191577</t>
  </si>
  <si>
    <t>-395.144139625157 27.5911272565179 -404.435381050096</t>
  </si>
  <si>
    <t>-590.564549624864 293.103736482619 -250.560210260819</t>
  </si>
  <si>
    <t>-584.917325390201 285.838503968735 205.041672068627</t>
  </si>
  <si>
    <t>-617.949961531199 249.532826614198 672.307436248345</t>
  </si>
  <si>
    <t>-459.914740913608 258.2735573304 749.066621746667</t>
  </si>
  <si>
    <t>-569.905361955064 99.6011744840632 -225.201246926076</t>
  </si>
  <si>
    <t>-447.297711322549 85.8454006886641 213.473893008134</t>
  </si>
  <si>
    <t>-610.077336025779 9.64060259952953 647.687104819555</t>
  </si>
  <si>
    <t>-458.229633645759 -36.1671417696828 723.762322078795</t>
  </si>
  <si>
    <t>9763-20170724T170139.896395500.bin</t>
  </si>
  <si>
    <t>-580.144095894593 196.393750827632 -238.184683047236</t>
  </si>
  <si>
    <t>-602.423388613468 178.452352517546 -355.868856153208</t>
  </si>
  <si>
    <t>-607.003426724396 155.20834851228 -474.735598124179</t>
  </si>
  <si>
    <t>-604.063337489381 131.479464337654 -581.614632657723</t>
  </si>
  <si>
    <t>-594.353205558988 104.694744093202 -687.365029979718</t>
  </si>
  <si>
    <t>-574.032842355491 63.9748640299633 -832.723152453811</t>
  </si>
  <si>
    <t>-530.485843456604 39.2494879294088 -921.465986036787</t>
  </si>
  <si>
    <t>-576.114202963449 112.113118366823 -775.878727270271</t>
  </si>
  <si>
    <t>-523.857248993954 249.296253375753 -784.469598479201</t>
  </si>
  <si>
    <t>-436.07571038754 297.700987810288 -484.240311066297</t>
  </si>
  <si>
    <t>-246.538394984065 189.45194714492 -342.819783801542</t>
  </si>
  <si>
    <t>-589.933721403057 51.8712838295855 -760.934657818724</t>
  </si>
  <si>
    <t>-394.942976164033 27.4322925097799 -404.149574252558</t>
  </si>
  <si>
    <t>-590.51151427277 293.258164323211 -250.543840763035</t>
  </si>
  <si>
    <t>-584.902236210811 285.974415892609 205.05817006844</t>
  </si>
  <si>
    <t>-617.967977010748 249.635157168381 672.296877504387</t>
  </si>
  <si>
    <t>-459.93818430355 258.286621576572 749.077413843303</t>
  </si>
  <si>
    <t>-569.683939781455 99.6842126993283 -225.157617945061</t>
  </si>
  <si>
    <t>-447.172844663632 86.0225777446578 213.547371404303</t>
  </si>
  <si>
    <t>-610.062078720689 9.75275601165367 647.695746442346</t>
  </si>
  <si>
    <t>-458.227377620216 -36.0815937695822 723.780879811389</t>
  </si>
  <si>
    <t>9763-20170724T170139.966583900.bin</t>
  </si>
  <si>
    <t>-579.983911640931 196.706574151908 -238.209707471161</t>
  </si>
  <si>
    <t>-602.13807897682 178.709384088647 -355.908925612495</t>
  </si>
  <si>
    <t>-606.559069364657 155.457591533806 -474.780057520104</t>
  </si>
  <si>
    <t>-603.459240995904 131.744098046076 -581.658207310544</t>
  </si>
  <si>
    <t>-593.571762882249 104.998226494161 -687.401943458976</t>
  </si>
  <si>
    <t>-572.984813766956 64.3576828872044 -832.744682390693</t>
  </si>
  <si>
    <t>-529.307488444425 39.8297335059963 -921.478317987381</t>
  </si>
  <si>
    <t>-575.291661597246 112.486698608313 -775.901193995595</t>
  </si>
  <si>
    <t>-523.608765630189 249.880929530299 -784.531774490215</t>
  </si>
  <si>
    <t>-436.768601723676 298.720979483366 -484.099392009179</t>
  </si>
  <si>
    <t>-246.695463240882 191.206096780282 -342.837813485861</t>
  </si>
  <si>
    <t>-588.896154736112 52.1929491051501 -760.968868854244</t>
  </si>
  <si>
    <t>-393.754216015966 26.0810096500932 -403.347941418115</t>
  </si>
  <si>
    <t>-590.566294585071 293.588280139374 -250.568556994507</t>
  </si>
  <si>
    <t>-585.041824885376 286.182738054862 205.032487267551</t>
  </si>
  <si>
    <t>-617.954038605154 249.62602500175 672.279668398804</t>
  </si>
  <si>
    <t>-459.931602622598 258.26866988016 749.076346837718</t>
  </si>
  <si>
    <t>-569.30840548103 99.9882796825004 -225.185921493437</t>
  </si>
  <si>
    <t>-447.194851696743 86.4307728348288 213.633049112022</t>
  </si>
  <si>
    <t>-610.039955271927 9.79574747509491 647.742429797875</t>
  </si>
  <si>
    <t>-458.260660618152 -36.1656978227809 723.861406095571</t>
  </si>
  <si>
    <t>9763-20170724T170139.997258400.bin</t>
  </si>
  <si>
    <t>-579.948101241616 196.885762869178 -238.20531431203</t>
  </si>
  <si>
    <t>-602.112896476342 178.860554112753 -355.898223300309</t>
  </si>
  <si>
    <t>-606.483201776541 155.602943407084 -474.770251149636</t>
  </si>
  <si>
    <t>-603.311411290254 131.893157287974 -581.646974001593</t>
  </si>
  <si>
    <t>-593.325389180739 105.159639511309 -687.384558430472</t>
  </si>
  <si>
    <t>-572.573524315763 64.5447285295386 -832.711082161675</t>
  </si>
  <si>
    <t>-528.826470576361 40.1185924120186 -921.438521242907</t>
  </si>
  <si>
    <t>-574.993325827113 112.672438854545 -775.871068068146</t>
  </si>
  <si>
    <t>-523.632516661351 250.205840198491 -784.472165443584</t>
  </si>
  <si>
    <t>-437.181688116073 299.489026294144 -483.999975659675</t>
  </si>
  <si>
    <t>-246.798189822045 191.736383885004 -343.338948607091</t>
  </si>
  <si>
    <t>-588.517824157264 52.3587087016306 -760.946181980593</t>
  </si>
  <si>
    <t>-392.198046452182 23.8765646588777 -403.249535735936</t>
  </si>
  <si>
    <t>-590.589479890768 293.713035281262 -250.569204035578</t>
  </si>
  <si>
    <t>-585.047883451949 286.265594291992 205.030981718282</t>
  </si>
  <si>
    <t>-617.935780089806 249.548368258127 672.268784420754</t>
  </si>
  <si>
    <t>-459.924690768099 258.325337077561 749.073582227996</t>
  </si>
  <si>
    <t>-569.207035103109 100.191351770086 -225.138339911252</t>
  </si>
  <si>
    <t>-447.123582605979 86.5402219286673 213.686167312408</t>
  </si>
  <si>
    <t>-610.021761923342 9.74627420752427 647.739932027152</t>
  </si>
  <si>
    <t>-458.227520877901 -36.1210614917061 723.885904658954</t>
  </si>
  <si>
    <t>9763-20170724T170140.059423800.bin</t>
  </si>
  <si>
    <t>-579.901412985001 197.399224698519 -238.154357893449</t>
  </si>
  <si>
    <t>-602.062034877614 179.350528579713 -355.844395707146</t>
  </si>
  <si>
    <t>-606.360867598492 156.096598906978 -474.719743934598</t>
  </si>
  <si>
    <t>-603.095571437736 132.401602894663 -581.596918455534</t>
  </si>
  <si>
    <t>-592.986338340756 105.69435963795 -687.329430745596</t>
  </si>
  <si>
    <t>-572.031649882432 65.12814744753 -832.640527335845</t>
  </si>
  <si>
    <t>-528.121560353815 40.8807634812852 -921.336241069485</t>
  </si>
  <si>
    <t>-574.584659694181 113.246287932203 -775.798190797622</t>
  </si>
  <si>
    <t>-523.555094855577 250.893646502877 -784.384508745869</t>
  </si>
  <si>
    <t>-438.392848783259 301.572858940566 -483.776503634758</t>
  </si>
  <si>
    <t>-248.037397741422 193.027059891651 -343.688445546502</t>
  </si>
  <si>
    <t>-588.02216432277 52.9087523737071 -760.891524712629</t>
  </si>
  <si>
    <t>-388.18216719271 17.2570549317113 -401.941940435346</t>
  </si>
  <si>
    <t>-590.59354120213 294.168634988351 -250.542063795428</t>
  </si>
  <si>
    <t>-585.200500284525 286.588164656014 205.057702262132</t>
  </si>
  <si>
    <t>-617.951770888076 249.647521066717 672.26694554909</t>
  </si>
  <si>
    <t>-459.93713764508 258.199565054917 749.089746638713</t>
  </si>
  <si>
    <t>-569.127534706875 100.712761911479 -225.052558442925</t>
  </si>
  <si>
    <t>-446.884648567913 86.890106090093 213.722120272166</t>
  </si>
  <si>
    <t>-609.973968932383 9.82457722752088 647.666493394566</t>
  </si>
  <si>
    <t>-458.205412856537 -36.0360515197065 723.867654406639</t>
  </si>
  <si>
    <t>9763-20170724T170140.096555700.bin</t>
  </si>
  <si>
    <t>-579.812420510167 197.651080933929 -238.155368649027</t>
  </si>
  <si>
    <t>-601.974518953305 179.616033760013 -355.847337514883</t>
  </si>
  <si>
    <t>-606.27144649865 156.378070809959 -474.725830082303</t>
  </si>
  <si>
    <t>-603.00203159059 132.700811872886 -581.606880414896</t>
  </si>
  <si>
    <t>-592.885460689099 106.015578341935 -687.344218390226</t>
  </si>
  <si>
    <t>-571.916272841139 65.4855073832837 -832.663301694843</t>
  </si>
  <si>
    <t>-527.937614248596 41.3019597762795 -921.342443353125</t>
  </si>
  <si>
    <t>-574.496879608512 113.593293585593 -775.813394659468</t>
  </si>
  <si>
    <t>-523.66838046195 251.324296296981 -784.388497573027</t>
  </si>
  <si>
    <t>-439.54473667042 302.880363401071 -483.637194682809</t>
  </si>
  <si>
    <t>-249.6956401927 193.038103080882 -343.872935091557</t>
  </si>
  <si>
    <t>-587.892120894147 53.2442965003233 -760.914767704164</t>
  </si>
  <si>
    <t>-386.420128966616 14.008771969877 -402.503473540489</t>
  </si>
  <si>
    <t>-590.477490379424 294.456054221539 -250.540428595646</t>
  </si>
  <si>
    <t>-585.191816881653 286.815962262635 205.05965739468</t>
  </si>
  <si>
    <t>-618.002558640458 249.824442863944 672.260277533613</t>
  </si>
  <si>
    <t>-459.98016358603 258.11069440987 749.096325220858</t>
  </si>
  <si>
    <t>-569.077714257862 100.923477460894 -225.069095635746</t>
  </si>
  <si>
    <t>-446.813585077721 86.9007653872604 213.693413424487</t>
  </si>
  <si>
    <t>-609.961517311222 9.76468244537637 647.638807895453</t>
  </si>
  <si>
    <t>-458.136637325151 -35.8796552114468 723.857630351734</t>
  </si>
  <si>
    <t>9763-20170724T170140.165741000.bin</t>
  </si>
  <si>
    <t>-579.389205763415 198.100913732085 -238.063355594594</t>
  </si>
  <si>
    <t>-601.607068533283 180.076657596585 -355.746430661355</t>
  </si>
  <si>
    <t>-605.870930699587 156.828056542 -474.62398619808</t>
  </si>
  <si>
    <t>-602.534432416401 133.135965959586 -581.499687647328</t>
  </si>
  <si>
    <t>-592.312826299106 106.433187163383 -687.222551226719</t>
  </si>
  <si>
    <t>-571.157635577881 65.8776479597377 -832.50755895766</t>
  </si>
  <si>
    <t>-527.060920805088 41.8000698456765 -921.157002755123</t>
  </si>
  <si>
    <t>-573.861939362746 114.004222875278 -775.679324178106</t>
  </si>
  <si>
    <t>-523.590074817795 251.915100438197 -784.440356047588</t>
  </si>
  <si>
    <t>-442.147095148334 306.249384840655 -483.440348087953</t>
  </si>
  <si>
    <t>-254.03695984203 193.899502996347 -343.318420856222</t>
  </si>
  <si>
    <t>-587.174384104585 53.6401126889641 -760.767582206747</t>
  </si>
  <si>
    <t>-383.669592352787 6.76499000527633 -405.806798970291</t>
  </si>
  <si>
    <t>-589.96642256611 294.972101333703 -250.484380159204</t>
  </si>
  <si>
    <t>-584.944348076048 287.223766178803 205.11674605627</t>
  </si>
  <si>
    <t>-618.032889019276 249.925304631279 672.266526689088</t>
  </si>
  <si>
    <t>-460.010162081106 258.1157318599 749.11212602345</t>
  </si>
  <si>
    <t>-568.717345786512 101.332032607818 -224.958300800438</t>
  </si>
  <si>
    <t>-446.352788790109 87.0535865319889 213.768027394944</t>
  </si>
  <si>
    <t>-609.920621618161 9.82951439578392 647.53427893726</t>
  </si>
  <si>
    <t>-458.163836490536 -35.9414556167706 723.812786242862</t>
  </si>
  <si>
    <t>9763-20170724T170140.197380900.bin</t>
  </si>
  <si>
    <t>-579.029006346529 198.275695061471 -238.042149221575</t>
  </si>
  <si>
    <t>-601.231195131802 180.243366988056 -355.72698000572</t>
  </si>
  <si>
    <t>-605.451418569688 156.99857821298 -474.606886540862</t>
  </si>
  <si>
    <t>-602.063529984399 133.3149458223 -581.482757460348</t>
  </si>
  <si>
    <t>-591.778299027379 106.625828179511 -687.202923958361</t>
  </si>
  <si>
    <t>-570.521562553537 66.094926048612 -832.47998546009</t>
  </si>
  <si>
    <t>-526.359383875169 42.0880160823165 -921.116092169425</t>
  </si>
  <si>
    <t>-573.279602389496 114.214308759123 -775.648353439411</t>
  </si>
  <si>
    <t>-523.202339994649 252.187328629371 -784.482054037706</t>
  </si>
  <si>
    <t>-443.746869285045 307.9315921411 -483.20864284857</t>
  </si>
  <si>
    <t>-256.517281760367 194.315102872514 -342.92886984231</t>
  </si>
  <si>
    <t>-586.574426771775 53.8429490622198 -760.75049011802</t>
  </si>
  <si>
    <t>-382.703764197213 4.49378101349816 -409.771995575824</t>
  </si>
  <si>
    <t>-589.58756367179 295.168195879465 -250.47088278919</t>
  </si>
  <si>
    <t>-584.717317612162 287.364953825944 205.13102439076</t>
  </si>
  <si>
    <t>-618.029690411381 249.956323653202 672.24331379962</t>
  </si>
  <si>
    <t>-460.028079623686 258.353919164015 749.110001503726</t>
  </si>
  <si>
    <t>-568.394777229128 101.465047282253 -224.936164979094</t>
  </si>
  <si>
    <t>-446.099213057203 87.1263141576551 213.807363482701</t>
  </si>
  <si>
    <t>-609.898259637987 9.73064496473739 647.477172582977</t>
  </si>
  <si>
    <t>-458.156366869546 -36.03379625192 723.789151976278</t>
  </si>
  <si>
    <t>9763-20170724T170140.261541000.bin</t>
  </si>
  <si>
    <t>-578.300814787176 198.702305545346 -237.984845408356</t>
  </si>
  <si>
    <t>-600.430941621928 180.659644846849 -355.681533194439</t>
  </si>
  <si>
    <t>-604.575749287291 157.497641664669 -474.580268936913</t>
  </si>
  <si>
    <t>-601.115135388924 133.925049434965 -581.478374975391</t>
  </si>
  <si>
    <t>-590.750578749233 107.38192099714 -687.227480742225</t>
  </si>
  <si>
    <t>-569.374751787133 67.0889929886157 -832.55324446132</t>
  </si>
  <si>
    <t>-525.090974777578 43.2981691825544 -921.186901503877</t>
  </si>
  <si>
    <t>-572.155915897335 115.111216534338 -775.640480972287</t>
  </si>
  <si>
    <t>-521.977271507521 253.042834138237 -784.289531852594</t>
  </si>
  <si>
    <t>-447.045488770606 310.601310349011 -482.199432521541</t>
  </si>
  <si>
    <t>-260.497329293045 196.053169453132 -341.769495436806</t>
  </si>
  <si>
    <t>-585.509849645742 54.7235134253003 -760.861723497567</t>
  </si>
  <si>
    <t>-381.911696355553 2.646443441055 -418.670011790764</t>
  </si>
  <si>
    <t>-588.760043753555 295.590802768086 -250.471994630488</t>
  </si>
  <si>
    <t>-584.208938170713 287.678602451647 205.131261541893</t>
  </si>
  <si>
    <t>-618.034487998003 250.131146053356 672.180322320202</t>
  </si>
  <si>
    <t>-460.066575413958 258.284445681987 749.142444393411</t>
  </si>
  <si>
    <t>-567.75527498108 101.86467662794 -224.873515117397</t>
  </si>
  <si>
    <t>-445.544436259587 87.485898417742 213.892339714877</t>
  </si>
  <si>
    <t>-609.831495711294 10.0149594825118 647.344511243587</t>
  </si>
  <si>
    <t>-458.249850148934 -36.1601986360552 723.727541005054</t>
  </si>
  <si>
    <t>9763-20170724T170140.298392000.bin</t>
  </si>
  <si>
    <t>-577.91968014542 198.696111207828 -238.031978341977</t>
  </si>
  <si>
    <t>-600.065979581018 180.670235708033 -355.728144237553</t>
  </si>
  <si>
    <t>-604.241768212367 157.64632408719 -474.652749511563</t>
  </si>
  <si>
    <t>-600.809241971932 134.247830349708 -581.589923305425</t>
  </si>
  <si>
    <t>-590.468931042329 107.927145351937 -687.397127549672</t>
  </si>
  <si>
    <t>-569.118870432656 67.9935620393546 -832.825698085653</t>
  </si>
  <si>
    <t>-524.816814837285 44.3649302330587 -921.493643313361</t>
  </si>
  <si>
    <t>-571.892400741091 115.875272369954 -775.794432089039</t>
  </si>
  <si>
    <t>-521.643929088997 253.837433537044 -784.166507145236</t>
  </si>
  <si>
    <t>-448.540236786205 311.367199476039 -481.623415018885</t>
  </si>
  <si>
    <t>-261.887540158398 196.867207613618 -341.293118724673</t>
  </si>
  <si>
    <t>-585.238862791563 55.4504929313605 -761.161647969703</t>
  </si>
  <si>
    <t>-380.582387079877 2.2732959284167 -420.16106322625</t>
  </si>
  <si>
    <t>-588.315495998202 295.583602284791 -250.498593117643</t>
  </si>
  <si>
    <t>-583.873809755926 287.656086084874 205.105500350276</t>
  </si>
  <si>
    <t>-617.998894241687 250.122359443737 672.140844203219</t>
  </si>
  <si>
    <t>-460.0574249576 258.261308996891 749.158830747848</t>
  </si>
  <si>
    <t>-567.438247741766 101.860177572545 -224.937753988199</t>
  </si>
  <si>
    <t>-445.432070826378 87.4947456565333 213.885509422078</t>
  </si>
  <si>
    <t>-609.818101012389 9.96433313082139 647.310121472036</t>
  </si>
  <si>
    <t>-458.245489226091 -36.2163171715529 723.707785441267</t>
  </si>
  <si>
    <t>9763-20170724T170140.366570500.bin</t>
  </si>
  <si>
    <t>-577.36584850829 198.580812786683 -238.123229681763</t>
  </si>
  <si>
    <t>-599.517670325066 180.648518592249 -355.832788894924</t>
  </si>
  <si>
    <t>-603.768611220251 157.806761091584 -474.789760236167</t>
  </si>
  <si>
    <t>-600.424550873379 134.618517346906 -581.775526500085</t>
  </si>
  <si>
    <t>-590.186587086295 108.559195286281 -687.657255267598</t>
  </si>
  <si>
    <t>-568.986382274052 69.0462650604177 -833.222692010789</t>
  </si>
  <si>
    <t>-524.844266372442 45.769019928538 -922.063214121593</t>
  </si>
  <si>
    <t>-571.799515439035 116.779870627191 -776.069377078021</t>
  </si>
  <si>
    <t>-522.325912586586 255.025755316972 -784.028856732615</t>
  </si>
  <si>
    <t>-450.325556998592 312.490203187291 -481.208951824276</t>
  </si>
  <si>
    <t>-263.740041221652 197.321783789372 -341.337107699869</t>
  </si>
  <si>
    <t>-584.934150250087 56.2791033672788 -761.559677971941</t>
  </si>
  <si>
    <t>-378.12835641608 1.70085828890683 -419.189778119828</t>
  </si>
  <si>
    <t>-587.625134663637 295.453643086026 -250.50647007878</t>
  </si>
  <si>
    <t>-583.274454222875 287.44535000674 205.097154965843</t>
  </si>
  <si>
    <t>-617.94628139226 249.922972943858 672.124140986941</t>
  </si>
  <si>
    <t>-460.033665055709 258.276435842319 749.178339035694</t>
  </si>
  <si>
    <t>-567.096010948547 101.870419827152 -225.034084353808</t>
  </si>
  <si>
    <t>-445.359550295609 87.1351726896705 213.851800105243</t>
  </si>
  <si>
    <t>-609.832048261157 10.0508907573301 647.334581438329</t>
  </si>
  <si>
    <t>-458.269779853311 -36.1795615121675 723.722669757781</t>
  </si>
  <si>
    <t>9763-20170724T170140.397602500.bin</t>
  </si>
  <si>
    <t>-577.118788602206 198.603095390946 -238.159347480186</t>
  </si>
  <si>
    <t>-599.257871231242 180.704782549166 -355.876473721589</t>
  </si>
  <si>
    <t>-603.496062496803 157.922335598068 -474.845112960531</t>
  </si>
  <si>
    <t>-600.137801439034 134.802282016896 -581.845380401823</t>
  </si>
  <si>
    <t>-589.88076156765 108.828023202826 -687.746102410596</t>
  </si>
  <si>
    <t>-568.646718114514 69.452514433455 -833.343933624844</t>
  </si>
  <si>
    <t>-524.57040908325 46.4326391153395 -922.283984911618</t>
  </si>
  <si>
    <t>-571.55092634857 117.145291564012 -776.16102591023</t>
  </si>
  <si>
    <t>-522.589339649046 255.559058117887 -784.20311375259</t>
  </si>
  <si>
    <t>-450.885594067017 313.406977062315 -481.385627002764</t>
  </si>
  <si>
    <t>-264.39744354807 197.83154058363 -341.719759690589</t>
  </si>
  <si>
    <t>-584.533367992828 56.6045408596458 -761.681815494495</t>
  </si>
  <si>
    <t>-377.791739563257 1.41936108110781 -418.688960562294</t>
  </si>
  <si>
    <t>-587.330070980857 295.471626190204 -250.516974979977</t>
  </si>
  <si>
    <t>-583.113894783882 287.449006289716 205.087606656722</t>
  </si>
  <si>
    <t>-617.9243148039 249.951091311706 672.08267265898</t>
  </si>
  <si>
    <t>-460.033608528525 258.237114675337 749.188890106964</t>
  </si>
  <si>
    <t>-566.844207715835 101.949228926644 -225.087264839426</t>
  </si>
  <si>
    <t>-445.300392657507 86.9894190435552 213.844433024722</t>
  </si>
  <si>
    <t>-609.843470861306 9.93474915510478 647.329293709121</t>
  </si>
  <si>
    <t>-458.18518160706 -35.9984930395231 723.70609545426</t>
  </si>
  <si>
    <t>9763-20170724T170140.463774600.bin</t>
  </si>
  <si>
    <t>-576.400741042677 198.832093011941 -238.263886688901</t>
  </si>
  <si>
    <t>-598.473072772608 180.963142552944 -355.9979297342</t>
  </si>
  <si>
    <t>-602.680724563138 158.355703067802 -475.001231894465</t>
  </si>
  <si>
    <t>-599.303817401202 135.452089904282 -582.047387903793</t>
  </si>
  <si>
    <t>-589.033042296725 109.751483630182 -688.01355073053</t>
  </si>
  <si>
    <t>-567.78092284981 70.8147686977234 -833.726579475253</t>
  </si>
  <si>
    <t>-523.758910642634 48.3426868940471 -922.833520778508</t>
  </si>
  <si>
    <t>-570.767292036902 118.347742195499 -776.415085078738</t>
  </si>
  <si>
    <t>-522.190216664378 256.919100760525 -784.553881919321</t>
  </si>
  <si>
    <t>-451.996941357836 316.853949877604 -481.788444054496</t>
  </si>
  <si>
    <t>-266.368911894016 199.00566916473 -342.8782541197</t>
  </si>
  <si>
    <t>-583.601377236135 57.7383456102664 -762.091131806877</t>
  </si>
  <si>
    <t>-378.389738980814 3.5100003365942 -418.560144408305</t>
  </si>
  <si>
    <t>-586.720403807505 295.621402269068 -250.561239249382</t>
  </si>
  <si>
    <t>-582.847463036246 287.638887870289 205.047148131537</t>
  </si>
  <si>
    <t>-617.914516214408 250.068849927931 672.029261977075</t>
  </si>
  <si>
    <t>-460.058198649692 258.390733196535 749.201983911745</t>
  </si>
  <si>
    <t>-565.998877748556 102.134003615451 -225.210566857602</t>
  </si>
  <si>
    <t>-444.876704728431 87.0537879419533 213.833493993324</t>
  </si>
  <si>
    <t>-609.780121895568 9.91808638461794 647.176226639489</t>
  </si>
  <si>
    <t>-458.197034274657 -36.0724306517686 723.667696997006</t>
  </si>
  <si>
    <t>9763-20170724T170140.495819000.bin</t>
  </si>
  <si>
    <t>-575.94948746053 198.85016349935 -238.223342599448</t>
  </si>
  <si>
    <t>-597.934919590744 180.969348827661 -355.971800801186</t>
  </si>
  <si>
    <t>-602.137058213431 158.378516157941 -474.978511180846</t>
  </si>
  <si>
    <t>-598.787399069676 135.502866580987 -582.031484236938</t>
  </si>
  <si>
    <t>-588.575110634189 109.84338479092 -688.013223971499</t>
  </si>
  <si>
    <t>-567.435608461021 70.9778139228383 -833.761563988919</t>
  </si>
  <si>
    <t>-523.475784228732 48.6641136775327 -922.939108907028</t>
  </si>
  <si>
    <t>-570.378429398665 118.482998744301 -776.424766125265</t>
  </si>
  <si>
    <t>-522.020850581327 257.122103810151 -784.696222669171</t>
  </si>
  <si>
    <t>-452.739162271958 318.852763604497 -482.081691372835</t>
  </si>
  <si>
    <t>-268.081478985813 199.365543504486 -343.278290946739</t>
  </si>
  <si>
    <t>-583.19991722146 57.8662856005612 -762.120256865576</t>
  </si>
  <si>
    <t>-378.51017682631 4.31157766679735 -418.778325005949</t>
  </si>
  <si>
    <t>-586.2898896579 295.574480164472 -250.539826653635</t>
  </si>
  <si>
    <t>-582.667742953682 287.636746991102 205.071404729223</t>
  </si>
  <si>
    <t>-617.926638233252 249.98458738012 672.053842102217</t>
  </si>
  <si>
    <t>-460.065343460342 258.478863152161 749.197665226488</t>
  </si>
  <si>
    <t>-565.466439911569 102.195195637199 -225.208917140993</t>
  </si>
  <si>
    <t>-444.562752809256 87.1658875916607 213.897066718589</t>
  </si>
  <si>
    <t>-609.730056860881 9.92284783808736 647.094011620885</t>
  </si>
  <si>
    <t>-458.188080323072 -36.0957867814163 723.650020395153</t>
  </si>
  <si>
    <t>9763-20170724T170140.560991800.bin</t>
  </si>
  <si>
    <t>-575.000533417768 199.000639707254 -238.184483633483</t>
  </si>
  <si>
    <t>-597.007372554063 181.140851367011 -355.93227948645</t>
  </si>
  <si>
    <t>-601.298379745095 158.495239750824 -474.925261535123</t>
  </si>
  <si>
    <t>-598.060240371346 135.53814194011 -581.964163345414</t>
  </si>
  <si>
    <t>-587.992882485925 109.765254094529 -687.932327840988</t>
  </si>
  <si>
    <t>-567.091605741629 70.7092912690157 -833.664152530355</t>
  </si>
  <si>
    <t>-523.232256434933 48.4791615837344 -922.912069268723</t>
  </si>
  <si>
    <t>-569.873939360479 118.278159583638 -776.372148942806</t>
  </si>
  <si>
    <t>-521.366782538924 256.848761102966 -784.79964187654</t>
  </si>
  <si>
    <t>-454.100110435958 322.165445817324 -482.483382544867</t>
  </si>
  <si>
    <t>-271.960345167981 200.374148935001 -342.361713471186</t>
  </si>
  <si>
    <t>-582.805603599012 57.7024703030581 -761.992704445332</t>
  </si>
  <si>
    <t>-378.964286211744 6.14349842367324 -418.297683092091</t>
  </si>
  <si>
    <t>-585.252567481046 295.685708184159 -250.485197814637</t>
  </si>
  <si>
    <t>-581.992736438233 287.725509670888 205.128306990061</t>
  </si>
  <si>
    <t>-617.982042706226 250.106249197378 672.031777606523</t>
  </si>
  <si>
    <t>-460.122532679501 258.436123393963 749.197165586763</t>
  </si>
  <si>
    <t>-564.69152620972 102.352867764143 -225.193231558307</t>
  </si>
  <si>
    <t>-443.720958707514 87.1275425697802 213.887648693965</t>
  </si>
  <si>
    <t>-609.586278743798 9.89470206910164 646.881462790004</t>
  </si>
  <si>
    <t>-458.080346719224 -35.9421887661051 723.617623293079</t>
  </si>
  <si>
    <t>9763-20170724T170140.594097300.bin</t>
  </si>
  <si>
    <t>-574.594664135529 199.111053843852 -238.167761345891</t>
  </si>
  <si>
    <t>-596.597542475392 181.284068481054 -355.92113927597</t>
  </si>
  <si>
    <t>-600.906676732767 158.642329715922 -474.914193370655</t>
  </si>
  <si>
    <t>-597.695887735883 135.675099287292 -581.95189213145</t>
  </si>
  <si>
    <t>-587.668266680637 109.877546341498 -687.917821631889</t>
  </si>
  <si>
    <t>-566.836649372339 70.7706511973754 -833.645968877704</t>
  </si>
  <si>
    <t>-523.011348316429 48.5408844871397 -922.910543196041</t>
  </si>
  <si>
    <t>-569.537901761966 118.350367342068 -776.359018187234</t>
  </si>
  <si>
    <t>-520.679281066096 256.786239994661 -784.722316596707</t>
  </si>
  <si>
    <t>-454.844991205716 322.300347497443 -482.133568849954</t>
  </si>
  <si>
    <t>-273.034021636229 200.511215018738 -341.583703744512</t>
  </si>
  <si>
    <t>-582.570114138515 57.7980490238028 -761.97259884714</t>
  </si>
  <si>
    <t>-379.05429025418 7.16425758875675 -417.935686090201</t>
  </si>
  <si>
    <t>-584.744735154519 295.782817352452 -250.458640180861</t>
  </si>
  <si>
    <t>-581.587262063279 287.758799814161 205.154501075328</t>
  </si>
  <si>
    <t>-617.965652816422 250.042623527171 672.019554944612</t>
  </si>
  <si>
    <t>-460.120975354621 258.474455669211 749.204166806014</t>
  </si>
  <si>
    <t>-564.369338312253 102.508807654336 -225.215444036322</t>
  </si>
  <si>
    <t>-443.514997326564 87.0314264456351 213.888601904553</t>
  </si>
  <si>
    <t>-609.540739398364 9.8176898439026 646.820951171483</t>
  </si>
  <si>
    <t>-458.083198168208 -36.065595489682 723.624924082936</t>
  </si>
  <si>
    <t>9763-20170724T170140.662279700.bin</t>
  </si>
  <si>
    <t>-573.83513637467 199.605197103968 -238.168732457963</t>
  </si>
  <si>
    <t>-595.806664305145 181.846034312262 -355.938301475069</t>
  </si>
  <si>
    <t>-600.160638943116 159.309854304727 -474.949715382398</t>
  </si>
  <si>
    <t>-597.019962907663 136.45289940026 -582.0130699724</t>
  </si>
  <si>
    <t>-587.090888920709 110.779863655537 -688.018426791388</t>
  </si>
  <si>
    <t>-566.424254627171 71.8611998197832 -833.820545675968</t>
  </si>
  <si>
    <t>-522.72479873531 49.6959221396683 -923.162814355615</t>
  </si>
  <si>
    <t>-569.022367299482 119.360445701116 -776.462170153155</t>
  </si>
  <si>
    <t>-520.024321976523 257.786336047696 -784.265253216743</t>
  </si>
  <si>
    <t>-454.671025543932 321.882492655207 -481.268924980581</t>
  </si>
  <si>
    <t>-272.69193522762 200.361351094361 -340.704841187394</t>
  </si>
  <si>
    <t>-582.114827191098 58.8026395736197 -762.153295942842</t>
  </si>
  <si>
    <t>-379.115555838857 9.60901249820472 -416.831528719189</t>
  </si>
  <si>
    <t>-583.859604044156 296.185944446536 -250.407407664139</t>
  </si>
  <si>
    <t>-580.746135889581 287.998242356102 205.203019906299</t>
  </si>
  <si>
    <t>-617.992521026428 250.067737301844 672.002851704795</t>
  </si>
  <si>
    <t>-460.159193999113 258.480510167268 749.21281705261</t>
  </si>
  <si>
    <t>-563.701810939889 103.16964054581 -225.270418492521</t>
  </si>
  <si>
    <t>-443.266718131355 87.1113226417697 213.927948065846</t>
  </si>
  <si>
    <t>-609.480044122397 9.9037125765276 646.799899868852</t>
  </si>
  <si>
    <t>-458.159931973488 -36.2947247855168 723.685824619778</t>
  </si>
  <si>
    <t>9763-20170724T170140.699267800.bin</t>
  </si>
  <si>
    <t>-573.45115466606 199.751861566183 -238.125006097427</t>
  </si>
  <si>
    <t>-595.475453883849 182.000248807569 -355.885828960723</t>
  </si>
  <si>
    <t>-599.861036323543 159.530965101605 -474.908889984864</t>
  </si>
  <si>
    <t>-596.737154373387 136.758249778297 -581.990575221816</t>
  </si>
  <si>
    <t>-586.811026551576 111.193223687774 -688.02241335553</t>
  </si>
  <si>
    <t>-566.132473837576 72.4484287542805 -833.869024280458</t>
  </si>
  <si>
    <t>-522.464365163054 50.3616057768472 -923.246079225166</t>
  </si>
  <si>
    <t>-568.752292397589 119.882123414533 -776.457340506977</t>
  </si>
  <si>
    <t>-519.842541004815 258.352795322928 -783.979369811528</t>
  </si>
  <si>
    <t>-454.378988251919 321.735512075448 -480.856826535461</t>
  </si>
  <si>
    <t>-272.240230085074 200.55851938077 -340.202258474636</t>
  </si>
  <si>
    <t>-581.811855542356 59.3015280174782 -762.215403823489</t>
  </si>
  <si>
    <t>-379.197868269442 10.8946220312739 -415.306625828427</t>
  </si>
  <si>
    <t>-583.476878015897 296.362772131607 -250.355210190898</t>
  </si>
  <si>
    <t>-580.345927412733 288.108474752818 205.253971885894</t>
  </si>
  <si>
    <t>-618.006923914726 250.095725875114 671.989506694724</t>
  </si>
  <si>
    <t>-460.189332983377 258.670482647433 749.213846783993</t>
  </si>
  <si>
    <t>-563.346424753151 103.206611128957 -225.215684194523</t>
  </si>
  <si>
    <t>-443.013128676511 87.2549719763524 214.014424782358</t>
  </si>
  <si>
    <t>-609.436171179889 9.869200564739 646.760707016137</t>
  </si>
  <si>
    <t>-458.10135518026 -36.2139522946709 723.686876484904</t>
  </si>
  <si>
    <t>9763-20170724T170140.761416900.bin</t>
  </si>
  <si>
    <t>-572.903602910505 200.20709464768 -238.073512960917</t>
  </si>
  <si>
    <t>-594.994651010717 182.401031769424 -355.813568843083</t>
  </si>
  <si>
    <t>-599.343429408221 160.000410411579 -474.850832757644</t>
  </si>
  <si>
    <t>-596.139602639534 137.334771296619 -581.95295371363</t>
  </si>
  <si>
    <t>-586.084589809187 111.9189287521 -688.008454315516</t>
  </si>
  <si>
    <t>-565.17432703999 73.4222957470456 -833.887791480155</t>
  </si>
  <si>
    <t>-521.469587951567 51.5267238664937 -923.294009663595</t>
  </si>
  <si>
    <t>-567.91960700226 120.764082295952 -776.406190254332</t>
  </si>
  <si>
    <t>-518.814824597823 259.189876579163 -783.390110525505</t>
  </si>
  <si>
    <t>-454.110869696076 321.439736068068 -479.869796054785</t>
  </si>
  <si>
    <t>-270.679225915651 201.495515886742 -339.840314532482</t>
  </si>
  <si>
    <t>-580.93330839261 60.1476228236604 -762.275310159534</t>
  </si>
  <si>
    <t>-380.692494052066 13.5665824202576 -415.458670504976</t>
  </si>
  <si>
    <t>-582.982225756197 296.852925427066 -250.307241797235</t>
  </si>
  <si>
    <t>-579.821847012303 288.436152018626 205.298769327688</t>
  </si>
  <si>
    <t>-618.041612747105 250.217931314734 671.958228754289</t>
  </si>
  <si>
    <t>-460.244656009446 258.748295617426 749.22957487308</t>
  </si>
  <si>
    <t>-562.738839090494 103.694839355291 -225.136487895444</t>
  </si>
  <si>
    <t>-442.455554341679 87.5201259544233 214.099225980513</t>
  </si>
  <si>
    <t>-609.330272440594 9.87699434015212 646.655589298331</t>
  </si>
  <si>
    <t>-458.031530907961 -36.1466739854388 723.688208392486</t>
  </si>
  <si>
    <t>9763-20170724T170140.797517500.bin</t>
  </si>
  <si>
    <t>-572.77226276727 200.622209394164 -238.097766307934</t>
  </si>
  <si>
    <t>-594.886542062926 182.819033173529 -355.833904194108</t>
  </si>
  <si>
    <t>-599.251490787038 160.527768969442 -474.891111175912</t>
  </si>
  <si>
    <t>-596.056561751829 137.997433550513 -582.022004509223</t>
  </si>
  <si>
    <t>-586.003581914201 112.748822430925 -688.117682184279</t>
  </si>
  <si>
    <t>-565.08814072485 74.5144264010767 -834.065303563968</t>
  </si>
  <si>
    <t>-521.346164656174 52.7516513791247 -923.485594894388</t>
  </si>
  <si>
    <t>-567.808870721891 121.748191771822 -776.493708342806</t>
  </si>
  <si>
    <t>-518.150646651829 259.998624986529 -782.91745739054</t>
  </si>
  <si>
    <t>-453.710583143025 321.045469794695 -479.096963797589</t>
  </si>
  <si>
    <t>-268.769026125452 203.795127866829 -338.772056128847</t>
  </si>
  <si>
    <t>-580.876291990255 61.1156609428931 -762.482251239383</t>
  </si>
  <si>
    <t>-381.106442353446 14.42101931709 -414.954591932683</t>
  </si>
  <si>
    <t>-582.944165533325 297.200778383485 -250.310832334525</t>
  </si>
  <si>
    <t>-579.632628802635 288.655892517184 205.291863742404</t>
  </si>
  <si>
    <t>-618.038182566959 250.20718790737 671.931132403444</t>
  </si>
  <si>
    <t>-460.25655806963 258.768218786705 749.230418841664</t>
  </si>
  <si>
    <t>-562.521360562277 104.22608550532 -225.184974419213</t>
  </si>
  <si>
    <t>-442.307177733183 87.8053355440943 214.060504336906</t>
  </si>
  <si>
    <t>-609.250466987083 10.0378515678913 646.568539706302</t>
  </si>
  <si>
    <t>-458.106334386751 -36.3299153622768 723.698239339871</t>
  </si>
  <si>
    <t>9763-20170724T170140.860692300.bin</t>
  </si>
  <si>
    <t>-573.038629224001 201.248993875206 -238.159535694523</t>
  </si>
  <si>
    <t>-595.224744938161 183.484080859577 -355.887927378918</t>
  </si>
  <si>
    <t>-599.609692611826 161.507491589595 -475.002944819171</t>
  </si>
  <si>
    <t>-596.401262501822 139.364795767312 -582.214271579731</t>
  </si>
  <si>
    <t>-586.297384662055 114.60034138251 -688.419092757154</t>
  </si>
  <si>
    <t>-565.267282281344 77.1330928589639 -834.549017039234</t>
  </si>
  <si>
    <t>-521.435378314479 55.749212218853 -924.016766313434</t>
  </si>
  <si>
    <t>-568.130199376804 124.080519047848 -776.75054661895</t>
  </si>
  <si>
    <t>-518.451085026498 262.375638227064 -782.504120133653</t>
  </si>
  <si>
    <t>-449.799461893751 320.776937668706 -479.086197728518</t>
  </si>
  <si>
    <t>-260.931525154288 209.957118904728 -338.76541267957</t>
  </si>
  <si>
    <t>-581.014713731989 63.3419133855493 -763.031605294261</t>
  </si>
  <si>
    <t>-382.358629912796 15.3666395207565 -413.393584200433</t>
  </si>
  <si>
    <t>-583.515757202546 297.687004205845 -250.267052451469</t>
  </si>
  <si>
    <t>-579.520561266091 288.892528562407 205.325362056856</t>
  </si>
  <si>
    <t>-618.021308927759 250.037267904249 671.927390594481</t>
  </si>
  <si>
    <t>-460.265342833491 259.069934363759 749.225494612503</t>
  </si>
  <si>
    <t>-562.483174291184 105.015979446626 -225.380249762153</t>
  </si>
  <si>
    <t>-442.441429880163 88.147715922669 213.895435868464</t>
  </si>
  <si>
    <t>-609.135730301291 9.88704801694598 646.462662720786</t>
  </si>
  <si>
    <t>-457.960567244856 -36.1674108767133 723.719116983893</t>
  </si>
  <si>
    <t>9763-20170724T170140.896723400.bin</t>
  </si>
  <si>
    <t>-573.455121285778 201.633039213851 -238.144216787346</t>
  </si>
  <si>
    <t>-595.734007940582 183.857693880181 -355.8535951421</t>
  </si>
  <si>
    <t>-600.138629257112 161.978982314912 -474.985709373195</t>
  </si>
  <si>
    <t>-596.9133091624 139.966188263236 -582.223278833652</t>
  </si>
  <si>
    <t>-586.754910948781 115.371508816236 -688.462495697607</t>
  </si>
  <si>
    <t>-565.607613909703 78.1801072782846 -834.645890309267</t>
  </si>
  <si>
    <t>-521.728244026326 57.018554918923 -924.143207017161</t>
  </si>
  <si>
    <t>-568.621047535226 125.03598317304 -776.780789842898</t>
  </si>
  <si>
    <t>-519.318723601739 263.439536843612 -782.605217143656</t>
  </si>
  <si>
    <t>-445.025368903092 320.921892302805 -480.342867714781</t>
  </si>
  <si>
    <t>-254.558733544728 213.056067821493 -339.881137942295</t>
  </si>
  <si>
    <t>-581.308202359614 64.2364214321181 -763.147651879549</t>
  </si>
  <si>
    <t>-383.47953451878 15.7203527561796 -413.889286187533</t>
  </si>
  <si>
    <t>-584.195317642667 297.997574171208 -250.207880855567</t>
  </si>
  <si>
    <t>-579.730194151377 289.098065643387 205.378069263943</t>
  </si>
  <si>
    <t>-618.035416146192 249.960908091535 671.952068617573</t>
  </si>
  <si>
    <t>-460.272810694452 259.05186478519 749.229606294305</t>
  </si>
  <si>
    <t>-562.629657724055 105.44800716874 -225.408831347202</t>
  </si>
  <si>
    <t>-442.529292580083 88.497730741482 213.847625603641</t>
  </si>
  <si>
    <t>-609.089904351451 9.88956558328005 646.414051878869</t>
  </si>
  <si>
    <t>-457.94355880358 -36.1791116674829 723.718395947504</t>
  </si>
  <si>
    <t>9763-20170724T170140.962899100.bin</t>
  </si>
  <si>
    <t>-574.580770430519 202.408309354925 -238.129857838192</t>
  </si>
  <si>
    <t>-596.925657998581 184.539475679986 -355.812594001682</t>
  </si>
  <si>
    <t>-601.510880879819 162.804983723033 -474.964399618529</t>
  </si>
  <si>
    <t>-598.484954740966 141.017061584735 -582.253640183568</t>
  </si>
  <si>
    <t>-588.555489192694 116.738252088463 -688.587014690912</t>
  </si>
  <si>
    <t>-567.750554849029 80.0779935407497 -834.953584781436</t>
  </si>
  <si>
    <t>-523.865962858292 59.3391564457961 -924.547296729379</t>
  </si>
  <si>
    <t>-570.709689621663 126.736803364053 -776.926735327476</t>
  </si>
  <si>
    <t>-521.665204348645 265.234216178298 -782.603691720104</t>
  </si>
  <si>
    <t>-432.826342416632 317.946123012566 -483.412451821025</t>
  </si>
  <si>
    <t>-239.241410087169 217.036034629746 -342.047385219258</t>
  </si>
  <si>
    <t>-583.20253286307 65.8612405163281 -763.455167983473</t>
  </si>
  <si>
    <t>-386.293143306496 17.8533559224857 -416.264673605994</t>
  </si>
  <si>
    <t>-585.775477629546 298.779445695132 -250.176151879928</t>
  </si>
  <si>
    <t>-580.789579928194 289.735933053267 205.401469976449</t>
  </si>
  <si>
    <t>-618.157694486611 250.25079232278 671.97624373951</t>
  </si>
  <si>
    <t>-460.373628432266 259.254448971736 749.220199813984</t>
  </si>
  <si>
    <t>-563.256409613998 106.068800049678 -225.426644419397</t>
  </si>
  <si>
    <t>-442.904389007748 89.3976828488726 213.771624039642</t>
  </si>
  <si>
    <t>-608.979515623253 9.84650978216087 646.262627603019</t>
  </si>
  <si>
    <t>-457.804792958265 -35.9697999236421 723.661454889894</t>
  </si>
  <si>
    <t>9763-20170724T170140.993989000.bin</t>
  </si>
  <si>
    <t>-575.248512100033 202.846890672604 -238.182415675112</t>
  </si>
  <si>
    <t>-597.569742327797 184.967110303281 -355.867849422025</t>
  </si>
  <si>
    <t>-602.257039383422 163.387271954184 -475.043811257091</t>
  </si>
  <si>
    <t>-599.368066166764 141.803495025364 -582.3780904678</t>
  </si>
  <si>
    <t>-589.615621370057 117.791675035404 -688.788404820781</t>
  </si>
  <si>
    <t>-569.094052006417 81.5655628442207 -835.303144565644</t>
  </si>
  <si>
    <t>-525.266123489944 61.0544718230522 -924.977043922009</t>
  </si>
  <si>
    <t>-571.910590447136 128.047052001465 -777.127154891479</t>
  </si>
  <si>
    <t>-522.521639515325 266.459081700659 -782.449474799427</t>
  </si>
  <si>
    <t>-426.835681000234 316.061570240472 -484.842426361394</t>
  </si>
  <si>
    <t>-232.070510118259 218.878526748438 -342.490528370893</t>
  </si>
  <si>
    <t>-584.43791259997 67.1417500888315 -763.822755496667</t>
  </si>
  <si>
    <t>-387.248956162302 19.9527739528928 -416.600686298671</t>
  </si>
  <si>
    <t>-586.597967527222 299.293932125108 -250.235846292887</t>
  </si>
  <si>
    <t>-581.542862576924 290.165289844645 205.339358413246</t>
  </si>
  <si>
    <t>-618.229271132455 250.543202108983 671.935853175437</t>
  </si>
  <si>
    <t>-460.456776369084 259.567763918179 749.200997123528</t>
  </si>
  <si>
    <t>-563.78971214371 106.460382976882 -225.491549602089</t>
  </si>
  <si>
    <t>-443.305436080815 90.0250826845552 213.679296441025</t>
  </si>
  <si>
    <t>-608.939574192625 9.96304160711225 646.220877535791</t>
  </si>
  <si>
    <t>-457.792683109121 -35.9255179512832 723.631238148791</t>
  </si>
  <si>
    <t>9763-20170724T170141.063173100.bin</t>
  </si>
  <si>
    <t>-576.44214018522 203.506301476316 -238.334212066761</t>
  </si>
  <si>
    <t>-598.861502880444 185.657317255189 -356.005727957357</t>
  </si>
  <si>
    <t>-603.804879347794 164.325975189668 -475.216073339025</t>
  </si>
  <si>
    <t>-601.200746819221 143.055360212758 -582.620131367953</t>
  </si>
  <si>
    <t>-591.778730179907 119.445301685354 -689.150033516526</t>
  </si>
  <si>
    <t>-571.756278239559 83.8694733836112 -835.893030485717</t>
  </si>
  <si>
    <t>-528.165359019681 63.616618214214 -925.740770944338</t>
  </si>
  <si>
    <t>-574.278896778534 130.076422615823 -777.485165882921</t>
  </si>
  <si>
    <t>-523.847212904479 268.140297229074 -781.976488683026</t>
  </si>
  <si>
    <t>-417.651827804827 313.105092302812 -487.21063536745</t>
  </si>
  <si>
    <t>-222.097512066237 219.598793249554 -343.484726269052</t>
  </si>
  <si>
    <t>-586.952310502749 69.1447162693846 -764.442349471857</t>
  </si>
  <si>
    <t>-389.949056092448 24.6753677935308 -416.479285997614</t>
  </si>
  <si>
    <t>-587.72089825254 300.295776167577 -250.42657424267</t>
  </si>
  <si>
    <t>-582.838842136053 290.949063884115 205.14619431734</t>
  </si>
  <si>
    <t>-618.348913671958 251.247774865837 671.807906954629</t>
  </si>
  <si>
    <t>-460.592553399698 259.459072010949 749.196673163699</t>
  </si>
  <si>
    <t>-565.085474091501 106.725788265764 -225.640116404296</t>
  </si>
  <si>
    <t>-444.169645563434 90.9119454406389 213.434989877597</t>
  </si>
  <si>
    <t>-608.932131729434 10.0469047368897 646.213514948266</t>
  </si>
  <si>
    <t>-457.719421604614 -35.7554230174317 723.546444420894</t>
  </si>
  <si>
    <t>9763-20170724T170141.097157300.bin</t>
  </si>
  <si>
    <t>-577.01383652976 203.77039714733 -238.435716298711</t>
  </si>
  <si>
    <t>-599.535670536279 185.974241670151 -356.095594395256</t>
  </si>
  <si>
    <t>-604.576643305962 164.757547980251 -475.322311521075</t>
  </si>
  <si>
    <t>-602.054774768667 143.616098477011 -582.753772473672</t>
  </si>
  <si>
    <t>-592.70650581232 120.161028388921 -689.324590181748</t>
  </si>
  <si>
    <t>-572.775002816175 84.8281977584736 -836.138518365245</t>
  </si>
  <si>
    <t>-529.285699549836 64.6921280793115 -926.061800145209</t>
  </si>
  <si>
    <t>-575.207811128367 130.929252138261 -777.643358574149</t>
  </si>
  <si>
    <t>-524.336522637719 268.837132736988 -781.859841454448</t>
  </si>
  <si>
    <t>-414.824000055018 312.41670810378 -488.1013587911</t>
  </si>
  <si>
    <t>-218.744009196995 220.026438527237 -344.369991100666</t>
  </si>
  <si>
    <t>-587.980373554326 69.9944272008536 -764.712462725254</t>
  </si>
  <si>
    <t>-391.640541657409 26.665210590329 -416.692593634923</t>
  </si>
  <si>
    <t>-588.050141550727 300.702644295292 -250.528000931299</t>
  </si>
  <si>
    <t>-583.347169038252 291.246177151239 205.04435775319</t>
  </si>
  <si>
    <t>-618.379299835732 251.495650650762 671.743415303464</t>
  </si>
  <si>
    <t>-460.643130088217 259.437109960246 749.20136674955</t>
  </si>
  <si>
    <t>-565.960084878218 106.893606528112 -225.697529515557</t>
  </si>
  <si>
    <t>-444.55987491162 91.0080007027839 213.241321643132</t>
  </si>
  <si>
    <t>-608.94493063994 10.0141410549395 646.196831922582</t>
  </si>
  <si>
    <t>-457.66505182846 -35.6726953606126 723.466593269497</t>
  </si>
  <si>
    <t>9763-20170724T170141.163331900.bin</t>
  </si>
  <si>
    <t>-577.972891608502 204.188027129162 -238.653402142595</t>
  </si>
  <si>
    <t>-600.672753531326 186.54567463848 -356.302322582153</t>
  </si>
  <si>
    <t>-605.862354152007 165.616470924915 -475.573383590262</t>
  </si>
  <si>
    <t>-603.455079661779 144.788418300702 -583.068726363279</t>
  </si>
  <si>
    <t>-594.19651613738 121.700880359169 -689.727487550394</t>
  </si>
  <si>
    <t>-574.359186078284 86.9347443712632 -836.689413168029</t>
  </si>
  <si>
    <t>-530.962052441019 67.0432069132735 -926.711722636847</t>
  </si>
  <si>
    <t>-576.638076606174 132.789514318521 -777.994830553951</t>
  </si>
  <si>
    <t>-524.584996744088 270.285100764331 -781.690773029999</t>
  </si>
  <si>
    <t>-412.56335835562 312.253078850012 -488.644677045417</t>
  </si>
  <si>
    <t>-216.059538090605 219.164909096413 -345.94607831949</t>
  </si>
  <si>
    <t>-589.635103156635 71.8458214047614 -765.332004304631</t>
  </si>
  <si>
    <t>-395.148019892952 30.1331958907335 -417.304087683366</t>
  </si>
  <si>
    <t>-588.412189934472 301.141281940729 -250.714705885356</t>
  </si>
  <si>
    <t>-583.959118800867 291.504779141982 204.856423753838</t>
  </si>
  <si>
    <t>-618.335377455506 251.518310147538 671.634510500161</t>
  </si>
  <si>
    <t>-460.652552281639 259.329524723105 749.21424959643</t>
  </si>
  <si>
    <t>-567.457963965976 107.30660863069 -225.922787848048</t>
  </si>
  <si>
    <t>-445.388160233003 91.0491052621189 212.816701519196</t>
  </si>
  <si>
    <t>-608.971101614043 10.2026973955767 646.151342096116</t>
  </si>
  <si>
    <t>-457.675574213093 -35.6435362630327 723.295997301152</t>
  </si>
  <si>
    <t>9763-20170724T170141.198438400.bin</t>
  </si>
  <si>
    <t>-578.379340439862 204.332969907592 -238.730464258224</t>
  </si>
  <si>
    <t>-601.216213690368 186.778281964155 -356.365985325428</t>
  </si>
  <si>
    <t>-606.516558371004 165.9683860886 -475.653194591369</t>
  </si>
  <si>
    <t>-604.19551685638 145.262302293515 -583.173915379715</t>
  </si>
  <si>
    <t>-595.007468291984 122.311298927207 -689.868245158644</t>
  </si>
  <si>
    <t>-575.24986985221 87.7509838634101 -836.889467899855</t>
  </si>
  <si>
    <t>-531.853697018395 67.9272464424719 -926.926961052906</t>
  </si>
  <si>
    <t>-577.461863354534 133.517329320584 -778.123099494183</t>
  </si>
  <si>
    <t>-525.10781848559 270.895441537421 -781.684593940525</t>
  </si>
  <si>
    <t>-412.135427439909 312.663516034869 -488.974980405196</t>
  </si>
  <si>
    <t>-216.199887841021 219.006823809225 -345.867671680282</t>
  </si>
  <si>
    <t>-590.522088889495 72.5683879905741 -765.551038833423</t>
  </si>
  <si>
    <t>-396.811143062958 31.41429952167 -417.278592596383</t>
  </si>
  <si>
    <t>-588.544427033621 301.325431468574 -250.765285870506</t>
  </si>
  <si>
    <t>-583.993141472792 291.591315148965 204.802778885432</t>
  </si>
  <si>
    <t>-618.367259261413 251.654335176977 671.5964665973</t>
  </si>
  <si>
    <t>-460.691906112655 259.154015958336 749.222133351768</t>
  </si>
  <si>
    <t>-568.127520877027 107.424871367741 -226.052011934865</t>
  </si>
  <si>
    <t>-445.824092117118 91.0560118675921 212.618314969383</t>
  </si>
  <si>
    <t>-608.974413138772 10.3478516166863 646.137177604965</t>
  </si>
  <si>
    <t>-457.707731045231 -35.6954874767632 723.22101796537</t>
  </si>
  <si>
    <t>9763-20170724T170141.262608400.bin</t>
  </si>
  <si>
    <t>-579.26950964301 204.515936224713 -238.830405832334</t>
  </si>
  <si>
    <t>-602.418011505915 187.128165819414 -356.429789170686</t>
  </si>
  <si>
    <t>-607.913413755663 166.557797923683 -475.749629866785</t>
  </si>
  <si>
    <t>-605.715106712888 146.097386503855 -583.320076608533</t>
  </si>
  <si>
    <t>-596.592511881096 123.421832743779 -690.0788345533</t>
  </si>
  <si>
    <t>-576.863332688116 89.2749043178869 -837.200425260925</t>
  </si>
  <si>
    <t>-533.410845582357 69.628063418173 -927.24958057943</t>
  </si>
  <si>
    <t>-579.034515833055 134.870540051523 -778.300092904707</t>
  </si>
  <si>
    <t>-526.225972040169 272.068875002855 -781.568726643274</t>
  </si>
  <si>
    <t>-412.231128508858 313.752047098399 -489.243793946277</t>
  </si>
  <si>
    <t>-217.327668540986 219.340117103186 -345.226105763392</t>
  </si>
  <si>
    <t>-592.151229347242 73.8971623843217 -765.907145252418</t>
  </si>
  <si>
    <t>-399.909429597274 33.3074522896411 -416.58731385306</t>
  </si>
  <si>
    <t>-589.048288927906 301.515304532626 -250.761111951015</t>
  </si>
  <si>
    <t>-584.014361224618 291.550350819504 204.796884063345</t>
  </si>
  <si>
    <t>-618.379539381834 251.514290113093 671.593052361398</t>
  </si>
  <si>
    <t>-460.709043412141 259.010469361262 749.228995082001</t>
  </si>
  <si>
    <t>-569.4275996008 107.647173291575 -226.247270664314</t>
  </si>
  <si>
    <t>-446.63300252394 90.8671405186733 212.270108035052</t>
  </si>
  <si>
    <t>-609.01015115573 10.506845146243 646.154261981631</t>
  </si>
  <si>
    <t>-457.727659092767 -35.68719034265 723.116756678249</t>
  </si>
  <si>
    <t>9763-20170724T170141.296715300.bin</t>
  </si>
  <si>
    <t>-579.733599843182 204.608113891256 -238.830246101779</t>
  </si>
  <si>
    <t>-603.019794934481 187.271905481322 -356.410193288882</t>
  </si>
  <si>
    <t>-608.591770257729 166.817721663767 -475.74632255462</t>
  </si>
  <si>
    <t>-606.433570716188 146.488810936724 -583.342403388825</t>
  </si>
  <si>
    <t>-597.319618147464 123.970984380818 -690.135499472493</t>
  </si>
  <si>
    <t>-577.567332442674 90.0711781102113 -837.310970121955</t>
  </si>
  <si>
    <t>-534.070849724168 70.5509653872723 -927.366464565508</t>
  </si>
  <si>
    <t>-579.750610412878 135.568308434671 -778.33523479986</t>
  </si>
  <si>
    <t>-526.865843225259 272.743672093142 -781.450801120958</t>
  </si>
  <si>
    <t>-412.48835557682 314.047531116275 -489.221370595821</t>
  </si>
  <si>
    <t>-218.067200217805 218.955081929541 -344.999651622403</t>
  </si>
  <si>
    <t>-592.863638656487 74.5731548057063 -766.045616124738</t>
  </si>
  <si>
    <t>-401.063664635483 33.7683835707442 -416.126323972866</t>
  </si>
  <si>
    <t>-589.356282756731 301.640797241454 -250.735941531473</t>
  </si>
  <si>
    <t>-584.148463197189 291.604537990137 204.818390992338</t>
  </si>
  <si>
    <t>-618.397181154864 251.50677563688 671.590011183421</t>
  </si>
  <si>
    <t>-460.721226698076 258.79416593558 749.234697421742</t>
  </si>
  <si>
    <t>-570.0211770959 107.709833384317 -226.249563150722</t>
  </si>
  <si>
    <t>-446.860066569797 90.8519010890388 212.162097780288</t>
  </si>
  <si>
    <t>-609.005088693924 10.5566389669298 646.135596148337</t>
  </si>
  <si>
    <t>-457.723078754784 -35.6854828815949 723.070183379022</t>
  </si>
  <si>
    <t>9763-20170724T170141.362882100.bin</t>
  </si>
  <si>
    <t>-580.486519538187 204.890809101029 -238.845965518593</t>
  </si>
  <si>
    <t>-603.929315628408 187.570533629169 -356.396943220307</t>
  </si>
  <si>
    <t>-609.634854320028 167.322513006618 -475.762028740464</t>
  </si>
  <si>
    <t>-607.578130606963 147.257907098841 -583.409888484917</t>
  </si>
  <si>
    <t>-598.539818377049 125.08302536124 -690.280922612048</t>
  </si>
  <si>
    <t>-578.859825118179 91.7413088132764 -837.593704522534</t>
  </si>
  <si>
    <t>-535.331288405414 72.5084553617226 -927.695454607282</t>
  </si>
  <si>
    <t>-581.016094171172 137.015091718129 -778.444972737638</t>
  </si>
  <si>
    <t>-528.129381601623 274.188417016282 -781.191814536663</t>
  </si>
  <si>
    <t>-413.75420647 314.020254036666 -488.757391359868</t>
  </si>
  <si>
    <t>-220.240044105471 218.147310015071 -343.834189350721</t>
  </si>
  <si>
    <t>-594.119098524901 75.973020216494 -766.379738829232</t>
  </si>
  <si>
    <t>-402.824135846989 34.3479222234023 -415.958241577804</t>
  </si>
  <si>
    <t>-589.895324594301 301.982111194328 -250.745842553797</t>
  </si>
  <si>
    <t>-584.547067548784 291.799873489746 204.803725319799</t>
  </si>
  <si>
    <t>-618.456001970685 251.59681115039 671.579009712522</t>
  </si>
  <si>
    <t>-460.775161441098 258.724230397353 749.228629368179</t>
  </si>
  <si>
    <t>-570.912713072606 107.934391819791 -226.255720832968</t>
  </si>
  <si>
    <t>-447.199162953691 91.1128668786434 212.001776065074</t>
  </si>
  <si>
    <t>-608.950562104237 10.666298233903 646.047793187719</t>
  </si>
  <si>
    <t>-457.793923084964 -35.9729113693354 722.989105016595</t>
  </si>
  <si>
    <t>9763-20170724T170141.392965600.bin</t>
  </si>
  <si>
    <t>-580.754376877783 205.036874679786 -238.850618191396</t>
  </si>
  <si>
    <t>-604.220973222517 187.730117989735 -356.398956106237</t>
  </si>
  <si>
    <t>-609.908098242211 167.581706719322 -475.781778468779</t>
  </si>
  <si>
    <t>-607.813911319446 147.640566056291 -583.451677597602</t>
  </si>
  <si>
    <t>-598.715249079102 125.621546483394 -690.349884964516</t>
  </si>
  <si>
    <t>-578.925806583655 92.5289568794719 -837.704095779741</t>
  </si>
  <si>
    <t>-535.357810369046 73.4582713714974 -927.821324590641</t>
  </si>
  <si>
    <t>-581.127252080709 137.702713122399 -778.480845017794</t>
  </si>
  <si>
    <t>-528.208523947718 274.867016415983 -781.027963809942</t>
  </si>
  <si>
    <t>-414.398258423782 314.180999556164 -488.303112728477</t>
  </si>
  <si>
    <t>-221.251744690862 217.772260584705 -343.245120815978</t>
  </si>
  <si>
    <t>-594.236810345592 76.6399955245302 -766.52801783592</t>
  </si>
  <si>
    <t>-403.056489279323 34.3368117234841 -416.300389086257</t>
  </si>
  <si>
    <t>-590.15768969256 302.213398859272 -250.756127580083</t>
  </si>
  <si>
    <t>-584.785243249483 291.962817725592 204.791636574944</t>
  </si>
  <si>
    <t>-618.517327633096 251.717958649952 671.579302372224</t>
  </si>
  <si>
    <t>-460.827113482214 258.718718081596 749.221434772911</t>
  </si>
  <si>
    <t>-571.170736692505 108.013714348261 -226.298307927259</t>
  </si>
  <si>
    <t>-447.340359155017 91.2484078264574 211.928381725177</t>
  </si>
  <si>
    <t>-608.925658308098 10.5702495396392 646.016003927319</t>
  </si>
  <si>
    <t>-457.660955715339 -35.7148343380211 722.958747046017</t>
  </si>
  <si>
    <t>9763-20170724T170141.461144800.bin</t>
  </si>
  <si>
    <t>-581.344131773375 205.44988704396 -238.849195732956</t>
  </si>
  <si>
    <t>-604.851841513595 188.162421767189 -356.392108377521</t>
  </si>
  <si>
    <t>-610.377719610924 168.234629501482 -475.819550722328</t>
  </si>
  <si>
    <t>-608.047128793276 148.571447361078 -583.535652165206</t>
  </si>
  <si>
    <t>-598.617033823569 126.906444880507 -690.477541733573</t>
  </si>
  <si>
    <t>-578.264087211441 94.3836290220113 -837.881846669338</t>
  </si>
  <si>
    <t>-534.488759948669 75.6665536914879 -927.972800045374</t>
  </si>
  <si>
    <t>-580.759140298823 139.340220555887 -778.505214713786</t>
  </si>
  <si>
    <t>-527.941401671256 276.562244541669 -780.457512969761</t>
  </si>
  <si>
    <t>-415.918956265561 314.571103702979 -486.871887658033</t>
  </si>
  <si>
    <t>-223.053698134919 216.707743457209 -342.414895794953</t>
  </si>
  <si>
    <t>-593.780133678753 78.2076804748324 -766.814878824296</t>
  </si>
  <si>
    <t>-402.503928989179 34.1627192073045 -417.015300608185</t>
  </si>
  <si>
    <t>-590.769619678744 302.650388345826 -250.759219578085</t>
  </si>
  <si>
    <t>-585.331860276888 292.263877577278 204.784754566725</t>
  </si>
  <si>
    <t>-618.576025993093 251.786863742391 671.573974616565</t>
  </si>
  <si>
    <t>-460.881676689854 258.642797201432 749.220561404099</t>
  </si>
  <si>
    <t>-571.846950818404 108.355675917936 -226.27624631179</t>
  </si>
  <si>
    <t>-447.546314811771 91.6603370066634 211.820018795624</t>
  </si>
  <si>
    <t>-608.87385234844 10.7537946076604 645.932280649295</t>
  </si>
  <si>
    <t>-457.667360136801 -35.6738825556558 722.903600493317</t>
  </si>
  <si>
    <t>9763-20170724T170141.496927300.bin</t>
  </si>
  <si>
    <t>-581.604530022524 205.621439503001 -238.904397876932</t>
  </si>
  <si>
    <t>-605.095340464905 188.357196048082 -356.454210435202</t>
  </si>
  <si>
    <t>-610.492580306224 168.526754016398 -475.903674717091</t>
  </si>
  <si>
    <t>-607.997181437023 148.982096566861 -583.637836360063</t>
  </si>
  <si>
    <t>-598.351999105815 127.46630795481 -690.590517710012</t>
  </si>
  <si>
    <t>-577.646378797365 95.1826231873051 -837.998321916979</t>
  </si>
  <si>
    <t>-533.738103750714 76.6153138723121 -928.055424436974</t>
  </si>
  <si>
    <t>-580.34130274901 140.05311848332 -778.5651978894</t>
  </si>
  <si>
    <t>-527.783770702152 277.379443126158 -780.216737860992</t>
  </si>
  <si>
    <t>-416.592772634726 315.055513310084 -486.272354795587</t>
  </si>
  <si>
    <t>-223.651603513449 216.747159368911 -342.219635765617</t>
  </si>
  <si>
    <t>-593.27464220406 78.8811745887167 -766.984726693444</t>
  </si>
  <si>
    <t>-401.965735654969 34.0148356114498 -417.382744533449</t>
  </si>
  <si>
    <t>-591.021373798853 302.836376282559 -250.796626816202</t>
  </si>
  <si>
    <t>-585.633536065903 292.378988613394 204.746240183442</t>
  </si>
  <si>
    <t>-618.614703754756 251.889978459084 671.563683450433</t>
  </si>
  <si>
    <t>-460.920151045195 258.739277751702 749.210617902222</t>
  </si>
  <si>
    <t>-572.069222020323 108.548179044287 -226.355345860466</t>
  </si>
  <si>
    <t>-447.764992925361 91.8010508155292 211.737842737021</t>
  </si>
  <si>
    <t>-608.860199756086 10.7632491449315 645.911519805067</t>
  </si>
  <si>
    <t>-457.671911481224 -35.7122554440491 722.889690921829</t>
  </si>
  <si>
    <t>9763-20170724T170141.565104800.bin</t>
  </si>
  <si>
    <t>-582.136987283982 205.78257586241 -238.98649367254</t>
  </si>
  <si>
    <t>-605.575353649785 188.540863231275 -356.550051631691</t>
  </si>
  <si>
    <t>-610.74948902628 168.831799120121 -476.029457281164</t>
  </si>
  <si>
    <t>-607.979343519903 149.437263338472 -583.783970560733</t>
  </si>
  <si>
    <t>-597.984563648384 128.111565053261 -690.742756297238</t>
  </si>
  <si>
    <t>-576.713674255393 96.1333518267134 -838.136594590322</t>
  </si>
  <si>
    <t>-532.538237604202 77.7365350792836 -928.09808672352</t>
  </si>
  <si>
    <t>-579.738628122195 140.898620739963 -778.640130684514</t>
  </si>
  <si>
    <t>-527.728609487368 278.44865992481 -779.946400880734</t>
  </si>
  <si>
    <t>-417.856080648868 315.878944951597 -485.475395454059</t>
  </si>
  <si>
    <t>-224.869290950096 216.690654701004 -342.088347816804</t>
  </si>
  <si>
    <t>-592.512147856123 79.666813847896 -767.198792778487</t>
  </si>
  <si>
    <t>-401.019380879548 33.4679334377802 -417.536249795203</t>
  </si>
  <si>
    <t>-591.595715711189 303.036201106749 -250.860731623342</t>
  </si>
  <si>
    <t>-586.109612101647 292.507551770013 204.67928065653</t>
  </si>
  <si>
    <t>-618.652314500371 251.905152485195 671.543665526563</t>
  </si>
  <si>
    <t>-460.953857165206 258.590868901369 749.196856674195</t>
  </si>
  <si>
    <t>-572.613474763119 108.638597474967 -226.451553206248</t>
  </si>
  <si>
    <t>-448.229527317332 91.9392876443535 211.62082148201</t>
  </si>
  <si>
    <t>-608.866174003894 10.7284617319153 645.93548676487</t>
  </si>
  <si>
    <t>-457.626943305897 -35.6445887096197 722.875375969779</t>
  </si>
  <si>
    <t>9763-20170724T170141.596008500.bin</t>
  </si>
  <si>
    <t>-582.399487017568 205.762351794982 -239.022767683012</t>
  </si>
  <si>
    <t>-605.866552305715 188.533151870636 -356.582329402176</t>
  </si>
  <si>
    <t>-610.991547160912 168.852331345067 -476.068540153179</t>
  </si>
  <si>
    <t>-608.144730800769 149.488792664109 -583.826733572291</t>
  </si>
  <si>
    <t>-598.040816020555 128.199406823564 -690.782399625648</t>
  </si>
  <si>
    <t>-576.584584855251 96.2769923432916 -838.161350694459</t>
  </si>
  <si>
    <t>-532.311431279309 77.9280656881917 -928.084662996314</t>
  </si>
  <si>
    <t>-579.720510998031 141.026042270507 -778.658536121403</t>
  </si>
  <si>
    <t>-527.963352068317 278.667026607127 -779.895878553598</t>
  </si>
  <si>
    <t>-418.595758216886 316.230565682024 -485.253846226653</t>
  </si>
  <si>
    <t>-225.731178924302 216.660043152134 -341.967436505569</t>
  </si>
  <si>
    <t>-592.436090238171 79.7773194239921 -767.243123894682</t>
  </si>
  <si>
    <t>-400.918238649095 33.2750614241099 -417.611072204982</t>
  </si>
  <si>
    <t>-591.886688219783 302.997510113768 -250.874300384458</t>
  </si>
  <si>
    <t>-586.267622478662 292.443018251999 204.663468368881</t>
  </si>
  <si>
    <t>-618.667769235564 251.868708946561 671.553617356303</t>
  </si>
  <si>
    <t>-460.961974433914 258.559220364481 749.191410593717</t>
  </si>
  <si>
    <t>-572.862528317723 108.648022146531 -226.486638318047</t>
  </si>
  <si>
    <t>-448.403152285171 91.9477668744821 211.564307890303</t>
  </si>
  <si>
    <t>-608.871676705963 10.6718319989059 645.950791607337</t>
  </si>
  <si>
    <t>-457.591613748163 -35.6089374009912 722.865963179836</t>
  </si>
  <si>
    <t>9763-20170724T170141.663190100.bin</t>
  </si>
  <si>
    <t>-582.896400392797 205.754667056353 -239.043764852499</t>
  </si>
  <si>
    <t>-606.386789801717 188.525490208827 -356.598663425933</t>
  </si>
  <si>
    <t>-611.431918301096 168.873363523836 -476.093008269301</t>
  </si>
  <si>
    <t>-608.469540561719 149.548057604158 -583.854829042658</t>
  </si>
  <si>
    <t>-598.206182092222 128.309262261661 -690.805449906861</t>
  </si>
  <si>
    <t>-576.482352421116 96.4704037131767 -838.163413308074</t>
  </si>
  <si>
    <t>-532.116158841891 78.226714021484 -928.062244797178</t>
  </si>
  <si>
    <t>-579.790273398694 141.19673287923 -778.652567971467</t>
  </si>
  <si>
    <t>-528.437310884362 278.981214404348 -779.775435877037</t>
  </si>
  <si>
    <t>-419.954348521743 316.544438853999 -484.80643970486</t>
  </si>
  <si>
    <t>-226.972654712555 216.716488727667 -341.85713495816</t>
  </si>
  <si>
    <t>-592.39867202323 79.9194638732652 -767.271482403035</t>
  </si>
  <si>
    <t>-401.024540096807 33.2576628661018 -417.311376808332</t>
  </si>
  <si>
    <t>-592.372082253233 302.907152335508 -250.873827398724</t>
  </si>
  <si>
    <t>-586.584683350301 292.380294609542 204.662516375262</t>
  </si>
  <si>
    <t>-618.710987706133 251.789000575971 671.578340531873</t>
  </si>
  <si>
    <t>-460.985486456062 258.351409840038 749.187005785403</t>
  </si>
  <si>
    <t>-573.323260370634 108.674292039644 -226.519014428127</t>
  </si>
  <si>
    <t>-448.686283771988 91.9464530455773 211.480337058904</t>
  </si>
  <si>
    <t>-608.881875518058 10.697439994213 645.972377986264</t>
  </si>
  <si>
    <t>-457.568077764352 -35.5567426638072 722.837192911321</t>
  </si>
  <si>
    <t>9763-20170724T170141.694822300.bin</t>
  </si>
  <si>
    <t>-582.952632390718 205.631350223234 -239.02473869798</t>
  </si>
  <si>
    <t>-606.479827174263 188.402847017025 -356.5723807687</t>
  </si>
  <si>
    <t>-611.536581779874 168.765653439405 -476.068760996895</t>
  </si>
  <si>
    <t>-608.573375312628 149.460525879738 -583.834157855304</t>
  </si>
  <si>
    <t>-598.29721054552 128.24921925774 -690.788951792551</t>
  </si>
  <si>
    <t>-576.542548872328 96.4563915463889 -838.152292964714</t>
  </si>
  <si>
    <t>-532.187712547135 78.267988510253 -928.067960823082</t>
  </si>
  <si>
    <t>-579.878783228818 141.166828195342 -778.631151092486</t>
  </si>
  <si>
    <t>-528.706885125874 279.027119810583 -779.732193125763</t>
  </si>
  <si>
    <t>-420.549026916307 316.41532905075 -484.621595726693</t>
  </si>
  <si>
    <t>-227.493098467398 216.521550284287 -341.818673479102</t>
  </si>
  <si>
    <t>-592.457851991112 79.8806461849549 -767.266023259735</t>
  </si>
  <si>
    <t>-401.284334288502 33.2620519698412 -417.447557319993</t>
  </si>
  <si>
    <t>-592.43025031583 302.797154650948 -250.866421590882</t>
  </si>
  <si>
    <t>-586.602328713427 292.31156170694 204.670309021879</t>
  </si>
  <si>
    <t>-618.743809544332 251.82539618376 671.587762498096</t>
  </si>
  <si>
    <t>-461.011278928128 258.396122882669 749.181487250326</t>
  </si>
  <si>
    <t>-573.325987878363 108.533991761529 -226.523008224287</t>
  </si>
  <si>
    <t>-448.688145328506 91.9386337986132 211.481203897161</t>
  </si>
  <si>
    <t>-608.874894999445 10.7803331705029 645.969988283223</t>
  </si>
  <si>
    <t>-457.56855773905 -35.5081041149233 722.828870892612</t>
  </si>
  <si>
    <t>9763-20170724T170141.759992700.bin</t>
  </si>
  <si>
    <t>-582.920089320975 205.310821675874 -238.995936234915</t>
  </si>
  <si>
    <t>-606.492900004492 188.051303291773 -356.529986557527</t>
  </si>
  <si>
    <t>-611.590174641345 168.39646448768 -476.021587808706</t>
  </si>
  <si>
    <t>-608.660226117278 149.082693045655 -583.786344622884</t>
  </si>
  <si>
    <t>-598.412854610942 127.871650925167 -690.744048706398</t>
  </si>
  <si>
    <t>-576.692622144057 96.0893662526364 -838.114752534412</t>
  </si>
  <si>
    <t>-532.437256583275 77.9611297704739 -928.091458914068</t>
  </si>
  <si>
    <t>-580.006704748231 140.794117584707 -778.588014669075</t>
  </si>
  <si>
    <t>-529.170373050735 278.777232647911 -779.780151578688</t>
  </si>
  <si>
    <t>-421.83204974695 316.190783972663 -484.373837336061</t>
  </si>
  <si>
    <t>-228.887629146764 215.884676734095 -341.709190604504</t>
  </si>
  <si>
    <t>-592.599598633004 79.5099576676257 -767.227462543558</t>
  </si>
  <si>
    <t>-401.950536936234 33.444578149225 -418.582857642478</t>
  </si>
  <si>
    <t>-592.393199133121 302.589706078557 -250.870471567993</t>
  </si>
  <si>
    <t>-586.521188590863 292.178892900219 204.667596903557</t>
  </si>
  <si>
    <t>-618.813269300877 251.927791066953 671.589026265603</t>
  </si>
  <si>
    <t>-461.076017679736 258.517608973982 749.171440598801</t>
  </si>
  <si>
    <t>-573.353814429994 108.150020705338 -226.440086706839</t>
  </si>
  <si>
    <t>-448.624434115549 91.9292518817913 211.552148854663</t>
  </si>
  <si>
    <t>-608.856747622244 10.8534278736347 645.975267178984</t>
  </si>
  <si>
    <t>-457.532594535492 -35.3940388739557 722.823745307258</t>
  </si>
  <si>
    <t>9763-20170724T170141.794470100.bin</t>
  </si>
  <si>
    <t>-582.866575089285 205.15814686868 -238.980761279677</t>
  </si>
  <si>
    <t>-606.450409750242 187.891275659465 -356.511436731864</t>
  </si>
  <si>
    <t>-611.600204171766 168.21618069895 -475.99753160403</t>
  </si>
  <si>
    <t>-608.734182389464 148.882646538251 -583.760549657153</t>
  </si>
  <si>
    <t>-598.566655353908 127.652005764493 -690.7219496567</t>
  </si>
  <si>
    <t>-576.972959573332 95.8446018816421 -838.105701575517</t>
  </si>
  <si>
    <t>-532.791610152285 77.7187326628994 -928.119343952289</t>
  </si>
  <si>
    <t>-580.231112522059 140.558701176331 -778.58310113387</t>
  </si>
  <si>
    <t>-529.541760541007 278.594178659933 -779.856052033273</t>
  </si>
  <si>
    <t>-422.858805778457 316.138174554029 -484.229034022936</t>
  </si>
  <si>
    <t>-230.004181845579 215.417571024981 -341.735013448829</t>
  </si>
  <si>
    <t>-592.823875736894 79.2780912580592 -767.202846889838</t>
  </si>
  <si>
    <t>-401.878544669935 33.4508691519593 -419.063132958198</t>
  </si>
  <si>
    <t>-592.261257389117 302.429625398667 -250.88204814017</t>
  </si>
  <si>
    <t>-586.440439903631 292.081069864158 204.65787765231</t>
  </si>
  <si>
    <t>-618.816870286191 251.889957758472 671.587509883122</t>
  </si>
  <si>
    <t>-461.079751698426 258.462257828873 749.171690961209</t>
  </si>
  <si>
    <t>-573.41734820141 108.015605521932 -226.404406562071</t>
  </si>
  <si>
    <t>-448.550647424923 91.808239678315 211.549164757762</t>
  </si>
  <si>
    <t>-608.841551688177 10.900261957428 645.974341231706</t>
  </si>
  <si>
    <t>-457.526384772137 -35.3705748838267 722.826403314566</t>
  </si>
  <si>
    <t>9763-20170724T170141.864660300.bin</t>
  </si>
  <si>
    <t>-582.719587582614 204.94944854956 -239.025032180671</t>
  </si>
  <si>
    <t>-606.307541308657 187.753847324837 -356.565367516521</t>
  </si>
  <si>
    <t>-611.515506231297 168.089928591168 -476.050802234003</t>
  </si>
  <si>
    <t>-608.724815947379 148.74984065254 -583.814571279327</t>
  </si>
  <si>
    <t>-598.654768819166 127.50062029485 -690.781397288801</t>
  </si>
  <si>
    <t>-577.218539968503 95.6595768460197 -838.181062677792</t>
  </si>
  <si>
    <t>-533.139487063312 77.5375952133834 -928.245596081075</t>
  </si>
  <si>
    <t>-580.422757150328 140.388880946058 -778.66682712628</t>
  </si>
  <si>
    <t>-529.865841316753 278.46248990045 -780.004013976172</t>
  </si>
  <si>
    <t>-425.096881760931 316.443451106444 -483.748853512273</t>
  </si>
  <si>
    <t>-232.287209019337 215.020056418086 -341.693307446608</t>
  </si>
  <si>
    <t>-592.984076745701 79.1075902898174 -767.255765699435</t>
  </si>
  <si>
    <t>-401.275601527134 33.5098663932943 -419.735889666408</t>
  </si>
  <si>
    <t>-591.910235856766 302.235605737105 -250.895319768983</t>
  </si>
  <si>
    <t>-586.157976213526 291.893129384436 204.645631386573</t>
  </si>
  <si>
    <t>-618.868353741447 251.885417688355 671.597773812497</t>
  </si>
  <si>
    <t>-461.12294940925 258.39281957495 749.170710832512</t>
  </si>
  <si>
    <t>-573.487205609458 107.817871405649 -226.481993260099</t>
  </si>
  <si>
    <t>-448.699292489727 91.5365399615246 211.491287222862</t>
  </si>
  <si>
    <t>-608.846353022568 10.9429907255851 646.058717802402</t>
  </si>
  <si>
    <t>-457.574888855356 -35.5043858867298 722.890286653043</t>
  </si>
  <si>
    <t>9763-20170724T170141.898759500.bin</t>
  </si>
  <si>
    <t>-582.650470697061 204.920202815804 -239.020807556858</t>
  </si>
  <si>
    <t>-606.215256536088 187.768004520791 -356.571992312519</t>
  </si>
  <si>
    <t>-611.450334512901 168.149138919303 -476.06368853697</t>
  </si>
  <si>
    <t>-608.703742442 148.854394536463 -583.836675929214</t>
  </si>
  <si>
    <t>-598.696234044847 127.657912454097 -690.819831681478</t>
  </si>
  <si>
    <t>-577.364598220334 95.8996823260345 -838.252563435892</t>
  </si>
  <si>
    <t>-533.327410214594 77.8065122828293 -928.343339366412</t>
  </si>
  <si>
    <t>-580.546460111758 140.599026146835 -778.714552311137</t>
  </si>
  <si>
    <t>-530.045182269552 278.69116995832 -780.000519776788</t>
  </si>
  <si>
    <t>-426.118012164251 316.587812194466 -483.438245996852</t>
  </si>
  <si>
    <t>-233.121165414492 215.123746382979 -341.666209519629</t>
  </si>
  <si>
    <t>-593.059932431286 79.3043781771478 -767.321819886291</t>
  </si>
  <si>
    <t>-400.607132607325 33.5038000608056 -419.673694904357</t>
  </si>
  <si>
    <t>-591.731539212624 302.17457492818 -250.881991164382</t>
  </si>
  <si>
    <t>-585.97899772935 291.817056244307 204.658645363093</t>
  </si>
  <si>
    <t>-618.887431472489 251.860002074055 671.600702696222</t>
  </si>
  <si>
    <t>-461.13930076525 258.270168349056 749.176095730175</t>
  </si>
  <si>
    <t>-573.49784072652 107.835469630465 -226.498179167216</t>
  </si>
  <si>
    <t>-448.769502774855 91.3155444038548 211.483129801384</t>
  </si>
  <si>
    <t>-608.86007535515 10.9455534493632 646.115460247237</t>
  </si>
  <si>
    <t>-457.547198128675 -35.4019814850901 722.925768215697</t>
  </si>
  <si>
    <t>9763-20170724T170141.963928400.bin</t>
  </si>
  <si>
    <t>-582.347187716221 204.632362496068 -238.958156010569</t>
  </si>
  <si>
    <t>-605.930742087939 187.507019293522 -356.509584901544</t>
  </si>
  <si>
    <t>-611.21286450589 167.94464644165 -476.008469439954</t>
  </si>
  <si>
    <t>-608.517878880543 148.718338666206 -583.795008553435</t>
  </si>
  <si>
    <t>-598.568681473405 127.610705017494 -690.801265819316</t>
  </si>
  <si>
    <t>-577.322633080942 95.9998674231128 -838.277857243859</t>
  </si>
  <si>
    <t>-533.380604357571 77.9762137170715 -928.428950967932</t>
  </si>
  <si>
    <t>-580.526649054082 140.649172783613 -778.703517545746</t>
  </si>
  <si>
    <t>-530.258987415132 278.837773745482 -779.877745549318</t>
  </si>
  <si>
    <t>-426.914503737967 316.402694871078 -483.069775117079</t>
  </si>
  <si>
    <t>-233.742457744509 214.981391509766 -341.506014648928</t>
  </si>
  <si>
    <t>-592.920075045398 79.3240898161039 -767.344415597929</t>
  </si>
  <si>
    <t>-399.812774504874 32.8406643370352 -419.600713777351</t>
  </si>
  <si>
    <t>-591.381826726086 301.79399714285 -250.820897314863</t>
  </si>
  <si>
    <t>-585.577715380555 291.503848427605 204.720568924866</t>
  </si>
  <si>
    <t>-618.841290676407 251.587587234986 671.619684594289</t>
  </si>
  <si>
    <t>-461.108189096797 258.269057226055 749.202734586891</t>
  </si>
  <si>
    <t>-573.211996231842 107.580256803434 -226.441518391115</t>
  </si>
  <si>
    <t>-448.636061404872 91.1432428086976 211.586221823398</t>
  </si>
  <si>
    <t>-608.867809904222 10.9885749972514 646.177175923472</t>
  </si>
  <si>
    <t>-457.60616317939 -35.5609405961038 722.966274956686</t>
  </si>
  <si>
    <t>9763-20170724T170141.995059900.bin</t>
  </si>
  <si>
    <t>-582.121941633813 204.476399085194 -238.931735056867</t>
  </si>
  <si>
    <t>-605.698669554402 187.312685742493 -356.478983618181</t>
  </si>
  <si>
    <t>-610.987387919261 167.743820695873 -475.976501739796</t>
  </si>
  <si>
    <t>-608.302483573268 148.525065452031 -583.764583498573</t>
  </si>
  <si>
    <t>-598.366634891166 127.438428796177 -690.776262880821</t>
  </si>
  <si>
    <t>-577.141625288629 95.8708846406764 -838.265149799814</t>
  </si>
  <si>
    <t>-533.252423817772 77.8958680680032 -928.451750571518</t>
  </si>
  <si>
    <t>-580.34615739705 140.504255453181 -778.679162402572</t>
  </si>
  <si>
    <t>-530.142418490784 278.707099072868 -779.802021112779</t>
  </si>
  <si>
    <t>-426.87995674987 316.40851930147 -482.982787483737</t>
  </si>
  <si>
    <t>-233.71090318821 214.917416158562 -341.464869137968</t>
  </si>
  <si>
    <t>-592.719931128818 79.1727932180822 -767.332809537306</t>
  </si>
  <si>
    <t>-399.468705215808 32.3531304515091 -419.775064966144</t>
  </si>
  <si>
    <t>-591.201387697732 301.650781539529 -250.802813114731</t>
  </si>
  <si>
    <t>-585.434373807302 291.425712462431 204.740682106524</t>
  </si>
  <si>
    <t>-618.858858095419 251.583431162857 671.633984919939</t>
  </si>
  <si>
    <t>-461.117405044416 258.127574524271 749.211762400498</t>
  </si>
  <si>
    <t>-572.93541465954 107.379278828012 -226.389523372669</t>
  </si>
  <si>
    <t>-448.475809780891 91.1546641635744 211.679310152808</t>
  </si>
  <si>
    <t>-608.846768251969 11.0588539040996 646.179108261952</t>
  </si>
  <si>
    <t>-457.559210304516 -35.3966298628761 722.97411268306</t>
  </si>
  <si>
    <t>9763-20170724T170142.062233400.bin</t>
  </si>
  <si>
    <t>-581.608891200438 204.201780666956 -238.945829526353</t>
  </si>
  <si>
    <t>-605.0730514731 187.012109542489 -356.511833710141</t>
  </si>
  <si>
    <t>-610.334823406096 167.44498907482 -476.010824720517</t>
  </si>
  <si>
    <t>-607.659953945737 148.239944588927 -583.801578530861</t>
  </si>
  <si>
    <t>-597.76779534033 127.179528482152 -690.822512411187</t>
  </si>
  <si>
    <t>-576.637519346173 95.6614517768141 -838.335565661878</t>
  </si>
  <si>
    <t>-532.792764920446 77.7667730206063 -928.55971763929</t>
  </si>
  <si>
    <t>-579.80597939118 140.275272013563 -778.73288953352</t>
  </si>
  <si>
    <t>-529.660972574717 278.506977279799 -779.857577285546</t>
  </si>
  <si>
    <t>-426.854677089944 316.72819613985 -482.946389986758</t>
  </si>
  <si>
    <t>-233.822771631846 215.060004400439 -341.368528861038</t>
  </si>
  <si>
    <t>-592.168021174564 78.9392748000282 -767.398320931717</t>
  </si>
  <si>
    <t>-398.554311098467 31.6898993888906 -420.574617364084</t>
  </si>
  <si>
    <t>-590.820089614771 301.398050586092 -250.801902938162</t>
  </si>
  <si>
    <t>-585.252806831763 291.267814417396 204.746134121326</t>
  </si>
  <si>
    <t>-618.894452772898 251.495039384677 671.662891841368</t>
  </si>
  <si>
    <t>-461.140456768156 258.258003548533 749.196482257942</t>
  </si>
  <si>
    <t>-572.297987647655 107.12086457661 -226.413124512678</t>
  </si>
  <si>
    <t>-448.238770147147 91.1567149482476 211.778802209178</t>
  </si>
  <si>
    <t>-608.794601897469 10.9966927677542 646.210295124408</t>
  </si>
  <si>
    <t>-457.529332379511 -35.4508360198997 723.05403499099</t>
  </si>
  <si>
    <t>9763-20170724T170142.094349100.bin</t>
  </si>
  <si>
    <t>-581.47923998506 204.218750604527 -238.942099272429</t>
  </si>
  <si>
    <t>-604.907801951616 187.054598298336 -356.51888954449</t>
  </si>
  <si>
    <t>-610.183106045561 167.475849963204 -476.015291128353</t>
  </si>
  <si>
    <t>-607.541830573156 148.246882120948 -583.802820885707</t>
  </si>
  <si>
    <t>-597.705227624034 127.149834257249 -690.821407976384</t>
  </si>
  <si>
    <t>-576.675325788583 95.5686372590296 -838.335399876451</t>
  </si>
  <si>
    <t>-532.872413148697 77.6453701629616 -928.574252893679</t>
  </si>
  <si>
    <t>-579.790748128692 140.205803167675 -778.74748723333</t>
  </si>
  <si>
    <t>-529.730685029533 278.478611536982 -779.924703055661</t>
  </si>
  <si>
    <t>-427.444545858501 317.062698673078 -482.880917831861</t>
  </si>
  <si>
    <t>-234.695365109945 214.986056072851 -341.211730439795</t>
  </si>
  <si>
    <t>-592.170058769083 78.8789040460513 -767.382847297738</t>
  </si>
  <si>
    <t>-398.297462562704 31.6689511061188 -420.591267032286</t>
  </si>
  <si>
    <t>-590.680329632803 301.398970838941 -250.792880311556</t>
  </si>
  <si>
    <t>-585.194667512632 291.314959572237 204.757185777242</t>
  </si>
  <si>
    <t>-618.948118649924 251.63768341807 671.660788443673</t>
  </si>
  <si>
    <t>-461.187214964064 258.253712291918 749.192917438288</t>
  </si>
  <si>
    <t>-572.258162971739 107.185441983494 -226.396238124152</t>
  </si>
  <si>
    <t>-448.150332958256 91.1244976846049 211.778331206488</t>
  </si>
  <si>
    <t>-608.752168148871 11.1000955939842 646.20141611931</t>
  </si>
  <si>
    <t>-457.553199022021 -35.4767170384218 723.097385991916</t>
  </si>
  <si>
    <t>9763-20170724T170142.169528800.bin</t>
  </si>
  <si>
    <t>-581.114300643687 204.135142710931 -238.952932285448</t>
  </si>
  <si>
    <t>-604.543305998177 187.046022231388 -356.540457981417</t>
  </si>
  <si>
    <t>-609.799279442597 167.424744877245 -476.030876465611</t>
  </si>
  <si>
    <t>-607.136482168773 148.113294549666 -583.803093835372</t>
  </si>
  <si>
    <t>-597.276408749668 126.892678430016 -690.795048236975</t>
  </si>
  <si>
    <t>-576.21391348481 95.0991325205373 -838.258810648877</t>
  </si>
  <si>
    <t>-532.446409723064 77.0520943772297 -928.490228157771</t>
  </si>
  <si>
    <t>-579.342088974329 139.821890973275 -778.735709541066</t>
  </si>
  <si>
    <t>-529.386426495169 278.118854014912 -780.122462232393</t>
  </si>
  <si>
    <t>-428.984622250604 317.87207903528 -482.590404253444</t>
  </si>
  <si>
    <t>-237.03968570275 214.348538255803 -340.878929940656</t>
  </si>
  <si>
    <t>-591.724782080859 78.5116362593692 -767.285708748015</t>
  </si>
  <si>
    <t>-397.446836269179 31.9145773645928 -420.213525259817</t>
  </si>
  <si>
    <t>-590.101173743673 301.330039867444 -250.794207153078</t>
  </si>
  <si>
    <t>-584.704668517152 291.316407093785 204.758416925293</t>
  </si>
  <si>
    <t>-618.999563111441 251.863239016184 671.618195577176</t>
  </si>
  <si>
    <t>-461.260380096272 258.28230774531 749.211111933997</t>
  </si>
  <si>
    <t>-572.024236842579 107.021945786509 -226.449720877655</t>
  </si>
  <si>
    <t>-447.947776299408 90.9082015381018 211.73175424612</t>
  </si>
  <si>
    <t>-608.671220774542 11.0463960367465 646.164236916322</t>
  </si>
  <si>
    <t>-457.461293176749 -35.2967074826697 723.179720749265</t>
  </si>
  <si>
    <t>9763-20170724T170142.192600500.bin</t>
  </si>
  <si>
    <t>-580.87702530563 204.105817748435 -238.961545926593</t>
  </si>
  <si>
    <t>-604.35410097985 187.049801872429 -356.544351376347</t>
  </si>
  <si>
    <t>-609.62302599657 167.392038527535 -476.028050626009</t>
  </si>
  <si>
    <t>-606.959662152375 148.021235564409 -583.789553096322</t>
  </si>
  <si>
    <t>-597.08797476689 126.716518709554 -690.76397668359</t>
  </si>
  <si>
    <t>-575.998918933025 94.7819598351768 -838.193335467619</t>
  </si>
  <si>
    <t>-532.262647623931 76.6453198572142 -928.421962983446</t>
  </si>
  <si>
    <t>-579.135951987617 139.561459390171 -778.713340348663</t>
  </si>
  <si>
    <t>-529.167457524937 277.860269170872 -780.123923105623</t>
  </si>
  <si>
    <t>-430.199309354928 317.940282175789 -482.155590827409</t>
  </si>
  <si>
    <t>-238.37631640278 213.902523476748 -340.656025439146</t>
  </si>
  <si>
    <t>-591.524362560989 78.2626706766948 -767.207582893878</t>
  </si>
  <si>
    <t>-397.274675775812 32.1018570948831 -420.076884588852</t>
  </si>
  <si>
    <t>-589.708989342986 301.25086499605 -250.80329022918</t>
  </si>
  <si>
    <t>-584.277736816126 291.231023693031 204.7488821621</t>
  </si>
  <si>
    <t>-618.945960010413 251.762363657276 671.584834052454</t>
  </si>
  <si>
    <t>-461.247177245482 258.579624695132 749.225894764295</t>
  </si>
  <si>
    <t>-571.954455347325 107.04481412156 -226.442942989808</t>
  </si>
  <si>
    <t>-447.799176644827 90.8791638266064 211.714380568257</t>
  </si>
  <si>
    <t>-608.627063073705 11.1623237569838 646.13527492725</t>
  </si>
  <si>
    <t>-457.547040998822 -35.4915424473211 723.218075904029</t>
  </si>
  <si>
    <t>9763-20170724T170142.262786100.bin</t>
  </si>
  <si>
    <t>-580.44867935769 204.169565075981 -238.98265140183</t>
  </si>
  <si>
    <t>-603.878427703009 187.149755882876 -356.58015149604</t>
  </si>
  <si>
    <t>-609.081692301421 167.440933616442 -476.058423021118</t>
  </si>
  <si>
    <t>-606.354955196342 147.990537118933 -583.803946762348</t>
  </si>
  <si>
    <t>-596.418123100588 126.573972731124 -690.749936736862</t>
  </si>
  <si>
    <t>-575.238618748072 94.4514739348178 -838.125574452235</t>
  </si>
  <si>
    <t>-531.516920541571 76.1751240877873 -928.332932397126</t>
  </si>
  <si>
    <t>-578.394492822232 139.303602306566 -778.701431170175</t>
  </si>
  <si>
    <t>-527.72964248691 277.340256569258 -779.432292115048</t>
  </si>
  <si>
    <t>-430.903437267233 318.407569659458 -480.895291282118</t>
  </si>
  <si>
    <t>-239.089811197021 213.890377453216 -339.736675930602</t>
  </si>
  <si>
    <t>-590.825327352937 78.0255817226412 -767.131530653869</t>
  </si>
  <si>
    <t>-396.973403952331 32.5240772179955 -420.018912249892</t>
  </si>
  <si>
    <t>-589.13160598553 301.465715662711 -250.832620210245</t>
  </si>
  <si>
    <t>-583.730532701214 291.407699124474 204.719033946489</t>
  </si>
  <si>
    <t>-618.986274829825 252.072397229349 671.504769820333</t>
  </si>
  <si>
    <t>-461.326504707602 258.276720866082 749.276298904939</t>
  </si>
  <si>
    <t>-571.628946790551 107.015968818691 -226.49081705086</t>
  </si>
  <si>
    <t>-447.61550584872 90.8571049046254 211.706851716777</t>
  </si>
  <si>
    <t>-608.564456291855 11.0922893312888 646.105733142763</t>
  </si>
  <si>
    <t>-457.407139135045 -35.2000181295562 723.254931643723</t>
  </si>
  <si>
    <t>9763-20170724T170142.298900100.bin</t>
  </si>
  <si>
    <t>-580.259869978448 204.167033413925 -238.970432258081</t>
  </si>
  <si>
    <t>-603.67146953201 187.158873585718 -356.573310515042</t>
  </si>
  <si>
    <t>-608.850021246854 167.424566135043 -476.048402347505</t>
  </si>
  <si>
    <t>-606.100174528718 147.935089614467 -583.786204334471</t>
  </si>
  <si>
    <t>-596.140595724533 126.463382539259 -690.719058321354</t>
  </si>
  <si>
    <t>-574.931086044866 94.2472535535305 -838.069877814105</t>
  </si>
  <si>
    <t>-531.205012139714 75.8919949276469 -928.25909004412</t>
  </si>
  <si>
    <t>-578.084464120933 139.134792430377 -778.672222059152</t>
  </si>
  <si>
    <t>-527.360927779706 277.170643192624 -779.374080008914</t>
  </si>
  <si>
    <t>-431.190057506975 318.825204560972 -480.706579378032</t>
  </si>
  <si>
    <t>-239.244298706291 214.366403853402 -339.684496014573</t>
  </si>
  <si>
    <t>-590.546839116361 77.8689671131963 -767.071216226791</t>
  </si>
  <si>
    <t>-396.934885707169 32.498241038254 -420.111018961582</t>
  </si>
  <si>
    <t>-588.927156931496 301.498431127445 -250.834209403228</t>
  </si>
  <si>
    <t>-583.575415764792 291.418714565905 204.717621205675</t>
  </si>
  <si>
    <t>-618.997228806011 252.157537710277 671.478485154245</t>
  </si>
  <si>
    <t>-461.362886732434 258.476916878753 749.292361759734</t>
  </si>
  <si>
    <t>-571.492087959809 106.989734977472 -226.472905112444</t>
  </si>
  <si>
    <t>-447.4237074692 90.8312373492174 211.709333971305</t>
  </si>
  <si>
    <t>-608.527313329604 10.9759471566786 646.072407996473</t>
  </si>
  <si>
    <t>-457.324837977174 -35.1089095973539 723.257338182047</t>
  </si>
  <si>
    <t>9763-20170724T170142.366080300.bin</t>
  </si>
  <si>
    <t>-579.928441048524 204.27824063184 -239.021687820257</t>
  </si>
  <si>
    <t>-603.371226563997 187.249370922071 -356.615334466106</t>
  </si>
  <si>
    <t>-608.578907053632 167.405800577463 -476.071101930419</t>
  </si>
  <si>
    <t>-605.858326238342 147.779629159822 -583.784995284853</t>
  </si>
  <si>
    <t>-595.933849397514 126.131945701854 -690.685446895547</t>
  </si>
  <si>
    <t>-574.78205809323 93.6293796855296 -837.981683433264</t>
  </si>
  <si>
    <t>-531.056994137065 75.0673593287827 -928.129158515593</t>
  </si>
  <si>
    <t>-577.866885979813 138.624680051325 -778.661995839315</t>
  </si>
  <si>
    <t>-527.263168181959 276.689413604591 -779.701135377152</t>
  </si>
  <si>
    <t>-432.129065540501 319.876405267431 -480.919356324232</t>
  </si>
  <si>
    <t>-240.16105739072 215.388647821302 -339.949026140541</t>
  </si>
  <si>
    <t>-590.415235250846 77.3968309369027 -766.95334841426</t>
  </si>
  <si>
    <t>-397.090500965376 32.3228015678983 -420.323668223669</t>
  </si>
  <si>
    <t>-588.573017456655 301.544535150221 -250.882286682938</t>
  </si>
  <si>
    <t>-583.175168103075 291.455455548484 204.668772269911</t>
  </si>
  <si>
    <t>-618.937615579096 252.089428594573 671.399326693493</t>
  </si>
  <si>
    <t>-461.360821212607 258.559311543329 749.317243913454</t>
  </si>
  <si>
    <t>-571.196294550001 107.090438142942 -226.500727536122</t>
  </si>
  <si>
    <t>-447.144451455893 91.1096233676269 211.692657876295</t>
  </si>
  <si>
    <t>-608.435520171371 11.1807699184942 645.982048783938</t>
  </si>
  <si>
    <t>-457.423618306954 -35.3528217678579 723.270676951667</t>
  </si>
  <si>
    <t>9763-20170724T170142.399177000.bin</t>
  </si>
  <si>
    <t>-579.878110479892 204.358348376365 -239.029006445968</t>
  </si>
  <si>
    <t>-603.327165014378 187.3494048196 -356.62432556143</t>
  </si>
  <si>
    <t>-608.528981867432 167.460363012745 -476.072712255626</t>
  </si>
  <si>
    <t>-605.800804726539 147.766242744009 -583.773971596556</t>
  </si>
  <si>
    <t>-595.868253234997 126.023985417298 -690.654558149623</t>
  </si>
  <si>
    <t>-574.70636244285 93.3627293669756 -837.914284701824</t>
  </si>
  <si>
    <t>-530.967224731763 74.6899876814746 -928.031935662264</t>
  </si>
  <si>
    <t>-577.773799731335 138.418351200997 -778.639318583021</t>
  </si>
  <si>
    <t>-527.292619873713 276.522051754883 -779.950157400757</t>
  </si>
  <si>
    <t>-433.025341083158 320.785734556971 -481.051111845528</t>
  </si>
  <si>
    <t>-241.219875561538 215.969998283246 -340.103138774923</t>
  </si>
  <si>
    <t>-590.365869806999 77.2103801885489 -766.873425379909</t>
  </si>
  <si>
    <t>-397.117752856142 32.1715296213572 -420.443403513008</t>
  </si>
  <si>
    <t>-588.439671641846 301.636384263479 -250.889921442545</t>
  </si>
  <si>
    <t>-582.986497315917 291.483640251701 204.658986880532</t>
  </si>
  <si>
    <t>-618.95970191251 252.167225038165 671.379513180944</t>
  </si>
  <si>
    <t>-461.394824363045 258.500435902628 749.332723191776</t>
  </si>
  <si>
    <t>-571.236664671648 107.18169325747 -226.515778747664</t>
  </si>
  <si>
    <t>-447.120233656442 91.1541901428063 211.657551488438</t>
  </si>
  <si>
    <t>-608.396789014922 11.1752503635737 645.948635430481</t>
  </si>
  <si>
    <t>-457.410408891469 -35.3783783245699 723.275043069372</t>
  </si>
  <si>
    <t>9763-20170724T170142.463346500.bin</t>
  </si>
  <si>
    <t>-580.043119907568 204.601270330175 -239.104801005716</t>
  </si>
  <si>
    <t>-603.578484703267 187.668127850427 -356.693823089566</t>
  </si>
  <si>
    <t>-608.807443941947 167.709476238259 -476.129420996475</t>
  </si>
  <si>
    <t>-606.084593701402 147.894658294063 -583.808609626203</t>
  </si>
  <si>
    <t>-596.141341168184 125.975567986587 -690.652142123029</t>
  </si>
  <si>
    <t>-574.951287892532 93.0110297381782 -837.840204215946</t>
  </si>
  <si>
    <t>-531.181761618168 74.1091014734629 -927.895286027707</t>
  </si>
  <si>
    <t>-577.999109481612 138.183304230313 -778.653198447789</t>
  </si>
  <si>
    <t>-527.597837313311 276.317227858563 -780.346975736551</t>
  </si>
  <si>
    <t>-436.498305815873 322.24824054512 -480.718166182559</t>
  </si>
  <si>
    <t>-244.690976943273 216.728120194939 -340.299212433598</t>
  </si>
  <si>
    <t>-590.655343787551 77.0103530455324 -766.774855425226</t>
  </si>
  <si>
    <t>-397.17851059638 31.9243103398046 -420.646007818233</t>
  </si>
  <si>
    <t>-588.397658223788 301.876135449583 -250.913614626032</t>
  </si>
  <si>
    <t>-582.763777908197 291.554314998094 204.629258204258</t>
  </si>
  <si>
    <t>-618.956304544919 252.19896791993 671.319659509236</t>
  </si>
  <si>
    <t>-461.424140803825 258.458654671371 749.344954407</t>
  </si>
  <si>
    <t>-571.598087836557 107.442427944832 -226.644769378372</t>
  </si>
  <si>
    <t>-447.458974167697 91.2940966302438 211.517644568455</t>
  </si>
  <si>
    <t>-608.349576480944 11.2966560971092 645.952757878682</t>
  </si>
  <si>
    <t>-457.394943528754 -35.3089833623826 723.309879114442</t>
  </si>
  <si>
    <t>9763-20170724T170142.496972800.bin</t>
  </si>
  <si>
    <t>-580.225959755117 204.752889009545 -239.148664496273</t>
  </si>
  <si>
    <t>-603.790763510696 187.86815679311 -356.738694979325</t>
  </si>
  <si>
    <t>-609.026026917232 167.911627161931 -476.174368767542</t>
  </si>
  <si>
    <t>-606.300659232831 148.081509635593 -583.850706062113</t>
  </si>
  <si>
    <t>-596.347541754554 126.130545599487 -690.686718649331</t>
  </si>
  <si>
    <t>-575.136680977231 93.1060624552074 -837.858405232454</t>
  </si>
  <si>
    <t>-531.349111703449 74.1082524163128 -927.884530427299</t>
  </si>
  <si>
    <t>-578.188629131717 138.301544488653 -778.689538087192</t>
  </si>
  <si>
    <t>-527.775646121624 276.422600506612 -780.39807219411</t>
  </si>
  <si>
    <t>-438.41041297647 322.760191239052 -480.310013629271</t>
  </si>
  <si>
    <t>-246.449800965378 216.959506801262 -340.312191413588</t>
  </si>
  <si>
    <t>-590.855063981271 77.1350701584704 -766.78949286269</t>
  </si>
  <si>
    <t>-397.212792530457 32.0077327211895 -420.662974359807</t>
  </si>
  <si>
    <t>-588.473440117565 302.045257750638 -250.928168651258</t>
  </si>
  <si>
    <t>-582.810296547101 291.616402516383 204.612018262949</t>
  </si>
  <si>
    <t>-618.951685077035 252.163592353495 671.304546865422</t>
  </si>
  <si>
    <t>-461.431933894363 258.459656817895 749.351989033851</t>
  </si>
  <si>
    <t>-571.911292058014 107.584521739602 -226.684211634682</t>
  </si>
  <si>
    <t>-447.691532940014 91.2616957935811 211.448976688229</t>
  </si>
  <si>
    <t>-608.343514169589 11.1820726098672 645.975258811055</t>
  </si>
  <si>
    <t>-457.345470591875 -35.292581391863 723.326436080146</t>
  </si>
  <si>
    <t>9763-20170724T170142.564150900.bin</t>
  </si>
  <si>
    <t>-580.815312108563 205.26632636913 -239.145981173941</t>
  </si>
  <si>
    <t>-604.435362512406 188.421525818599 -356.730535319353</t>
  </si>
  <si>
    <t>-609.700098480963 168.473901937429 -476.166496302647</t>
  </si>
  <si>
    <t>-606.990962753312 148.64193546677 -583.84295436257</t>
  </si>
  <si>
    <t>-597.043528786346 126.681313619205 -690.677555136067</t>
  </si>
  <si>
    <t>-575.829596965713 93.636387258088 -837.844084899843</t>
  </si>
  <si>
    <t>-531.956508790984 74.500990782921 -927.799463201095</t>
  </si>
  <si>
    <t>-578.893983662522 138.84212252241 -778.683586106193</t>
  </si>
  <si>
    <t>-528.75771809075 277.062574755659 -780.406503566055</t>
  </si>
  <si>
    <t>-441.488422172284 324.038429337597 -479.801143668953</t>
  </si>
  <si>
    <t>-249.264945874621 217.771987598635 -340.518584185121</t>
  </si>
  <si>
    <t>-591.538233061912 77.6733478575388 -766.771308737207</t>
  </si>
  <si>
    <t>-397.760816353289 32.0816536537016 -420.597123702278</t>
  </si>
  <si>
    <t>-589.014999133395 302.593971904686 -250.9302157918</t>
  </si>
  <si>
    <t>-583.21827482552 291.998453756424 204.60448484338</t>
  </si>
  <si>
    <t>-618.998401371847 252.208517068681 671.302684731903</t>
  </si>
  <si>
    <t>-461.477215465999 258.256622916904 749.366767381418</t>
  </si>
  <si>
    <t>-572.53573483689 108.097537466057 -226.681330412784</t>
  </si>
  <si>
    <t>-448.128886717208 91.548623023094 211.39023802082</t>
  </si>
  <si>
    <t>-608.359596230685 11.2831760881397 646.033633728514</t>
  </si>
  <si>
    <t>-457.36908728072 -35.3149814567025 723.325219427463</t>
  </si>
  <si>
    <t>9763-20170724T170142.595630100.bin</t>
  </si>
  <si>
    <t>-581.142614104023 205.51790290707 -239.129078759198</t>
  </si>
  <si>
    <t>-604.795472662388 188.664448277786 -356.705921820974</t>
  </si>
  <si>
    <t>-610.069235925631 168.718942770705 -476.141863444723</t>
  </si>
  <si>
    <t>-607.357934163743 148.892934160187 -583.81927572271</t>
  </si>
  <si>
    <t>-597.397893996868 126.941849749475 -690.6546719991</t>
  </si>
  <si>
    <t>-576.155206788089 93.9143171884666 -837.821042813355</t>
  </si>
  <si>
    <t>-532.219302781772 74.7504991073613 -927.739679518594</t>
  </si>
  <si>
    <t>-579.238677888298 139.114422916723 -778.657173929628</t>
  </si>
  <si>
    <t>-529.221471901987 277.38646757379 -780.43901430381</t>
  </si>
  <si>
    <t>-442.63242478499 324.571593306624 -479.669842381397</t>
  </si>
  <si>
    <t>-250.373608536647 218.062314912903 -340.621820293871</t>
  </si>
  <si>
    <t>-591.87013889176 77.9417460808754 -766.751845940869</t>
  </si>
  <si>
    <t>-398.083432093617 32.0322136883553 -420.614089429537</t>
  </si>
  <si>
    <t>-589.353715252501 302.848444939407 -250.924714640425</t>
  </si>
  <si>
    <t>-583.446381594477 292.145389047651 204.605997187387</t>
  </si>
  <si>
    <t>-619.011279146639 252.207578884178 671.300744538531</t>
  </si>
  <si>
    <t>-461.490500472679 258.252670134843 749.366026095627</t>
  </si>
  <si>
    <t>-572.835989833983 108.328867938342 -226.655898520891</t>
  </si>
  <si>
    <t>-448.297131399228 91.7107589406453 211.375603264549</t>
  </si>
  <si>
    <t>-608.368600117302 11.2489066539783 646.044483068589</t>
  </si>
  <si>
    <t>-457.261633428551 -35.0451532467816 723.291220294948</t>
  </si>
  <si>
    <t>9763-20170724T170142.663822700.bin</t>
  </si>
  <si>
    <t>-581.709822738412 206.017345039656 -239.104407296261</t>
  </si>
  <si>
    <t>-605.403708871221 189.132468838202 -356.668358831628</t>
  </si>
  <si>
    <t>-610.720238840275 169.178379716821 -476.101008180672</t>
  </si>
  <si>
    <t>-608.047127336692 149.353771140386 -583.779685978651</t>
  </si>
  <si>
    <t>-598.124005498344 127.412970355183 -690.620518884559</t>
  </si>
  <si>
    <t>-576.930966306141 94.4081355031376 -837.799148902702</t>
  </si>
  <si>
    <t>-532.81849300213 75.2552259524571 -927.633685439277</t>
  </si>
  <si>
    <t>-579.995851619375 139.599307535657 -778.627525223563</t>
  </si>
  <si>
    <t>-530.220030051157 277.951125928414 -780.61596242202</t>
  </si>
  <si>
    <t>-444.272395225407 326.197287904446 -479.831219938786</t>
  </si>
  <si>
    <t>-252.252430044856 218.989358056061 -340.990062563231</t>
  </si>
  <si>
    <t>-592.62058677073 78.4242293693285 -766.726894333852</t>
  </si>
  <si>
    <t>-398.894483401003 32.0965275985056 -420.634236896409</t>
  </si>
  <si>
    <t>-589.993320616501 303.399438856884 -250.923391452645</t>
  </si>
  <si>
    <t>-583.900275730163 292.494327975965 204.600143439263</t>
  </si>
  <si>
    <t>-619.03720131492 252.274032638285 671.277653615891</t>
  </si>
  <si>
    <t>-461.526314709502 258.253011867127 749.367872460847</t>
  </si>
  <si>
    <t>-573.298629410704 108.740340957808 -226.626929834837</t>
  </si>
  <si>
    <t>-448.569988635805 92.2405017152373 211.354977839626</t>
  </si>
  <si>
    <t>-608.357895678406 11.3871247446309 646.018681121332</t>
  </si>
  <si>
    <t>-457.2880673398 -35.0777572627433 723.235449843814</t>
  </si>
  <si>
    <t>9763-20170724T170142.694929200.bin</t>
  </si>
  <si>
    <t>-581.936232425284 206.240988391682 -239.117716977727</t>
  </si>
  <si>
    <t>-605.653965668311 189.349347572371 -356.675905031527</t>
  </si>
  <si>
    <t>-611.030229479548 169.400571033113 -476.106719005103</t>
  </si>
  <si>
    <t>-608.424752491014 149.586696132484 -583.789038032692</t>
  </si>
  <si>
    <t>-598.581928801811 127.663808371397 -690.640942346191</t>
  </si>
  <si>
    <t>-577.512621595311 94.6919718565234 -837.844766996673</t>
  </si>
  <si>
    <t>-533.253867623874 75.548617550246 -927.609384612955</t>
  </si>
  <si>
    <t>-580.528961453173 139.870138863646 -778.660593482573</t>
  </si>
  <si>
    <t>-530.856381027999 278.26304043728 -780.817235370899</t>
  </si>
  <si>
    <t>-445.370017419341 326.947870000208 -479.971613525423</t>
  </si>
  <si>
    <t>-253.541670196336 219.3718088226 -341.150328363133</t>
  </si>
  <si>
    <t>-593.141275581444 78.69191263421 -766.762641205046</t>
  </si>
  <si>
    <t>-399.378626218996 32.2101443730883 -420.688392650493</t>
  </si>
  <si>
    <t>-590.232617908841 303.656664921454 -250.944645869176</t>
  </si>
  <si>
    <t>-584.083922138223 292.66927513267 204.576081795307</t>
  </si>
  <si>
    <t>-619.041830617793 252.31994468482 671.256038308703</t>
  </si>
  <si>
    <t>-461.534977015717 258.073927075157 749.37127936853</t>
  </si>
  <si>
    <t>-573.528727364864 108.907521284735 -226.63134029201</t>
  </si>
  <si>
    <t>-448.692465120285 92.3931868993341 211.319364466353</t>
  </si>
  <si>
    <t>-608.35495145612 11.2911628238828 646.004502791816</t>
  </si>
  <si>
    <t>-457.237602256173 -35.0444426157276 723.205993329756</t>
  </si>
  <si>
    <t>9763-20170724T170142.761104100.bin</t>
  </si>
  <si>
    <t>-582.319088723247 206.733337542632 -239.154173427307</t>
  </si>
  <si>
    <t>-606.082792773838 189.856051619047 -356.705301976786</t>
  </si>
  <si>
    <t>-611.603505820313 169.910701021916 -476.130052540494</t>
  </si>
  <si>
    <t>-609.167480249125 150.100345544285 -583.816921831028</t>
  </si>
  <si>
    <t>-599.531498425325 128.18381675686 -690.689122393347</t>
  </si>
  <si>
    <t>-578.786752593609 95.2262326758535 -837.942067128636</t>
  </si>
  <si>
    <t>-533.935769362042 75.9958251497619 -927.393653876427</t>
  </si>
  <si>
    <t>-581.667527869304 140.397700480624 -778.746216940538</t>
  </si>
  <si>
    <t>-532.222497187775 278.86798310201 -781.223509137967</t>
  </si>
  <si>
    <t>-447.883226401877 328.579990092892 -480.222250179265</t>
  </si>
  <si>
    <t>-256.670374841965 219.944687501709 -341.376691893106</t>
  </si>
  <si>
    <t>-594.263785578918 79.2201508078808 -766.828193614449</t>
  </si>
  <si>
    <t>-399.965238205572 32.7566448020964 -420.745625725584</t>
  </si>
  <si>
    <t>-590.534322697365 304.168099749128 -250.985564598072</t>
  </si>
  <si>
    <t>-584.299076434915 292.960999202526 204.528583177335</t>
  </si>
  <si>
    <t>-619.068933955654 252.439794529409 671.217229584349</t>
  </si>
  <si>
    <t>-461.580425111572 258.207556543313 749.36846552645</t>
  </si>
  <si>
    <t>-574.021596490079 109.440853032736 -226.64851973049</t>
  </si>
  <si>
    <t>-448.906914278959 92.6786662474226 211.213346700254</t>
  </si>
  <si>
    <t>-608.347533683907 11.4921564828585 645.979406096394</t>
  </si>
  <si>
    <t>-457.252220668529 -34.9732488850441 723.146035181483</t>
  </si>
  <si>
    <t>9763-20170724T170142.798172300.bin</t>
  </si>
  <si>
    <t>-582.481681953853 206.872509313162 -239.172049398005</t>
  </si>
  <si>
    <t>-606.26806595162 190.016760995788 -356.721567241649</t>
  </si>
  <si>
    <t>-611.891147337647 170.085497202159 -476.14393995995</t>
  </si>
  <si>
    <t>-609.579340194339 150.287921859424 -583.835944328987</t>
  </si>
  <si>
    <t>-600.098259012079 128.386055463523 -690.724960647794</t>
  </si>
  <si>
    <t>-579.599436183748 95.4524534038362 -838.017792692258</t>
  </si>
  <si>
    <t>-534.343938559441 76.1451375717866 -927.248637203897</t>
  </si>
  <si>
    <t>-582.372890498738 140.612811205778 -778.808315982557</t>
  </si>
  <si>
    <t>-532.959581111809 279.082639132076 -781.348267224198</t>
  </si>
  <si>
    <t>-449.528802607339 329.055341046331 -480.137011700753</t>
  </si>
  <si>
    <t>-258.461360391345 219.953030335249 -341.457632586144</t>
  </si>
  <si>
    <t>-594.966198449908 79.4362365327904 -766.882355573742</t>
  </si>
  <si>
    <t>-400.313803806629 33.0943034130398 -420.948663854369</t>
  </si>
  <si>
    <t>-590.632802412309 304.322935245354 -250.997510558856</t>
  </si>
  <si>
    <t>-584.292115677831 293.030653634979 204.513138514844</t>
  </si>
  <si>
    <t>-619.081132238728 252.482525784311 671.197002582399</t>
  </si>
  <si>
    <t>-461.601584326364 258.190927356468 749.370611195217</t>
  </si>
  <si>
    <t>-574.25012027033 109.495807354414 -226.675781371104</t>
  </si>
  <si>
    <t>-449.028334881068 92.7070888284186 211.154461006879</t>
  </si>
  <si>
    <t>-608.350039638994 11.4426531514287 645.967857851847</t>
  </si>
  <si>
    <t>-457.203078643217 -34.8837979182877 723.116900114466</t>
  </si>
  <si>
    <t>9763-20170724T170142.862345800.bin</t>
  </si>
  <si>
    <t>-582.771897023624 207.222543436008 -239.174058013445</t>
  </si>
  <si>
    <t>-606.677122635261 190.41231928884 -356.705933933508</t>
  </si>
  <si>
    <t>-612.398300620185 170.510219473521 -476.128523218397</t>
  </si>
  <si>
    <t>-610.165972123367 150.733564042317 -583.825958520763</t>
  </si>
  <si>
    <t>-600.754632629935 128.848637072186 -690.724680812138</t>
  </si>
  <si>
    <t>-580.342224795395 95.9349657196851 -838.033917934729</t>
  </si>
  <si>
    <t>-534.467493985974 76.5140703824122 -926.923315024452</t>
  </si>
  <si>
    <t>-583.063288123512 141.084239689299 -778.813538836935</t>
  </si>
  <si>
    <t>-533.730558064551 279.589126237684 -781.354584824436</t>
  </si>
  <si>
    <t>-452.426643325971 330.035409276343 -479.641086941489</t>
  </si>
  <si>
    <t>-261.289455835481 220.496545768641 -341.402625623226</t>
  </si>
  <si>
    <t>-595.684924546205 79.9120907117774 -766.894760558601</t>
  </si>
  <si>
    <t>-400.418240390626 33.6250029154292 -421.451582008783</t>
  </si>
  <si>
    <t>-590.758710635077 304.656491544624 -250.993067720846</t>
  </si>
  <si>
    <t>-584.151174403032 293.188204529687 204.509376940116</t>
  </si>
  <si>
    <t>-619.087398583708 252.471226018362 671.164096121907</t>
  </si>
  <si>
    <t>-461.628408230371 258.079134392305 749.386468990487</t>
  </si>
  <si>
    <t>-574.719177563165 109.92440987992 -226.709441175385</t>
  </si>
  <si>
    <t>-449.261338517431 92.8592445351362 211.04257181164</t>
  </si>
  <si>
    <t>-608.352761861549 11.6185611742835 645.949852199268</t>
  </si>
  <si>
    <t>-457.342737019584 -35.1692678296763 723.088624018169</t>
  </si>
  <si>
    <t>9763-20170724T170142.893430000.bin</t>
  </si>
  <si>
    <t>-582.97119382155 207.287075332771 -239.184980640095</t>
  </si>
  <si>
    <t>-606.968667621137 190.499232154056 -356.701289436405</t>
  </si>
  <si>
    <t>-612.721101578361 170.630229712126 -476.127870880613</t>
  </si>
  <si>
    <t>-610.490692800718 150.888858963263 -583.831842994624</t>
  </si>
  <si>
    <t>-601.054386620986 129.044594018959 -690.736584493027</t>
  </si>
  <si>
    <t>-580.578657309249 96.1939435829561 -838.051161059586</t>
  </si>
  <si>
    <t>-534.47347889278 76.7731571436307 -926.821422631761</t>
  </si>
  <si>
    <t>-583.336947804769 141.320098439019 -778.814865930479</t>
  </si>
  <si>
    <t>-534.086441827095 279.862020160159 -781.323519806495</t>
  </si>
  <si>
    <t>-454.005542610752 330.717868370554 -479.351738700216</t>
  </si>
  <si>
    <t>-262.84793034438 220.874844164647 -341.383061803408</t>
  </si>
  <si>
    <t>-595.94007827099 80.1387343457748 -766.923267008631</t>
  </si>
  <si>
    <t>-400.720850769279 34.0087494518841 -421.758639215591</t>
  </si>
  <si>
    <t>-590.83996424301 304.740178171319 -250.978342841448</t>
  </si>
  <si>
    <t>-584.029644867815 293.186581186942 204.518854316169</t>
  </si>
  <si>
    <t>-619.090752632757 252.421318362759 671.163545505001</t>
  </si>
  <si>
    <t>-461.634752569441 257.909394540564 749.400297714151</t>
  </si>
  <si>
    <t>-575.020514319139 109.933849335879 -226.703785044364</t>
  </si>
  <si>
    <t>-449.417032711645 92.8095180631015 211.004080147247</t>
  </si>
  <si>
    <t>-608.36021573929 11.5206026784947 645.95627638245</t>
  </si>
  <si>
    <t>-457.232596959683 -34.9349150077612 723.065507546267</t>
  </si>
  <si>
    <t>9763-20170724T170142.963617000.bin</t>
  </si>
  <si>
    <t>-583.435221577097 207.355088217137 -239.216611182997</t>
  </si>
  <si>
    <t>-607.506262458789 190.609704460464 -356.723932840596</t>
  </si>
  <si>
    <t>-613.29120695088 170.782716311018 -476.15590209985</t>
  </si>
  <si>
    <t>-611.072916013878 151.078926292001 -583.866965997566</t>
  </si>
  <si>
    <t>-601.63104081767 129.272408363802 -690.779054818228</t>
  </si>
  <si>
    <t>-581.129114971827 96.4743023863377 -838.101694178361</t>
  </si>
  <si>
    <t>-534.72930526 77.0322631030456 -926.713488613476</t>
  </si>
  <si>
    <t>-583.89030154378 141.578018448683 -778.848255616264</t>
  </si>
  <si>
    <t>-534.821523278158 280.17385729772 -781.328416929176</t>
  </si>
  <si>
    <t>-456.339968095269 332.025075804585 -479.106101326528</t>
  </si>
  <si>
    <t>-265.263703637722 221.742640995144 -341.3755481411</t>
  </si>
  <si>
    <t>-596.510804234661 80.3950888747354 -766.983746572078</t>
  </si>
  <si>
    <t>-401.52672695244 34.2193786708744 -421.797812038397</t>
  </si>
  <si>
    <t>-591.170424882783 304.781764493566 -250.968666209737</t>
  </si>
  <si>
    <t>-584.107051567804 293.090479114526 204.521217176144</t>
  </si>
  <si>
    <t>-619.103648424174 252.283142094573 671.169064566959</t>
  </si>
  <si>
    <t>-461.65454248352 258.104802398035 749.395705343314</t>
  </si>
  <si>
    <t>-575.601248379965 110.074092290301 -226.764623614074</t>
  </si>
  <si>
    <t>-449.830441368751 92.8300627840467 210.890466998319</t>
  </si>
  <si>
    <t>-608.368748920106 11.5762465088214 645.976567321831</t>
  </si>
  <si>
    <t>-457.191182946687 -34.7882390492991 723.042664214132</t>
  </si>
  <si>
    <t>9763-20170724T170142.994704800.bin</t>
  </si>
  <si>
    <t>-583.698433514573 207.449645198207 -239.252180202826</t>
  </si>
  <si>
    <t>-607.736646577422 190.741150261937 -356.771507247688</t>
  </si>
  <si>
    <t>-613.514090811161 170.949511033304 -476.209733138353</t>
  </si>
  <si>
    <t>-611.299561486273 151.277102057376 -583.92668546633</t>
  </si>
  <si>
    <t>-601.872099849747 129.50106181946 -690.846101176358</t>
  </si>
  <si>
    <t>-581.4013092875 96.7443095171789 -838.182346416747</t>
  </si>
  <si>
    <t>-534.935766847792 77.3034959457409 -926.759935472075</t>
  </si>
  <si>
    <t>-584.148621488634 141.831082460597 -778.915539113164</t>
  </si>
  <si>
    <t>-535.127804777269 280.451030633669 -781.445806997885</t>
  </si>
  <si>
    <t>-457.259889778419 332.685946342307 -479.130898797777</t>
  </si>
  <si>
    <t>-266.365752596906 222.125688142141 -341.37058271464</t>
  </si>
  <si>
    <t>-596.769361498696 80.6453095656341 -767.065736284951</t>
  </si>
  <si>
    <t>-401.891169856063 34.4457903805355 -421.764824484885</t>
  </si>
  <si>
    <t>-591.412913694926 304.888391879673 -250.97635816804</t>
  </si>
  <si>
    <t>-584.33919191496 293.142490903967 204.512114371405</t>
  </si>
  <si>
    <t>-619.159677334194 252.347383696727 671.182435824858</t>
  </si>
  <si>
    <t>-461.691405029563 257.88787027313 749.390817538282</t>
  </si>
  <si>
    <t>-575.836171856663 110.186788064831 -226.871206080793</t>
  </si>
  <si>
    <t>-450.177355511789 92.8556072528204 210.812712104744</t>
  </si>
  <si>
    <t>-608.385981362517 11.5932128932091 646.033294610506</t>
  </si>
  <si>
    <t>-457.230754837179 -34.8926883632289 723.070101392627</t>
  </si>
  <si>
    <t>9763-20170724T170143.063887900.bin</t>
  </si>
  <si>
    <t>-584.312179613019 207.566656825996 -239.247580647827</t>
  </si>
  <si>
    <t>-608.485832361415 190.91733471506 -356.747552811219</t>
  </si>
  <si>
    <t>-614.343990762061 171.161268905397 -476.187736571577</t>
  </si>
  <si>
    <t>-612.180186948584 151.510076370533 -583.909665603709</t>
  </si>
  <si>
    <t>-602.78161014361 129.743899273036 -690.833688758149</t>
  </si>
  <si>
    <t>-582.328911065871 96.9882635441475 -838.172505805388</t>
  </si>
  <si>
    <t>-535.839360543743 77.5200256949111 -926.731448377026</t>
  </si>
  <si>
    <t>-585.068226568156 142.074495439147 -778.904987268822</t>
  </si>
  <si>
    <t>-536.187727637251 280.739562199658 -781.533230452196</t>
  </si>
  <si>
    <t>-459.240038430433 334.018276817839 -479.164853332206</t>
  </si>
  <si>
    <t>-268.795141497653 222.932275237892 -341.205928952792</t>
  </si>
  <si>
    <t>-597.688966141505 80.8887515470333 -767.05432989578</t>
  </si>
  <si>
    <t>-402.922651772309 34.4819070557787 -421.646702631387</t>
  </si>
  <si>
    <t>-592.051656833932 304.957869148008 -250.933375841159</t>
  </si>
  <si>
    <t>-584.737435647105 293.140281044142 204.549298362049</t>
  </si>
  <si>
    <t>-619.195938134797 252.189592212858 671.225873971207</t>
  </si>
  <si>
    <t>-461.703144432055 257.714048216186 749.386080354376</t>
  </si>
  <si>
    <t>-576.524843121633 110.287408016487 -226.870124989838</t>
  </si>
  <si>
    <t>-450.588747136775 92.973372579992 210.734714537296</t>
  </si>
  <si>
    <t>-608.396438782362 11.645518142948 646.073863635618</t>
  </si>
  <si>
    <t>-457.244656294577 -34.9087869543034 723.076092663982</t>
  </si>
  <si>
    <t>9763-20170724T170143.094550400.bin</t>
  </si>
  <si>
    <t>-584.593350004019 207.591243528427 -239.247275297831</t>
  </si>
  <si>
    <t>-608.79964266898 190.940413016591 -356.740449784949</t>
  </si>
  <si>
    <t>-614.66714848414 171.195131360043 -476.181792000032</t>
  </si>
  <si>
    <t>-612.501602866066 151.558452269883 -583.906213280031</t>
  </si>
  <si>
    <t>-603.090810866118 129.811351127666 -690.833206029498</t>
  </si>
  <si>
    <t>-582.609888832518 97.0872120314091 -838.175122151774</t>
  </si>
  <si>
    <t>-536.109678745808 77.6242845236479 -926.729679585805</t>
  </si>
  <si>
    <t>-585.358989278232 142.160510423995 -778.898026745114</t>
  </si>
  <si>
    <t>-536.502699452698 280.813657437458 -781.518535232456</t>
  </si>
  <si>
    <t>-460.27476261907 334.408498140371 -479.023739922125</t>
  </si>
  <si>
    <t>-269.861793558303 223.194748363417 -341.123504585342</t>
  </si>
  <si>
    <t>-597.985091074554 80.9729081038827 -767.063631090844</t>
  </si>
  <si>
    <t>-403.249018995726 34.3070030280919 -421.738914722081</t>
  </si>
  <si>
    <t>-592.310869972411 305.006843665473 -250.931622925678</t>
  </si>
  <si>
    <t>-584.910164507862 293.173123639391 204.549339477043</t>
  </si>
  <si>
    <t>-619.227567900354 252.208834497118 671.228769798438</t>
  </si>
  <si>
    <t>-461.728730318184 257.64675806239 749.382891756968</t>
  </si>
  <si>
    <t>-576.776739243692 110.239394954059 -226.880860716794</t>
  </si>
  <si>
    <t>-450.787099182977 92.9391842874279 210.709124604567</t>
  </si>
  <si>
    <t>-608.409036705905 11.5449473854028 646.099454142569</t>
  </si>
  <si>
    <t>-457.134281160307 -34.6862194407736 723.054889856371</t>
  </si>
  <si>
    <t>9763-20170724T170143.161731000.bin</t>
  </si>
  <si>
    <t>-585.007206135229 207.713932102701 -239.238008498585</t>
  </si>
  <si>
    <t>-609.3100867749 191.090504893044 -356.715037010075</t>
  </si>
  <si>
    <t>-615.208902776392 171.399883713574 -476.163950421998</t>
  </si>
  <si>
    <t>-613.043003289363 151.824192668743 -583.899403050154</t>
  </si>
  <si>
    <t>-603.601986523241 130.150432918881 -690.83852812108</t>
  </si>
  <si>
    <t>-583.047026711689 97.5416425824396 -838.195743898306</t>
  </si>
  <si>
    <t>-536.531856551921 78.1284556646262 -926.753382344619</t>
  </si>
  <si>
    <t>-585.822884764843 142.567878541878 -778.88443097194</t>
  </si>
  <si>
    <t>-537.008888221897 281.263313772772 -781.444136483325</t>
  </si>
  <si>
    <t>-462.415382743145 335.447941290665 -478.647115306558</t>
  </si>
  <si>
    <t>-272.123063219131 223.872464083689 -340.872753589294</t>
  </si>
  <si>
    <t>-598.461045126248 81.3721040851876 -767.105129070119</t>
  </si>
  <si>
    <t>-403.689522386632 34.3892280989737 -422.173934590614</t>
  </si>
  <si>
    <t>-592.624393779567 305.198132117616 -250.943175849136</t>
  </si>
  <si>
    <t>-585.13052933239 293.270825946915 204.533761463104</t>
  </si>
  <si>
    <t>-619.275258625385 252.287616615864 671.219631942283</t>
  </si>
  <si>
    <t>-461.777702349287 257.557067899233 749.387796672196</t>
  </si>
  <si>
    <t>-577.286368349784 110.355145732546 -226.882251020009</t>
  </si>
  <si>
    <t>-451.0637043506 93.0508897389179 210.640371670174</t>
  </si>
  <si>
    <t>-608.412304913641 11.6909776922628 646.129939236865</t>
  </si>
  <si>
    <t>-457.176082605804 -34.7198340724208 723.052925314492</t>
  </si>
  <si>
    <t>9763-20170724T170143.197237400.bin</t>
  </si>
  <si>
    <t>-585.208342152639 207.752644051664 -239.218302152535</t>
  </si>
  <si>
    <t>-609.586691615715 191.12518090016 -356.67909405201</t>
  </si>
  <si>
    <t>-615.513384434659 171.435597560556 -476.126814352492</t>
  </si>
  <si>
    <t>-613.352470955334 151.862907890604 -583.863021295476</t>
  </si>
  <si>
    <t>-603.895957072562 130.194252491899 -690.801712852101</t>
  </si>
  <si>
    <t>-583.298087272836 97.5946313208099 -838.155031516888</t>
  </si>
  <si>
    <t>-536.800324655661 78.1971101952313 -926.725273158755</t>
  </si>
  <si>
    <t>-586.092447976487 142.617432070224 -778.841888570578</t>
  </si>
  <si>
    <t>-537.34789282036 281.328907731921 -781.409211521675</t>
  </si>
  <si>
    <t>-463.558720005948 335.821654000987 -478.470403117028</t>
  </si>
  <si>
    <t>-273.452837181489 223.987521039851 -340.648268670564</t>
  </si>
  <si>
    <t>-598.731581958758 81.4204162758651 -767.069731032618</t>
  </si>
  <si>
    <t>-404.018687666182 34.1904191898088 -422.309817100105</t>
  </si>
  <si>
    <t>-592.784553741033 305.24399977974 -250.938577012827</t>
  </si>
  <si>
    <t>-585.177085848925 293.263348437157 204.535020990455</t>
  </si>
  <si>
    <t>-619.277283666807 252.256366786804 671.219572129776</t>
  </si>
  <si>
    <t>-461.787188692253 257.628902404947 749.39574427743</t>
  </si>
  <si>
    <t>-577.564434315662 110.386022347671 -226.81348079506</t>
  </si>
  <si>
    <t>-451.02001945428 93.0471815728636 210.614804957263</t>
  </si>
  <si>
    <t>-608.394302204609 11.7420354938999 646.100970072054</t>
  </si>
  <si>
    <t>-457.197742304769 -34.7751875704002 723.037710461582</t>
  </si>
  <si>
    <t>9763-20170724T170143.264410300.bin</t>
  </si>
  <si>
    <t>-585.433634476001 207.82837120926 -239.227062467628</t>
  </si>
  <si>
    <t>-609.872944083135 191.179913746936 -356.672138367166</t>
  </si>
  <si>
    <t>-615.842140064616 171.506885333381 -476.120488180305</t>
  </si>
  <si>
    <t>-613.710182276303 151.964308597045 -583.862649701922</t>
  </si>
  <si>
    <t>-604.272020080748 130.340660397787 -690.812184128634</t>
  </si>
  <si>
    <t>-583.687622951912 97.8190093949877 -838.184651716738</t>
  </si>
  <si>
    <t>-537.232507493081 78.4637682279574 -926.78644677189</t>
  </si>
  <si>
    <t>-586.488159561905 142.812467228139 -778.849317121996</t>
  </si>
  <si>
    <t>-537.881997689552 281.568595767277 -781.456879561246</t>
  </si>
  <si>
    <t>-465.578245981679 336.860821638404 -478.304855807291</t>
  </si>
  <si>
    <t>-276.033884735807 224.338490844999 -340.269626022559</t>
  </si>
  <si>
    <t>-599.102962245781 81.6052560913829 -767.104396381751</t>
  </si>
  <si>
    <t>-404.353544823997 34.0473499335835 -422.377218188539</t>
  </si>
  <si>
    <t>-593.056678963557 305.320288128391 -250.954145070245</t>
  </si>
  <si>
    <t>-585.356439288401 293.311737325342 204.51725888788</t>
  </si>
  <si>
    <t>-619.315951894662 252.265096383229 671.224978889019</t>
  </si>
  <si>
    <t>-461.826624441415 257.618049594968 749.404118619486</t>
  </si>
  <si>
    <t>-577.679306805505 110.478504795575 -226.843369486295</t>
  </si>
  <si>
    <t>-451.082875530292 93.2171217202961 210.573021632691</t>
  </si>
  <si>
    <t>-608.378974481262 11.8738980503031 646.078674436709</t>
  </si>
  <si>
    <t>-457.269524090498 -34.922541206465 723.017214793122</t>
  </si>
  <si>
    <t>9763-20170724T170143.299209700.bin</t>
  </si>
  <si>
    <t>-585.570815038107 207.894931891663 -239.228170272466</t>
  </si>
  <si>
    <t>-610.030160427271 191.231826529829 -356.667056875919</t>
  </si>
  <si>
    <t>-616.02169536813 171.565866383222 -476.115409568239</t>
  </si>
  <si>
    <t>-613.90966620862 152.039207776814 -583.860928765609</t>
  </si>
  <si>
    <t>-604.490471043242 130.440983071908 -690.817141044597</t>
  </si>
  <si>
    <t>-583.930590398398 97.9650648156417 -838.203186149531</t>
  </si>
  <si>
    <t>-537.486215243719 78.6308246160529 -926.815137446808</t>
  </si>
  <si>
    <t>-586.734168707589 142.942288878992 -778.855741758057</t>
  </si>
  <si>
    <t>-538.231123669111 281.732043901409 -781.455145965225</t>
  </si>
  <si>
    <t>-466.556921922051 337.46566505046 -478.23447446312</t>
  </si>
  <si>
    <t>-277.301547220494 224.607758126329 -340.076734090318</t>
  </si>
  <si>
    <t>-599.321198687555 81.727097622666 -767.12320386269</t>
  </si>
  <si>
    <t>-404.528855380256 34.0691657299585 -422.308946040436</t>
  </si>
  <si>
    <t>-593.226465320519 305.38359222861 -250.966007801031</t>
  </si>
  <si>
    <t>-585.437899057501 293.359282221428 204.503549792274</t>
  </si>
  <si>
    <t>-619.328926915962 252.271043480158 671.219766025544</t>
  </si>
  <si>
    <t>-461.839673269897 257.561561428648 749.403212138866</t>
  </si>
  <si>
    <t>-577.860189107828 110.556286639455 -226.814267242665</t>
  </si>
  <si>
    <t>-451.069729888985 93.2710756826123 210.544976207015</t>
  </si>
  <si>
    <t>-608.358563571322 11.9197798185983 646.051244200978</t>
  </si>
  <si>
    <t>-457.25564113058 -34.8891207378686 722.995039933376</t>
  </si>
  <si>
    <t>9763-20170724T170143.363371500.bin</t>
  </si>
  <si>
    <t>-585.780002033684 207.836254953553 -239.249668163811</t>
  </si>
  <si>
    <t>-610.297708964612 191.165170861847 -356.675141115931</t>
  </si>
  <si>
    <t>-616.324123720138 171.516172995025 -476.124644006296</t>
  </si>
  <si>
    <t>-614.232602908001 152.01504007833 -583.875201338247</t>
  </si>
  <si>
    <t>-604.8219273551 130.452857238575 -690.839571014138</t>
  </si>
  <si>
    <t>-584.260784730833 98.0378615490558 -838.238632498926</t>
  </si>
  <si>
    <t>-537.894987442675 78.7667032453649 -926.905581392144</t>
  </si>
  <si>
    <t>-587.095086254631 142.995771123902 -778.878158023993</t>
  </si>
  <si>
    <t>-538.870844548992 281.893957639126 -781.470589384862</t>
  </si>
  <si>
    <t>-468.839789531667 338.168332648868 -477.966106005871</t>
  </si>
  <si>
    <t>-279.732776680452 224.985252588505 -339.87123998976</t>
  </si>
  <si>
    <t>-599.621783735412 81.7652942987204 -767.160061981738</t>
  </si>
  <si>
    <t>-404.79164798644 34.1334286266388 -422.434265315514</t>
  </si>
  <si>
    <t>-593.47966409406 305.235273873293 -250.970644992495</t>
  </si>
  <si>
    <t>-585.524476635229 293.215069313395 204.495983658694</t>
  </si>
  <si>
    <t>-619.291363569954 251.994614978761 671.222383895581</t>
  </si>
  <si>
    <t>-461.815770990865 257.846966970933 749.393336293685</t>
  </si>
  <si>
    <t>-577.954663823863 110.533795316276 -226.861733085915</t>
  </si>
  <si>
    <t>-451.149059868971 93.3168226423793 210.4958040468</t>
  </si>
  <si>
    <t>-608.355091518856 11.9225321200147 646.033767055123</t>
  </si>
  <si>
    <t>-457.241460682051 -34.8757622718945 722.962970492348</t>
  </si>
  <si>
    <t>9763-20170724T170143.433563800.bin</t>
  </si>
  <si>
    <t>-586.084239649155 207.833396270311 -239.264014698409</t>
  </si>
  <si>
    <t>-610.636600278087 191.156458027021 -356.681536069111</t>
  </si>
  <si>
    <t>-616.678268289704 171.525299700985 -476.133018555148</t>
  </si>
  <si>
    <t>-614.591008267338 152.051908626145 -583.888747128133</t>
  </si>
  <si>
    <t>-605.17399538971 130.529791876114 -690.86054758658</t>
  </si>
  <si>
    <t>-584.592005820114 98.1840056260567 -838.272045925398</t>
  </si>
  <si>
    <t>-538.426801900221 79.0285653998976 -927.068598891771</t>
  </si>
  <si>
    <t>-587.472951200119 143.120449531777 -778.897566001795</t>
  </si>
  <si>
    <t>-539.5479388802 282.115050149165 -781.447440140468</t>
  </si>
  <si>
    <t>-471.150712259625 338.958942440404 -477.676544944077</t>
  </si>
  <si>
    <t>-282.028410591021 225.70845908604 -339.657908367668</t>
  </si>
  <si>
    <t>-599.924832283659 81.8716035501245 -767.196541899629</t>
  </si>
  <si>
    <t>-405.094100678547 34.3399652302737 -422.618730585117</t>
  </si>
  <si>
    <t>-593.801032824318 305.235464524712 -250.971393980469</t>
  </si>
  <si>
    <t>-585.722550493204 293.239133976778 204.493764697505</t>
  </si>
  <si>
    <t>-619.357610697644 252.075023508531 671.233014274825</t>
  </si>
  <si>
    <t>-461.869651128165 257.648423425581 749.399409161325</t>
  </si>
  <si>
    <t>-578.266826820802 110.531702106442 -226.858471650371</t>
  </si>
  <si>
    <t>-451.283554980866 93.3922866039886 210.450522020936</t>
  </si>
  <si>
    <t>-608.34182035369 11.9585358829572 646.004338002551</t>
  </si>
  <si>
    <t>-457.231100935658 -34.838736232171 722.939899091134</t>
  </si>
  <si>
    <t>9763-20170724T170143.459633100.bin</t>
  </si>
  <si>
    <t>-586.230169350127 207.772403846533 -239.282351549861</t>
  </si>
  <si>
    <t>-610.809320476543 191.099504616966 -356.694759054861</t>
  </si>
  <si>
    <t>-616.854407896363 171.478615710445 -476.147838931389</t>
  </si>
  <si>
    <t>-614.760148324954 152.017286034023 -583.905572705208</t>
  </si>
  <si>
    <t>-605.325722888314 130.510572879934 -690.878968543164</t>
  </si>
  <si>
    <t>-584.708521219459 98.1896267514742 -838.290837508238</t>
  </si>
  <si>
    <t>-538.69681920946 79.0924005390186 -927.179604442037</t>
  </si>
  <si>
    <t>-587.624210884998 143.11957291457 -778.913152191586</t>
  </si>
  <si>
    <t>-539.830690153257 282.165367265966 -781.46725667213</t>
  </si>
  <si>
    <t>-472.230730820409 339.470223990837 -477.604614726772</t>
  </si>
  <si>
    <t>-283.196094571004 226.16794734862 -339.508341819618</t>
  </si>
  <si>
    <t>-600.037774991739 81.8616897819666 -767.218255790272</t>
  </si>
  <si>
    <t>-405.265386930296 34.4608847189822 -422.830003083206</t>
  </si>
  <si>
    <t>-593.986000597262 305.20787785744 -250.977208499565</t>
  </si>
  <si>
    <t>-585.79539572529 293.214799721564 204.486030020129</t>
  </si>
  <si>
    <t>-619.400848242789 252.147244397291 671.238557999342</t>
  </si>
  <si>
    <t>-461.90478895369 257.62784473894 749.395278457686</t>
  </si>
  <si>
    <t>-578.349478657503 110.449446757214 -226.908862530297</t>
  </si>
  <si>
    <t>-451.42067336577 93.3816224471443 210.41873599327</t>
  </si>
  <si>
    <t>-608.343460379119 11.9308909572292 646.012782868372</t>
  </si>
  <si>
    <t>-457.191429937493 -34.7477199393184 722.93929205441</t>
  </si>
  <si>
    <t>9763-20170724T170143.498759900.bin</t>
  </si>
  <si>
    <t>-586.400109449005 207.639677978235 -239.291317192591</t>
  </si>
  <si>
    <t>-611.010344027001 190.967735877259 -356.69746923113</t>
  </si>
  <si>
    <t>-617.052199085498 171.346333481274 -476.150527337804</t>
  </si>
  <si>
    <t>-614.940627163097 151.884910859591 -583.908008510957</t>
  </si>
  <si>
    <t>-605.474539376201 130.378280303676 -690.878480748053</t>
  </si>
  <si>
    <t>-584.798294165422 98.0583706438135 -838.282541469408</t>
  </si>
  <si>
    <t>-538.942367666643 79.0154314131382 -927.263347057859</t>
  </si>
  <si>
    <t>-587.760782294701 142.991720651674 -778.909779595243</t>
  </si>
  <si>
    <t>-540.09221042498 282.0789560306 -781.474336190755</t>
  </si>
  <si>
    <t>-473.211901168746 339.84480589713 -477.539643516048</t>
  </si>
  <si>
    <t>-284.319523206567 226.500410119367 -339.283423270551</t>
  </si>
  <si>
    <t>-600.133035027504 81.7260536591207 -767.211982535115</t>
  </si>
  <si>
    <t>-405.364797687051 34.3728425727638 -423.007774041601</t>
  </si>
  <si>
    <t>-594.187811717584 305.098173052374 -250.978474886957</t>
  </si>
  <si>
    <t>-585.886833088753 293.135591384658 204.483461305394</t>
  </si>
  <si>
    <t>-619.419022205532 252.109181032401 671.245834222507</t>
  </si>
  <si>
    <t>-461.916915430142 257.565445445121 749.392025155637</t>
  </si>
  <si>
    <t>-578.495826467271 110.304326623742 -226.922626315286</t>
  </si>
  <si>
    <t>-451.529000820651 93.2711462228942 210.395283807353</t>
  </si>
  <si>
    <t>-608.350592731828 11.820353858682 646.032011184255</t>
  </si>
  <si>
    <t>-457.047264010107 -34.4029859793002 722.935956950562</t>
  </si>
  <si>
    <t>9763-20170724T170143.561931600.bin</t>
  </si>
  <si>
    <t>-586.729286995555 207.455993967811 -239.292130690901</t>
  </si>
  <si>
    <t>-611.38138623454 190.776208421194 -356.688258989244</t>
  </si>
  <si>
    <t>-617.45479285029 171.168075163797 -476.142004709166</t>
  </si>
  <si>
    <t>-615.366175773799 151.728193389933 -583.903730345605</t>
  </si>
  <si>
    <t>-605.916550044987 130.253221617237 -690.882097631334</t>
  </si>
  <si>
    <t>-585.255534438153 97.9882417548206 -838.30028489642</t>
  </si>
  <si>
    <t>-539.723184193975 79.0426684176039 -927.467772880342</t>
  </si>
  <si>
    <t>-588.243650988358 142.904868714626 -778.916078219039</t>
  </si>
  <si>
    <t>-540.759931758567 282.057126835025 -781.475152047965</t>
  </si>
  <si>
    <t>-475.139811565164 341.161487665565 -477.523114372578</t>
  </si>
  <si>
    <t>-286.528187375484 227.683463315308 -338.993575857811</t>
  </si>
  <si>
    <t>-600.551143171739 81.624098465621 -767.228605849157</t>
  </si>
  <si>
    <t>-405.584781660078 34.4167354650579 -423.468746073995</t>
  </si>
  <si>
    <t>-594.553517906234 304.840129976185 -250.981267233283</t>
  </si>
  <si>
    <t>-586.191839345502 292.94352692708 204.481335791144</t>
  </si>
  <si>
    <t>-619.437593391147 251.969270393897 671.273372728188</t>
  </si>
  <si>
    <t>-461.920887660114 257.583965376536 749.378894275618</t>
  </si>
  <si>
    <t>-578.825092376523 110.18646391908 -226.926387561981</t>
  </si>
  <si>
    <t>-451.691453596998 93.246261648319 210.346647366344</t>
  </si>
  <si>
    <t>-608.340474378081 11.9154699780047 646.041905016365</t>
  </si>
  <si>
    <t>-457.175367890963 -34.7412037884153 722.955990184556</t>
  </si>
  <si>
    <t>9763-20170724T170143.594018700.bin</t>
  </si>
  <si>
    <t>-586.8855187951 207.36448355279 -239.289324839956</t>
  </si>
  <si>
    <t>-611.549138571882 190.677609678329 -356.682067373787</t>
  </si>
  <si>
    <t>-617.617806494416 171.060980745995 -476.134671646799</t>
  </si>
  <si>
    <t>-615.518383612315 151.612593865158 -583.894612337901</t>
  </si>
  <si>
    <t>-606.051542238652 130.1280285525 -690.869681546686</t>
  </si>
  <si>
    <t>-585.360023390697 97.8487841810099 -838.280278123671</t>
  </si>
  <si>
    <t>-539.922928285021 78.9296160901035 -927.502140868525</t>
  </si>
  <si>
    <t>-588.370911858228 142.772995572517 -778.903036123627</t>
  </si>
  <si>
    <t>-540.987382936996 281.954691135886 -781.471301441375</t>
  </si>
  <si>
    <t>-476.0389426026 341.706539066732 -477.5015813404</t>
  </si>
  <si>
    <t>-287.546996167151 228.169085678991 -338.85779114415</t>
  </si>
  <si>
    <t>-600.659822015749 81.4897336631968 -767.20845481584</t>
  </si>
  <si>
    <t>-405.557023110416 34.207968782317 -423.724498896382</t>
  </si>
  <si>
    <t>-594.740837093914 304.733498534328 -250.979205235204</t>
  </si>
  <si>
    <t>-586.338641938952 292.870803425045 204.483536804018</t>
  </si>
  <si>
    <t>-619.464262295859 251.939538575653 671.296251765109</t>
  </si>
  <si>
    <t>-461.934391255439 257.56006037848 749.374726453885</t>
  </si>
  <si>
    <t>-578.909224543793 110.094267532919 -226.953269612654</t>
  </si>
  <si>
    <t>-451.787879155081 93.2418499527005 210.326726721582</t>
  </si>
  <si>
    <t>-608.343291187581 11.9630954672814 646.062970861845</t>
  </si>
  <si>
    <t>-457.132714453491 -34.5767726938252 722.95848087165</t>
  </si>
  <si>
    <t>9763-20170724T170143.664209900.bin</t>
  </si>
  <si>
    <t>-587.212808084138 207.178876040378 -239.264316046621</t>
  </si>
  <si>
    <t>-611.957999083074 190.484905239307 -356.638884564468</t>
  </si>
  <si>
    <t>-618.034813516496 170.878722851622 -476.092803194146</t>
  </si>
  <si>
    <t>-615.911605213974 151.446355033691 -583.855187879027</t>
  </si>
  <si>
    <t>-606.389433939416 129.984259284091 -690.829806635441</t>
  </si>
  <si>
    <t>-585.588167214029 97.7425606598356 -838.233303077316</t>
  </si>
  <si>
    <t>-540.286555167729 78.8775425760325 -927.535203360993</t>
  </si>
  <si>
    <t>-588.666879966336 142.655556172926 -778.850851520018</t>
  </si>
  <si>
    <t>-541.400853427901 281.886419286128 -781.391530707557</t>
  </si>
  <si>
    <t>-478.007522611907 342.895222588581 -477.343174757716</t>
  </si>
  <si>
    <t>-289.625684955452 229.313920680579 -338.585725417322</t>
  </si>
  <si>
    <t>-600.917245262009 81.3615781451988 -767.172628106003</t>
  </si>
  <si>
    <t>-405.543209143529 34.0271224204803 -424.107147918922</t>
  </si>
  <si>
    <t>-595.116304127438 304.572505420239 -250.965209818574</t>
  </si>
  <si>
    <t>-586.502576739905 292.780975858592 204.495489959478</t>
  </si>
  <si>
    <t>-619.535868152974 251.989341685525 671.32469281002</t>
  </si>
  <si>
    <t>-461.983903630195 257.472293985413 749.368479073884</t>
  </si>
  <si>
    <t>-579.22880693332 109.903220753389 -226.913735593907</t>
  </si>
  <si>
    <t>-451.915753625358 93.1698832401703 210.315174480018</t>
  </si>
  <si>
    <t>-608.332020569838 11.9799723705598 646.080767117547</t>
  </si>
  <si>
    <t>-457.073282454817 -34.4047119272034 722.975257844953</t>
  </si>
  <si>
    <t>9763-20170724T170143.696299100.bin</t>
  </si>
  <si>
    <t>-587.407034677894 207.133181864762 -239.266799191019</t>
  </si>
  <si>
    <t>-612.193755268863 190.438334111775 -356.63244210298</t>
  </si>
  <si>
    <t>-618.264388906788 170.834221664944 -476.086993780268</t>
  </si>
  <si>
    <t>-616.11570221391 151.405191397283 -583.849494952097</t>
  </si>
  <si>
    <t>-606.54812043727 129.947751099137 -690.820804686308</t>
  </si>
  <si>
    <t>-585.66306877799 97.7138756895192 -838.21434637932</t>
  </si>
  <si>
    <t>-540.420251851393 78.8871496429529 -927.554224979759</t>
  </si>
  <si>
    <t>-588.78956399192 142.625963172641 -778.833746270997</t>
  </si>
  <si>
    <t>-541.64946066387 281.888464542656 -781.353203662257</t>
  </si>
  <si>
    <t>-479.061324560928 343.384857003771 -477.236199623385</t>
  </si>
  <si>
    <t>-290.682662630712 229.794701405194 -338.481722068423</t>
  </si>
  <si>
    <t>-601.018571582066 81.3267789548365 -767.160907118757</t>
  </si>
  <si>
    <t>-405.562186713183 33.7796431908228 -424.268198012991</t>
  </si>
  <si>
    <t>-595.306456914746 304.505722217389 -250.962188873521</t>
  </si>
  <si>
    <t>-586.548787046866 292.720402138395 204.495895414733</t>
  </si>
  <si>
    <t>-619.547984768214 251.968395222159 671.329354069301</t>
  </si>
  <si>
    <t>-461.9919321924 257.39772387001 749.36859840706</t>
  </si>
  <si>
    <t>-579.427238716658 109.888085226631 -226.908937117828</t>
  </si>
  <si>
    <t>-452.007203361556 93.1326709142252 210.287938928109</t>
  </si>
  <si>
    <t>-608.332857062059 12.0095580004422 646.098004181252</t>
  </si>
  <si>
    <t>-457.087140007354 -34.4260639017064 722.987351251144</t>
  </si>
  <si>
    <t>9763-20170724T170143.761471200.bin</t>
  </si>
  <si>
    <t>-587.70883791406 206.951317371706 -239.2596944094</t>
  </si>
  <si>
    <t>-612.554017995988 190.260627864673 -356.613560530539</t>
  </si>
  <si>
    <t>-618.655612407049 170.655636397585 -476.066397997071</t>
  </si>
  <si>
    <t>-616.522999139128 151.22560366944 -583.828923957123</t>
  </si>
  <si>
    <t>-606.958982813811 129.768621924708 -690.800853386883</t>
  </si>
  <si>
    <t>-586.065439102882 97.5378706934537 -838.193668450878</t>
  </si>
  <si>
    <t>-540.941556889527 78.7567566537352 -927.603324638117</t>
  </si>
  <si>
    <t>-589.227250143623 142.453984794453 -778.81804167662</t>
  </si>
  <si>
    <t>-542.284152162505 281.79923949111 -781.326892889611</t>
  </si>
  <si>
    <t>-481.089320685098 343.967244903412 -477.063115141883</t>
  </si>
  <si>
    <t>-292.774547926424 230.410959745574 -338.194214421091</t>
  </si>
  <si>
    <t>-601.393109189085 81.1439844378069 -767.135782197434</t>
  </si>
  <si>
    <t>-405.823357466862 33.5723882735233 -424.226277386915</t>
  </si>
  <si>
    <t>-595.601932422339 304.269594659833 -250.95648523109</t>
  </si>
  <si>
    <t>-586.693917384308 292.559865051592 204.500731533338</t>
  </si>
  <si>
    <t>-619.567087237969 251.874038347327 671.358036513994</t>
  </si>
  <si>
    <t>-462.002222467463 257.436738355496 749.37007498851</t>
  </si>
  <si>
    <t>-579.683882931651 109.74170821779 -226.903177001648</t>
  </si>
  <si>
    <t>-452.132111088451 93.1515089951813 210.26160379768</t>
  </si>
  <si>
    <t>-608.333955915888 12.1475671248611 646.133847804891</t>
  </si>
  <si>
    <t>-457.207067851917 -34.6782855471126 723.020226265072</t>
  </si>
  <si>
    <t>9763-20170724T170143.795346800.bin</t>
  </si>
  <si>
    <t>-587.937091515404 206.83823205396 -239.251340533502</t>
  </si>
  <si>
    <t>-612.830348733675 190.134518216661 -356.593128822116</t>
  </si>
  <si>
    <t>-618.949723237341 170.505461640169 -476.041214272144</t>
  </si>
  <si>
    <t>-616.82085630849 151.049252297907 -583.799060499854</t>
  </si>
  <si>
    <t>-607.248452476187 129.56192583556 -690.764066626984</t>
  </si>
  <si>
    <t>-586.330996892438 97.2843435339803 -838.14325623503</t>
  </si>
  <si>
    <t>-541.252497355175 78.4945401236994 -927.573962389123</t>
  </si>
  <si>
    <t>-589.511780803791 142.220860793706 -778.784081225377</t>
  </si>
  <si>
    <t>-542.736171816874 281.604064533027 -781.293871073314</t>
  </si>
  <si>
    <t>-482.138293296023 344.057944930468 -476.969051221532</t>
  </si>
  <si>
    <t>-293.872873406665 230.542428002012 -337.999965768208</t>
  </si>
  <si>
    <t>-601.660863953477 80.9114888045406 -767.081041574584</t>
  </si>
  <si>
    <t>-406.103623587094 33.2850505439385 -424.171837849459</t>
  </si>
  <si>
    <t>-595.862960867468 304.173080058948 -250.951117174025</t>
  </si>
  <si>
    <t>-586.776537454302 292.492714186111 204.503363976097</t>
  </si>
  <si>
    <t>-619.604649071479 251.929549468996 671.369287989503</t>
  </si>
  <si>
    <t>-462.031947463173 257.379434869002 749.373459461998</t>
  </si>
  <si>
    <t>-579.930976841296 109.606688377588 -226.873347256235</t>
  </si>
  <si>
    <t>-452.229930032527 93.0894905871589 210.2505301083</t>
  </si>
  <si>
    <t>-608.33952160971 12.1656028673426 646.14934808863</t>
  </si>
  <si>
    <t>-457.18917895035 -34.613741119369 723.017937692972</t>
  </si>
  <si>
    <t>9763-20170724T170143.862526300.bin</t>
  </si>
  <si>
    <t>-588.440663942653 206.649961322202 -239.240938843009</t>
  </si>
  <si>
    <t>-613.410148953995 189.94407666632 -356.566265168782</t>
  </si>
  <si>
    <t>-619.543994347451 170.3138633486 -476.01332800682</t>
  </si>
  <si>
    <t>-617.402404736353 150.857058603244 -583.770871174519</t>
  </si>
  <si>
    <t>-607.791598410408 129.368736249203 -690.732185440514</t>
  </si>
  <si>
    <t>-586.793978523533 97.0904009474414 -838.099862609977</t>
  </si>
  <si>
    <t>-541.728406718732 78.295622138181 -927.536104634545</t>
  </si>
  <si>
    <t>-590.017041940858 142.028855664734 -778.744511337058</t>
  </si>
  <si>
    <t>-543.424318626706 281.477249389114 -781.257688275345</t>
  </si>
  <si>
    <t>-484.301900341078 344.888472433242 -476.840660104828</t>
  </si>
  <si>
    <t>-296.081929851427 231.365762087867 -337.815806857427</t>
  </si>
  <si>
    <t>-602.152517750399 80.7162636158632 -767.044067812552</t>
  </si>
  <si>
    <t>-406.575782455002 33.0762535461342 -424.28928441218</t>
  </si>
  <si>
    <t>-596.395859812699 303.963872719963 -250.945349782085</t>
  </si>
  <si>
    <t>-587.092067508058 292.349987914012 204.506266431095</t>
  </si>
  <si>
    <t>-619.64114852865 251.874550435306 671.403879300733</t>
  </si>
  <si>
    <t>-462.052582601342 257.335402743392 749.375255426165</t>
  </si>
  <si>
    <t>-580.395159120728 109.439323676187 -226.87417917609</t>
  </si>
  <si>
    <t>-452.506097965034 93.0271512322279 210.198717553956</t>
  </si>
  <si>
    <t>-608.359644773282 12.2084774880345 646.19169162018</t>
  </si>
  <si>
    <t>-457.185149199427 -34.5438863269296 723.029195503229</t>
  </si>
  <si>
    <t>9763-20170724T170143.897335200.bin</t>
  </si>
  <si>
    <t>-588.735248935735 206.551463763624 -239.235266187323</t>
  </si>
  <si>
    <t>-613.73687747481 189.837637229273 -356.55261658665</t>
  </si>
  <si>
    <t>-619.887303726045 170.197144878353 -475.99713857833</t>
  </si>
  <si>
    <t>-617.754176294354 150.730065195726 -583.7530355922</t>
  </si>
  <si>
    <t>-608.145101751851 129.231261820551 -690.71244512548</t>
  </si>
  <si>
    <t>-587.14308993364 96.9375279253475 -838.076112230352</t>
  </si>
  <si>
    <t>-542.059844755342 78.1315303963477 -927.500968541436</t>
  </si>
  <si>
    <t>-590.362339515865 141.8812606538 -778.724566323786</t>
  </si>
  <si>
    <t>-543.867497406079 281.371918735391 -781.238531526541</t>
  </si>
  <si>
    <t>-485.660332056572 345.363447117596 -476.766545611244</t>
  </si>
  <si>
    <t>-297.524418035721 231.724082907843 -337.72332278503</t>
  </si>
  <si>
    <t>-602.509344330589 80.5717455339579 -767.020007445965</t>
  </si>
  <si>
    <t>-406.871585810602 32.9716015583122 -424.336506654253</t>
  </si>
  <si>
    <t>-596.687281190425 303.881018948983 -250.949516428977</t>
  </si>
  <si>
    <t>-587.241091920462 292.279858853618 204.499623609763</t>
  </si>
  <si>
    <t>-619.653870115433 251.853831014384 671.417727379855</t>
  </si>
  <si>
    <t>-462.057575506307 257.273714325287 749.376410843816</t>
  </si>
  <si>
    <t>-580.695823172429 109.299900995966 -226.86931101967</t>
  </si>
  <si>
    <t>-452.703976790996 93.0902966945625 210.180937080873</t>
  </si>
  <si>
    <t>-608.368484271943 12.2995662252179 646.219527929389</t>
  </si>
  <si>
    <t>-457.249154974652 -34.6525305953446 723.04379003566</t>
  </si>
  <si>
    <t>9763-20170724T170143.966524300.bin</t>
  </si>
  <si>
    <t>-589.460916524989 206.331633430409 -239.23967010337</t>
  </si>
  <si>
    <t>-614.536571464622 189.623086920707 -356.542039165072</t>
  </si>
  <si>
    <t>-620.708738003535 169.979037052237 -475.984859382263</t>
  </si>
  <si>
    <t>-618.573811195361 150.504539399238 -583.73929418904</t>
  </si>
  <si>
    <t>-608.941923783996 128.993241279244 -690.694186408695</t>
  </si>
  <si>
    <t>-587.886731250013 96.6767275947848 -838.045349203705</t>
  </si>
  <si>
    <t>-542.772057302719 77.855839944408 -927.45114686541</t>
  </si>
  <si>
    <t>-591.118960971483 141.628271480016 -778.700138209055</t>
  </si>
  <si>
    <t>-544.60998869648 281.101901415016 -781.137940417009</t>
  </si>
  <si>
    <t>-488.017913181205 346.474298559948 -476.654836522772</t>
  </si>
  <si>
    <t>-300.201338300308 232.430597750019 -337.510922331807</t>
  </si>
  <si>
    <t>-603.287033429428 80.3232548722715 -766.993731182585</t>
  </si>
  <si>
    <t>-407.562853030848 32.4698535954221 -424.439511992454</t>
  </si>
  <si>
    <t>-597.399392076605 303.689739616442 -250.95429686519</t>
  </si>
  <si>
    <t>-587.697321694673 292.126986864409 204.490340416427</t>
  </si>
  <si>
    <t>-619.672086304614 251.782901897524 671.44940364033</t>
  </si>
  <si>
    <t>-462.057770777764 257.157125976231 749.374802324451</t>
  </si>
  <si>
    <t>-581.442978042178 109.133565553047 -226.869199527052</t>
  </si>
  <si>
    <t>-453.125249410184 92.9060391030516 210.084877600902</t>
  </si>
  <si>
    <t>-608.404647717339 12.2023477115645 646.28601182176</t>
  </si>
  <si>
    <t>-457.099213417225 -34.2499654548214 723.047745282274</t>
  </si>
  <si>
    <t>9763-20170724T170143.997195300.bin</t>
  </si>
  <si>
    <t>-589.98079764565 206.328291628967 -239.234190519054</t>
  </si>
  <si>
    <t>-615.114040788613 189.624421161468 -356.524825875431</t>
  </si>
  <si>
    <t>-621.314945267245 170.000807143377 -475.969462243994</t>
  </si>
  <si>
    <t>-619.193320726831 150.550361594152 -583.728540104353</t>
  </si>
  <si>
    <t>-609.561456584618 129.069026652657 -690.689416768036</t>
  </si>
  <si>
    <t>-588.492284927589 96.7998146222762 -838.048820548534</t>
  </si>
  <si>
    <t>-543.369759699043 77.9926244126032 -927.453760764294</t>
  </si>
  <si>
    <t>-591.733829262001 141.732843776609 -778.690369614596</t>
  </si>
  <si>
    <t>-545.187088672125 281.208738287801 -781.071144230394</t>
  </si>
  <si>
    <t>-489.393122370714 347.25709810358 -476.586550835994</t>
  </si>
  <si>
    <t>-301.772616613099 233.000142208409 -337.353116622228</t>
  </si>
  <si>
    <t>-603.895671450908 80.4229074685159 -767.003364811541</t>
  </si>
  <si>
    <t>-408.138010660769 32.5019809268135 -424.507680568376</t>
  </si>
  <si>
    <t>-597.918823809832 303.682408136563 -250.94696395993</t>
  </si>
  <si>
    <t>-588.046439500295 292.129060264903 204.494302703781</t>
  </si>
  <si>
    <t>-619.729022562457 251.833431446812 671.488119755344</t>
  </si>
  <si>
    <t>-462.086882284151 256.915848374707 749.376654425591</t>
  </si>
  <si>
    <t>-581.999515901566 109.141077553707 -226.850302643063</t>
  </si>
  <si>
    <t>-453.372447475273 92.8940222473946 210.012069476504</t>
  </si>
  <si>
    <t>-608.406523421931 12.2084130881085 646.296299420172</t>
  </si>
  <si>
    <t>-457.141884186162 -34.3742444618963 723.059402554509</t>
  </si>
  <si>
    <t>9763-20170724T170144.063376900.bin</t>
  </si>
  <si>
    <t>-591.001846290845 206.12852673819 -239.211168843838</t>
  </si>
  <si>
    <t>-616.242699358127 189.421653253194 -356.478238475341</t>
  </si>
  <si>
    <t>-622.514680096075 169.802094454071 -475.919879354313</t>
  </si>
  <si>
    <t>-620.441397920446 150.357353973352 -583.680950539563</t>
  </si>
  <si>
    <t>-610.841680055965 128.883119931884 -690.646131071105</t>
  </si>
  <si>
    <t>-589.800069438048 96.6253669876394 -838.012060230541</t>
  </si>
  <si>
    <t>-544.722597007196 77.8019834646677 -927.436168215906</t>
  </si>
  <si>
    <t>-593.03698872332 141.55494094218 -778.650509848102</t>
  </si>
  <si>
    <t>-546.673079183782 281.086934936953 -781.092731956513</t>
  </si>
  <si>
    <t>-491.985405680892 348.234119399783 -476.647867132489</t>
  </si>
  <si>
    <t>-304.650595160476 233.855419394782 -337.129991441756</t>
  </si>
  <si>
    <t>-605.183660319469 80.2419360473909 -766.963838051024</t>
  </si>
  <si>
    <t>-409.309880353358 32.0985168709256 -424.751339682839</t>
  </si>
  <si>
    <t>-599.011705558969 303.450514095644 -250.899327302398</t>
  </si>
  <si>
    <t>-588.858664654247 291.917022356493 204.536351767008</t>
  </si>
  <si>
    <t>-619.805909202298 251.729642821961 671.58894683119</t>
  </si>
  <si>
    <t>-462.106901099513 256.786376107988 749.364067906762</t>
  </si>
  <si>
    <t>-582.881964752563 108.901332324195 -226.852774045004</t>
  </si>
  <si>
    <t>-453.925737742042 92.950708110222 209.92359919317</t>
  </si>
  <si>
    <t>-608.421381708439 12.192367527794 646.336980280274</t>
  </si>
  <si>
    <t>-457.137721137849 -34.3383507949613 723.094092105568</t>
  </si>
  <si>
    <t>9763-20170724T170144.098028300.bin</t>
  </si>
  <si>
    <t>-591.529727656272 206.039144228253 -239.196100579302</t>
  </si>
  <si>
    <t>-616.803920509037 189.32983581113 -356.45577564549</t>
  </si>
  <si>
    <t>-623.11414977684 169.711670620423 -475.895625322464</t>
  </si>
  <si>
    <t>-621.076636173116 150.271076505423 -583.658113691444</t>
  </si>
  <si>
    <t>-611.513603085991 128.803789916759 -690.628046664231</t>
  </si>
  <si>
    <t>-590.523417257641 96.5589117354082 -838.003978244382</t>
  </si>
  <si>
    <t>-545.471798624958 77.7352643031707 -927.44122722464</t>
  </si>
  <si>
    <t>-593.744489726883 141.484108758208 -778.638476216686</t>
  </si>
  <si>
    <t>-547.526982119382 281.055844783123 -781.151572100988</t>
  </si>
  <si>
    <t>-493.321704778383 348.620798993528 -476.712878862296</t>
  </si>
  <si>
    <t>-306.122302873653 234.166426065719 -337.075284562849</t>
  </si>
  <si>
    <t>-605.877301370424 80.1685632600456 -766.951004887377</t>
  </si>
  <si>
    <t>-409.864340310151 31.8473901019245 -424.800854151203</t>
  </si>
  <si>
    <t>-599.597776140031 303.401219596645 -250.886930924581</t>
  </si>
  <si>
    <t>-589.422819596838 291.855803576313 204.547845822055</t>
  </si>
  <si>
    <t>-619.836456227725 251.669271004997 671.64064303667</t>
  </si>
  <si>
    <t>-462.106716865593 256.71261474419 749.354201482395</t>
  </si>
  <si>
    <t>-583.336095092648 108.775205046396 -226.856002440844</t>
  </si>
  <si>
    <t>-454.221338358833 92.9665946050184 209.878681046513</t>
  </si>
  <si>
    <t>-608.439758630525 12.1698631805716 646.371527252612</t>
  </si>
  <si>
    <t>-457.13218244597 -34.3017065863532 723.117352418072</t>
  </si>
  <si>
    <t>9763-20170724T170144.164193300.bin</t>
  </si>
  <si>
    <t>-592.577240950194 205.819430484845 -239.158960327655</t>
  </si>
  <si>
    <t>-617.988220774209 189.099862528098 -356.387519582671</t>
  </si>
  <si>
    <t>-624.430272944714 169.47510803656 -475.819303290095</t>
  </si>
  <si>
    <t>-622.508094104604 150.032277690912 -583.583571680928</t>
  </si>
  <si>
    <t>-613.054967765107 128.568688622346 -690.563927518649</t>
  </si>
  <si>
    <t>-592.210703877439 96.336518979698 -837.963416496914</t>
  </si>
  <si>
    <t>-547.275200438521 77.5178865770786 -927.460020392818</t>
  </si>
  <si>
    <t>-595.378599676543 141.257477427401 -778.591727345552</t>
  </si>
  <si>
    <t>-549.422607375704 280.918667918401 -781.201967365206</t>
  </si>
  <si>
    <t>-496.18415337533 348.86772049249 -476.67814357533</t>
  </si>
  <si>
    <t>-309.196096825693 234.178630227762 -336.949971522786</t>
  </si>
  <si>
    <t>-607.488669236157 79.9390989791746 -766.895695754375</t>
  </si>
  <si>
    <t>-411.17204240692 31.5502672488242 -424.96807682353</t>
  </si>
  <si>
    <t>-600.816245781981 303.336779042394 -250.860986432407</t>
  </si>
  <si>
    <t>-590.857431872592 291.794309510268 204.578644048287</t>
  </si>
  <si>
    <t>-619.95198726807 251.638005749553 671.778307605383</t>
  </si>
  <si>
    <t>-462.133420466409 256.345929008151 749.332456532443</t>
  </si>
  <si>
    <t>-584.225546443137 108.387527655376 -226.793893771768</t>
  </si>
  <si>
    <t>-454.797032127447 93.0505193927233 209.86467587003</t>
  </si>
  <si>
    <t>-608.494330155213 12.1319773152684 646.456617459706</t>
  </si>
  <si>
    <t>-457.12449407587 -34.1869045543701 723.172004157835</t>
  </si>
  <si>
    <t>9763-20170724T170144.195288500.bin</t>
  </si>
  <si>
    <t>-593.155890831418 205.738083722776 -239.082323306659</t>
  </si>
  <si>
    <t>-618.637662067515 188.990101099451 -356.291526266066</t>
  </si>
  <si>
    <t>-625.142459866287 169.348579545267 -475.717042729998</t>
  </si>
  <si>
    <t>-623.272142429793 149.897311837969 -583.480636973012</t>
  </si>
  <si>
    <t>-613.865370771388 128.432225106319 -690.464834654196</t>
  </si>
  <si>
    <t>-593.078804719906 96.2063192498754 -837.8738232877</t>
  </si>
  <si>
    <t>-548.214112897674 77.3894550153364 -927.406360899027</t>
  </si>
  <si>
    <t>-596.22452402369 141.12491688524 -778.499185970637</t>
  </si>
  <si>
    <t>-550.410593297927 280.830933378585 -781.129748177868</t>
  </si>
  <si>
    <t>-497.729677548911 348.709107797506 -476.493198639707</t>
  </si>
  <si>
    <t>-310.761165665197 233.97187042189 -336.778440915798</t>
  </si>
  <si>
    <t>-608.327878818479 79.8056518623448 -766.800679381243</t>
  </si>
  <si>
    <t>-411.909191452314 31.3641561972506 -424.98359356249</t>
  </si>
  <si>
    <t>-601.421560779508 303.252518683395 -250.826048853888</t>
  </si>
  <si>
    <t>-591.584899282963 291.723553590191 204.616726084146</t>
  </si>
  <si>
    <t>-619.993011705963 251.575011231533 671.857619251399</t>
  </si>
  <si>
    <t>-462.13159793518 256.21514835263 749.328666984812</t>
  </si>
  <si>
    <t>-584.793145699946 108.328967062744 -226.646845350808</t>
  </si>
  <si>
    <t>-454.914790183422 93.078215013747 209.881126810556</t>
  </si>
  <si>
    <t>-608.523879299725 12.1746431885899 646.48695515732</t>
  </si>
  <si>
    <t>-457.196789096825 -34.3130953910486 723.184514157152</t>
  </si>
  <si>
    <t>9763-20170724T170144.260460900.bin</t>
  </si>
  <si>
    <t>-594.411867917488 205.600830827317 -238.968863520771</t>
  </si>
  <si>
    <t>-620.053956612455 188.788341182892 -356.133746759902</t>
  </si>
  <si>
    <t>-626.651427931389 169.121196200338 -475.550145667149</t>
  </si>
  <si>
    <t>-624.834328506636 149.663374774224 -583.313430886446</t>
  </si>
  <si>
    <t>-615.448425217934 128.209753030993 -690.301699963613</t>
  </si>
  <si>
    <t>-594.656145900907 96.018405273619 -837.717474386664</t>
  </si>
  <si>
    <t>-549.899912441922 77.2298807143868 -927.310203868315</t>
  </si>
  <si>
    <t>-597.803260672585 140.922921138269 -778.332303505221</t>
  </si>
  <si>
    <t>-552.135128975032 280.677714630515 -780.942223068451</t>
  </si>
  <si>
    <t>-500.660730940626 348.411231031165 -476.067425883688</t>
  </si>
  <si>
    <t>-313.712470593288 233.612394039662 -336.3761147818</t>
  </si>
  <si>
    <t>-609.908915877095 79.6012423780157 -766.648930254025</t>
  </si>
  <si>
    <t>-413.406541154704 31.2808271477927 -424.957584236271</t>
  </si>
  <si>
    <t>-602.694387107362 303.195691559808 -250.806088278054</t>
  </si>
  <si>
    <t>-592.850393419263 291.682060439251 204.636728115318</t>
  </si>
  <si>
    <t>-620.011346810523 251.512827959245 671.933002652031</t>
  </si>
  <si>
    <t>-462.110288940115 256.203638828916 749.320135593926</t>
  </si>
  <si>
    <t>-585.994302795233 108.131172558158 -226.455443943582</t>
  </si>
  <si>
    <t>-455.305265766028 93.1888284258866 209.841182224999</t>
  </si>
  <si>
    <t>-608.605727287943 12.2833959496336 646.514696812789</t>
  </si>
  <si>
    <t>-457.305200613143 -34.3795435810703 723.158252823772</t>
  </si>
  <si>
    <t>9763-20170724T170144.297564700.bin</t>
  </si>
  <si>
    <t>-595.048807720455 205.528153553362 -238.936341462546</t>
  </si>
  <si>
    <t>-620.780083214938 188.67656509155 -356.076199736761</t>
  </si>
  <si>
    <t>-627.4377662795 168.995486524203 -475.486733474417</t>
  </si>
  <si>
    <t>-625.661673063003 149.534933793748 -583.250351875399</t>
  </si>
  <si>
    <t>-616.302568090618 128.088219179571 -690.242373874121</t>
  </si>
  <si>
    <t>-595.532079821004 95.9164656670619 -837.665440434563</t>
  </si>
  <si>
    <t>-550.844910892677 77.1458756387506 -927.296392053109</t>
  </si>
  <si>
    <t>-598.67444630647 140.813776717237 -778.274639251283</t>
  </si>
  <si>
    <t>-553.107754161796 280.602474051202 -780.876954686355</t>
  </si>
  <si>
    <t>-502.074193298834 348.302982974294 -475.920458671858</t>
  </si>
  <si>
    <t>-315.188649532557 233.486086488824 -336.160170855828</t>
  </si>
  <si>
    <t>-610.770279833348 79.4892168875479 -766.596059563464</t>
  </si>
  <si>
    <t>-414.28496176504 31.1648771551329 -424.93896554965</t>
  </si>
  <si>
    <t>-603.38334853946 303.160310939746 -250.796911908823</t>
  </si>
  <si>
    <t>-593.333411004871 291.649232515244 204.641517236494</t>
  </si>
  <si>
    <t>-620.038866943053 251.528420857527 671.977454289001</t>
  </si>
  <si>
    <t>-462.110411141968 256.033337803528 749.319677312536</t>
  </si>
  <si>
    <t>-586.55696274145 108.013409978085 -226.395337660036</t>
  </si>
  <si>
    <t>-455.513262754413 93.30603611386 209.803008723147</t>
  </si>
  <si>
    <t>-608.636193320135 12.3893250358215 646.508639433296</t>
  </si>
  <si>
    <t>-457.331286791798 -34.2943072361422 723.130910037181</t>
  </si>
  <si>
    <t>9763-20170724T170144.366749600.bin</t>
  </si>
  <si>
    <t>-596.413028406918 205.259248629244 -238.883207279203</t>
  </si>
  <si>
    <t>-622.348302531731 188.361322724076 -355.971309643967</t>
  </si>
  <si>
    <t>-629.065145543233 168.665503722925 -475.376239629838</t>
  </si>
  <si>
    <t>-627.281553907405 149.200124910355 -583.138780417276</t>
  </si>
  <si>
    <t>-617.853862753477 127.754904374282 -690.125049323239</t>
  </si>
  <si>
    <t>-596.925209866362 95.5895231293891 -837.527162615825</t>
  </si>
  <si>
    <t>-552.225140321883 76.8498292195138 -927.158219625833</t>
  </si>
  <si>
    <t>-600.141316781443 140.485968121235 -778.139506131273</t>
  </si>
  <si>
    <t>-554.768095177656 280.327331693152 -780.696638048579</t>
  </si>
  <si>
    <t>-504.61608385617 348.074271544989 -475.604296562788</t>
  </si>
  <si>
    <t>-317.69623717921 233.238307803273 -335.905588118834</t>
  </si>
  <si>
    <t>-612.229636659264 79.1575214601801 -766.473067856421</t>
  </si>
  <si>
    <t>-415.891113704765 30.9313964139253 -424.862481101718</t>
  </si>
  <si>
    <t>-604.894368127393 302.901575322316 -250.756001825535</t>
  </si>
  <si>
    <t>-594.220097880997 291.393412613942 204.668421093354</t>
  </si>
  <si>
    <t>-620.050499864327 251.364665201175 672.071875377695</t>
  </si>
  <si>
    <t>-462.06979479885 255.729091312928 749.315426005548</t>
  </si>
  <si>
    <t>-587.849945071367 107.744189149907 -226.341997023996</t>
  </si>
  <si>
    <t>-456.069900334567 93.3904649404005 209.646167593094</t>
  </si>
  <si>
    <t>-608.699877446462 12.3483531800453 646.492407578293</t>
  </si>
  <si>
    <t>-457.353445351733 -34.220714228092 723.102442801707</t>
  </si>
  <si>
    <t>9763-20170724T170144.393822800.bin</t>
  </si>
  <si>
    <t>-597.176945439374 205.032015172189 -238.857625728304</t>
  </si>
  <si>
    <t>-623.192016020366 188.115298997762 -355.925314642398</t>
  </si>
  <si>
    <t>-629.904429464293 168.431486943979 -475.33240306063</t>
  </si>
  <si>
    <t>-628.081108745012 148.987825671263 -583.098206246494</t>
  </si>
  <si>
    <t>-618.577605510808 127.573977985861 -690.084102478965</t>
  </si>
  <si>
    <t>-597.506217737944 95.4611533647012 -837.477335841569</t>
  </si>
  <si>
    <t>-552.752343713973 76.7697484659768 -927.091536225787</t>
  </si>
  <si>
    <t>-600.800527028802 140.339757458292 -778.08052435975</t>
  </si>
  <si>
    <t>-555.554958819154 280.236217323509 -780.600330048663</t>
  </si>
  <si>
    <t>-505.748267512386 348.023933999358 -475.460507692664</t>
  </si>
  <si>
    <t>-318.750903679077 233.223283344452 -335.836479395085</t>
  </si>
  <si>
    <t>-612.858748507567 79.0004420854852 -766.440286149381</t>
  </si>
  <si>
    <t>-416.522057195422 30.7626273669739 -424.733926536743</t>
  </si>
  <si>
    <t>-605.718918586579 302.606742958569 -250.722313922899</t>
  </si>
  <si>
    <t>-594.687307432138 291.083792602997 204.693038147189</t>
  </si>
  <si>
    <t>-620.016924553819 251.020946040703 672.149965824463</t>
  </si>
  <si>
    <t>-462.001744506904 255.6406927435 749.308094838497</t>
  </si>
  <si>
    <t>-588.531371540989 107.545213373698 -226.327196418475</t>
  </si>
  <si>
    <t>-456.470594484999 93.3851106469961 209.582347970387</t>
  </si>
  <si>
    <t>-608.758090864006 12.2879888462494 646.53536456758</t>
  </si>
  <si>
    <t>-457.350724905212 -34.150180682303 723.104394388263</t>
  </si>
  <si>
    <t>9763-20170724T170144.459926500.bin</t>
  </si>
  <si>
    <t>-598.822536007249 204.535388310322 -238.790872216078</t>
  </si>
  <si>
    <t>-624.963420610496 187.606472099455 -355.828758818493</t>
  </si>
  <si>
    <t>-631.669614998464 167.937065739993 -475.238615481584</t>
  </si>
  <si>
    <t>-629.785194295907 148.515429912721 -583.007335704297</t>
  </si>
  <si>
    <t>-620.165111041949 127.131192408886 -689.988742613319</t>
  </si>
  <si>
    <t>-598.874254383177 95.0668312762143 -837.36101566053</t>
  </si>
  <si>
    <t>-554.020865770074 76.4610043575017 -926.943272862551</t>
  </si>
  <si>
    <t>-602.292865766706 139.931539057429 -777.960743327513</t>
  </si>
  <si>
    <t>-557.336537284708 279.91672880461 -780.400154928446</t>
  </si>
  <si>
    <t>-508.148098126155 347.82354164552 -475.186533007678</t>
  </si>
  <si>
    <t>-321.001084653612 233.122536879776 -335.681229088748</t>
  </si>
  <si>
    <t>-614.296769319406 78.5769674915941 -766.345733827598</t>
  </si>
  <si>
    <t>-418.162594080973 30.3714163791628 -424.678781180715</t>
  </si>
  <si>
    <t>-607.500394120851 302.087153353035 -250.629175432073</t>
  </si>
  <si>
    <t>-595.884803518023 290.631169784318 204.773360819452</t>
  </si>
  <si>
    <t>-620.108537418155 250.923230043491 672.335441315549</t>
  </si>
  <si>
    <t>-461.978878453425 255.362863168027 749.269262607362</t>
  </si>
  <si>
    <t>-590.0658658536 107.128698633753 -226.283691413457</t>
  </si>
  <si>
    <t>-457.448329521074 93.3354704346282 209.468602178075</t>
  </si>
  <si>
    <t>-608.904923202956 12.3947261479411 646.679130980145</t>
  </si>
  <si>
    <t>-457.439272674795 -34.0777728626094 723.111948253127</t>
  </si>
  <si>
    <t>9763-20170724T170144.495052100.bin</t>
  </si>
  <si>
    <t>-599.666349918321 204.248932650072 -238.708698499042</t>
  </si>
  <si>
    <t>-625.867458318588 187.316118880867 -355.732656193495</t>
  </si>
  <si>
    <t>-632.59259341022 167.661414107816 -475.14379827468</t>
  </si>
  <si>
    <t>-630.707294723099 148.26031866394 -582.916227322543</t>
  </si>
  <si>
    <t>-621.06796759901 126.903322643638 -689.901415307952</t>
  </si>
  <si>
    <t>-599.730967456593 94.883875478504 -837.276763715317</t>
  </si>
  <si>
    <t>-554.856585537438 76.3320341628908 -926.85960620921</t>
  </si>
  <si>
    <t>-603.180843206766 139.732619623668 -777.866212176844</t>
  </si>
  <si>
    <t>-558.33571445946 279.75780262748 -780.269236869536</t>
  </si>
  <si>
    <t>-509.525560318093 347.727668232558 -475.008869997263</t>
  </si>
  <si>
    <t>-322.336416393421 233.081006485555 -335.515406259442</t>
  </si>
  <si>
    <t>-615.1630111411 78.3702824702266 -766.269122322746</t>
  </si>
  <si>
    <t>-419.053283624288 30.1095331036718 -424.55366124152</t>
  </si>
  <si>
    <t>-608.424510469747 301.796569165937 -250.535542281289</t>
  </si>
  <si>
    <t>-596.727687897772 290.386129488248 204.866098226073</t>
  </si>
  <si>
    <t>-620.19171670712 250.734685319401 672.467667016587</t>
  </si>
  <si>
    <t>-461.99752953387 255.445389392492 749.252512485469</t>
  </si>
  <si>
    <t>-590.859986435027 106.855179960628 -226.210473160374</t>
  </si>
  <si>
    <t>-457.921247312073 93.1724892381865 209.447380962337</t>
  </si>
  <si>
    <t>-608.998922805946 12.3728795213842 646.795737365897</t>
  </si>
  <si>
    <t>-457.457424899434 -34.0142185187035 723.130079841439</t>
  </si>
  <si>
    <t>9763-20170724T170144.562232700.bin</t>
  </si>
  <si>
    <t>-601.382967181259 203.612271137907 -238.620038851583</t>
  </si>
  <si>
    <t>-627.667523129622 186.647084459095 -355.62043594946</t>
  </si>
  <si>
    <t>-634.435770839683 167.006212373015 -475.031508885748</t>
  </si>
  <si>
    <t>-632.570536164244 147.636567891306 -582.809991511465</t>
  </si>
  <si>
    <t>-622.93090349965 126.330346218169 -689.805104549303</t>
  </si>
  <si>
    <t>-601.571172842483 94.4013784625558 -837.196773765455</t>
  </si>
  <si>
    <t>-556.670697021453 75.942091179304 -926.785842021984</t>
  </si>
  <si>
    <t>-605.03431042584 139.214257678371 -777.760080508372</t>
  </si>
  <si>
    <t>-560.310416017024 279.276188882458 -780.03196458522</t>
  </si>
  <si>
    <t>-512.195494507613 347.276830481796 -474.668149393876</t>
  </si>
  <si>
    <t>-325.00688369873 232.624342448673 -335.178923316896</t>
  </si>
  <si>
    <t>-617.010121069184 77.843539178933 -766.201128708222</t>
  </si>
  <si>
    <t>-420.905587955334 29.3834916904586 -424.64189994475</t>
  </si>
  <si>
    <t>-610.159342110898 301.191445406911 -250.50230305885</t>
  </si>
  <si>
    <t>-598.552904693697 289.978227786122 204.906539238425</t>
  </si>
  <si>
    <t>-620.21460515149 250.726343540727 672.572516785542</t>
  </si>
  <si>
    <t>-461.948039959618 255.169040577541 749.224154933997</t>
  </si>
  <si>
    <t>-592.508365712719 106.137193187236 -226.065092896421</t>
  </si>
  <si>
    <t>-458.807870977448 92.9441770543219 209.374644347666</t>
  </si>
  <si>
    <t>-609.173795106425 12.5120179893759 646.978378189718</t>
  </si>
  <si>
    <t>-457.627607346453 -34.090395760388 723.172054817084</t>
  </si>
  <si>
    <t>9763-20170724T170144.592817600.bin</t>
  </si>
  <si>
    <t>-602.172788923443 203.2403379033 -238.592218946072</t>
  </si>
  <si>
    <t>-628.518015489502 186.250954702152 -355.575549085565</t>
  </si>
  <si>
    <t>-635.308162219922 166.633034610638 -474.98922729128</t>
  </si>
  <si>
    <t>-633.444463523945 147.303873829819 -582.774753600444</t>
  </si>
  <si>
    <t>-623.786925118652 126.05772935002 -689.780389425997</t>
  </si>
  <si>
    <t>-602.380918339938 94.2328941032952 -837.187824958829</t>
  </si>
  <si>
    <t>-557.485855825142 75.8458562331682 -926.794351379212</t>
  </si>
  <si>
    <t>-605.869497741843 139.005024930491 -777.721757182757</t>
  </si>
  <si>
    <t>-561.162506861684 279.072492161316 -779.912668371309</t>
  </si>
  <si>
    <t>-513.418264067671 347.045094877505 -474.484266712809</t>
  </si>
  <si>
    <t>-326.243340729713 232.369644722209 -334.995345798377</t>
  </si>
  <si>
    <t>-617.835271675637 77.6239232097562 -766.207498735789</t>
  </si>
  <si>
    <t>-421.609742422711 28.9740309922918 -424.718484058566</t>
  </si>
  <si>
    <t>-610.975184040541 300.92043714697 -250.516907342404</t>
  </si>
  <si>
    <t>-599.421823533478 289.834840502611 204.896294417437</t>
  </si>
  <si>
    <t>-620.249361692967 250.844711554352 672.617728660688</t>
  </si>
  <si>
    <t>-461.952845536412 255.013566287542 749.222851169694</t>
  </si>
  <si>
    <t>-593.248670398499 105.671788340712 -226.001838670486</t>
  </si>
  <si>
    <t>-459.14439763403 92.7723127862535 209.322605193899</t>
  </si>
  <si>
    <t>-609.264064063898 12.4668792075709 647.044213652114</t>
  </si>
  <si>
    <t>-457.680458831326 -34.1052153531575 723.181934043767</t>
  </si>
  <si>
    <t>9763-20170724T170144.662505000.bin</t>
  </si>
  <si>
    <t>-603.695278109683 202.274466854867 -238.577691658862</t>
  </si>
  <si>
    <t>-630.137524494121 185.225657020525 -355.530461816331</t>
  </si>
  <si>
    <t>-636.92865142749 165.622123996353 -474.946411889914</t>
  </si>
  <si>
    <t>-635.023431298746 146.335093872742 -582.738938265981</t>
  </si>
  <si>
    <t>-625.280190600691 125.160443910016 -689.750902435939</t>
  </si>
  <si>
    <t>-603.708070213957 93.4647837608522 -837.16191986793</t>
  </si>
  <si>
    <t>-558.784443544384 75.1963535036327 -926.778448922047</t>
  </si>
  <si>
    <t>-607.265548731508 138.184932801486 -777.661019400429</t>
  </si>
  <si>
    <t>-562.612000487811 278.270876189482 -779.650748019714</t>
  </si>
  <si>
    <t>-515.726367453903 346.202285713061 -474.080398299463</t>
  </si>
  <si>
    <t>-328.513058947198 231.539520293927 -334.632715015831</t>
  </si>
  <si>
    <t>-619.240605003433 76.7932349482594 -766.213255386854</t>
  </si>
  <si>
    <t>-423.171277039561 27.7612183965346 -424.930357687049</t>
  </si>
  <si>
    <t>-612.511767404476 300.017726035969 -250.578143221765</t>
  </si>
  <si>
    <t>-600.956749283488 289.170114643561 204.840920263294</t>
  </si>
  <si>
    <t>-620.256370644051 250.775541729379 672.710213670212</t>
  </si>
  <si>
    <t>-461.90118184813 254.865499675705 749.198324777976</t>
  </si>
  <si>
    <t>-594.746355473599 104.607704281367 -225.949553790546</t>
  </si>
  <si>
    <t>-459.919608051816 92.4540379003283 209.173152480655</t>
  </si>
  <si>
    <t>-609.391555404451 12.4963866366929 647.112887460039</t>
  </si>
  <si>
    <t>-457.821793111306 -34.1627271490668 723.224950042025</t>
  </si>
  <si>
    <t>9763-20170724T170144.695126300.bin</t>
  </si>
  <si>
    <t>-604.444254823262 201.619526492086 -238.587214647876</t>
  </si>
  <si>
    <t>-630.882949367681 184.564036687849 -355.53982366148</t>
  </si>
  <si>
    <t>-637.655619341446 164.985507931996 -474.960938873395</t>
  </si>
  <si>
    <t>-635.726393931579 145.734591051355 -582.759461997947</t>
  </si>
  <si>
    <t>-625.95113901836 124.609523129293 -689.778275933769</t>
  </si>
  <si>
    <t>-604.325362851049 92.9973896891286 -837.199438541999</t>
  </si>
  <si>
    <t>-559.375373613964 74.7960404774553 -926.816327104968</t>
  </si>
  <si>
    <t>-607.908748532053 137.684570298902 -777.67520191676</t>
  </si>
  <si>
    <t>-563.262864399974 277.778846273688 -779.579339338561</t>
  </si>
  <si>
    <t>-516.837417135918 345.675502675509 -473.931092788456</t>
  </si>
  <si>
    <t>-329.597543763569 231.018531592556 -334.514169221208</t>
  </si>
  <si>
    <t>-619.879461813836 76.284940420886 -766.265027816756</t>
  </si>
  <si>
    <t>-423.832338638959 27.1383556098333 -424.898650884751</t>
  </si>
  <si>
    <t>-613.256349676067 299.266374240651 -250.554920858025</t>
  </si>
  <si>
    <t>-601.756413571505 288.544653084876 204.868370041841</t>
  </si>
  <si>
    <t>-620.35814276615 250.597674819338 672.922986858506</t>
  </si>
  <si>
    <t>-461.862528316022 254.830566498329 749.111834296761</t>
  </si>
  <si>
    <t>-595.500812003192 104.077916771316 -225.960474384475</t>
  </si>
  <si>
    <t>-460.305797140826 92.2363054053026 209.056463309621</t>
  </si>
  <si>
    <t>-609.38597240297 12.498553080899 647.099077379809</t>
  </si>
  <si>
    <t>-457.860422805197 -34.0633385559697 723.358566837732</t>
  </si>
  <si>
    <t>9763-20170724T170144.763367900.bin</t>
  </si>
  <si>
    <t>-605.806676168567 199.997259060009 -238.391080640551</t>
  </si>
  <si>
    <t>-632.165643275756 182.895124889302 -355.354805876338</t>
  </si>
  <si>
    <t>-638.873289214422 163.322275169964 -474.780408906685</t>
  </si>
  <si>
    <t>-636.889628969817 144.100502531557 -582.583256130718</t>
  </si>
  <si>
    <t>-627.062728451702 123.030255906903 -689.608145348557</t>
  </si>
  <si>
    <t>-605.366626398751 91.5216906337457 -837.041135789793</t>
  </si>
  <si>
    <t>-560.368941247872 73.4289922402352 -926.656112133193</t>
  </si>
  <si>
    <t>-608.998287724341 136.170147221595 -777.490808172601</t>
  </si>
  <si>
    <t>-564.505959901952 276.316697018138 -779.26403203272</t>
  </si>
  <si>
    <t>-518.820611294389 344.360258306446 -473.536818816055</t>
  </si>
  <si>
    <t>-331.457483350766 229.811022771958 -334.196964116555</t>
  </si>
  <si>
    <t>-620.934706987439 74.7561867410343 -766.122291056062</t>
  </si>
  <si>
    <t>-425.081852049928 25.5149242203784 -424.608261184479</t>
  </si>
  <si>
    <t>-614.711723214708 297.467392809416 -250.289706678715</t>
  </si>
  <si>
    <t>-603.490360592863 287.095729394958 205.148701239539</t>
  </si>
  <si>
    <t>-620.645616297821 250.038035458303 673.377199240749</t>
  </si>
  <si>
    <t>-461.871542052391 254.672535574117 748.960445709088</t>
  </si>
  <si>
    <t>-596.737066365479 102.584563763005 -225.82473940085</t>
  </si>
  <si>
    <t>-461.11529868038 91.6718539045937 209.083744885306</t>
  </si>
  <si>
    <t>-609.445104287161 12.2989071474749 647.35366332847</t>
  </si>
  <si>
    <t>-457.817862331007 -33.6540847069587 723.780152361712</t>
  </si>
  <si>
    <t>9763-20170724T170144.794980000.bin</t>
  </si>
  <si>
    <t>-606.373055008668 199.340749535325 -238.310178267183</t>
  </si>
  <si>
    <t>-632.725209266369 182.234668632268 -355.274900480485</t>
  </si>
  <si>
    <t>-639.427453498453 162.673049451098 -474.702676958278</t>
  </si>
  <si>
    <t>-637.438944273291 143.467708991253 -582.50829402429</t>
  </si>
  <si>
    <t>-627.606946882559 122.419992662057 -689.537210244986</t>
  </si>
  <si>
    <t>-605.903011218673 90.9497018330439 -836.97715129007</t>
  </si>
  <si>
    <t>-560.888274460654 72.9025703489699 -926.592858398369</t>
  </si>
  <si>
    <t>-609.54459258364 135.58388624923 -777.416720677692</t>
  </si>
  <si>
    <t>-565.113707433969 275.750405552152 -779.147476571175</t>
  </si>
  <si>
    <t>-519.819939291948 343.840460352917 -473.372405216917</t>
  </si>
  <si>
    <t>-332.419736995417 229.405513986615 -333.988618842392</t>
  </si>
  <si>
    <t>-621.468088501866 74.1647276904644 -766.062334709254</t>
  </si>
  <si>
    <t>-425.631227571463 24.9208588139445 -424.438574565604</t>
  </si>
  <si>
    <t>-615.291289720525 296.819313880226 -250.224677218036</t>
  </si>
  <si>
    <t>-604.174847638984 286.574831185624 205.219301549535</t>
  </si>
  <si>
    <t>-620.673149124776 249.992079959238 673.441320664493</t>
  </si>
  <si>
    <t>-461.832692419671 254.8184769443 748.872917628907</t>
  </si>
  <si>
    <t>-597.32203275105 102.057967915747 -225.711965015745</t>
  </si>
  <si>
    <t>-461.420818286523 91.4961192726653 209.117831918797</t>
  </si>
  <si>
    <t>-609.50832066507 12.2475755020225 647.516923067296</t>
  </si>
  <si>
    <t>-457.868814904457 -33.6630219433671 723.94458316303</t>
  </si>
  <si>
    <t>9763-20170724T170144.864332000.bin</t>
  </si>
  <si>
    <t>-607.440735956809 198.528685933303 -238.132881415592</t>
  </si>
  <si>
    <t>-633.812005593637 181.393462127753 -355.089076649853</t>
  </si>
  <si>
    <t>-640.504160534833 161.815817114566 -474.514737366864</t>
  </si>
  <si>
    <t>-638.493947505313 142.602127713192 -582.318465378329</t>
  </si>
  <si>
    <t>-628.627227186504 121.552782791124 -689.343790081436</t>
  </si>
  <si>
    <t>-606.861278122527 90.0874053996824 -836.775632577734</t>
  </si>
  <si>
    <t>-561.830380862448 72.1121280634682 -926.397690470499</t>
  </si>
  <si>
    <t>-610.55909082404 134.724658959255 -777.221009440681</t>
  </si>
  <si>
    <t>-566.289863176045 274.940445288848 -778.93766702568</t>
  </si>
  <si>
    <t>-521.782575762779 343.341820885359 -473.116567345032</t>
  </si>
  <si>
    <t>-334.383741163496 229.099885040808 -333.572622608913</t>
  </si>
  <si>
    <t>-622.424978501624 73.2951573583396 -765.862274892514</t>
  </si>
  <si>
    <t>-426.616432632727 24.3090799672593 -424.136543551646</t>
  </si>
  <si>
    <t>-616.379812598977 296.007830641922 -250.140073761716</t>
  </si>
  <si>
    <t>-605.415252524247 286.02886247031 205.313421195835</t>
  </si>
  <si>
    <t>-620.724496209239 250.057061613398 673.577630688098</t>
  </si>
  <si>
    <t>-461.791649874158 254.926180702985 748.811614250477</t>
  </si>
  <si>
    <t>-598.372618469798 101.268840687067 -225.466548724178</t>
  </si>
  <si>
    <t>-461.941109788103 91.4919808140858 209.215592065993</t>
  </si>
  <si>
    <t>-609.651411053879 12.3357916112182 647.768591380452</t>
  </si>
  <si>
    <t>-458.00720042555 -33.6630143130342 724.133835696567</t>
  </si>
  <si>
    <t>9763-20170724T170144.895956500.bin</t>
  </si>
  <si>
    <t>-607.953621564917 198.19152405879 -238.0601780349</t>
  </si>
  <si>
    <t>-634.332661546994 181.017518403778 -355.008923764453</t>
  </si>
  <si>
    <t>-641.016329224394 161.407653399829 -474.429818145892</t>
  </si>
  <si>
    <t>-638.991605304644 142.167436240837 -582.22851835639</t>
  </si>
  <si>
    <t>-629.103494036265 121.094151493983 -689.24716394346</t>
  </si>
  <si>
    <t>-607.300650773695 89.5980619428501 -836.667083384717</t>
  </si>
  <si>
    <t>-562.267524453793 71.6389520840737 -926.291202205205</t>
  </si>
  <si>
    <t>-611.02837841386 134.250124097596 -777.125338564686</t>
  </si>
  <si>
    <t>-566.820105786296 274.488453200913 -778.857644092454</t>
  </si>
  <si>
    <t>-522.741668247609 343.064907385264 -473.013615273039</t>
  </si>
  <si>
    <t>-335.331800367475 228.963098322793 -333.369867248133</t>
  </si>
  <si>
    <t>-622.867036977878 72.8181653145591 -765.751489752168</t>
  </si>
  <si>
    <t>-427.048921641656 23.9398366215667 -424.040086023355</t>
  </si>
  <si>
    <t>-616.968078407108 295.705798642179 -250.102248355441</t>
  </si>
  <si>
    <t>-606.008075594256 285.861130624936 205.354297429679</t>
  </si>
  <si>
    <t>-620.76621214523 250.146701593397 673.656714878731</t>
  </si>
  <si>
    <t>-461.782957246119 254.758141260758 748.800348166845</t>
  </si>
  <si>
    <t>-598.830036103214 100.870578249625 -225.360508842027</t>
  </si>
  <si>
    <t>-462.174914923067 91.4971152455723 209.260229711108</t>
  </si>
  <si>
    <t>-609.708302095659 12.3081926250443 647.839216316217</t>
  </si>
  <si>
    <t>-458.013766353377 -33.5520187754182 724.187887175446</t>
  </si>
  <si>
    <t>9763-20170724T170144.966143200.bin</t>
  </si>
  <si>
    <t>-608.894793692066 197.497328904997 -237.963426748592</t>
  </si>
  <si>
    <t>-635.272463961301 180.218150031265 -354.897068169696</t>
  </si>
  <si>
    <t>-641.940229477092 160.540364998404 -474.307696547439</t>
  </si>
  <si>
    <t>-639.894004396624 141.25356647339 -582.097580407924</t>
  </si>
  <si>
    <t>-629.976882188842 120.147598441562 -689.107156069957</t>
  </si>
  <si>
    <t>-608.125369192596 88.6203917838216 -836.513232594882</t>
  </si>
  <si>
    <t>-563.091826930186 70.6896245099867 -926.142700738483</t>
  </si>
  <si>
    <t>-611.907726253354 133.290413068356 -776.988466664487</t>
  </si>
  <si>
    <t>-567.866839509258 273.575611153828 -778.749178583985</t>
  </si>
  <si>
    <t>-524.534340964992 342.607248676197 -472.900948778805</t>
  </si>
  <si>
    <t>-337.078989186348 228.87044776163 -333.020650424612</t>
  </si>
  <si>
    <t>-623.680276921249 71.8499040066949 -765.59277158737</t>
  </si>
  <si>
    <t>-427.737980333314 23.084445540266 -423.7742230868</t>
  </si>
  <si>
    <t>-618.108043317658 295.089968182432 -250.060088217233</t>
  </si>
  <si>
    <t>-607.093471437843 285.495572241133 205.40041484966</t>
  </si>
  <si>
    <t>-620.783752176749 250.185221554608 673.752146897001</t>
  </si>
  <si>
    <t>-461.730708185708 254.646273947786 748.756966531086</t>
  </si>
  <si>
    <t>-599.567462543022 100.053548718968 -225.235561360339</t>
  </si>
  <si>
    <t>-462.595986330085 91.5975194543305 209.304442274406</t>
  </si>
  <si>
    <t>-609.796445097213 12.2150790333501 647.975959923055</t>
  </si>
  <si>
    <t>-458.028700152176 -33.4034738659407 724.323866849154</t>
  </si>
  <si>
    <t>9763-20170724T170144.997819400.bin</t>
  </si>
  <si>
    <t>-609.394152148979 197.299863599897 -237.92087529063</t>
  </si>
  <si>
    <t>-635.776720932728 179.97415800013 -354.846489761755</t>
  </si>
  <si>
    <t>-642.430070893528 160.270577314779 -474.253693234648</t>
  </si>
  <si>
    <t>-640.362303851517 140.968797196908 -582.040543018478</t>
  </si>
  <si>
    <t>-630.414768619401 119.855825505998 -689.045878803507</t>
  </si>
  <si>
    <t>-608.511623506344 88.3271465532025 -836.444071229019</t>
  </si>
  <si>
    <t>-563.462378272777 70.4091984325805 -926.068169778043</t>
  </si>
  <si>
    <t>-612.339637562469 133.001732574955 -776.925518778378</t>
  </si>
  <si>
    <t>-568.407999202017 273.326334109247 -778.681053771696</t>
  </si>
  <si>
    <t>-525.387684991314 342.523656750735 -472.826204573784</t>
  </si>
  <si>
    <t>-337.930722779924 228.927993300379 -332.833458049068</t>
  </si>
  <si>
    <t>-624.066485247885 71.5535821572551 -765.524269808313</t>
  </si>
  <si>
    <t>-428.051751283142 23.0335905406632 -423.667938177167</t>
  </si>
  <si>
    <t>-618.686132159803 294.908278772714 -250.052558283544</t>
  </si>
  <si>
    <t>-607.631747260774 285.412649835549 205.409090834322</t>
  </si>
  <si>
    <t>-620.790926861112 250.290746837677 673.77832788499</t>
  </si>
  <si>
    <t>-461.711982197913 254.719510545564 748.730204553915</t>
  </si>
  <si>
    <t>-600.030878559216 99.8893571386825 -225.148221630884</t>
  </si>
  <si>
    <t>-462.805735808728 91.5962252343429 209.314857564711</t>
  </si>
  <si>
    <t>-609.854055473311 12.1216110115367 648.041574402067</t>
  </si>
  <si>
    <t>-458.023249226328 -33.3231413441279 724.367785219499</t>
  </si>
  <si>
    <t>9763-20170724T170145.061986200.bin</t>
  </si>
  <si>
    <t>-610.400766213397 197.022535049565 -237.892432517187</t>
  </si>
  <si>
    <t>-636.836312978372 179.616503193504 -354.794013883475</t>
  </si>
  <si>
    <t>-643.493628973736 159.847484439188 -474.190195517619</t>
  </si>
  <si>
    <t>-641.408584409934 140.492719295502 -581.967314133771</t>
  </si>
  <si>
    <t>-631.422671475496 119.33294341936 -688.959774953425</t>
  </si>
  <si>
    <t>-609.444246244455 87.7453465370404 -836.333990217461</t>
  </si>
  <si>
    <t>-564.377613268838 69.8511081476031 -925.954143535439</t>
  </si>
  <si>
    <t>-613.359490305956 132.452665466873 -776.845811186185</t>
  </si>
  <si>
    <t>-569.725423164589 272.864628256822 -778.65478246989</t>
  </si>
  <si>
    <t>-527.303527519053 342.383263508504 -472.789310617043</t>
  </si>
  <si>
    <t>-339.867339950408 229.042747266082 -332.562225265936</t>
  </si>
  <si>
    <t>-624.97851344906 70.991230837596 -765.405119989139</t>
  </si>
  <si>
    <t>-428.915483610832 22.6572092025151 -423.905920161382</t>
  </si>
  <si>
    <t>-619.847959533621 294.554146183822 -250.046323766337</t>
  </si>
  <si>
    <t>-608.401796831672 285.177718197426 205.408133655345</t>
  </si>
  <si>
    <t>-620.736670648187 250.149072494739 673.835987046242</t>
  </si>
  <si>
    <t>-461.613549340445 254.809934799153 748.679898487806</t>
  </si>
  <si>
    <t>-600.860133147763 99.6112612807131 -225.096695117809</t>
  </si>
  <si>
    <t>-463.313122962915 91.7776539784181 209.273176331917</t>
  </si>
  <si>
    <t>-609.932658490394 12.2026242269083 648.129519531901</t>
  </si>
  <si>
    <t>-458.111427613118 -33.2153488445697 724.490717731859</t>
  </si>
  <si>
    <t>9763-20170724T170145.095078600.bin</t>
  </si>
  <si>
    <t>-610.873737436792 196.84639685431 -237.902273279621</t>
  </si>
  <si>
    <t>-637.363034306255 179.407909643475 -354.787011162829</t>
  </si>
  <si>
    <t>-644.027268220571 159.622665801576 -474.179989173231</t>
  </si>
  <si>
    <t>-641.928648289353 140.258385784143 -581.955028425287</t>
  </si>
  <si>
    <t>-631.909273943168 119.093541306248 -688.943525306323</t>
  </si>
  <si>
    <t>-609.863889081765 87.5027343487998 -836.307050737918</t>
  </si>
  <si>
    <t>-564.756592772272 69.6270910602698 -925.910385163659</t>
  </si>
  <si>
    <t>-613.826504543897 132.214452622229 -776.825265605523</t>
  </si>
  <si>
    <t>-570.251245285902 272.648109872967 -778.635033047707</t>
  </si>
  <si>
    <t>-528.201954598141 342.26060945337 -472.739406085299</t>
  </si>
  <si>
    <t>-340.728238505205 229.035628291991 -332.469046250316</t>
  </si>
  <si>
    <t>-625.410064543545 70.7469970789386 -765.381145891919</t>
  </si>
  <si>
    <t>-429.122651957215 22.669703742755 -423.782303198475</t>
  </si>
  <si>
    <t>-620.410408759314 294.379028519578 -250.038767663451</t>
  </si>
  <si>
    <t>-608.723297622087 285.069079134345 205.410840232779</t>
  </si>
  <si>
    <t>-620.73017428728 250.14164213207 673.860347125332</t>
  </si>
  <si>
    <t>-461.580819567101 254.774143615125 748.650280273968</t>
  </si>
  <si>
    <t>-601.24571333604 99.3816102502421 -225.111948608007</t>
  </si>
  <si>
    <t>-463.640481848137 91.834307548208 209.244439506044</t>
  </si>
  <si>
    <t>-609.947299122281 12.1170964168634 648.148582945511</t>
  </si>
  <si>
    <t>-458.118590511516 -33.0911291881052 724.619318472954</t>
  </si>
  <si>
    <t>9763-20170724T170145.167403200.bin</t>
  </si>
  <si>
    <t>-611.973482700829 196.455947125037 -237.911005773479</t>
  </si>
  <si>
    <t>-638.556091088178 178.996716337592 -354.771328108699</t>
  </si>
  <si>
    <t>-645.198610730234 159.179619205619 -474.160377463431</t>
  </si>
  <si>
    <t>-643.032827225847 139.784441946533 -581.928578807391</t>
  </si>
  <si>
    <t>-632.899027219236 118.58725834155 -688.899758100442</t>
  </si>
  <si>
    <t>-610.645800410318 86.9516121570916 -836.222411674119</t>
  </si>
  <si>
    <t>-565.46252843512 69.0971629342325 -925.791775199468</t>
  </si>
  <si>
    <t>-614.758121831009 131.6915154889 -776.772126945869</t>
  </si>
  <si>
    <t>-571.511432446744 272.231449599738 -778.603430903567</t>
  </si>
  <si>
    <t>-529.988122908787 342.242417980149 -472.726887481694</t>
  </si>
  <si>
    <t>-342.519152619036 229.085992557731 -332.394745573054</t>
  </si>
  <si>
    <t>-626.226180273928 70.2073250594951 -765.301455861147</t>
  </si>
  <si>
    <t>-429.900787686975 22.7527386589877 -423.777911070235</t>
  </si>
  <si>
    <t>-621.537388164464 294.003909089959 -250.034460297146</t>
  </si>
  <si>
    <t>-609.311449004572 284.750096645377 205.402157874536</t>
  </si>
  <si>
    <t>-620.693954602016 249.97306752691 673.908136555214</t>
  </si>
  <si>
    <t>-461.49290621891 254.899757022841 748.56915126801</t>
  </si>
  <si>
    <t>-602.328396918311 98.9870263847881 -225.159235786933</t>
  </si>
  <si>
    <t>-464.216750947814 91.7172921870092 209.041213963734</t>
  </si>
  <si>
    <t>-609.823905158012 11.9144998351007 648.091791939324</t>
  </si>
  <si>
    <t>-458.173926343015 -32.9179144551736 725.136259052385</t>
  </si>
  <si>
    <t>9763-20170724T170145.194937600.bin</t>
  </si>
  <si>
    <t>-612.53812174396 196.268908466163 -237.928923450289</t>
  </si>
  <si>
    <t>-639.168448799274 178.786997243997 -354.774989853406</t>
  </si>
  <si>
    <t>-645.792276644016 158.948467589032 -474.161481145203</t>
  </si>
  <si>
    <t>-643.582221116579 139.534220688473 -581.925265779198</t>
  </si>
  <si>
    <t>-633.376968851884 118.318254834596 -688.886020796881</t>
  </si>
  <si>
    <t>-610.996848547593 86.6560722897905 -836.183870141467</t>
  </si>
  <si>
    <t>-565.757548475815 68.8264536401387 -925.729895190719</t>
  </si>
  <si>
    <t>-615.178882661276 131.409435964167 -776.748461256711</t>
  </si>
  <si>
    <t>-572.06363572 271.980583409444 -778.58607531225</t>
  </si>
  <si>
    <t>-530.927664515329 342.331790134744 -472.735215130784</t>
  </si>
  <si>
    <t>-343.455370946263 229.229113760346 -332.364426058439</t>
  </si>
  <si>
    <t>-626.619853144994 69.921695729664 -765.269852990394</t>
  </si>
  <si>
    <t>-430.226528390089 22.641448037172 -423.623425881687</t>
  </si>
  <si>
    <t>-622.087192573734 293.93271333741 -250.046743998489</t>
  </si>
  <si>
    <t>-609.621290436186 284.733599231677 205.384613577305</t>
  </si>
  <si>
    <t>-620.72934263385 250.206276847803 673.896982892077</t>
  </si>
  <si>
    <t>-461.50605673247 254.697167331811 748.538056728581</t>
  </si>
  <si>
    <t>-602.898261507552 98.6934259022653 -225.167099682107</t>
  </si>
  <si>
    <t>-464.469544466143 91.6050734467901 208.935248427778</t>
  </si>
  <si>
    <t>-609.767423916514 11.7305162596706 648.134553208874</t>
  </si>
  <si>
    <t>-458.126377926867 -32.6385613134664 725.464276332755</t>
  </si>
  <si>
    <t>9763-20170724T170145.264561900.bin</t>
  </si>
  <si>
    <t>-613.588189883505 196.10789882404 -237.941388580375</t>
  </si>
  <si>
    <t>-640.255018435042 178.634927563571 -354.780594169893</t>
  </si>
  <si>
    <t>-646.878565809909 158.795442011507 -474.166827564128</t>
  </si>
  <si>
    <t>-644.653361937141 139.376409944919 -581.929436347326</t>
  </si>
  <si>
    <t>-634.41825604859 118.152207095102 -688.885779651533</t>
  </si>
  <si>
    <t>-611.981710711319 86.4748191669662 -836.171667321014</t>
  </si>
  <si>
    <t>-566.678361617536 68.673879937129 -925.691062689246</t>
  </si>
  <si>
    <t>-616.214914147687 131.238653417867 -776.747799447192</t>
  </si>
  <si>
    <t>-573.22676447249 271.857478644374 -778.590200285581</t>
  </si>
  <si>
    <t>-532.878000138347 342.807067863127 -472.772747640967</t>
  </si>
  <si>
    <t>-345.465215333743 229.861703095825 -332.195889356869</t>
  </si>
  <si>
    <t>-627.603492969949 69.743432779328 -765.256666247762</t>
  </si>
  <si>
    <t>-431.308128821787 22.8570418917507 -423.39809333498</t>
  </si>
  <si>
    <t>-623.145131536173 293.798124926187 -250.039480302395</t>
  </si>
  <si>
    <t>-610.34711404101 284.607424396402 205.382816021915</t>
  </si>
  <si>
    <t>-620.691001084519 250.15615136138 673.919943783403</t>
  </si>
  <si>
    <t>-461.43082482949 254.672114414197 748.480697198678</t>
  </si>
  <si>
    <t>-603.908147555215 98.5674464060869 -225.182679305297</t>
  </si>
  <si>
    <t>-465.187331263618 91.6942868080064 208.830044837179</t>
  </si>
  <si>
    <t>-609.77542795851 11.8868946139808 648.303794780779</t>
  </si>
  <si>
    <t>-458.309726557264 -32.5626928561624 725.930347290793</t>
  </si>
  <si>
    <t>9763-20170724T170145.292136900.bin</t>
  </si>
  <si>
    <t>-614.151942285296 196.016032400696 -237.952069381835</t>
  </si>
  <si>
    <t>-640.849861952064 178.541527517043 -354.783797711351</t>
  </si>
  <si>
    <t>-647.477156961643 158.693121153811 -474.168460565676</t>
  </si>
  <si>
    <t>-645.244341528334 139.262549839991 -581.928976537483</t>
  </si>
  <si>
    <t>-634.990847313888 118.023163875294 -688.88033793221</t>
  </si>
  <si>
    <t>-612.517864229231 86.3212350155568 -836.155414699673</t>
  </si>
  <si>
    <t>-567.193827428067 68.5181081529274 -925.663994513786</t>
  </si>
  <si>
    <t>-616.773273284438 131.096072751516 -776.74142492435</t>
  </si>
  <si>
    <t>-573.874852958863 271.743180310602 -778.597753106319</t>
  </si>
  <si>
    <t>-533.882659716097 343.026855859661 -472.811062760947</t>
  </si>
  <si>
    <t>-346.485269796292 230.139617594145 -332.16703063201</t>
  </si>
  <si>
    <t>-628.149639813527 69.6006088139179 -765.240082752412</t>
  </si>
  <si>
    <t>-431.887199237886 22.7069117511046 -423.320312280688</t>
  </si>
  <si>
    <t>-623.703723983623 293.740693143113 -250.042751530998</t>
  </si>
  <si>
    <t>-610.685984995331 284.584937306893 205.374007541197</t>
  </si>
  <si>
    <t>-620.692328960987 250.189536317409 673.936837996076</t>
  </si>
  <si>
    <t>-461.406289072726 254.636028156555 748.446542533544</t>
  </si>
  <si>
    <t>-604.50574570723 98.4268857992015 -225.193921067765</t>
  </si>
  <si>
    <t>-465.541700118696 91.8024893635961 208.744790049036</t>
  </si>
  <si>
    <t>-609.707486751831 11.7519943354812 648.292052937391</t>
  </si>
  <si>
    <t>-458.257086781978 -32.1885079180313 726.237693347593</t>
  </si>
  <si>
    <t>9763-20170724T170145.363575000.bin</t>
  </si>
  <si>
    <t>-615.141193411614 195.73942426042 -237.90653463123</t>
  </si>
  <si>
    <t>-641.984033972792 178.235331037625 -354.700770738202</t>
  </si>
  <si>
    <t>-648.639996891636 158.385670569753 -474.083545981162</t>
  </si>
  <si>
    <t>-646.383741434646 138.963911853711 -581.845096140433</t>
  </si>
  <si>
    <t>-636.057223362355 117.742072350831 -688.793084097283</t>
  </si>
  <si>
    <t>-613.431449864496 86.0726882548379 -836.051690715476</t>
  </si>
  <si>
    <t>-568.049187031695 68.2944647060224 -925.535544456641</t>
  </si>
  <si>
    <t>-617.765226744802 130.836850335473 -776.635312863642</t>
  </si>
  <si>
    <t>-574.982090742515 271.507881581486 -778.454230393447</t>
  </si>
  <si>
    <t>-536.06756228688 343.38138200108 -472.666519666773</t>
  </si>
  <si>
    <t>-348.542940540114 230.635184035583 -332.079126720382</t>
  </si>
  <si>
    <t>-629.120089310994 69.3338926067545 -765.153232870805</t>
  </si>
  <si>
    <t>-433.155669435279 22.3560667729391 -423.20963220066</t>
  </si>
  <si>
    <t>-624.596348731464 293.47703932608 -249.996449776809</t>
  </si>
  <si>
    <t>-611.12175241538 284.338769647871 205.407400855553</t>
  </si>
  <si>
    <t>-620.639741643909 249.883488702256 674.006677961225</t>
  </si>
  <si>
    <t>-461.293530538758 254.667622094814 748.366661144267</t>
  </si>
  <si>
    <t>-605.579629431144 98.0401394639173 -225.133149107233</t>
  </si>
  <si>
    <t>-466.015933496718 91.6075668382059 208.616019873482</t>
  </si>
  <si>
    <t>-609.626841294107 11.2419014347004 648.332629856521</t>
  </si>
  <si>
    <t>-458.391625336561 -32.2441645448184 726.948074086113</t>
  </si>
  <si>
    <t>9763-20170724T170145.394175800.bin</t>
  </si>
  <si>
    <t>-615.532849370725 195.537733749112 -237.938997215655</t>
  </si>
  <si>
    <t>-642.376451320028 178.028056528483 -354.732215132024</t>
  </si>
  <si>
    <t>-649.028715935746 158.178504596224 -474.115244433613</t>
  </si>
  <si>
    <t>-646.766925232406 138.759889729907 -581.877186937573</t>
  </si>
  <si>
    <t>-636.432571955455 117.544231609028 -688.825599577058</t>
  </si>
  <si>
    <t>-613.793331394476 85.8869440466001 -836.084727708556</t>
  </si>
  <si>
    <t>-568.383427112658 68.1198464189474 -925.556867715876</t>
  </si>
  <si>
    <t>-618.123840679499 130.645043045012 -776.663550956191</t>
  </si>
  <si>
    <t>-575.376840332212 271.336831204415 -778.453122147509</t>
  </si>
  <si>
    <t>-537.030173739783 343.375924638588 -472.632750410893</t>
  </si>
  <si>
    <t>-349.463027453656 230.721049744542 -332.028668521342</t>
  </si>
  <si>
    <t>-629.49713098219 69.1436995238366 -765.190763132814</t>
  </si>
  <si>
    <t>-433.545407520667 22.0947425901265 -423.165442416992</t>
  </si>
  <si>
    <t>-624.920523181302 293.345589885119 -250.011725550192</t>
  </si>
  <si>
    <t>-611.195102210281 284.229549775418 205.385017235219</t>
  </si>
  <si>
    <t>-620.659893912276 249.909542139602 674.005142481842</t>
  </si>
  <si>
    <t>-461.279854247144 254.615358232711 748.297665058933</t>
  </si>
  <si>
    <t>-605.971473987093 97.7674576378934 -225.238524735156</t>
  </si>
  <si>
    <t>-466.119761548553 91.3188024342912 208.417584205392</t>
  </si>
  <si>
    <t>-609.271494815397 10.6955764013906 648.049326248031</t>
  </si>
  <si>
    <t>-458.398704371565 -32.5086282276809 727.511938944329</t>
  </si>
  <si>
    <t>9763-20170724T170145.459852800.bin</t>
  </si>
  <si>
    <t>-615.702430393445 195.037864184442 -237.979088038126</t>
  </si>
  <si>
    <t>-642.653281657494 177.493244438872 -354.74223060192</t>
  </si>
  <si>
    <t>-649.39940309768 157.629245376217 -474.117595648912</t>
  </si>
  <si>
    <t>-647.215092012648 138.206690790896 -581.880522261702</t>
  </si>
  <si>
    <t>-636.949561447534 116.99739231543 -688.836704173089</t>
  </si>
  <si>
    <t>-614.39594602954 85.3601544018616 -836.113489697277</t>
  </si>
  <si>
    <t>-568.989698664645 67.6118775016894 -925.591092987002</t>
  </si>
  <si>
    <t>-618.668924505617 130.106703656061 -776.679379520141</t>
  </si>
  <si>
    <t>-575.9844438929 270.81017697155 -778.429175218165</t>
  </si>
  <si>
    <t>-538.716779360276 342.963906542578 -472.502423018655</t>
  </si>
  <si>
    <t>-351.152498114648 230.489249062901 -331.750158435711</t>
  </si>
  <si>
    <t>-630.081500578546 68.610685858667 -765.216833996202</t>
  </si>
  <si>
    <t>-434.072618079183 21.3558612184581 -423.24248894628</t>
  </si>
  <si>
    <t>-625.102609520937 293.081038184144 -250.060728378159</t>
  </si>
  <si>
    <t>-611.077144047577 283.960737044533 205.326794850944</t>
  </si>
  <si>
    <t>-620.636371043516 249.871596459233 673.96769907486</t>
  </si>
  <si>
    <t>-461.215751570795 254.564381007474 748.173854645374</t>
  </si>
  <si>
    <t>-606.177476672844 97.1071683907478 -225.302444721439</t>
  </si>
  <si>
    <t>-466.142728218784 90.8794372857246 208.29782893483</t>
  </si>
  <si>
    <t>-608.857420322064 10.3193561162061 648.225389211214</t>
  </si>
  <si>
    <t>-458.199507557739 -32.1754827245622 728.474317877955</t>
  </si>
  <si>
    <t>9763-20170724T170145.492441000.bin</t>
  </si>
  <si>
    <t>-615.744232495481 194.971677471009 -237.962571677951</t>
  </si>
  <si>
    <t>-642.729151224146 177.438215387254 -354.719542433409</t>
  </si>
  <si>
    <t>-649.52807736461 157.585320447371 -474.093699972921</t>
  </si>
  <si>
    <t>-647.398771349912 138.172815884978 -581.85959279951</t>
  </si>
  <si>
    <t>-637.19501544836 116.974001997873 -688.823768776869</t>
  </si>
  <si>
    <t>-614.733927264549 85.352015161852 -836.117975555025</t>
  </si>
  <si>
    <t>-569.36462441217 67.6099845197161 -925.615577737361</t>
  </si>
  <si>
    <t>-618.953139927477 130.089867847212 -776.673558032637</t>
  </si>
  <si>
    <t>-576.268940742219 270.796401608974 -778.402769993272</t>
  </si>
  <si>
    <t>-539.553135509905 343.058738163131 -472.434949566454</t>
  </si>
  <si>
    <t>-352.017538135226 230.601908791129 -331.630435291177</t>
  </si>
  <si>
    <t>-630.391400026355 68.5976122075476 -765.216193764539</t>
  </si>
  <si>
    <t>-434.247439499855 20.9806579421763 -423.378114444376</t>
  </si>
  <si>
    <t>-625.126972317111 293.063063783301 -250.064569895593</t>
  </si>
  <si>
    <t>-610.936893935177 283.883438523415 205.316633594053</t>
  </si>
  <si>
    <t>-620.579896924954 249.804240648708 673.940933084839</t>
  </si>
  <si>
    <t>-461.16407905548 254.491492384551 748.15770817503</t>
  </si>
  <si>
    <t>-606.29065951722 97.0785669468416 -225.21257024969</t>
  </si>
  <si>
    <t>-466.185214262865 90.8673783568672 208.365035898156</t>
  </si>
  <si>
    <t>-608.845617830714 10.3389907176804 648.43625270007</t>
  </si>
  <si>
    <t>-458.207466222446 -32.1368611883945 728.732325922651</t>
  </si>
  <si>
    <t>9763-20170724T170145.561125800.bin</t>
  </si>
  <si>
    <t>-615.837969615449 195.180717241268 -237.847777476335</t>
  </si>
  <si>
    <t>-642.861685325783 177.690768526506 -354.602316656139</t>
  </si>
  <si>
    <t>-649.770516238618 157.87386995987 -473.97620058691</t>
  </si>
  <si>
    <t>-647.769096617726 138.491039097052 -581.749834175377</t>
  </si>
  <si>
    <t>-637.721290223928 117.318850503848 -688.734135829046</t>
  </si>
  <si>
    <t>-615.505295252102 85.7307300672182 -836.072654370218</t>
  </si>
  <si>
    <t>-570.252288492384 67.9650450448744 -925.624506741895</t>
  </si>
  <si>
    <t>-619.582147810992 130.448298796733 -776.603026064927</t>
  </si>
  <si>
    <t>-576.820856303635 271.139491383661 -778.316352317744</t>
  </si>
  <si>
    <t>-541.224747888773 343.623513569326 -472.268634266527</t>
  </si>
  <si>
    <t>-353.784102399132 231.173891142133 -331.331954770668</t>
  </si>
  <si>
    <t>-631.088200619986 68.9666894218383 -765.156870596668</t>
  </si>
  <si>
    <t>-434.5557820721 20.8532206521245 -423.62679647602</t>
  </si>
  <si>
    <t>-625.043892233183 293.163351718053 -249.998445191313</t>
  </si>
  <si>
    <t>-610.607735985072 283.928895818912 205.373971000233</t>
  </si>
  <si>
    <t>-620.512419684223 249.777903645277 673.965135885513</t>
  </si>
  <si>
    <t>-461.098648349896 254.356109002923 748.193212503089</t>
  </si>
  <si>
    <t>-606.56558807067 97.3758213410008 -225.021633581298</t>
  </si>
  <si>
    <t>-466.438751194071 90.9249322247495 208.545620792181</t>
  </si>
  <si>
    <t>-608.907243982681 10.5020850843343 648.757624287999</t>
  </si>
  <si>
    <t>-458.309478330137 -32.0380929438431 729.095402829533</t>
  </si>
  <si>
    <t>9763-20170724T170145.597235900.bin</t>
  </si>
  <si>
    <t>-615.792222497635 195.134071389447 -237.777860918326</t>
  </si>
  <si>
    <t>-642.853223070843 177.673968901581 -354.528282631243</t>
  </si>
  <si>
    <t>-649.842015090469 157.860329554739 -473.897985913626</t>
  </si>
  <si>
    <t>-647.930540998687 138.470820077041 -581.67197897746</t>
  </si>
  <si>
    <t>-637.990236809771 117.283025564297 -688.663261748234</t>
  </si>
  <si>
    <t>-615.941552209756 85.6647810597253 -836.020490155361</t>
  </si>
  <si>
    <t>-570.781874444485 67.8624855349501 -925.612050673638</t>
  </si>
  <si>
    <t>-619.92768912943 130.391072933966 -776.551190101537</t>
  </si>
  <si>
    <t>-577.145291947177 271.066396404474 -778.287347772049</t>
  </si>
  <si>
    <t>-541.998166603118 343.719157263162 -472.227816060567</t>
  </si>
  <si>
    <t>-354.654891887564 231.249136186968 -331.178006256464</t>
  </si>
  <si>
    <t>-631.467119145498 68.9187822503211 -765.08772356546</t>
  </si>
  <si>
    <t>-434.693713314435 20.6132780316598 -423.844598055229</t>
  </si>
  <si>
    <t>-624.895278109219 293.052844902287 -249.937161857016</t>
  </si>
  <si>
    <t>-610.348792300295 283.795200072091 205.431232152265</t>
  </si>
  <si>
    <t>-620.440568013712 249.587907807508 673.986025871763</t>
  </si>
  <si>
    <t>-461.037096532005 254.409204392364 748.220643024236</t>
  </si>
  <si>
    <t>-606.596307541747 97.2903651059651 -224.941377680384</t>
  </si>
  <si>
    <t>-466.489978327337 90.8420819740982 208.632516540593</t>
  </si>
  <si>
    <t>-608.936765665485 10.5722627910397 648.888944125734</t>
  </si>
  <si>
    <t>-458.384235607519 -32.0770233802509 729.253677304381</t>
  </si>
  <si>
    <t>9763-20170724T170145.664414800.bin</t>
  </si>
  <si>
    <t>-615.67620327424 195.056041564309 -237.664121208116</t>
  </si>
  <si>
    <t>-642.793227585599 177.670302829981 -354.412751250384</t>
  </si>
  <si>
    <t>-649.929876720574 157.894743427669 -473.780050371569</t>
  </si>
  <si>
    <t>-648.189176948057 138.529305047007 -581.56124844543</t>
  </si>
  <si>
    <t>-638.455595375123 117.358540870821 -688.574802679624</t>
  </si>
  <si>
    <t>-616.730121732308 85.7591429546153 -835.984120678594</t>
  </si>
  <si>
    <t>-571.770196841079 67.9377286920289 -925.672455134455</t>
  </si>
  <si>
    <t>-620.554409987136 130.472884944995 -776.494878147955</t>
  </si>
  <si>
    <t>-577.669095247468 271.129807150743 -778.206814217903</t>
  </si>
  <si>
    <t>-543.349571616266 344.110196830725 -472.131371621347</t>
  </si>
  <si>
    <t>-356.413699138966 231.279569307852 -330.829188939411</t>
  </si>
  <si>
    <t>-632.131527136706 69.0089458857594 -765.025411365255</t>
  </si>
  <si>
    <t>-434.680657413636 21.6099284936956 -424.643524519764</t>
  </si>
  <si>
    <t>-624.548728874638 293.041487672368 -249.832799608881</t>
  </si>
  <si>
    <t>-609.868742772383 283.697398657912 205.529496608912</t>
  </si>
  <si>
    <t>-620.395744339353 249.579896193959 674.040507264939</t>
  </si>
  <si>
    <t>-460.996217614943 254.326454508078 748.288592811865</t>
  </si>
  <si>
    <t>-606.700568959027 97.1981171286893 -224.813423573729</t>
  </si>
  <si>
    <t>-466.523508546289 90.5400481477031 208.73446897741</t>
  </si>
  <si>
    <t>-608.976253857663 10.4606200800199 649.055519781935</t>
  </si>
  <si>
    <t>-458.509843939989 -32.2846383294816 729.530444176399</t>
  </si>
  <si>
    <t>9763-20170724T170145.696004700.bin</t>
  </si>
  <si>
    <t>-615.605127481301 195.043633979709 -237.607288376183</t>
  </si>
  <si>
    <t>-642.750583776148 177.663178886602 -354.349922311151</t>
  </si>
  <si>
    <t>-649.950884450315 157.86355251127 -473.709400334411</t>
  </si>
  <si>
    <t>-648.282167927005 138.467739717684 -581.486364179477</t>
  </si>
  <si>
    <t>-638.634727208075 117.259966260351 -688.500403482306</t>
  </si>
  <si>
    <t>-617.043093687561 85.6040766079993 -835.917227796496</t>
  </si>
  <si>
    <t>-572.175120156163 67.762071709293 -925.647420153419</t>
  </si>
  <si>
    <t>-620.818095044594 130.341323553662 -776.442499395899</t>
  </si>
  <si>
    <t>-577.993188426201 271.007828476658 -778.181515526324</t>
  </si>
  <si>
    <t>-543.779351331977 344.108637464785 -472.122913768058</t>
  </si>
  <si>
    <t>-357.246980946752 230.914455792593 -330.578563565329</t>
  </si>
  <si>
    <t>-632.375343362578 68.8803290028634 -764.937266594836</t>
  </si>
  <si>
    <t>-435.263820201261 22.089957368763 -426.38889864809</t>
  </si>
  <si>
    <t>-624.419466661411 293.058827602072 -249.795342794716</t>
  </si>
  <si>
    <t>-609.64612691542 283.688786423616 205.563408606295</t>
  </si>
  <si>
    <t>-620.365408813567 249.587699795422 674.050978518305</t>
  </si>
  <si>
    <t>-460.968639816639 254.034375341502 748.323546498412</t>
  </si>
  <si>
    <t>-606.654530151022 97.1168730168476 -224.767231001207</t>
  </si>
  <si>
    <t>-466.52980091672 90.4302493836947 208.797054774568</t>
  </si>
  <si>
    <t>-608.985868166453 10.393763979409 649.124091838848</t>
  </si>
  <si>
    <t>-458.542782437169 -32.3138546931002 729.662561116739</t>
  </si>
  <si>
    <t>9763-20170724T170145.763315000.bin</t>
  </si>
  <si>
    <t>-615.566837246236 195.158154849359 -237.528094488505</t>
  </si>
  <si>
    <t>-642.716407254674 177.795126073975 -354.272476268884</t>
  </si>
  <si>
    <t>-649.99226079839 157.997163369398 -473.627644365302</t>
  </si>
  <si>
    <t>-648.421296332827 138.596822911678 -581.405236140365</t>
  </si>
  <si>
    <t>-638.900768991562 117.378860087656 -688.428642863636</t>
  </si>
  <si>
    <t>-617.515544377591 85.7029173881633 -835.871242837566</t>
  </si>
  <si>
    <t>-572.755523722866 67.8734007727558 -925.657836687876</t>
  </si>
  <si>
    <t>-621.201973539351 130.447465033036 -776.396488703842</t>
  </si>
  <si>
    <t>-578.306848008077 271.094703179818 -778.108408996764</t>
  </si>
  <si>
    <t>-544.349854125993 344.231022660786 -472.029725636056</t>
  </si>
  <si>
    <t>-358.654050661988 230.025557662828 -330.198090041955</t>
  </si>
  <si>
    <t>-632.753708370572 68.9896470031922 -764.868556045672</t>
  </si>
  <si>
    <t>-434.817864425925 22.3402514167069 -428.992401747233</t>
  </si>
  <si>
    <t>-624.327109061448 293.099240993221 -249.696557861163</t>
  </si>
  <si>
    <t>-609.28700392181 283.618510132692 205.651114662895</t>
  </si>
  <si>
    <t>-620.256899983263 249.304311833384 674.116776374283</t>
  </si>
  <si>
    <t>-460.860879887636 254.055254143718 748.372067026063</t>
  </si>
  <si>
    <t>-606.678286821512 97.3638970096238 -224.680184509773</t>
  </si>
  <si>
    <t>-466.579550754412 90.567346477884 208.89080870928</t>
  </si>
  <si>
    <t>-609.040856292335 10.7112840121072 649.256112788481</t>
  </si>
  <si>
    <t>-458.647276940342 -32.1343046134177 729.813818743723</t>
  </si>
  <si>
    <t>9763-20170724T170145.797419100.bin</t>
  </si>
  <si>
    <t>-615.541644584994 195.279517614605 -237.473473830747</t>
  </si>
  <si>
    <t>-642.653615838623 177.921734808489 -354.227178155224</t>
  </si>
  <si>
    <t>-649.956526786159 158.121062018135 -473.580357190458</t>
  </si>
  <si>
    <t>-648.436893928 138.715036877653 -581.357727072534</t>
  </si>
  <si>
    <t>-638.994627038581 117.487887472485 -688.386238873461</t>
  </si>
  <si>
    <t>-617.746009703273 85.7952073810902 -835.845038556707</t>
  </si>
  <si>
    <t>-573.038134671661 67.9397470814538 -925.652391387368</t>
  </si>
  <si>
    <t>-621.364161903912 130.544460666862 -776.369486172985</t>
  </si>
  <si>
    <t>-578.426604166754 271.182874944031 -778.081329749465</t>
  </si>
  <si>
    <t>-544.620316892616 344.229635597372 -471.96464870816</t>
  </si>
  <si>
    <t>-359.318361910813 229.475114483389 -330.060884734809</t>
  </si>
  <si>
    <t>-632.931550143687 69.0920506690934 -764.82855390855</t>
  </si>
  <si>
    <t>-434.622238135025 22.0557964075679 -429.592935817779</t>
  </si>
  <si>
    <t>-624.303556362178 293.177041309475 -249.635745925512</t>
  </si>
  <si>
    <t>-609.203905299552 283.656804325857 205.709221992969</t>
  </si>
  <si>
    <t>-620.238889448083 249.214368245865 674.170972297114</t>
  </si>
  <si>
    <t>-460.820187414916 253.85686097084 748.384405660674</t>
  </si>
  <si>
    <t>-606.641789925361 97.4979402059316 -224.626512769603</t>
  </si>
  <si>
    <t>-466.609999777856 90.7275104679375 208.966586293135</t>
  </si>
  <si>
    <t>-609.075266539681 10.7384020418879 649.307633245443</t>
  </si>
  <si>
    <t>-458.699401287127 -32.1498357214227 729.875655106215</t>
  </si>
  <si>
    <t>9763-20170724T170145.863594400.bin</t>
  </si>
  <si>
    <t>-615.50191824223 195.66866463079 -237.352528434087</t>
  </si>
  <si>
    <t>-642.617909141048 178.296506855336 -354.103297754315</t>
  </si>
  <si>
    <t>-649.964459842623 158.479835598185 -473.451018096928</t>
  </si>
  <si>
    <t>-648.500220136731 139.059671986158 -581.226595978355</t>
  </si>
  <si>
    <t>-639.128842167627 117.819443973527 -688.258787068504</t>
  </si>
  <si>
    <t>-617.994289074238 86.1102437309517 -835.730303133397</t>
  </si>
  <si>
    <t>-573.359918570287 68.1892863529536 -925.561223728644</t>
  </si>
  <si>
    <t>-621.547778590635 130.863311069352 -776.253682261091</t>
  </si>
  <si>
    <t>-578.505481730357 271.453761788564 -777.972168945254</t>
  </si>
  <si>
    <t>-545.104062976104 344.393172628263 -471.785326982377</t>
  </si>
  <si>
    <t>-360.395049371204 229.150633924966 -329.504746257492</t>
  </si>
  <si>
    <t>-633.143535346207 69.417921328793 -764.703621791568</t>
  </si>
  <si>
    <t>-434.104166228699 22.1088305517462 -429.222208773978</t>
  </si>
  <si>
    <t>-624.185554501795 293.542647078896 -249.558869113172</t>
  </si>
  <si>
    <t>-609.162577822887 283.911078201752 205.786303156104</t>
  </si>
  <si>
    <t>-620.208101932976 249.31788776181 674.18251219272</t>
  </si>
  <si>
    <t>-460.793136634241 253.790458330365 748.41444122495</t>
  </si>
  <si>
    <t>-606.699687257071 97.9591012973196 -224.46426639617</t>
  </si>
  <si>
    <t>-466.442046140332 90.9732720554473 209.052279649838</t>
  </si>
  <si>
    <t>-609.120056464391 10.9962026339958 649.350479124108</t>
  </si>
  <si>
    <t>-458.797008848763 -32.034678521296 729.941052529064</t>
  </si>
  <si>
    <t>9763-20170724T170145.894678600.bin</t>
  </si>
  <si>
    <t>-615.45762055324 195.849234182545 -237.305641054898</t>
  </si>
  <si>
    <t>-642.590720547447 178.454940362659 -354.049102002741</t>
  </si>
  <si>
    <t>-649.936665143362 158.618566203757 -473.393674547403</t>
  </si>
  <si>
    <t>-648.464087916397 139.183521228221 -581.166370308916</t>
  </si>
  <si>
    <t>-639.076227829991 117.93226976826 -688.194836240181</t>
  </si>
  <si>
    <t>-617.909944969848 86.2128670395373 -835.65975890587</t>
  </si>
  <si>
    <t>-573.302029965433 68.2785967466455 -925.501159474045</t>
  </si>
  <si>
    <t>-621.485515895162 130.971473542717 -776.188732916751</t>
  </si>
  <si>
    <t>-578.48475248354 271.585613267277 -777.891440518772</t>
  </si>
  <si>
    <t>-545.358490512047 344.823044854446 -471.745877913537</t>
  </si>
  <si>
    <t>-360.749939238986 229.627088742335 -329.297124136939</t>
  </si>
  <si>
    <t>-633.065238475063 69.5239756179778 -764.633560922324</t>
  </si>
  <si>
    <t>-433.941115499592 22.2083636576608 -428.971434117373</t>
  </si>
  <si>
    <t>-624.090413512872 293.744389984071 -249.55624444123</t>
  </si>
  <si>
    <t>-609.100838198879 284.064406277538 205.789016515838</t>
  </si>
  <si>
    <t>-620.171446859694 249.344521058761 674.172104878202</t>
  </si>
  <si>
    <t>-460.766974753285 253.703390476393 748.433279123607</t>
  </si>
  <si>
    <t>-606.705656486874 98.0869223152213 -224.383911749643</t>
  </si>
  <si>
    <t>-466.355482277942 91.0035790773827 209.101236202801</t>
  </si>
  <si>
    <t>-609.142379586975 11.0163227808271 649.369171509234</t>
  </si>
  <si>
    <t>-458.762320368429 -31.8309046068168 729.951222859555</t>
  </si>
  <si>
    <t>9763-20170724T170145.962544000.bin</t>
  </si>
  <si>
    <t>-615.299628765312 196.066570927621 -237.313107366925</t>
  </si>
  <si>
    <t>-642.400549119576 178.665182753642 -354.062956623874</t>
  </si>
  <si>
    <t>-649.68870874814 158.799433566208 -473.40614322376</t>
  </si>
  <si>
    <t>-648.15447705294 139.329952058793 -581.171844354676</t>
  </si>
  <si>
    <t>-638.696113840704 118.037380118662 -688.185881565154</t>
  </si>
  <si>
    <t>-617.423165356366 86.2540982274265 -835.621693584145</t>
  </si>
  <si>
    <t>-572.811543966674 68.3580154433193 -925.468920969121</t>
  </si>
  <si>
    <t>-621.063486568588 131.041780517147 -776.176483443223</t>
  </si>
  <si>
    <t>-578.250050500635 271.715910012632 -777.948518172052</t>
  </si>
  <si>
    <t>-546.274726543224 345.608965716402 -471.838246395583</t>
  </si>
  <si>
    <t>-361.494651265658 230.90461959073 -329.215296413819</t>
  </si>
  <si>
    <t>-632.608045401624 69.5926598860792 -764.595376326127</t>
  </si>
  <si>
    <t>-433.479557719539 22.5394953405751 -428.540887471168</t>
  </si>
  <si>
    <t>-623.937159831857 293.991390153253 -249.572150026419</t>
  </si>
  <si>
    <t>-609.036002364878 284.185963352248 205.773337025738</t>
  </si>
  <si>
    <t>-620.080932977203 249.303572177249 674.155394557123</t>
  </si>
  <si>
    <t>-460.700069255852 253.828261896467 748.457285097993</t>
  </si>
  <si>
    <t>-606.526077556998 98.2888291713873 -224.386257540132</t>
  </si>
  <si>
    <t>-466.277445670677 91.1931268871601 209.131452836629</t>
  </si>
  <si>
    <t>-609.197905041871 11.1316707109495 649.383965542474</t>
  </si>
  <si>
    <t>-458.902865079173 -31.9566230482571 729.996101614473</t>
  </si>
  <si>
    <t>9763-20170724T170145.999196400.bin</t>
  </si>
  <si>
    <t>-615.186508791264 196.043036431415 -237.323205493924</t>
  </si>
  <si>
    <t>-642.228166228699 178.637219082174 -354.086258084732</t>
  </si>
  <si>
    <t>-649.500000548135 158.735566598426 -473.424495768684</t>
  </si>
  <si>
    <t>-647.969839256364 139.222493934811 -581.182270549608</t>
  </si>
  <si>
    <t>-638.5348682413 117.876239814471 -688.187704276904</t>
  </si>
  <si>
    <t>-617.314856065995 86.0083659038764 -835.612759347406</t>
  </si>
  <si>
    <t>-572.707299228165 68.1032612760607 -925.460235369559</t>
  </si>
  <si>
    <t>-620.951720328388 130.832927115259 -776.195205789344</t>
  </si>
  <si>
    <t>-578.297226804555 271.560817796146 -778.085546803327</t>
  </si>
  <si>
    <t>-546.819080738658 345.867952063972 -472.023847759941</t>
  </si>
  <si>
    <t>-361.992771202886 231.48723473379 -329.20111748517</t>
  </si>
  <si>
    <t>-632.456395985167 69.3848478246712 -764.56835578333</t>
  </si>
  <si>
    <t>-433.54948291842 22.8012884322438 -428.889874651049</t>
  </si>
  <si>
    <t>-623.918910595136 293.988272225555 -249.571245410574</t>
  </si>
  <si>
    <t>-609.051257388262 284.166288698378 205.774961281549</t>
  </si>
  <si>
    <t>-620.060210787442 249.293129795501 674.158537374542</t>
  </si>
  <si>
    <t>-460.681033584347 253.863431118589 748.46132635615</t>
  </si>
  <si>
    <t>-606.301652091755 98.2029812017738 -224.424931606088</t>
  </si>
  <si>
    <t>-466.237698849625 91.1205049108096 209.152729825</t>
  </si>
  <si>
    <t>-609.203015055228 11.0029731431773 649.34411012345</t>
  </si>
  <si>
    <t>-458.899210411217 -31.8948817856531 730.04140714492</t>
  </si>
  <si>
    <t>9763-20170724T170146.060359200.bin</t>
  </si>
  <si>
    <t>-615.153345182636 196.110812788186 -237.359496520497</t>
  </si>
  <si>
    <t>-642.154745405497 178.704444679595 -354.131639765907</t>
  </si>
  <si>
    <t>-649.401633409868 158.747864492247 -473.462321722316</t>
  </si>
  <si>
    <t>-647.857472685688 139.163439803874 -581.206992245385</t>
  </si>
  <si>
    <t>-638.418561613557 117.7237265585 -688.193421104729</t>
  </si>
  <si>
    <t>-617.204722289657 85.7035403598004 -835.586440535058</t>
  </si>
  <si>
    <t>-572.553058548394 67.7560970306602 -925.403390166268</t>
  </si>
  <si>
    <t>-620.864842118327 130.593259154303 -776.219514923042</t>
  </si>
  <si>
    <t>-578.437944633218 271.370875624499 -778.297873850959</t>
  </si>
  <si>
    <t>-547.769873017732 346.512383336936 -472.357749723369</t>
  </si>
  <si>
    <t>-362.926135963972 232.506968660474 -329.257664651312</t>
  </si>
  <si>
    <t>-632.317601585746 69.1495265936198 -764.519565879016</t>
  </si>
  <si>
    <t>-433.823951114066 23.1634683668087 -429.374429226449</t>
  </si>
  <si>
    <t>-624.016278921153 294.066190264151 -249.574021611715</t>
  </si>
  <si>
    <t>-609.144580394497 284.193871622704 205.77082889489</t>
  </si>
  <si>
    <t>-619.995972416524 249.188531716519 674.161786180618</t>
  </si>
  <si>
    <t>-460.60684249982 253.539478874479 748.456371470918</t>
  </si>
  <si>
    <t>-606.207416621166 98.2799433621442 -224.472988829825</t>
  </si>
  <si>
    <t>-466.208732207576 91.1105107384435 209.124409787195</t>
  </si>
  <si>
    <t>-609.205064961366 10.9104238018313 649.322585214517</t>
  </si>
  <si>
    <t>-458.949496402769 -31.9680137953019 730.119907716742</t>
  </si>
  <si>
    <t>9763-20170724T170146.096463400.bin</t>
  </si>
  <si>
    <t>-615.219157250289 196.194464242352 -237.328266076471</t>
  </si>
  <si>
    <t>-642.191613425086 178.78519647496 -354.106664791994</t>
  </si>
  <si>
    <t>-649.421992208675 158.832486702501 -473.438873374965</t>
  </si>
  <si>
    <t>-647.867913868583 139.254910584892 -581.184668538624</t>
  </si>
  <si>
    <t>-638.423852748621 117.825754675065 -688.172756892837</t>
  </si>
  <si>
    <t>-617.20762994824 85.8241713954726 -835.569490456159</t>
  </si>
  <si>
    <t>-572.533593674252 67.8564830804235 -925.37121060716</t>
  </si>
  <si>
    <t>-620.879730071362 130.70820404388 -776.198952882625</t>
  </si>
  <si>
    <t>-578.482917225013 271.490787366563 -778.290310482653</t>
  </si>
  <si>
    <t>-548.129629763946 346.938657543239 -472.394072289771</t>
  </si>
  <si>
    <t>-363.382562050244 232.925764429763 -329.175332134555</t>
  </si>
  <si>
    <t>-632.310575826493 69.2595365372263 -764.503070157546</t>
  </si>
  <si>
    <t>-433.768521296012 23.6612558378886 -429.292239418503</t>
  </si>
  <si>
    <t>-624.078836896699 294.110371692645 -249.558985595021</t>
  </si>
  <si>
    <t>-609.196098786358 284.237271079975 205.785620431974</t>
  </si>
  <si>
    <t>-619.993761307556 249.214806843562 674.177279397714</t>
  </si>
  <si>
    <t>-460.59437887687 253.446827970723 748.456743054534</t>
  </si>
  <si>
    <t>-606.262413624542 98.3783639088199 -224.448605895016</t>
  </si>
  <si>
    <t>-466.222769828314 91.2096880820486 209.135430361594</t>
  </si>
  <si>
    <t>-609.238042998934 10.9509923975947 649.337912916325</t>
  </si>
  <si>
    <t>-458.995402838568 -31.9632310808202 730.140375124169</t>
  </si>
  <si>
    <t>9763-20170724T170146.163703900.bin</t>
  </si>
  <si>
    <t>-615.384931468634 196.263183375083 -237.301119951613</t>
  </si>
  <si>
    <t>-642.435484731004 178.847784546831 -354.060573266244</t>
  </si>
  <si>
    <t>-649.688451869623 158.891001334311 -473.390793484027</t>
  </si>
  <si>
    <t>-648.130985673703 139.312876873163 -581.136327098012</t>
  </si>
  <si>
    <t>-638.65925743404 117.88727707292 -688.122658855773</t>
  </si>
  <si>
    <t>-617.378901424313 85.89606728442 -835.512356501759</t>
  </si>
  <si>
    <t>-572.680996745805 67.9103818196227 -925.298832135499</t>
  </si>
  <si>
    <t>-621.105304132109 130.780180176858 -776.145299391276</t>
  </si>
  <si>
    <t>-578.835624577509 271.60938008156 -778.131575747231</t>
  </si>
  <si>
    <t>-548.794146768483 347.314501636151 -472.268231841728</t>
  </si>
  <si>
    <t>-364.415110183223 232.876440823579 -328.914212362832</t>
  </si>
  <si>
    <t>-632.484333167105 69.3220156461232 -764.448673985481</t>
  </si>
  <si>
    <t>-433.727790459757 24.1209164835061 -428.819458240595</t>
  </si>
  <si>
    <t>-624.153303549956 294.127396535401 -249.537616717628</t>
  </si>
  <si>
    <t>-609.09396729114 284.22587092782 205.800657181136</t>
  </si>
  <si>
    <t>-619.921431921077 249.114890113856 674.171631974727</t>
  </si>
  <si>
    <t>-460.529463580055 253.567920067181 748.454093977781</t>
  </si>
  <si>
    <t>-606.501960915129 98.5092084660914 -224.394862712615</t>
  </si>
  <si>
    <t>-466.319945037882 91.2796383866139 209.142127690527</t>
  </si>
  <si>
    <t>-609.291495050118 11.0198838057736 649.337594874953</t>
  </si>
  <si>
    <t>-459.081911380626 -31.954262976471 730.16966560016</t>
  </si>
  <si>
    <t>9763-20170724T170146.194290200.bin</t>
  </si>
  <si>
    <t>-615.445498921874 196.254373842505 -237.296528163143</t>
  </si>
  <si>
    <t>-642.52525882708 178.83476351588 -354.048565783647</t>
  </si>
  <si>
    <t>-649.793970860492 158.882347935512 -473.378464640481</t>
  </si>
  <si>
    <t>-648.244773934563 139.311277036524 -581.125469853756</t>
  </si>
  <si>
    <t>-638.77490763777 117.896502202102 -688.114200072771</t>
  </si>
  <si>
    <t>-617.490281531656 85.9242703096145 -835.507320385462</t>
  </si>
  <si>
    <t>-572.788470041982 67.9706805357371 -925.29825931308</t>
  </si>
  <si>
    <t>-621.226084805016 130.801879101002 -776.135988400543</t>
  </si>
  <si>
    <t>-578.961137267845 271.630099331315 -778.092752013925</t>
  </si>
  <si>
    <t>-549.04941169781 347.234027570406 -472.191614239576</t>
  </si>
  <si>
    <t>-364.894367810007 232.491973756731 -328.792656739486</t>
  </si>
  <si>
    <t>-632.590076013765 69.3400016223598 -764.444807239932</t>
  </si>
  <si>
    <t>-433.609307796304 24.1814679067834 -428.35272415182</t>
  </si>
  <si>
    <t>-624.198295352652 294.088928304243 -249.525697548941</t>
  </si>
  <si>
    <t>-609.031783337225 284.167870949164 205.808452908217</t>
  </si>
  <si>
    <t>-619.877253580642 249.020686055453 674.179413419515</t>
  </si>
  <si>
    <t>-460.487060755673 253.729153419481 748.449962976602</t>
  </si>
  <si>
    <t>-606.578670167426 98.5393008410961 -224.391267476846</t>
  </si>
  <si>
    <t>-466.380849866479 91.3053130380865 209.140696733482</t>
  </si>
  <si>
    <t>-609.336023420951 11.1252365590396 649.367780926965</t>
  </si>
  <si>
    <t>-459.059488500629 -31.6659914133249 730.172379051294</t>
  </si>
  <si>
    <t>9763-20170724T170146.259483100.bin</t>
  </si>
  <si>
    <t>-615.655626817519 196.288338670086 -237.269732857719</t>
  </si>
  <si>
    <t>-642.753638755701 178.880328802587 -354.019216638892</t>
  </si>
  <si>
    <t>-650.040955346533 158.932310997978 -473.34881712811</t>
  </si>
  <si>
    <t>-648.508607062788 139.363217731397 -581.096503698033</t>
  </si>
  <si>
    <t>-639.055683093575 117.948269034454 -688.086592564312</t>
  </si>
  <si>
    <t>-617.794594852929 85.973833607115 -835.482624228436</t>
  </si>
  <si>
    <t>-573.108239029409 68.0690421309637 -925.290953189629</t>
  </si>
  <si>
    <t>-621.539335942146 130.855318735045 -776.114739998774</t>
  </si>
  <si>
    <t>-579.350848989168 271.711506968178 -778.072446998317</t>
  </si>
  <si>
    <t>-549.683251087097 347.055862951687 -472.083377733957</t>
  </si>
  <si>
    <t>-365.980914523048 231.887459125681 -328.445842519726</t>
  </si>
  <si>
    <t>-632.864555208435 69.3878450586838 -764.414269430716</t>
  </si>
  <si>
    <t>-433.868408759688 24.1829532638337 -427.824803400921</t>
  </si>
  <si>
    <t>-624.417719907716 294.129589293329 -249.489455095191</t>
  </si>
  <si>
    <t>-609.119577592376 284.194000287482 205.840022988683</t>
  </si>
  <si>
    <t>-619.839948661636 248.970820822609 674.197875840707</t>
  </si>
  <si>
    <t>-460.434784552111 253.401538442238 748.453360226562</t>
  </si>
  <si>
    <t>-606.777642424667 98.601924037599 -224.377474254063</t>
  </si>
  <si>
    <t>-466.562834502383 91.3821892599165 209.149149897171</t>
  </si>
  <si>
    <t>-609.419852370861 11.1026990284749 649.39051911422</t>
  </si>
  <si>
    <t>-459.078936827267 -31.4967325623531 730.176719509195</t>
  </si>
  <si>
    <t>9763-20170724T170146.295083300.bin</t>
  </si>
  <si>
    <t>-615.77092163549 196.314304369074 -237.250576681545</t>
  </si>
  <si>
    <t>-642.879990991385 178.898452801746 -353.99642812698</t>
  </si>
  <si>
    <t>-650.173360044489 158.947075701872 -473.325002033407</t>
  </si>
  <si>
    <t>-648.644364526455 139.376136053489 -581.072282012817</t>
  </si>
  <si>
    <t>-639.192529270205 117.960594990079 -688.062562738114</t>
  </si>
  <si>
    <t>-617.930648392899 85.9863234973384 -835.458503919772</t>
  </si>
  <si>
    <t>-573.257255399579 68.1017447997617 -925.277258764571</t>
  </si>
  <si>
    <t>-621.677478609075 130.867878059276 -776.090670567034</t>
  </si>
  <si>
    <t>-579.502765142451 271.726779682164 -778.054560309242</t>
  </si>
  <si>
    <t>-549.934122520955 347.020689917732 -472.043696447936</t>
  </si>
  <si>
    <t>-366.455725657005 231.71612678891 -328.229212444064</t>
  </si>
  <si>
    <t>-632.999273221409 69.399976602708 -764.389820497178</t>
  </si>
  <si>
    <t>-433.970150026562 24.0498533314237 -427.488109916889</t>
  </si>
  <si>
    <t>-624.532892829249 294.095909212788 -249.479232491857</t>
  </si>
  <si>
    <t>-609.194213535993 284.170230928614 205.849198092773</t>
  </si>
  <si>
    <t>-619.809122212068 248.912386856171 674.206067693309</t>
  </si>
  <si>
    <t>-460.40204924762 253.506334123841 748.447510364491</t>
  </si>
  <si>
    <t>-606.890973210529 98.6718882395426 -224.352801933377</t>
  </si>
  <si>
    <t>-466.611808893269 91.4587307226559 209.153085706652</t>
  </si>
  <si>
    <t>-609.448532896723 11.2724417083491 649.393593456127</t>
  </si>
  <si>
    <t>-459.158443126544 -31.5076072965028 730.178896409967</t>
  </si>
  <si>
    <t>9763-20170724T170146.364271700.bin</t>
  </si>
  <si>
    <t>-615.977200964982 196.327862911647 -237.252130264485</t>
  </si>
  <si>
    <t>-643.087852335765 178.913087875035 -353.997830529729</t>
  </si>
  <si>
    <t>-650.393534171216 158.946350546387 -473.323033415628</t>
  </si>
  <si>
    <t>-648.880588477086 139.354748977323 -581.066926729342</t>
  </si>
  <si>
    <t>-639.450224671729 117.911065506523 -688.053326547522</t>
  </si>
  <si>
    <t>-618.224145788947 85.8900922776068 -835.444433003206</t>
  </si>
  <si>
    <t>-573.576445193454 68.0013170727884 -925.275138848805</t>
  </si>
  <si>
    <t>-621.949106226292 130.789388564219 -776.088671072511</t>
  </si>
  <si>
    <t>-579.815796374767 271.660534691967 -778.122400238517</t>
  </si>
  <si>
    <t>-550.636229993605 346.926375368378 -472.067077103092</t>
  </si>
  <si>
    <t>-367.4095676975 231.782814116197 -327.80335440546</t>
  </si>
  <si>
    <t>-633.282900692754 69.3275064944371 -764.368121840252</t>
  </si>
  <si>
    <t>-434.651374373429 24.0607627750428 -428.136446766625</t>
  </si>
  <si>
    <t>-624.715376232692 294.069983175192 -249.475644230216</t>
  </si>
  <si>
    <t>-609.336311103398 284.15095505105 205.851518281045</t>
  </si>
  <si>
    <t>-619.767115622472 248.851831121142 674.216746120465</t>
  </si>
  <si>
    <t>-460.349907294338 253.362442947381 748.441549501336</t>
  </si>
  <si>
    <t>-607.115027782916 98.6904948023748 -224.376583334151</t>
  </si>
  <si>
    <t>-466.873172503229 91.6023244815813 209.143501404219</t>
  </si>
  <si>
    <t>-609.5524885014 11.3005888607593 649.453551571785</t>
  </si>
  <si>
    <t>-459.217815822549 -31.4306337892501 730.181734113575</t>
  </si>
  <si>
    <t>9763-20170724T170146.394853200.bin</t>
  </si>
  <si>
    <t>-616.115335491234 196.329446865811 -237.237689858083</t>
  </si>
  <si>
    <t>-643.247322809419 178.91718382818 -353.978796118802</t>
  </si>
  <si>
    <t>-650.572426900293 158.938314037392 -473.300824901945</t>
  </si>
  <si>
    <t>-649.076479465073 139.330222479864 -581.041888979996</t>
  </si>
  <si>
    <t>-639.66272318724 117.865124797901 -688.025475185658</t>
  </si>
  <si>
    <t>-618.459317270003 85.8096402263359 -835.412258908251</t>
  </si>
  <si>
    <t>-573.820713078095 67.9042045374397 -925.244195082347</t>
  </si>
  <si>
    <t>-622.17023350989 130.722100999071 -776.065617409569</t>
  </si>
  <si>
    <t>-580.086269583035 271.611228009238 -778.165749621729</t>
  </si>
  <si>
    <t>-551.080718842689 347.057077763807 -472.138308207673</t>
  </si>
  <si>
    <t>-367.984019637544 231.946096080286 -327.683780262378</t>
  </si>
  <si>
    <t>-633.51206435747 69.2644524154373 -764.330717700536</t>
  </si>
  <si>
    <t>-434.920414117093 23.9315278861027 -428.709993962003</t>
  </si>
  <si>
    <t>-624.815965351056 294.073097952931 -249.468417819817</t>
  </si>
  <si>
    <t>-609.376196215622 284.171177857626 205.857061166434</t>
  </si>
  <si>
    <t>-619.767920622813 248.911398251477 674.225262575947</t>
  </si>
  <si>
    <t>-460.343208000628 253.319734553054 748.440111029639</t>
  </si>
  <si>
    <t>-607.318151557789 98.6703103981563 -224.342357447619</t>
  </si>
  <si>
    <t>-466.942665810876 91.6202536693684 209.135106583072</t>
  </si>
  <si>
    <t>-609.583637614343 11.433883956825 649.456624488881</t>
  </si>
  <si>
    <t>-459.28815913544 -31.4239167185751 730.190698432382</t>
  </si>
  <si>
    <t>9763-20170724T170146.460536500.bin</t>
  </si>
  <si>
    <t>-616.398818363285 196.187370071414 -237.271599964623</t>
  </si>
  <si>
    <t>-643.600039178314 178.812749435157 -354.002042382515</t>
  </si>
  <si>
    <t>-651.005735792185 158.825347669568 -473.317747887573</t>
  </si>
  <si>
    <t>-649.587811750553 139.192708175226 -581.055364184462</t>
  </si>
  <si>
    <t>-640.257453495059 117.687348826708 -688.038230090604</t>
  </si>
  <si>
    <t>-619.175699222276 85.560910399272 -835.426972638486</t>
  </si>
  <si>
    <t>-574.570830066395 67.5953308008775 -925.263592650876</t>
  </si>
  <si>
    <t>-622.825855417853 130.500224772543 -776.09679409174</t>
  </si>
  <si>
    <t>-580.817913641985 271.405637177235 -778.351181528549</t>
  </si>
  <si>
    <t>-552.123256874044 347.631699227037 -472.487826570433</t>
  </si>
  <si>
    <t>-369.352097192971 232.367081567384 -327.743876172596</t>
  </si>
  <si>
    <t>-634.181566091756 69.0516552529932 -764.327175940339</t>
  </si>
  <si>
    <t>-435.526043664703 23.906664074254 -430.221842691261</t>
  </si>
  <si>
    <t>-624.978396966521 293.903315369382 -249.473747753019</t>
  </si>
  <si>
    <t>-609.403202373227 284.043507355992 205.848048163034</t>
  </si>
  <si>
    <t>-619.734446420505 248.878009965805 674.231291951615</t>
  </si>
  <si>
    <t>-460.303315822483 253.286759670738 748.43229239942</t>
  </si>
  <si>
    <t>-607.701466998883 98.5966359376614 -224.403100490409</t>
  </si>
  <si>
    <t>-467.329915208242 91.5749718550071 209.076068226789</t>
  </si>
  <si>
    <t>-609.697374026088 11.55755503726 649.551643856852</t>
  </si>
  <si>
    <t>-459.327991741835 -31.2200205838944 730.1906368908</t>
  </si>
  <si>
    <t>9763-20170724T170146.496638900.bin</t>
  </si>
  <si>
    <t>-616.595195328889 196.115520599549 -237.248383414228</t>
  </si>
  <si>
    <t>-643.810504885298 178.75850561272 -353.978213514101</t>
  </si>
  <si>
    <t>-651.244724878011 158.748772202819 -473.288345198681</t>
  </si>
  <si>
    <t>-649.859379934528 139.081501283468 -581.020067874592</t>
  </si>
  <si>
    <t>-640.568726075602 117.528539437551 -687.996718894004</t>
  </si>
  <si>
    <t>-619.549960444797 85.3229901154764 -835.377297212972</t>
  </si>
  <si>
    <t>-574.972869766747 67.307560756185 -925.217716510684</t>
  </si>
  <si>
    <t>-623.172465141248 130.293686443047 -776.069377415551</t>
  </si>
  <si>
    <t>-581.207893085609 271.208733468252 -778.430370572538</t>
  </si>
  <si>
    <t>-552.649167299114 347.754114540771 -472.634084057994</t>
  </si>
  <si>
    <t>-369.975919809792 232.408869417261 -327.830739999066</t>
  </si>
  <si>
    <t>-634.527785423615 68.8521061975309 -764.262556094359</t>
  </si>
  <si>
    <t>-435.95388965738 24.0428434357725 -430.967740315997</t>
  </si>
  <si>
    <t>-625.080423653529 293.842614945033 -249.454283479748</t>
  </si>
  <si>
    <t>-609.401169296707 284.002058090729 205.864261635155</t>
  </si>
  <si>
    <t>-619.730710066051 248.879772029912 674.250117548474</t>
  </si>
  <si>
    <t>-460.290222597186 253.223537234619 748.434882644311</t>
  </si>
  <si>
    <t>-608.004551799571 98.5348988281216 -224.354592832021</t>
  </si>
  <si>
    <t>-467.493247726167 91.5384248141572 209.079674225203</t>
  </si>
  <si>
    <t>-609.772649258567 11.5756675080661 649.609516057838</t>
  </si>
  <si>
    <t>-459.341321880448 -31.1311013326279 730.170413881932</t>
  </si>
  <si>
    <t>9763-20170724T170146.568351000.bin</t>
  </si>
  <si>
    <t>-616.928364964567 196.039527833072 -237.200553584825</t>
  </si>
  <si>
    <t>-644.231214502134 178.677295543759 -353.909236824598</t>
  </si>
  <si>
    <t>-651.759633841927 158.64214657767 -473.209103080506</t>
  </si>
  <si>
    <t>-650.461986446189 138.94391387061 -580.936394635453</t>
  </si>
  <si>
    <t>-641.261400404015 117.352639817048 -687.912995154904</t>
  </si>
  <si>
    <t>-620.370255372915 85.086308488377 -835.298382213004</t>
  </si>
  <si>
    <t>-575.863782685734 67.0139587836352 -925.1624351527</t>
  </si>
  <si>
    <t>-623.93248565515 130.080024621855 -776.00437118384</t>
  </si>
  <si>
    <t>-581.908286826598 270.975026089891 -778.395060158326</t>
  </si>
  <si>
    <t>-553.636018992282 348.060279841946 -472.707752459548</t>
  </si>
  <si>
    <t>-371.037899808934 232.253550148982 -328.178254004533</t>
  </si>
  <si>
    <t>-635.295431364102 68.6460793063336 -764.165580514344</t>
  </si>
  <si>
    <t>-436.968300996156 24.9255587197565 -432.627602993251</t>
  </si>
  <si>
    <t>-625.31898906331 293.718099737503 -249.411384983285</t>
  </si>
  <si>
    <t>-609.525356830025 283.935778248371 205.90449090754</t>
  </si>
  <si>
    <t>-619.712121196333 248.837796178354 674.277464221254</t>
  </si>
  <si>
    <t>-460.257850641533 253.191163657492 748.431989357606</t>
  </si>
  <si>
    <t>-608.451742768547 98.5237956824772 -224.284141931636</t>
  </si>
  <si>
    <t>-467.765008595995 91.6398719772299 209.095063083833</t>
  </si>
  <si>
    <t>-609.95116567376 11.8402550540113 649.721395911521</t>
  </si>
  <si>
    <t>-459.48269039543 -31.1146834885424 730.080716815397</t>
  </si>
  <si>
    <t>9763-20170724T170146.594431600.bin</t>
  </si>
  <si>
    <t>-617.194986237335 196.054847975283 -237.145793240697</t>
  </si>
  <si>
    <t>-644.495099705776 178.696254402207 -353.855638363867</t>
  </si>
  <si>
    <t>-652.030567287112 158.66154303691 -473.155269019549</t>
  </si>
  <si>
    <t>-650.743071472869 138.963837413533 -580.882585263833</t>
  </si>
  <si>
    <t>-641.556388692719 117.373191721341 -687.860670207086</t>
  </si>
  <si>
    <t>-620.688137506062 85.1087623222977 -835.249702249547</t>
  </si>
  <si>
    <t>-576.196114744441 67.0218901608937 -925.118027356512</t>
  </si>
  <si>
    <t>-624.241204524236 130.101756756636 -775.954527615361</t>
  </si>
  <si>
    <t>-582.155953135279 270.975611561974 -778.339869354866</t>
  </si>
  <si>
    <t>-553.855303974822 348.174237259668 -472.683811789963</t>
  </si>
  <si>
    <t>-371.354794280628 231.736902105828 -328.538339428354</t>
  </si>
  <si>
    <t>-635.602188682174 68.6678107150699 -764.114705839164</t>
  </si>
  <si>
    <t>-437.066946644931 25.3210726768764 -433.51021689091</t>
  </si>
  <si>
    <t>-625.505622396222 293.635990031186 -249.375857036978</t>
  </si>
  <si>
    <t>-609.592442864789 283.869248308825 205.936194325483</t>
  </si>
  <si>
    <t>-619.673268363812 248.652446039066 674.319202477325</t>
  </si>
  <si>
    <t>-460.207950894923 253.273598538287 748.433679926519</t>
  </si>
  <si>
    <t>-608.783878811555 98.6302852734996 -224.209402457506</t>
  </si>
  <si>
    <t>-467.912210976912 91.6990681262146 209.108841536859</t>
  </si>
  <si>
    <t>-610.074358777593 12.1155190302525 649.8260114783</t>
  </si>
  <si>
    <t>-459.527749885468 -30.9266786236421 729.992113790391</t>
  </si>
  <si>
    <t>9763-20170724T170146.662842100.bin</t>
  </si>
  <si>
    <t>-617.739965315048 196.180095482113 -237.021677563432</t>
  </si>
  <si>
    <t>-645.09559263895 178.855255806774 -353.723564757113</t>
  </si>
  <si>
    <t>-652.680561934487 158.813100300047 -473.018840349141</t>
  </si>
  <si>
    <t>-651.435546920507 139.095825691634 -580.743094856475</t>
  </si>
  <si>
    <t>-642.288835715879 117.475523590224 -687.718570390829</t>
  </si>
  <si>
    <t>-621.473271088219 85.1615352070312 -835.104307227927</t>
  </si>
  <si>
    <t>-577.03075024469 67.0523278335515 -924.992472153182</t>
  </si>
  <si>
    <t>-625.01120854008 130.175435850194 -775.823978095909</t>
  </si>
  <si>
    <t>-582.980171846762 271.072058400136 -778.197107127315</t>
  </si>
  <si>
    <t>-554.245316223831 348.183487675451 -472.559591307385</t>
  </si>
  <si>
    <t>-372.0767530179 231.058532432739 -328.551166879088</t>
  </si>
  <si>
    <t>-636.355796984507 68.7435671902301 -763.957411360438</t>
  </si>
  <si>
    <t>-436.352561363725 25.1224592929202 -433.459709982335</t>
  </si>
  <si>
    <t>-625.825171351872 293.654217853292 -249.267635621099</t>
  </si>
  <si>
    <t>-609.847974692032 283.935238436599 206.043212101888</t>
  </si>
  <si>
    <t>-619.611163064701 248.499251665339 674.355418171699</t>
  </si>
  <si>
    <t>-460.14080971221 253.364467095507 748.443540558387</t>
  </si>
  <si>
    <t>-609.526814753237 98.8423826202222 -224.040292271712</t>
  </si>
  <si>
    <t>-468.249693671784 91.9195594398477 209.146102081887</t>
  </si>
  <si>
    <t>-610.373958869491 12.735625146659 649.964049683581</t>
  </si>
  <si>
    <t>-459.828755371539 -31.0204704109226 729.745362732882</t>
  </si>
  <si>
    <t>9763-20170724T170146.696936600.bin</t>
  </si>
  <si>
    <t>-618.009873599338 196.333269440405 -236.994298457567</t>
  </si>
  <si>
    <t>-645.322912868477 179.037219736864 -353.710411454286</t>
  </si>
  <si>
    <t>-652.893105915273 158.981143263334 -473.004152987333</t>
  </si>
  <si>
    <t>-651.647413291695 139.236725230584 -580.723614381766</t>
  </si>
  <si>
    <t>-642.512915455839 117.57733054135 -687.692210662306</t>
  </si>
  <si>
    <t>-621.727925440169 85.1978901135653 -835.06770608607</t>
  </si>
  <si>
    <t>-577.323168468338 67.0697289926777 -924.970827564059</t>
  </si>
  <si>
    <t>-625.243924884052 130.236674446072 -775.805001082294</t>
  </si>
  <si>
    <t>-583.187136835904 271.124209181911 -778.246862981794</t>
  </si>
  <si>
    <t>-554.554649926414 348.208516641224 -472.592767744934</t>
  </si>
  <si>
    <t>-372.578302437253 230.779210455526 -328.589379387317</t>
  </si>
  <si>
    <t>-636.605349523957 68.8128908830588 -763.912263198944</t>
  </si>
  <si>
    <t>-435.988673039857 25.0275827124744 -432.560348086106</t>
  </si>
  <si>
    <t>-625.989512934388 293.812211719007 -249.264283923776</t>
  </si>
  <si>
    <t>-610.058950597435 284.060292438912 206.047470188249</t>
  </si>
  <si>
    <t>-619.599290442613 248.602506604172 674.339485611283</t>
  </si>
  <si>
    <t>-460.133262766291 253.245038818723 748.451209420881</t>
  </si>
  <si>
    <t>-609.914895460692 99.0026140129812 -223.995577379175</t>
  </si>
  <si>
    <t>-468.427416314314 91.9299508717893 209.119863738282</t>
  </si>
  <si>
    <t>-610.483452041006 12.8256416951992 649.964975602176</t>
  </si>
  <si>
    <t>-459.841208270486 -30.8731398775185 729.594411638542</t>
  </si>
  <si>
    <t>9763-20170724T170146.766627900.bin</t>
  </si>
  <si>
    <t>-618.523129943649 196.703612955188 -236.939586976415</t>
  </si>
  <si>
    <t>-645.836423280893 179.425285743585 -353.658323001343</t>
  </si>
  <si>
    <t>-653.412783889868 159.306281790325 -472.941027057831</t>
  </si>
  <si>
    <t>-652.177484891611 139.474547250503 -580.644553757233</t>
  </si>
  <si>
    <t>-643.059624571657 117.698604239719 -687.590907581673</t>
  </si>
  <si>
    <t>-622.305433232257 85.1284881562499 -834.928782727573</t>
  </si>
  <si>
    <t>-577.983308022267 66.9443777489264 -924.861373001415</t>
  </si>
  <si>
    <t>-625.786368586004 130.24039630121 -775.719671063343</t>
  </si>
  <si>
    <t>-583.716949371673 271.108315840811 -778.415143562836</t>
  </si>
  <si>
    <t>-555.195164826441 348.998162406973 -472.954985227061</t>
  </si>
  <si>
    <t>-373.972187307668 231.057632361793 -328.420157720949</t>
  </si>
  <si>
    <t>-637.190682571617 68.8391091390133 -763.753041554847</t>
  </si>
  <si>
    <t>-436.737820773911 24.2525131066618 -431.920349786375</t>
  </si>
  <si>
    <t>-626.323082178049 294.159813666404 -249.265756802027</t>
  </si>
  <si>
    <t>-610.436022195957 284.359751834378 206.046432304516</t>
  </si>
  <si>
    <t>-619.613655134282 248.812505345517 674.345987138543</t>
  </si>
  <si>
    <t>-460.143652099438 253.170243979193 748.466469831853</t>
  </si>
  <si>
    <t>-610.58434289645 99.3454367356114 -223.94536611182</t>
  </si>
  <si>
    <t>-468.720755714036 92.0579367664261 209.043417413151</t>
  </si>
  <si>
    <t>-610.680177231299 13.0816839133429 649.946004309195</t>
  </si>
  <si>
    <t>-459.943439448085 -30.7421782370825 729.327454410985</t>
  </si>
  <si>
    <t>9763-20170724T170146.797712100.bin</t>
  </si>
  <si>
    <t>-618.72880964236 196.812813547251 -236.963350783644</t>
  </si>
  <si>
    <t>-646.075261346965 179.546406616153 -353.67590429297</t>
  </si>
  <si>
    <t>-653.678472064106 159.396662619402 -472.951910280363</t>
  </si>
  <si>
    <t>-652.466082888196 139.519464737988 -580.647173173092</t>
  </si>
  <si>
    <t>-643.370728208833 117.680420832759 -687.582647481544</t>
  </si>
  <si>
    <t>-622.648308301506 85.0041689297771 -834.90154880056</t>
  </si>
  <si>
    <t>-578.356953445994 66.7518639483396 -924.835308899086</t>
  </si>
  <si>
    <t>-626.093186372273 130.155341482389 -775.720069279002</t>
  </si>
  <si>
    <t>-583.828832143635 270.970414900235 -778.509888903123</t>
  </si>
  <si>
    <t>-555.482483236039 350.103372177348 -473.353131433849</t>
  </si>
  <si>
    <t>-374.698899779718 231.870107350141 -328.507456573553</t>
  </si>
  <si>
    <t>-637.541438354278 68.7695575508033 -763.714773320289</t>
  </si>
  <si>
    <t>-437.378279549479 23.9332151076692 -431.953954366191</t>
  </si>
  <si>
    <t>-626.504728938537 294.318133418017 -249.285511519328</t>
  </si>
  <si>
    <t>-610.545002134012 284.517522836078 206.024212915138</t>
  </si>
  <si>
    <t>-619.628877705012 248.967777529871 674.327486416822</t>
  </si>
  <si>
    <t>-460.155749902744 252.842384418454 748.468044643782</t>
  </si>
  <si>
    <t>-610.820510323354 99.3588886509031 -223.984481973786</t>
  </si>
  <si>
    <t>-468.85721254125 92.1404302401008 208.972801919268</t>
  </si>
  <si>
    <t>-610.73182473616 13.0576767618224 649.878278355938</t>
  </si>
  <si>
    <t>-459.990050850874 -30.8121106862629 729.224763815407</t>
  </si>
  <si>
    <t>9763-20170724T170146.863439200.bin</t>
  </si>
  <si>
    <t>-619.001379859403 196.756832803351 -237.000171633935</t>
  </si>
  <si>
    <t>-646.407229960348 179.512669151624 -353.702212308424</t>
  </si>
  <si>
    <t>-654.049687241532 159.283341870288 -472.962197279577</t>
  </si>
  <si>
    <t>-652.868127405425 139.29018585289 -580.636446762667</t>
  </si>
  <si>
    <t>-643.801675053594 117.2902471981 -687.54120313193</t>
  </si>
  <si>
    <t>-623.120064053423 84.343155638368 -834.80551567166</t>
  </si>
  <si>
    <t>-578.850845983428 65.873553952373 -924.705951165771</t>
  </si>
  <si>
    <t>-626.471158017594 129.591110883933 -775.692843537363</t>
  </si>
  <si>
    <t>-583.848292441594 270.297335329698 -778.962808473649</t>
  </si>
  <si>
    <t>-556.910516509664 351.808860234031 -474.304966684447</t>
  </si>
  <si>
    <t>-377.072161943555 232.925076527588 -328.816704332447</t>
  </si>
  <si>
    <t>-638.070934066859 68.2513043229258 -763.59845945581</t>
  </si>
  <si>
    <t>-437.918611899141 22.7220303023696 -432.520443895321</t>
  </si>
  <si>
    <t>-626.596385662816 294.224233272426 -249.293334242909</t>
  </si>
  <si>
    <t>-610.571444022264 284.377205739798 206.013106393439</t>
  </si>
  <si>
    <t>-619.579639754221 248.775738288298 674.335356541255</t>
  </si>
  <si>
    <t>-460.099593094012 253.028279524907 748.440261845541</t>
  </si>
  <si>
    <t>-611.312341008175 99.3515493648181 -224.024725439123</t>
  </si>
  <si>
    <t>-468.974168396411 92.0891379512047 208.808736627716</t>
  </si>
  <si>
    <t>-610.801138874027 13.1847832286633 649.761739130521</t>
  </si>
  <si>
    <t>-460.052133716895 -30.7340160896858 729.06744735167</t>
  </si>
  <si>
    <t>9763-20170724T170146.896531600.bin</t>
  </si>
  <si>
    <t>-619.123329858319 196.751025049734 -237.01543978528</t>
  </si>
  <si>
    <t>-646.552937426558 179.526578933135 -353.71481022149</t>
  </si>
  <si>
    <t>-654.214499906639 159.237156768316 -472.963374792918</t>
  </si>
  <si>
    <t>-653.050839787198 139.157493892465 -580.621691427171</t>
  </si>
  <si>
    <t>-644.004689499133 117.039120484783 -687.503786877683</t>
  </si>
  <si>
    <t>-623.355580556386 83.8942997514016 -834.728170347558</t>
  </si>
  <si>
    <t>-579.087136649545 65.2714948929442 -924.597470183544</t>
  </si>
  <si>
    <t>-626.646592758599 129.214348364024 -775.667252591315</t>
  </si>
  <si>
    <t>-583.952859753799 269.891348310764 -779.144977810667</t>
  </si>
  <si>
    <t>-557.715324757139 352.439656080276 -474.705216124968</t>
  </si>
  <si>
    <t>-378.270569018719 233.381590784871 -328.873699611477</t>
  </si>
  <si>
    <t>-638.337713762152 67.9054397048562 -763.504575331962</t>
  </si>
  <si>
    <t>-438.34888493223 22.2343308702859 -432.962801101942</t>
  </si>
  <si>
    <t>-626.560567454389 294.208221438778 -249.308734493612</t>
  </si>
  <si>
    <t>-610.474634520839 284.35526437244 205.995414255914</t>
  </si>
  <si>
    <t>-619.565205542712 248.752665822868 674.322158768161</t>
  </si>
  <si>
    <t>-460.088022857875 253.069321338404 748.429579408953</t>
  </si>
  <si>
    <t>-611.575564510523 99.3727957323372 -224.039932844917</t>
  </si>
  <si>
    <t>-469.025619195937 91.9249841374617 208.720645582162</t>
  </si>
  <si>
    <t>-610.841564400395 13.178523738743 649.718372385348</t>
  </si>
  <si>
    <t>-460.075905285311 -30.7170123422402 729.005248864407</t>
  </si>
  <si>
    <t>9763-20170724T170146.962714000.bin</t>
  </si>
  <si>
    <t>-619.211713344437 196.887001789712 -237.048843124035</t>
  </si>
  <si>
    <t>-646.727898944722 179.734117967995 -353.738321531007</t>
  </si>
  <si>
    <t>-654.470706128097 159.399820586611 -472.973910302394</t>
  </si>
  <si>
    <t>-653.381355773668 139.233023294625 -580.61675128404</t>
  </si>
  <si>
    <t>-644.412299795741 116.982471104013 -687.477897810133</t>
  </si>
  <si>
    <t>-623.875162179121 83.6081727961584 -834.666253359178</t>
  </si>
  <si>
    <t>-579.666456606847 64.7152778412221 -924.508545120909</t>
  </si>
  <si>
    <t>-627.037388717286 129.007097823542 -775.658800986627</t>
  </si>
  <si>
    <t>-584.135997481508 269.616485153672 -779.423270572782</t>
  </si>
  <si>
    <t>-558.895885360849 353.527636019875 -475.271984537261</t>
  </si>
  <si>
    <t>-380.18972784456 234.416773040209 -328.579117710425</t>
  </si>
  <si>
    <t>-638.887004197664 67.7434667951798 -763.420947973295</t>
  </si>
  <si>
    <t>-438.742548473699 21.6695883028451 -433.762180994266</t>
  </si>
  <si>
    <t>-626.33248312129 294.362310764048 -249.3386709784</t>
  </si>
  <si>
    <t>-610.151478752649 284.433830989719 205.960395071273</t>
  </si>
  <si>
    <t>-619.52896295977 248.759541394794 674.278992012525</t>
  </si>
  <si>
    <t>-460.065108749042 252.645862467414 748.438843299702</t>
  </si>
  <si>
    <t>-611.979817104582 99.5157113264759 -224.084277663886</t>
  </si>
  <si>
    <t>-469.216964239188 91.7832625358371 208.601157179394</t>
  </si>
  <si>
    <t>-610.975359632027 13.5271613563007 649.729457883135</t>
  </si>
  <si>
    <t>-460.251546071507 -30.7397798029233 728.889348472319</t>
  </si>
  <si>
    <t>9763-20170724T170146.995806400.bin</t>
  </si>
  <si>
    <t>-619.271408303925 197.152327372483 -237.02892036627</t>
  </si>
  <si>
    <t>-646.792617046215 180.030122665429 -353.721660182563</t>
  </si>
  <si>
    <t>-654.576964839045 159.658962112302 -472.948299728203</t>
  </si>
  <si>
    <t>-653.541714262474 139.434114570269 -580.580746687688</t>
  </si>
  <si>
    <t>-644.644047019927 117.10268447222 -687.431070886088</t>
  </si>
  <si>
    <t>-624.224597412872 83.5936558292972 -834.605060733734</t>
  </si>
  <si>
    <t>-580.074424843473 64.5512942316489 -924.444590744695</t>
  </si>
  <si>
    <t>-627.306165133457 129.041233184211 -775.630937968918</t>
  </si>
  <si>
    <t>-584.329107072179 269.617507973676 -779.522112335749</t>
  </si>
  <si>
    <t>-559.329132057964 353.906880255798 -475.45548480864</t>
  </si>
  <si>
    <t>-381.179514848857 234.807068853787 -328.078408829602</t>
  </si>
  <si>
    <t>-639.212975285382 67.7994464259248 -763.339203981657</t>
  </si>
  <si>
    <t>-439.168094240384 21.472201061702 -434.077391269355</t>
  </si>
  <si>
    <t>-626.200394657861 294.512738232886 -249.340727503834</t>
  </si>
  <si>
    <t>-610.017827212229 284.552370615414 205.957535116151</t>
  </si>
  <si>
    <t>-619.490663941715 248.661768153146 674.268173765341</t>
  </si>
  <si>
    <t>-460.035593487269 252.620732609392 748.443100776984</t>
  </si>
  <si>
    <t>-612.237244440971 99.963081825641 -224.027984493192</t>
  </si>
  <si>
    <t>-469.203249658308 91.897246002477 208.561729747084</t>
  </si>
  <si>
    <t>-611.018099437056 14.0810829423033 649.706066022411</t>
  </si>
  <si>
    <t>-460.50928305387 -30.9790228346421 728.827442214485</t>
  </si>
  <si>
    <t>9763-20170724T170147.061985900.bin</t>
  </si>
  <si>
    <t>-619.261192591436 197.632512608942 -237.030858673108</t>
  </si>
  <si>
    <t>-646.792510502644 180.5525122026 -353.727452260186</t>
  </si>
  <si>
    <t>-654.654917522512 160.149204520031 -472.943370752284</t>
  </si>
  <si>
    <t>-653.720292770821 139.865361325443 -580.565607592251</t>
  </si>
  <si>
    <t>-644.954520676408 117.44548208451 -687.40830854055</t>
  </si>
  <si>
    <t>-624.751754864318 83.7836803687248 -834.577350812032</t>
  </si>
  <si>
    <t>-580.740979357619 64.5168719236299 -924.437320353646</t>
  </si>
  <si>
    <t>-627.651042686843 129.276999683826 -775.629407738019</t>
  </si>
  <si>
    <t>-584.170555035943 269.711157977231 -779.632937456929</t>
  </si>
  <si>
    <t>-559.994373894182 355.249264935298 -475.84853683903</t>
  </si>
  <si>
    <t>-382.934005864865 235.958301785897 -327.317862261568</t>
  </si>
  <si>
    <t>-639.730710993832 68.0788411105814 -763.289935313053</t>
  </si>
  <si>
    <t>-439.258534892082 21.6348244195722 -434.613598882165</t>
  </si>
  <si>
    <t>-625.893384174933 294.822841251305 -249.346685212506</t>
  </si>
  <si>
    <t>-609.760684758778 284.779457498568 205.951681092203</t>
  </si>
  <si>
    <t>-619.457508821825 248.589279319609 674.265867780429</t>
  </si>
  <si>
    <t>-460.008980537079 252.745576846088 748.444079104639</t>
  </si>
  <si>
    <t>-612.497423117504 100.555324276849 -224.008181831226</t>
  </si>
  <si>
    <t>-469.167830636276 91.9740444889724 208.473823573939</t>
  </si>
  <si>
    <t>-611.153023101456 14.7085708659747 649.702136371202</t>
  </si>
  <si>
    <t>-460.762970826598 -31.0645023307932 728.639852871858</t>
  </si>
  <si>
    <t>9763-20170724T170147.104123300.bin</t>
  </si>
  <si>
    <t>-619.249416577356 197.9024444314 -236.972248505022</t>
  </si>
  <si>
    <t>-646.788275835417 180.835296548497 -353.669014518357</t>
  </si>
  <si>
    <t>-654.690633590329 160.382966806772 -472.874031977375</t>
  </si>
  <si>
    <t>-653.8069987463 140.03153547331 -580.483917903465</t>
  </si>
  <si>
    <t>-645.107905325469 117.522087286437 -687.313183133546</t>
  </si>
  <si>
    <t>-625.014769802739 83.7142160763162 -834.46371028705</t>
  </si>
  <si>
    <t>-581.087809165193 64.3314127016874 -924.339789864813</t>
  </si>
  <si>
    <t>-627.831677824977 129.259788478367 -775.552177206466</t>
  </si>
  <si>
    <t>-584.272943817438 269.647184967998 -779.69756345867</t>
  </si>
  <si>
    <t>-560.585656729642 355.685835604424 -476.016062828361</t>
  </si>
  <si>
    <t>-384.063113345276 236.250539354901 -326.962129084063</t>
  </si>
  <si>
    <t>-639.97905646913 68.0864730496464 -763.156208131275</t>
  </si>
  <si>
    <t>-439.702777995268 21.3806095272075 -434.762434878909</t>
  </si>
  <si>
    <t>-625.693394115782 295.021938432717 -249.328965921636</t>
  </si>
  <si>
    <t>-609.618870422898 284.949585412101 205.970796397985</t>
  </si>
  <si>
    <t>-619.477289362246 248.716276654758 674.258258340896</t>
  </si>
  <si>
    <t>-460.034365507941 252.642166386357 748.461010704701</t>
  </si>
  <si>
    <t>-612.7057765096 100.89656241053 -223.878803435699</t>
  </si>
  <si>
    <t>-469.037154154808 91.9453003937408 208.483154685773</t>
  </si>
  <si>
    <t>-611.252581092986 14.9814318905821 649.734783659566</t>
  </si>
  <si>
    <t>-460.813970377361 -30.9524679626697 728.486333830617</t>
  </si>
  <si>
    <t>9763-20170724T170147.162277200.bin</t>
  </si>
  <si>
    <t>-619.0333445596 198.411155093431 -236.901375654379</t>
  </si>
  <si>
    <t>-646.543003300507 181.390712533369 -353.611848305609</t>
  </si>
  <si>
    <t>-654.500396568498 160.903628928515 -472.807252124062</t>
  </si>
  <si>
    <t>-653.703524244462 140.489275906592 -580.40585033176</t>
  </si>
  <si>
    <t>-645.129448657023 117.886749916717 -687.225664727814</t>
  </si>
  <si>
    <t>-625.250641546015 83.9189589074701 -834.368464155235</t>
  </si>
  <si>
    <t>-581.476762852865 64.3790517478296 -924.28533151461</t>
  </si>
  <si>
    <t>-627.906411797227 129.516168088556 -775.489235876413</t>
  </si>
  <si>
    <t>-584.008903277413 269.816482149859 -779.751608932998</t>
  </si>
  <si>
    <t>-561.530110596729 357.101573982381 -476.334071767786</t>
  </si>
  <si>
    <t>-385.734404582534 237.739794862143 -326.365101504272</t>
  </si>
  <si>
    <t>-640.186386530625 68.3811372793455 -763.035319742711</t>
  </si>
  <si>
    <t>-439.520553246235 21.7115688603337 -435.195596542172</t>
  </si>
  <si>
    <t>-625.221894637333 295.495381091261 -249.293709221035</t>
  </si>
  <si>
    <t>-609.300379215783 285.319482094519 206.009101216639</t>
  </si>
  <si>
    <t>-619.46091175221 248.771784612303 674.253711736348</t>
  </si>
  <si>
    <t>-460.030348122087 252.255409944145 748.505080081109</t>
  </si>
  <si>
    <t>-612.694982617368 101.426247495735 -223.821735034699</t>
  </si>
  <si>
    <t>-469.07226551708 91.9992114673037 208.545438957205</t>
  </si>
  <si>
    <t>-611.526837148149 15.3820281874318 649.82512364538</t>
  </si>
  <si>
    <t>-461.0712915612 -31.1272979399985 728.205770477531</t>
  </si>
  <si>
    <t>9763-20170724T170147.193862200.bin</t>
  </si>
  <si>
    <t>-618.867097539286 198.505654115515 -236.891347764702</t>
  </si>
  <si>
    <t>-646.333010194507 181.511780679632 -353.616032467651</t>
  </si>
  <si>
    <t>-654.282894755337 160.979152856793 -472.803989041544</t>
  </si>
  <si>
    <t>-653.496944210611 140.494640501066 -580.389496566821</t>
  </si>
  <si>
    <t>-644.952964070077 117.793992727764 -687.190713520521</t>
  </si>
  <si>
    <t>-625.137437412422 83.6609677213685 -834.303931444418</t>
  </si>
  <si>
    <t>-581.423627298346 64.0060038958704 -924.224810296403</t>
  </si>
  <si>
    <t>-627.732573435254 129.31846836043 -775.46873568687</t>
  </si>
  <si>
    <t>-583.811927382333 269.591560326568 -779.880924594511</t>
  </si>
  <si>
    <t>-561.884674347577 357.373994577687 -476.56646389803</t>
  </si>
  <si>
    <t>-386.399088903922 238.12236786297 -326.147294883411</t>
  </si>
  <si>
    <t>-640.077802466872 68.2091746305214 -762.953054574956</t>
  </si>
  <si>
    <t>-439.567296644474 21.0929907779466 -435.152104682866</t>
  </si>
  <si>
    <t>-624.937649478311 295.561004321672 -249.284472662057</t>
  </si>
  <si>
    <t>-609.071655336538 285.335355566339 206.019048704877</t>
  </si>
  <si>
    <t>-619.463583513304 248.782876041478 674.252556878781</t>
  </si>
  <si>
    <t>-460.039580194991 252.30535877531 748.516202882988</t>
  </si>
  <si>
    <t>-612.659607663427 101.476882778383 -223.829888666075</t>
  </si>
  <si>
    <t>-469.092268265266 91.9118452400703 208.55254704566</t>
  </si>
  <si>
    <t>-611.554769702444 15.4080068982453 649.754508772366</t>
  </si>
  <si>
    <t>-461.131034420851 -31.2125726201075 728.130079124111</t>
  </si>
  <si>
    <t>9763-20170724T170147.263549500.bin</t>
  </si>
  <si>
    <t>-618.469613276327 198.684105310273 -236.943131965246</t>
  </si>
  <si>
    <t>-645.930642900996 181.761989178687 -353.679330268425</t>
  </si>
  <si>
    <t>-653.942296254846 161.235660437516 -472.864182631666</t>
  </si>
  <si>
    <t>-653.241493268346 140.730849113623 -580.446341528828</t>
  </si>
  <si>
    <t>-644.813043214659 117.984123718338 -687.247039602655</t>
  </si>
  <si>
    <t>-625.190348312102 83.7610901320052 -834.36512867017</t>
  </si>
  <si>
    <t>-581.594768482116 63.9506181370239 -924.309358342322</t>
  </si>
  <si>
    <t>-627.646423818831 129.444263745205 -775.543971446711</t>
  </si>
  <si>
    <t>-583.361842966886 269.611798159117 -779.987071042453</t>
  </si>
  <si>
    <t>-562.556367369698 358.789245120177 -477.00077820108</t>
  </si>
  <si>
    <t>-387.745772893914 239.724307969975 -325.650742844237</t>
  </si>
  <si>
    <t>-640.099117957216 68.3632711972348 -762.996024834943</t>
  </si>
  <si>
    <t>-439.329558001731 21.2672860641396 -435.607695674849</t>
  </si>
  <si>
    <t>-624.347402135565 295.662646478146 -249.284975161731</t>
  </si>
  <si>
    <t>-608.54777708628 285.273976566782 206.017330870468</t>
  </si>
  <si>
    <t>-619.393328351188 248.5405965213 674.239758836316</t>
  </si>
  <si>
    <t>-459.992433712127 252.598804062033 748.525646450147</t>
  </si>
  <si>
    <t>-612.483737122379 101.827463952419 -223.902506347642</t>
  </si>
  <si>
    <t>-468.82912426386 91.8457692113409 208.44159994329</t>
  </si>
  <si>
    <t>-611.5850302892 15.6903864331885 649.610241391918</t>
  </si>
  <si>
    <t>-461.259014721921 -31.302386039697 727.950974800806</t>
  </si>
  <si>
    <t>9763-20170724T170147.294635200.bin</t>
  </si>
  <si>
    <t>-618.289036885353 198.896530244632 -236.929946918903</t>
  </si>
  <si>
    <t>-645.715286430248 181.971872074959 -353.674018431243</t>
  </si>
  <si>
    <t>-653.720029928525 161.402930238281 -472.852085085525</t>
  </si>
  <si>
    <t>-653.026141529138 140.843110211015 -580.423740261499</t>
  </si>
  <si>
    <t>-644.618818033954 118.025137915623 -687.210842341581</t>
  </si>
  <si>
    <t>-625.04125594963 83.6859226453576 -834.307901467812</t>
  </si>
  <si>
    <t>-581.53363602545 63.7928901002419 -924.276487777059</t>
  </si>
  <si>
    <t>-627.441229920984 129.409113627439 -775.515461707797</t>
  </si>
  <si>
    <t>-583.121300784003 269.539570895834 -780.034399281538</t>
  </si>
  <si>
    <t>-562.895250877138 359.397111153025 -477.209895737235</t>
  </si>
  <si>
    <t>-388.375994343441 240.279365723851 -325.565541761228</t>
  </si>
  <si>
    <t>-639.96617322343 68.3509580222337 -762.928649321339</t>
  </si>
  <si>
    <t>-439.326347698132 20.7212253790615 -435.574195232713</t>
  </si>
  <si>
    <t>-624.071342922193 295.827900042521 -249.29315740659</t>
  </si>
  <si>
    <t>-608.412012158131 285.427258514316 206.013610022218</t>
  </si>
  <si>
    <t>-619.390363000374 248.598737798824 674.218457787686</t>
  </si>
  <si>
    <t>-460.001802645405 252.533621824762 748.537492285235</t>
  </si>
  <si>
    <t>-612.371895784098 102.075363773006 -223.893589153491</t>
  </si>
  <si>
    <t>-468.597675242454 91.8799836143539 208.405736346339</t>
  </si>
  <si>
    <t>-611.562611366568 15.9241571687496 649.512268017191</t>
  </si>
  <si>
    <t>-461.332706047025 -31.3253705079749 727.883016698031</t>
  </si>
  <si>
    <t>9763-20170724T170147.361467000.bin</t>
  </si>
  <si>
    <t>-617.803966066724 199.242653473915 -237.043622014134</t>
  </si>
  <si>
    <t>-645.180426017937 182.34890588738 -353.803933274153</t>
  </si>
  <si>
    <t>-653.165290920156 161.785663753754 -472.984299852073</t>
  </si>
  <si>
    <t>-652.466608590128 141.222262583204 -580.555179848144</t>
  </si>
  <si>
    <t>-644.067793499334 118.393517543919 -687.340744187782</t>
  </si>
  <si>
    <t>-624.515918180349 84.0328267089715 -834.436137126559</t>
  </si>
  <si>
    <t>-581.171270898471 64.0830301042804 -924.470829546129</t>
  </si>
  <si>
    <t>-626.87484250432 129.75920180909 -775.644598568499</t>
  </si>
  <si>
    <t>-582.346253358394 269.846647470794 -780.181384441948</t>
  </si>
  <si>
    <t>-563.373751477963 361.157724774879 -477.710707823492</t>
  </si>
  <si>
    <t>-389.574565099223 241.729337824916 -325.484649420084</t>
  </si>
  <si>
    <t>-639.459206788769 68.7134476651081 -763.057356605447</t>
  </si>
  <si>
    <t>-438.601100909598 21.1021921925249 -435.682756994082</t>
  </si>
  <si>
    <t>-623.480235725757 296.178965733959 -249.378830140132</t>
  </si>
  <si>
    <t>-608.114094306235 285.698407479276 205.936101016244</t>
  </si>
  <si>
    <t>-619.395505930483 248.711101068029 674.171741242869</t>
  </si>
  <si>
    <t>-460.021640154207 252.361036807275 748.536768759169</t>
  </si>
  <si>
    <t>-612.010945139978 102.404648018511 -224.040331174197</t>
  </si>
  <si>
    <t>-468.423131191109 91.9914613183194 208.315726547903</t>
  </si>
  <si>
    <t>-611.555378245734 16.1140780933586 649.402471087774</t>
  </si>
  <si>
    <t>-461.432781401402 -31.4048948371267 727.815917516389</t>
  </si>
  <si>
    <t>9763-20170724T170147.396589800.bin</t>
  </si>
  <si>
    <t>-617.640717628748 199.31949326516 -237.048086528335</t>
  </si>
  <si>
    <t>-644.991183968816 182.447893129232 -353.817605241253</t>
  </si>
  <si>
    <t>-652.92787307857 161.851887120678 -472.995556471004</t>
  </si>
  <si>
    <t>-652.178457206825 141.238036998731 -580.556470072904</t>
  </si>
  <si>
    <t>-643.722979835805 118.33877321555 -687.322499467205</t>
  </si>
  <si>
    <t>-624.087301556168 83.8604031294901 -834.379338632804</t>
  </si>
  <si>
    <t>-580.809680646771 63.8722092392306 -924.437631477356</t>
  </si>
  <si>
    <t>-626.476633446717 129.633331243482 -775.625139274236</t>
  </si>
  <si>
    <t>-581.976623720091 269.71204385837 -780.192846963818</t>
  </si>
  <si>
    <t>-563.562691338241 361.663057620825 -477.881508831614</t>
  </si>
  <si>
    <t>-390.126266688242 242.100979932522 -325.347009254157</t>
  </si>
  <si>
    <t>-639.074339218433 68.598736479114 -762.997261588019</t>
  </si>
  <si>
    <t>-438.450725546347 20.5178346083464 -435.514910517815</t>
  </si>
  <si>
    <t>-623.239769071196 296.245118918768 -249.389702854208</t>
  </si>
  <si>
    <t>-607.918956973764 285.694478243801 205.925224196175</t>
  </si>
  <si>
    <t>-619.372146762528 248.554338932493 674.179119901569</t>
  </si>
  <si>
    <t>-459.995640700604 252.36161605763 748.530598070459</t>
  </si>
  <si>
    <t>-611.922339617603 102.494678108745 -224.048129817555</t>
  </si>
  <si>
    <t>-468.328469837293 91.9628101621661 208.303099428501</t>
  </si>
  <si>
    <t>-611.547943068152 16.1833903385416 649.362245971427</t>
  </si>
  <si>
    <t>-461.457655326611 -31.4122963229729 727.790938954556</t>
  </si>
  <si>
    <t>9763-20170724T170147.461311600.bin</t>
  </si>
  <si>
    <t>-617.297554307798 199.698319341966 -237.120091756778</t>
  </si>
  <si>
    <t>-644.598714370636 182.871519831097 -353.907516408408</t>
  </si>
  <si>
    <t>-652.488462041492 162.289202706939 -473.09098531783</t>
  </si>
  <si>
    <t>-651.699463151898 141.67367164885 -580.651286114563</t>
  </si>
  <si>
    <t>-643.208604652002 118.757865154938 -687.410939280754</t>
  </si>
  <si>
    <t>-623.529246341722 84.2404268090822 -834.452589622974</t>
  </si>
  <si>
    <t>-580.328824708462 64.2065241442331 -924.537858733558</t>
  </si>
  <si>
    <t>-625.906991972055 130.023943048082 -775.70638446607</t>
  </si>
  <si>
    <t>-581.229015111295 270.062078470619 -780.287506327227</t>
  </si>
  <si>
    <t>-564.468066578341 362.921135105311 -478.157814272942</t>
  </si>
  <si>
    <t>-391.675760623823 243.460803275842 -324.814734233122</t>
  </si>
  <si>
    <t>-638.566563751008 69.0024952101694 -763.076055067926</t>
  </si>
  <si>
    <t>-438.077698338739 20.7698837637449 -435.353392154591</t>
  </si>
  <si>
    <t>-622.818896625588 296.557349951682 -249.397858414161</t>
  </si>
  <si>
    <t>-607.745761340305 285.910576699803 205.923060458526</t>
  </si>
  <si>
    <t>-619.388612609347 248.650959780392 674.143751984994</t>
  </si>
  <si>
    <t>-460.019104812125 252.246497878235 748.520786416763</t>
  </si>
  <si>
    <t>-611.653532629337 102.96706995253 -224.13509364308</t>
  </si>
  <si>
    <t>-468.226402391474 92.0654775603387 208.26226606166</t>
  </si>
  <si>
    <t>-611.537553912563 16.4110307265923 649.306506377073</t>
  </si>
  <si>
    <t>-461.600604650862 -31.6247045195028 727.760242076769</t>
  </si>
  <si>
    <t>9763-20170724T170147.497913900.bin</t>
  </si>
  <si>
    <t>-617.169552091332 199.870492782135 -237.104759007116</t>
  </si>
  <si>
    <t>-644.381063821975 183.052219184031 -353.914401319022</t>
  </si>
  <si>
    <t>-652.213256375748 162.455832853258 -473.099171343021</t>
  </si>
  <si>
    <t>-651.386859483731 141.819076492556 -580.655129153509</t>
  </si>
  <si>
    <t>-642.873792323067 118.874084080691 -687.406659715064</t>
  </si>
  <si>
    <t>-623.179944256641 84.3082232556649 -834.435171787542</t>
  </si>
  <si>
    <t>-580.004527484485 64.2402837899465 -924.52484531088</t>
  </si>
  <si>
    <t>-625.555206532528 130.109720272577 -775.702687920809</t>
  </si>
  <si>
    <t>-580.899276452035 270.13321295643 -780.319825023599</t>
  </si>
  <si>
    <t>-564.763552317145 363.435506572521 -478.29261276844</t>
  </si>
  <si>
    <t>-392.395847354457 244.020403423252 -324.43717893998</t>
  </si>
  <si>
    <t>-638.232560369833 69.0952535518115 -763.056512771922</t>
  </si>
  <si>
    <t>-437.90065492118 20.6550724756103 -435.39953909919</t>
  </si>
  <si>
    <t>-622.664095206208 296.742170039287 -249.399959831176</t>
  </si>
  <si>
    <t>-607.765691505382 286.059135877246 205.925933815748</t>
  </si>
  <si>
    <t>-619.39996076799 248.672438468425 674.146396160674</t>
  </si>
  <si>
    <t>-460.025957005223 252.115338239142 748.520968944848</t>
  </si>
  <si>
    <t>-611.532074974743 103.105667652021 -224.139238987023</t>
  </si>
  <si>
    <t>-468.089693453278 92.0212198286004 208.248367414654</t>
  </si>
  <si>
    <t>-611.504507469056 16.4037287656658 649.256443628813</t>
  </si>
  <si>
    <t>-461.578014700725 -31.5741271354996 727.765575619098</t>
  </si>
  <si>
    <t>9763-20170724T170147.561585300.bin</t>
  </si>
  <si>
    <t>-616.820310234703 200.109471025525 -237.155479829075</t>
  </si>
  <si>
    <t>-644.004349044955 183.318974454262 -353.975618345413</t>
  </si>
  <si>
    <t>-651.794906484158 162.727679011021 -473.163800200669</t>
  </si>
  <si>
    <t>-650.926317357285 142.085625765043 -580.718537199411</t>
  </si>
  <si>
    <t>-642.367243913873 119.125854492051 -687.463250593407</t>
  </si>
  <si>
    <t>-622.606193814589 84.5294102722855 -834.475403632964</t>
  </si>
  <si>
    <t>-579.383643258462 64.4150785733489 -924.532236134392</t>
  </si>
  <si>
    <t>-625.006384147998 130.342772515192 -775.753334678767</t>
  </si>
  <si>
    <t>-580.293216588985 270.354646010471 -780.376831034916</t>
  </si>
  <si>
    <t>-565.297304576931 364.563394834652 -478.572249830137</t>
  </si>
  <si>
    <t>-393.916545017333 245.141705243759 -323.623469151788</t>
  </si>
  <si>
    <t>-637.693319589324 69.331676612127 -763.100920137198</t>
  </si>
  <si>
    <t>-437.419303424795 20.8633754946102 -435.709058297579</t>
  </si>
  <si>
    <t>-622.283108515303 296.946050538798 -249.427046666401</t>
  </si>
  <si>
    <t>-607.643989521758 286.209923907098 205.905904243727</t>
  </si>
  <si>
    <t>-619.389880735345 248.690153506868 674.115906181927</t>
  </si>
  <si>
    <t>-460.030737154887 252.311196803583 748.513886194352</t>
  </si>
  <si>
    <t>-611.24509178144 103.34485316507 -224.19481481355</t>
  </si>
  <si>
    <t>-467.920543576172 92.1179411754556 208.228183054374</t>
  </si>
  <si>
    <t>-611.497958090394 16.5600114445381 649.21382087147</t>
  </si>
  <si>
    <t>-461.670058670634 -31.6688183204333 727.757426830699</t>
  </si>
  <si>
    <t>9763-20170724T170147.597684100.bin</t>
  </si>
  <si>
    <t>-616.650491893284 200.202521588139 -237.147801721557</t>
  </si>
  <si>
    <t>-643.796903806052 183.427855587911 -353.978805061013</t>
  </si>
  <si>
    <t>-651.529364679732 162.847151650379 -473.172818769862</t>
  </si>
  <si>
    <t>-650.60026290553 142.213286170351 -580.728526119136</t>
  </si>
  <si>
    <t>-641.973124017331 119.260037668037 -687.469179341083</t>
  </si>
  <si>
    <t>-622.109852492789 84.6713230729194 -834.469453759398</t>
  </si>
  <si>
    <t>-578.821345549053 64.5493890612534 -924.492728452825</t>
  </si>
  <si>
    <t>-624.561185230666 130.483342362135 -775.748375145046</t>
  </si>
  <si>
    <t>-579.821472173293 270.479019569645 -780.337826411605</t>
  </si>
  <si>
    <t>-565.189158478129 364.984284596989 -478.607929635373</t>
  </si>
  <si>
    <t>-394.34994022448 245.672681574319 -322.977759388487</t>
  </si>
  <si>
    <t>-637.236321903638 69.4680626640888 -763.104334702508</t>
  </si>
  <si>
    <t>-436.952902856083 20.7829422201278 -435.766033160078</t>
  </si>
  <si>
    <t>-622.072145465379 297.045124768706 -249.429139445613</t>
  </si>
  <si>
    <t>-607.534167450617 286.270912772457 205.906137158421</t>
  </si>
  <si>
    <t>-619.397622073796 248.771280965988 674.10206970324</t>
  </si>
  <si>
    <t>-460.046073732995 252.322231382203 748.519788319951</t>
  </si>
  <si>
    <t>-611.100416164167 103.482730271868 -224.21007816732</t>
  </si>
  <si>
    <t>-467.807360562225 92.1124399827397 208.219719571594</t>
  </si>
  <si>
    <t>-611.472643648506 16.5831590289654 649.168951109191</t>
  </si>
  <si>
    <t>-461.675615215433 -31.6803292212062 727.7501167659</t>
  </si>
  <si>
    <t>9763-20170724T170147.663862600.bin</t>
  </si>
  <si>
    <t>-616.277554256992 200.352306531955 -237.243479786848</t>
  </si>
  <si>
    <t>-643.347147223508 183.616416456469 -354.097846233666</t>
  </si>
  <si>
    <t>-650.942564079246 163.054908755183 -473.304081548639</t>
  </si>
  <si>
    <t>-649.866356911043 142.431011910739 -580.860285234947</t>
  </si>
  <si>
    <t>-641.069846452303 119.480896731469 -687.587750768665</t>
  </si>
  <si>
    <t>-620.949119833955 84.8894500622994 -834.552358486994</t>
  </si>
  <si>
    <t>-577.502638505678 64.7768905768648 -924.501597752973</t>
  </si>
  <si>
    <t>-623.543473195504 130.70944998356 -775.843582564712</t>
  </si>
  <si>
    <t>-578.930944878928 270.762782350828 -780.216424505044</t>
  </si>
  <si>
    <t>-564.213729420369 364.894822378029 -478.374085553108</t>
  </si>
  <si>
    <t>-394.448015437424 246.075436090753 -321.200319603112</t>
  </si>
  <si>
    <t>-636.160343817119 69.6807252530461 -763.206503649335</t>
  </si>
  <si>
    <t>-435.795829033598 20.9070966342645 -434.014042939325</t>
  </si>
  <si>
    <t>-621.74236593297 297.271030707877 -249.452531042205</t>
  </si>
  <si>
    <t>-607.34541346437 286.364550779675 205.883999060359</t>
  </si>
  <si>
    <t>-619.397211750586 248.765259219659 674.084883190361</t>
  </si>
  <si>
    <t>-460.047991941712 252.052199474733 748.519685457847</t>
  </si>
  <si>
    <t>-610.658772724233 103.559631116774 -224.384268210863</t>
  </si>
  <si>
    <t>-467.794809383291 92.0584535920218 208.184005672068</t>
  </si>
  <si>
    <t>-611.446849290702 16.3413058520375 649.127464028914</t>
  </si>
  <si>
    <t>-461.62283201335 -31.6858190414387 727.801917938089</t>
  </si>
  <si>
    <t>9763-20170724T170147.694447200.bin</t>
  </si>
  <si>
    <t>-616.114473579723 200.436515662243 -237.226431185182</t>
  </si>
  <si>
    <t>-643.125680106853 183.705527312723 -354.095053395558</t>
  </si>
  <si>
    <t>-650.625432995782 163.152275372512 -473.308620603861</t>
  </si>
  <si>
    <t>-649.448338750022 142.535927653084 -580.865357115328</t>
  </si>
  <si>
    <t>-640.537208585064 119.592768689751 -687.584779446301</t>
  </si>
  <si>
    <t>-620.243793076445 85.0096583372756 -834.527645364881</t>
  </si>
  <si>
    <t>-576.726143162799 64.9244969343101 -924.448639727372</t>
  </si>
  <si>
    <t>-622.924271515717 130.82929374334 -775.822326721759</t>
  </si>
  <si>
    <t>-578.399915676441 270.910250663058 -780.059584610247</t>
  </si>
  <si>
    <t>-563.596940557358 364.516325929552 -478.057974796116</t>
  </si>
  <si>
    <t>-394.238083773539 245.786849329329 -320.378086534376</t>
  </si>
  <si>
    <t>-635.521732109681 69.7938937859071 -763.197492475094</t>
  </si>
  <si>
    <t>-435.422464283531 20.1492414775344 -433.541978467055</t>
  </si>
  <si>
    <t>-621.6398946915 297.361413802862 -249.437791657314</t>
  </si>
  <si>
    <t>-607.275408518814 286.381144911784 205.898130995808</t>
  </si>
  <si>
    <t>-619.375085966696 248.659738781114 674.083555155085</t>
  </si>
  <si>
    <t>-460.030531287635 252.165553317309 748.518226748024</t>
  </si>
  <si>
    <t>-610.439795878429 103.654615571858 -224.36693109553</t>
  </si>
  <si>
    <t>-467.638072851629 92.0808123529132 208.219952310667</t>
  </si>
  <si>
    <t>-611.418657235055 16.3232673485099 649.105949946882</t>
  </si>
  <si>
    <t>-461.610724058915 -31.671068946978 727.831038612467</t>
  </si>
  <si>
    <t>9763-20170724T170147.765039700.bin</t>
  </si>
  <si>
    <t>-615.83236526638 200.781062694533 -237.24567735101</t>
  </si>
  <si>
    <t>-642.722532274883 184.018066999711 -354.137663141129</t>
  </si>
  <si>
    <t>-650.070614030689 163.527465198585 -473.37149947024</t>
  </si>
  <si>
    <t>-648.743014660061 143.001126259813 -580.94351191077</t>
  </si>
  <si>
    <t>-639.668000314869 120.177336403431 -687.674873715598</t>
  </si>
  <si>
    <t>-619.132757381774 85.7882159960677 -834.629581413341</t>
  </si>
  <si>
    <t>-575.496988845808 65.7985745147462 -924.514638123023</t>
  </si>
  <si>
    <t>-621.919401311941 131.531987382638 -775.870195156738</t>
  </si>
  <si>
    <t>-577.421380445802 271.632514908904 -779.869734787022</t>
  </si>
  <si>
    <t>-562.860588256377 364.26755163037 -477.557017722713</t>
  </si>
  <si>
    <t>-394.401598863642 245.163307685077 -319.197285143324</t>
  </si>
  <si>
    <t>-634.518523662171 70.4767324474315 -763.343173973335</t>
  </si>
  <si>
    <t>-433.999622385741 18.5397913950574 -431.43928271882</t>
  </si>
  <si>
    <t>-621.481799359424 297.577095567223 -249.429765269095</t>
  </si>
  <si>
    <t>-607.415235821339 286.529354316035 205.913816166572</t>
  </si>
  <si>
    <t>-619.339557001143 248.514685830593 674.079669326264</t>
  </si>
  <si>
    <t>-460.00414381938 252.579436042569 748.505555286824</t>
  </si>
  <si>
    <t>-610.065432136751 104.104916422871 -224.360337658445</t>
  </si>
  <si>
    <t>-467.390973450088 92.3179129564357 208.262771769516</t>
  </si>
  <si>
    <t>-611.3709313652 16.3656996159614 649.042904201612</t>
  </si>
  <si>
    <t>-461.589000835569 -31.6256485967401 727.819316064182</t>
  </si>
  <si>
    <t>9763-20170724T170147.798129600.bin</t>
  </si>
  <si>
    <t>-615.668465599002 201.014216264986 -237.250498421867</t>
  </si>
  <si>
    <t>-642.485508801835 184.230643915147 -354.156266408689</t>
  </si>
  <si>
    <t>-649.767516298807 163.756248153751 -473.396961320722</t>
  </si>
  <si>
    <t>-648.382531431849 143.259357104311 -580.973897101491</t>
  </si>
  <si>
    <t>-639.251918825645 120.479713660884 -687.709867713713</t>
  </si>
  <si>
    <t>-618.640751089568 86.1669135675372 -834.671901726075</t>
  </si>
  <si>
    <t>-574.951887237384 66.2233064551142 -924.541365982003</t>
  </si>
  <si>
    <t>-621.476584962734 131.883251010654 -775.893510290282</t>
  </si>
  <si>
    <t>-576.989367344291 271.988593337971 -779.824612881547</t>
  </si>
  <si>
    <t>-562.752670255418 364.245716176424 -477.38101583335</t>
  </si>
  <si>
    <t>-394.951241635513 244.603702714297 -318.72884223959</t>
  </si>
  <si>
    <t>-634.04455233722 70.815258101504 -763.39805642895</t>
  </si>
  <si>
    <t>-433.470381849436 18.2881167378569 -431.176724153595</t>
  </si>
  <si>
    <t>-621.416284884609 297.817938123897 -249.442576889248</t>
  </si>
  <si>
    <t>-607.529304496137 286.709141045716 205.905043608748</t>
  </si>
  <si>
    <t>-619.368499300496 248.615245076921 674.077156683788</t>
  </si>
  <si>
    <t>-460.02719784622 252.425830356613 748.503879466133</t>
  </si>
  <si>
    <t>-609.773501595927 104.258660008972 -224.39518463319</t>
  </si>
  <si>
    <t>-467.368579826866 92.5291709741566 208.318350220187</t>
  </si>
  <si>
    <t>-611.390784741448 16.4355879488419 649.073185448758</t>
  </si>
  <si>
    <t>-461.546616160991 -31.4699288674856 727.783400469129</t>
  </si>
  <si>
    <t>9763-20170724T170147.862301700.bin</t>
  </si>
  <si>
    <t>-615.391036623445 201.481508616049 -237.208860089611</t>
  </si>
  <si>
    <t>-642.140632817701 184.705575758956 -354.13116108162</t>
  </si>
  <si>
    <t>-649.33479285287 164.255210380297 -473.381376931937</t>
  </si>
  <si>
    <t>-647.86179440002 143.78830702426 -580.962731097036</t>
  </si>
  <si>
    <t>-638.634332301404 121.047380246227 -687.69875468916</t>
  </si>
  <si>
    <t>-617.879055541265 86.7981778175715 -834.655158671315</t>
  </si>
  <si>
    <t>-574.116562626303 66.9952962602745 -924.520001369515</t>
  </si>
  <si>
    <t>-620.839198148101 132.500286697946 -775.871954048558</t>
  </si>
  <si>
    <t>-576.69540784667 272.718771707341 -779.706581153253</t>
  </si>
  <si>
    <t>-562.719316143016 364.60417489986 -477.137650534276</t>
  </si>
  <si>
    <t>-396.173040735057 244.193502498296 -317.746092677468</t>
  </si>
  <si>
    <t>-633.286070229834 71.4044999080468 -763.391049351215</t>
  </si>
  <si>
    <t>-432.728274332976 19.1426914923084 -430.890817988075</t>
  </si>
  <si>
    <t>-621.208942247753 298.242536198218 -249.408138156581</t>
  </si>
  <si>
    <t>-607.627849257539 287.027372192362 205.945986402121</t>
  </si>
  <si>
    <t>-619.357109502863 248.615433918517 674.071057389458</t>
  </si>
  <si>
    <t>-460.029273915945 252.373790480842 748.529227196871</t>
  </si>
  <si>
    <t>-609.485188191811 104.882398729541 -224.333859414207</t>
  </si>
  <si>
    <t>-467.248593415003 92.8783445026909 208.427448117106</t>
  </si>
  <si>
    <t>-611.497767087067 16.7393199252315 649.129606767124</t>
  </si>
  <si>
    <t>-461.67834170612 -31.5583913347784 727.646993258903</t>
  </si>
  <si>
    <t>9763-20170724T170147.895394400.bin</t>
  </si>
  <si>
    <t>-615.239709328019 201.758307934864 -237.191520553477</t>
  </si>
  <si>
    <t>-641.967338300086 184.976279450767 -354.118044671156</t>
  </si>
  <si>
    <t>-649.107605979604 164.545751669499 -473.374904273999</t>
  </si>
  <si>
    <t>-647.572360094376 144.106587159627 -580.960699040124</t>
  </si>
  <si>
    <t>-638.268992509215 121.402781901773 -687.697959734213</t>
  </si>
  <si>
    <t>-617.393819650048 87.2147770214167 -834.651738831508</t>
  </si>
  <si>
    <t>-573.569912414777 67.5165445383041 -924.509552821709</t>
  </si>
  <si>
    <t>-620.43049110739 132.897262393241 -775.857194910293</t>
  </si>
  <si>
    <t>-576.404375627887 273.148873737983 -779.66408262022</t>
  </si>
  <si>
    <t>-562.944312935387 365.124583179132 -477.09936295359</t>
  </si>
  <si>
    <t>-396.673158862831 244.625453911876 -317.487469010046</t>
  </si>
  <si>
    <t>-632.830369718482 71.78659876436 -763.401516611969</t>
  </si>
  <si>
    <t>-432.477453811723 19.6924929082106 -431.57803619194</t>
  </si>
  <si>
    <t>-621.113923315835 298.504028386899 -249.40098095467</t>
  </si>
  <si>
    <t>-607.627819596553 287.249064666918 205.955112921336</t>
  </si>
  <si>
    <t>-619.399918339174 248.823592745124 674.071511234779</t>
  </si>
  <si>
    <t>-460.076916644664 252.318589063835 748.552930155851</t>
  </si>
  <si>
    <t>-609.24179371046 105.149065044133 -224.323704814703</t>
  </si>
  <si>
    <t>-467.109389355943 92.9222314673868 208.465620003089</t>
  </si>
  <si>
    <t>-611.510337005072 16.6291290986014 649.085100612984</t>
  </si>
  <si>
    <t>-461.636311938617 -31.5217038691483 727.588521133638</t>
  </si>
  <si>
    <t>9763-20170724T170147.964590600.bin</t>
  </si>
  <si>
    <t>-614.687500363238 201.952936086962 -237.241469811302</t>
  </si>
  <si>
    <t>-641.465366175225 185.121703295175 -354.149275974123</t>
  </si>
  <si>
    <t>-648.563603381867 164.707751601232 -473.411429957147</t>
  </si>
  <si>
    <t>-646.950992204429 144.306276434737 -581.003413942639</t>
  </si>
  <si>
    <t>-637.530344898407 121.661185729191 -687.742907141239</t>
  </si>
  <si>
    <t>-616.450869146314 87.5741132419937 -834.690894244206</t>
  </si>
  <si>
    <t>-572.489048244465 68.0194046271292 -924.51267925317</t>
  </si>
  <si>
    <t>-619.590302265116 133.219676795419 -775.873042334387</t>
  </si>
  <si>
    <t>-575.596572647654 273.482310062351 -779.686398341005</t>
  </si>
  <si>
    <t>-564.160949638372 367.040218664125 -477.523674363963</t>
  </si>
  <si>
    <t>-397.671489006132 247.108831628925 -317.71187617271</t>
  </si>
  <si>
    <t>-631.965441895699 72.0935674190619 -763.46892313702</t>
  </si>
  <si>
    <t>-431.908859063424 20.1067729089339 -432.181780512403</t>
  </si>
  <si>
    <t>-620.675516714732 298.673201228934 -249.422506929638</t>
  </si>
  <si>
    <t>-607.34306000098 287.377228464903 205.936963436317</t>
  </si>
  <si>
    <t>-619.405030349793 248.921445475173 674.045483370463</t>
  </si>
  <si>
    <t>-460.109315450427 252.472649645048 748.582526572498</t>
  </si>
  <si>
    <t>-608.534548279209 105.226828842438 -224.387275909116</t>
  </si>
  <si>
    <t>-466.608109251409 93.0081018377373 208.469894165443</t>
  </si>
  <si>
    <t>-611.375469948163 16.5837978731086 648.861140938857</t>
  </si>
  <si>
    <t>-461.546252548739 -31.415765730957 727.542445360351</t>
  </si>
  <si>
    <t>9763-20170724T170147.997678000.bin</t>
  </si>
  <si>
    <t>-614.305152930354 201.9671397973 -237.286332917533</t>
  </si>
  <si>
    <t>-641.109915505693 185.125738165653 -354.186597576715</t>
  </si>
  <si>
    <t>-648.193299732676 164.721025831545 -473.451206649033</t>
  </si>
  <si>
    <t>-646.549155814712 144.336457461275 -581.045927010395</t>
  </si>
  <si>
    <t>-637.078604631455 121.716314287241 -687.786062462177</t>
  </si>
  <si>
    <t>-615.910433064004 87.6723315851586 -834.731480769683</t>
  </si>
  <si>
    <t>-571.878825720692 68.1625086839781 -924.528820563725</t>
  </si>
  <si>
    <t>-619.10795336849 133.304316229736 -775.906136049859</t>
  </si>
  <si>
    <t>-575.195226450984 273.600136502956 -779.700855151813</t>
  </si>
  <si>
    <t>-564.842034956127 368.34389074099 -477.868676702277</t>
  </si>
  <si>
    <t>-398.107843134922 248.763368718924 -318.049192638813</t>
  </si>
  <si>
    <t>-631.445447232839 72.1672006158349 -763.51931369646</t>
  </si>
  <si>
    <t>-431.850423646133 20.5385600469363 -432.598782903158</t>
  </si>
  <si>
    <t>-620.382396287165 298.672195397507 -249.459360221848</t>
  </si>
  <si>
    <t>-607.108745268575 287.378998337707 205.901975018603</t>
  </si>
  <si>
    <t>-619.390609371456 248.883148465326 674.035383891586</t>
  </si>
  <si>
    <t>-460.106580951199 252.74029052176 748.582311829053</t>
  </si>
  <si>
    <t>-608.061521443114 105.327578831988 -224.465827483424</t>
  </si>
  <si>
    <t>-466.440373703672 93.1217232676363 208.491621338026</t>
  </si>
  <si>
    <t>-611.35208724181 16.6027056614139 648.824918496881</t>
  </si>
  <si>
    <t>-461.641117243871 -31.6672587285145 727.56593140912</t>
  </si>
  <si>
    <t>9763-20170724T170148.067406300.bin</t>
  </si>
  <si>
    <t>-613.723590796464 202.191898689093 -237.362846180904</t>
  </si>
  <si>
    <t>-640.608900586713 185.336353197073 -354.242601313395</t>
  </si>
  <si>
    <t>-647.625587965635 164.963933155426 -473.516682685215</t>
  </si>
  <si>
    <t>-645.85947977144 144.625224678376 -581.11812831452</t>
  </si>
  <si>
    <t>-636.205031198359 122.066208259732 -687.854941169119</t>
  </si>
  <si>
    <t>-614.717196868406 88.1223827193671 -834.776831270616</t>
  </si>
  <si>
    <t>-570.491405153158 68.71768293992 -924.50153907744</t>
  </si>
  <si>
    <t>-618.108888884336 133.725111373139 -775.939711166189</t>
  </si>
  <si>
    <t>-574.544636620311 274.108885118962 -779.670641128516</t>
  </si>
  <si>
    <t>-565.97101772865 371.112090045635 -478.501113109126</t>
  </si>
  <si>
    <t>-398.768049530468 252.290259087562 -318.605590083885</t>
  </si>
  <si>
    <t>-630.340928751622 72.5578193286046 -763.597012014107</t>
  </si>
  <si>
    <t>-430.751284171291 19.488550163017 -432.757685169117</t>
  </si>
  <si>
    <t>-620.025781409534 298.900263276522 -249.506345804026</t>
  </si>
  <si>
    <t>-606.570728092028 287.506293838911 205.847139978906</t>
  </si>
  <si>
    <t>-619.377724427009 248.940150180766 673.990534354154</t>
  </si>
  <si>
    <t>-460.117432456289 252.53521619087 748.60109334289</t>
  </si>
  <si>
    <t>-607.374051885929 105.63869648271 -224.558290658585</t>
  </si>
  <si>
    <t>-466.139127428291 93.3624681409874 208.523235128757</t>
  </si>
  <si>
    <t>-611.27842711847 16.7682868255238 648.744779915821</t>
  </si>
  <si>
    <t>-461.690962106884 -31.7115228906209 727.591487029866</t>
  </si>
  <si>
    <t>9763-20170724T170148.095996500.bin</t>
  </si>
  <si>
    <t>-613.554269491334 202.282303140074 -237.362478068401</t>
  </si>
  <si>
    <t>-640.418334407292 185.439780740133 -354.249097076899</t>
  </si>
  <si>
    <t>-647.386787233826 165.092424610274 -473.530240814075</t>
  </si>
  <si>
    <t>-645.565775925099 144.781464148314 -581.135992820733</t>
  </si>
  <si>
    <t>-635.845201348148 122.254940686248 -687.873588064492</t>
  </si>
  <si>
    <t>-614.25380381334 88.3612734608448 -834.792013077298</t>
  </si>
  <si>
    <t>-569.943367539177 68.9975109312072 -924.48377923333</t>
  </si>
  <si>
    <t>-617.712577143101 133.948125624995 -775.946541072091</t>
  </si>
  <si>
    <t>-574.213744277994 274.378156774799 -779.624753914688</t>
  </si>
  <si>
    <t>-566.619048660383 372.588332170534 -478.820327069564</t>
  </si>
  <si>
    <t>-399.303538063647 254.10123278112 -318.794200496861</t>
  </si>
  <si>
    <t>-629.902049013556 72.7683732436428 -763.623841065477</t>
  </si>
  <si>
    <t>-430.421882864148 19.2830801772607 -432.750739364062</t>
  </si>
  <si>
    <t>-619.866785703688 298.938383261825 -249.491572579261</t>
  </si>
  <si>
    <t>-606.432529195817 287.563890384847 205.862958607466</t>
  </si>
  <si>
    <t>-619.365567353298 248.911021536855 673.989377385376</t>
  </si>
  <si>
    <t>-460.110452951096 252.453874573273 748.613615768171</t>
  </si>
  <si>
    <t>-607.14405392884 105.768555256543 -224.566015333224</t>
  </si>
  <si>
    <t>-465.997868863372 93.3529927287732 208.540584219343</t>
  </si>
  <si>
    <t>-611.259089471649 16.7683858730272 648.707615443966</t>
  </si>
  <si>
    <t>-461.68090144529 -31.6684523711128 727.598327449107</t>
  </si>
  <si>
    <t>9763-20170724T170148.163295200.bin</t>
  </si>
  <si>
    <t>-613.161949579562 202.252261324697 -237.393841575778</t>
  </si>
  <si>
    <t>-639.894101764828 185.400264530411 -354.309213792325</t>
  </si>
  <si>
    <t>-646.729330552229 165.067149944099 -473.600491983738</t>
  </si>
  <si>
    <t>-644.787838146158 144.778789730186 -581.208439816068</t>
  </si>
  <si>
    <t>-634.946698906292 122.285320065469 -687.942013398257</t>
  </si>
  <si>
    <t>-613.187731110105 88.4478295708782 -834.848604868362</t>
  </si>
  <si>
    <t>-568.748018707182 69.1683423732989 -924.494652063403</t>
  </si>
  <si>
    <t>-616.734072738769 134.015397890542 -775.993371009505</t>
  </si>
  <si>
    <t>-573.327826646336 274.457009411853 -779.614993814462</t>
  </si>
  <si>
    <t>-567.462202734661 374.600660407944 -479.410087835042</t>
  </si>
  <si>
    <t>-400.48783102567 256.369209822176 -318.839340883312</t>
  </si>
  <si>
    <t>-628.89674023175 72.8242962482875 -763.70053185076</t>
  </si>
  <si>
    <t>-429.6160332984 18.6883373664234 -433.214005425979</t>
  </si>
  <si>
    <t>-619.513497319895 298.851830992001 -249.501193513279</t>
  </si>
  <si>
    <t>-606.30026129326 287.45531031291 205.859215891412</t>
  </si>
  <si>
    <t>-619.32032390022 248.714405473898 673.997850088595</t>
  </si>
  <si>
    <t>-460.067352211383 252.679657902358 748.605364586393</t>
  </si>
  <si>
    <t>-606.682903484968 105.699727819568 -224.626266777574</t>
  </si>
  <si>
    <t>-465.936969840184 93.3129565461502 208.611398330693</t>
  </si>
  <si>
    <t>-611.254648598206 16.6760004299517 648.747316852936</t>
  </si>
  <si>
    <t>-461.655026744576 -31.6118273358322 727.688791753217</t>
  </si>
  <si>
    <t>9763-20170724T170148.197390100.bin</t>
  </si>
  <si>
    <t>-612.990136140963 202.098674142054 -237.385710362706</t>
  </si>
  <si>
    <t>-639.675755477659 185.275366231237 -354.315993570588</t>
  </si>
  <si>
    <t>-646.499063346579 164.984435197925 -473.615071522267</t>
  </si>
  <si>
    <t>-644.560796828086 144.739898571985 -581.231307334067</t>
  </si>
  <si>
    <t>-634.736468944652 122.295786697406 -687.976861266104</t>
  </si>
  <si>
    <t>-613.014361902889 88.5333631823405 -834.906234251569</t>
  </si>
  <si>
    <t>-568.560926532315 69.2836782267623 -924.551777963341</t>
  </si>
  <si>
    <t>-616.546248811617 134.070889923746 -776.02682458811</t>
  </si>
  <si>
    <t>-573.078229808155 274.528288625711 -779.576094241132</t>
  </si>
  <si>
    <t>-567.928764793498 375.47586927089 -479.627257271131</t>
  </si>
  <si>
    <t>-401.260529465318 257.612222981714 -318.469299956108</t>
  </si>
  <si>
    <t>-628.705219440611 72.8733689900805 -763.762181745606</t>
  </si>
  <si>
    <t>-429.248348723149 18.3400826474099 -433.742997466868</t>
  </si>
  <si>
    <t>-619.314442119803 298.748605815581 -249.48974549036</t>
  </si>
  <si>
    <t>-606.230619377973 287.363703314269 205.874780128699</t>
  </si>
  <si>
    <t>-619.289672908833 248.607544617357 673.992942720066</t>
  </si>
  <si>
    <t>-460.040317539419 252.67310319679 748.602785407007</t>
  </si>
  <si>
    <t>-606.553625473047 105.55587839853 -224.633137085663</t>
  </si>
  <si>
    <t>-465.867590859026 93.1030216516826 208.622101896879</t>
  </si>
  <si>
    <t>-611.246573783898 16.4685872300031 648.750738847202</t>
  </si>
  <si>
    <t>-461.570130459973 -31.5249407700255 727.72596740045</t>
  </si>
  <si>
    <t>9763-20170724T170148.263573100.bin</t>
  </si>
  <si>
    <t>-612.673560359571 202.19016710125 -237.38862045144</t>
  </si>
  <si>
    <t>-639.332350683542 185.391300844367 -354.328379581524</t>
  </si>
  <si>
    <t>-646.14619000063 165.11046697153 -473.62986759921</t>
  </si>
  <si>
    <t>-644.207129242463 144.869365159007 -581.246703739719</t>
  </si>
  <si>
    <t>-634.390109000471 122.423087243389 -687.992438171452</t>
  </si>
  <si>
    <t>-612.686919274475 88.6514275909356 -834.922513019606</t>
  </si>
  <si>
    <t>-568.268422978414 69.410504226189 -924.587209654512</t>
  </si>
  <si>
    <t>-616.211548304303 134.19281534143 -776.045650481031</t>
  </si>
  <si>
    <t>-572.809078367006 274.635557748481 -779.620129198994</t>
  </si>
  <si>
    <t>-568.179733569024 376.647006333774 -480.023151446157</t>
  </si>
  <si>
    <t>-402.428644929125 259.245441739019 -317.587060879776</t>
  </si>
  <si>
    <t>-628.368279993548 72.9958812441746 -763.775357684131</t>
  </si>
  <si>
    <t>-428.749541526727 17.6053378813288 -434.125161675903</t>
  </si>
  <si>
    <t>-618.988643260166 298.824032204883 -249.476457722916</t>
  </si>
  <si>
    <t>-606.06525630641 287.426641682827 205.89232933464</t>
  </si>
  <si>
    <t>-619.312470410505 248.737063215995 673.997633448539</t>
  </si>
  <si>
    <t>-460.064163615703 252.469278486655 748.627097267993</t>
  </si>
  <si>
    <t>-606.241321087758 105.665755676815 -224.625839143341</t>
  </si>
  <si>
    <t>-465.687241215066 93.0022776428123 208.666032249994</t>
  </si>
  <si>
    <t>-611.226213945487 16.4906475059138 648.752726684715</t>
  </si>
  <si>
    <t>-461.623707566415 -31.6098862506435 727.802954647933</t>
  </si>
  <si>
    <t>9763-20170724T170148.293161600.bin</t>
  </si>
  <si>
    <t>-612.476215351893 202.167535787909 -237.413474140356</t>
  </si>
  <si>
    <t>-639.090635470784 185.382334961224 -354.365441586581</t>
  </si>
  <si>
    <t>-645.890441666363 165.127733697924 -473.671970149252</t>
  </si>
  <si>
    <t>-643.950618833971 144.916891804432 -581.294581057404</t>
  </si>
  <si>
    <t>-634.144349353066 122.50763432179 -688.049029718973</t>
  </si>
  <si>
    <t>-612.467157904368 88.7955424073323 -834.99663348385</t>
  </si>
  <si>
    <t>-568.0623029665 69.5747420200055 -924.672463187623</t>
  </si>
  <si>
    <t>-615.985611071672 134.313668402414 -776.101458244097</t>
  </si>
  <si>
    <t>-572.517391700102 274.751099913826 -779.636318803197</t>
  </si>
  <si>
    <t>-568.039392540272 377.231694208152 -480.197010177297</t>
  </si>
  <si>
    <t>-402.95184489792 260.008908096844 -316.958061724339</t>
  </si>
  <si>
    <t>-628.131670568504 73.1105271543263 -763.852279807983</t>
  </si>
  <si>
    <t>-428.350909689933 17.3885016081076 -434.261476719539</t>
  </si>
  <si>
    <t>-618.786762520485 298.811926875293 -249.482849874973</t>
  </si>
  <si>
    <t>-605.923123639605 287.405395293436 205.887453904211</t>
  </si>
  <si>
    <t>-619.30904687212 248.749292813599 673.993840015657</t>
  </si>
  <si>
    <t>-460.068772983169 252.761224870569 748.625994062114</t>
  </si>
  <si>
    <t>-606.041475705201 105.572486756203 -224.665366966477</t>
  </si>
  <si>
    <t>-465.62700548499 93.0276139840355 208.67516052076</t>
  </si>
  <si>
    <t>-611.213561068997 16.5830695623522 648.759925009485</t>
  </si>
  <si>
    <t>-461.715695884002 -31.7874645905404 727.843344031276</t>
  </si>
  <si>
    <t>9763-20170724T170148.365858200.bin</t>
  </si>
  <si>
    <t>-612.097828086324 202.175003482109 -237.398104569058</t>
  </si>
  <si>
    <t>-638.65394503963 185.417568800387 -354.367143391386</t>
  </si>
  <si>
    <t>-645.43515387574 165.204551002689 -473.682056899736</t>
  </si>
  <si>
    <t>-643.494518244518 145.037563362899 -581.312731114211</t>
  </si>
  <si>
    <t>-633.702813685574 122.679319080833 -688.079279033835</t>
  </si>
  <si>
    <t>-612.061301245223 89.0455030635949 -835.050028306285</t>
  </si>
  <si>
    <t>-567.702065982608 69.8568544420534 -924.755227587326</t>
  </si>
  <si>
    <t>-615.539642612352 134.528076763205 -776.12496365371</t>
  </si>
  <si>
    <t>-571.888966645203 274.911336211396 -779.529989239397</t>
  </si>
  <si>
    <t>-567.939948959332 378.029750279745 -480.302439573631</t>
  </si>
  <si>
    <t>-404.021738328718 260.605254173454 -316.033293804322</t>
  </si>
  <si>
    <t>-627.734388844942 73.3266774176561 -763.915057194323</t>
  </si>
  <si>
    <t>-427.622506487914 16.6714815427547 -433.783999146777</t>
  </si>
  <si>
    <t>-618.309523893489 298.874178143962 -249.492981509532</t>
  </si>
  <si>
    <t>-605.650163549781 287.474312857615 205.88313680798</t>
  </si>
  <si>
    <t>-619.300597570911 248.838768694236 673.969703862119</t>
  </si>
  <si>
    <t>-460.077713011862 252.693328390556 748.647203666072</t>
  </si>
  <si>
    <t>-605.782756576628 105.593671109465 -224.63161118991</t>
  </si>
  <si>
    <t>-465.391580256538 92.8525468984926 208.710794649048</t>
  </si>
  <si>
    <t>-611.195456910479 16.4494177514534 648.748305763148</t>
  </si>
  <si>
    <t>-461.673398346472 -31.7258418406018 727.905163535426</t>
  </si>
  <si>
    <t>9763-20170724T170148.396944200.bin</t>
  </si>
  <si>
    <t>-611.97933071697 202.205406290579 -237.384538005405</t>
  </si>
  <si>
    <t>-638.565096733588 185.438330385829 -354.345463307568</t>
  </si>
  <si>
    <t>-645.377609362371 165.231847823867 -473.659564704505</t>
  </si>
  <si>
    <t>-643.465197426264 145.076754703901 -581.293086338204</t>
  </si>
  <si>
    <t>-633.701176830926 122.736224674961 -688.065819319266</t>
  </si>
  <si>
    <t>-612.097100581364 89.1329972657497 -835.049080597833</t>
  </si>
  <si>
    <t>-567.765389331351 69.942134387421 -924.76755926237</t>
  </si>
  <si>
    <t>-615.539820720725 134.599856806077 -776.109970920552</t>
  </si>
  <si>
    <t>-571.70562435093 274.931197712708 -779.470291804936</t>
  </si>
  <si>
    <t>-568.281881234457 378.454262963232 -480.375874135088</t>
  </si>
  <si>
    <t>-404.888269872959 260.745548359054 -315.787857841971</t>
  </si>
  <si>
    <t>-627.772656217349 73.4028422643612 -763.917045563305</t>
  </si>
  <si>
    <t>-427.8182874027 16.7761816000909 -433.502484986148</t>
  </si>
  <si>
    <t>-618.123601140071 298.870072303223 -249.494612813447</t>
  </si>
  <si>
    <t>-605.448796980555 287.454879976814 205.880668029348</t>
  </si>
  <si>
    <t>-619.258811361316 248.741861236882 673.96054480021</t>
  </si>
  <si>
    <t>-460.049011844962 252.793004650053 748.655460577561</t>
  </si>
  <si>
    <t>-605.75844651909 105.61883299391 -224.584630071142</t>
  </si>
  <si>
    <t>-465.23025236323 92.7675844570349 208.710102830492</t>
  </si>
  <si>
    <t>-611.176215625544 16.3914100497248 648.715846790971</t>
  </si>
  <si>
    <t>-461.683014519154 -31.7923063677422 727.921997650132</t>
  </si>
  <si>
    <t>9763-20170724T170148.463127600.bin</t>
  </si>
  <si>
    <t>-611.70505316148 202.203024897723 -237.39907323535</t>
  </si>
  <si>
    <t>-638.303372676299 185.466489779847 -354.361527266734</t>
  </si>
  <si>
    <t>-645.147763441046 165.275013099096 -473.676347263167</t>
  </si>
  <si>
    <t>-643.272171502377 145.128005312141 -581.312078587014</t>
  </si>
  <si>
    <t>-633.552946188069 122.790588638241 -688.08943137176</t>
  </si>
  <si>
    <t>-612.019256840124 89.1870953858609 -835.083055689428</t>
  </si>
  <si>
    <t>-567.730275768022 69.96171557349 -924.815204352988</t>
  </si>
  <si>
    <t>-615.40309199723 134.649059305209 -776.136720499524</t>
  </si>
  <si>
    <t>-571.399748368103 274.920844178701 -779.425012508696</t>
  </si>
  <si>
    <t>-568.755030525912 378.745139200897 -480.427166092836</t>
  </si>
  <si>
    <t>-406.265929189986 260.762527428094 -315.14132364802</t>
  </si>
  <si>
    <t>-627.691432457686 73.4620237569179 -763.94918577775</t>
  </si>
  <si>
    <t>-428.04139843698 17.0520216240275 -433.035790400391</t>
  </si>
  <si>
    <t>-617.719764562886 298.920933682185 -249.497869567912</t>
  </si>
  <si>
    <t>-605.096084304247 287.456916906337 205.877762688251</t>
  </si>
  <si>
    <t>-619.24590086346 248.772469280852 673.93719349418</t>
  </si>
  <si>
    <t>-460.056782082439 252.810080644907 748.676958473074</t>
  </si>
  <si>
    <t>-605.530194631406 105.60421302511 -224.644053663436</t>
  </si>
  <si>
    <t>-465.161709436669 92.765733096619 208.702865720214</t>
  </si>
  <si>
    <t>-611.156945683399 16.4577426691958 648.714027577885</t>
  </si>
  <si>
    <t>-461.826219975162 -32.123007225968 727.984206839525</t>
  </si>
  <si>
    <t>9763-20170724T170148.497747200.bin</t>
  </si>
  <si>
    <t>-611.588267803508 202.158980901126 -237.416007446182</t>
  </si>
  <si>
    <t>-638.198769176908 185.434214310093 -354.377467840824</t>
  </si>
  <si>
    <t>-645.066410228494 165.250814500244 -473.692405675805</t>
  </si>
  <si>
    <t>-643.216336650699 145.109428694243 -581.329459649543</t>
  </si>
  <si>
    <t>-633.527300236408 122.77530226343 -688.110358584282</t>
  </si>
  <si>
    <t>-612.040321255242 89.1742230014479 -835.111206700254</t>
  </si>
  <si>
    <t>-567.775126972433 69.9262955875513 -924.850282076574</t>
  </si>
  <si>
    <t>-615.392607750771 134.633173024934 -776.160768714247</t>
  </si>
  <si>
    <t>-571.341171518024 274.908162300418 -779.425650105947</t>
  </si>
  <si>
    <t>-569.009841222053 378.742224212258 -480.428576612871</t>
  </si>
  <si>
    <t>-406.941973347857 260.865441859547 -314.654336599069</t>
  </si>
  <si>
    <t>-627.702645537747 73.4501753699597 -763.975140212335</t>
  </si>
  <si>
    <t>-428.102506818317 17.3048832080613 -432.894798995436</t>
  </si>
  <si>
    <t>-617.603032382335 298.949130841558 -249.503858646018</t>
  </si>
  <si>
    <t>-604.967228749822 287.469060849598 205.871008796878</t>
  </si>
  <si>
    <t>-619.240675492603 248.822405614028 673.924031914193</t>
  </si>
  <si>
    <t>-460.060716939618 252.724698257378 748.690531732431</t>
  </si>
  <si>
    <t>-605.438477187799 105.492841395342 -224.649915642071</t>
  </si>
  <si>
    <t>-465.127971101898 92.6530459488986 208.715678427631</t>
  </si>
  <si>
    <t>-611.168804162237 16.3501477523571 648.725437981141</t>
  </si>
  <si>
    <t>-461.71933000607 -31.8704899978288 727.99172960626</t>
  </si>
  <si>
    <t>9763-20170724T170148.561927000.bin</t>
  </si>
  <si>
    <t>-611.485419282155 202.167818971015 -237.407415597536</t>
  </si>
  <si>
    <t>-638.125755403575 185.432835854504 -354.360558667589</t>
  </si>
  <si>
    <t>-645.014341068891 165.246923799615 -473.673848048308</t>
  </si>
  <si>
    <t>-643.179777049587 145.103243545845 -581.310792791743</t>
  </si>
  <si>
    <t>-633.503022315176 122.765783138498 -688.092158633702</t>
  </si>
  <si>
    <t>-612.030453777422 89.156892010157 -835.093412138614</t>
  </si>
  <si>
    <t>-567.778974085378 69.8870954990339 -924.834406768062</t>
  </si>
  <si>
    <t>-615.359798470805 134.616249361146 -776.141830841246</t>
  </si>
  <si>
    <t>-571.259244098488 274.855744638283 -779.354046708064</t>
  </si>
  <si>
    <t>-569.304712134938 378.798575949523 -480.392035820728</t>
  </si>
  <si>
    <t>-408.059461822801 261.14649064042 -313.658751364909</t>
  </si>
  <si>
    <t>-627.702975365951 73.4393186684533 -763.958002651358</t>
  </si>
  <si>
    <t>-428.169667997107 17.0972336061598 -432.642776352453</t>
  </si>
  <si>
    <t>-617.578637518834 298.981171990647 -249.499750743651</t>
  </si>
  <si>
    <t>-604.982146670085 287.518369565262 205.87667975174</t>
  </si>
  <si>
    <t>-619.250663920887 248.869743222348 673.94163649259</t>
  </si>
  <si>
    <t>-460.068753309829 252.568056691448 748.714269494212</t>
  </si>
  <si>
    <t>-605.26586747848 105.490869954038 -224.611486074557</t>
  </si>
  <si>
    <t>-464.957204219898 92.6412054133439 208.754474405035</t>
  </si>
  <si>
    <t>-611.162393943554 16.3453083120121 648.69869664098</t>
  </si>
  <si>
    <t>-461.742191439874 -31.9103022780375 727.998872499812</t>
  </si>
  <si>
    <t>9763-20170724T170148.595018000.bin</t>
  </si>
  <si>
    <t>-611.501763334796 202.197948428421 -237.414605438982</t>
  </si>
  <si>
    <t>-638.157651260583 185.434707272911 -354.360100738549</t>
  </si>
  <si>
    <t>-645.05101772116 165.241929801598 -473.671955836047</t>
  </si>
  <si>
    <t>-643.215892173379 145.098975812761 -581.309060111566</t>
  </si>
  <si>
    <t>-633.533675987717 122.767963551072 -688.0911407471</t>
  </si>
  <si>
    <t>-612.048420990498 89.1732517211999 -835.093916783247</t>
  </si>
  <si>
    <t>-567.780940507304 69.9110293626586 -924.828568914542</t>
  </si>
  <si>
    <t>-615.383029049647 134.626859683638 -776.138101418495</t>
  </si>
  <si>
    <t>-571.252318047173 274.864173320223 -779.325659730668</t>
  </si>
  <si>
    <t>-569.292607896136 378.974154569188 -480.42203653409</t>
  </si>
  <si>
    <t>-408.61733456347 261.408575645014 -313.078613223276</t>
  </si>
  <si>
    <t>-627.726944300901 73.4488838903912 -763.961186241465</t>
  </si>
  <si>
    <t>-428.330244418943 17.1223251081085 -432.741754119505</t>
  </si>
  <si>
    <t>-617.656207617992 299.006475749057 -249.498635421983</t>
  </si>
  <si>
    <t>-605.0387795655 287.530239713868 205.876719423295</t>
  </si>
  <si>
    <t>-619.25265144346 248.861775400947 673.944557893855</t>
  </si>
  <si>
    <t>-460.069788072335 252.690188958979 748.708670511306</t>
  </si>
  <si>
    <t>-605.218986171345 105.503666309795 -224.617651860857</t>
  </si>
  <si>
    <t>-464.946562975679 92.6435089992165 208.75972776187</t>
  </si>
  <si>
    <t>-611.166676811567 16.2756210548355 648.690299569946</t>
  </si>
  <si>
    <t>-461.665443790902 -31.7347738939416 727.986541195256</t>
  </si>
  <si>
    <t>9763-20170724T170148.664216200.bin</t>
  </si>
  <si>
    <t>-611.626077781568 202.287723287791 -237.399807436522</t>
  </si>
  <si>
    <t>-638.306510937226 185.512134671846 -354.337973487662</t>
  </si>
  <si>
    <t>-645.208937714821 165.341774912673 -473.653113790002</t>
  </si>
  <si>
    <t>-643.374834940898 145.230834312646 -581.296217634532</t>
  </si>
  <si>
    <t>-633.686189522254 122.941610341222 -688.086507393792</t>
  </si>
  <si>
    <t>-612.184247900358 89.4135786532797 -835.1018797098</t>
  </si>
  <si>
    <t>-567.866541837136 70.1985257414008 -924.822088632988</t>
  </si>
  <si>
    <t>-615.533838526761 134.841806078648 -776.127449316402</t>
  </si>
  <si>
    <t>-571.335826503192 275.054790339627 -779.266793265308</t>
  </si>
  <si>
    <t>-569.034520585658 379.079421988608 -480.335757445866</t>
  </si>
  <si>
    <t>-409.569973846545 261.790718772419 -311.645417115413</t>
  </si>
  <si>
    <t>-627.862535281843 73.6555612642262 -763.976644270832</t>
  </si>
  <si>
    <t>-428.372863896274 17.1342629028406 -432.488374405208</t>
  </si>
  <si>
    <t>-617.885477757649 299.051812105873 -249.479512799717</t>
  </si>
  <si>
    <t>-605.144498884315 287.550758636344 205.8918863597</t>
  </si>
  <si>
    <t>-619.247261454688 248.785060222505 673.968372403411</t>
  </si>
  <si>
    <t>-460.050906934873 252.749943182251 748.696590442575</t>
  </si>
  <si>
    <t>-605.246494302096 105.611875352732 -224.629473316196</t>
  </si>
  <si>
    <t>-465.023673849267 92.8483311099994 208.766768906061</t>
  </si>
  <si>
    <t>-611.17658836934 16.3633088121674 648.687726347888</t>
  </si>
  <si>
    <t>-461.745928824019 -31.8524648471698 727.992322091543</t>
  </si>
  <si>
    <t>9763-20170724T170148.697305500.bin</t>
  </si>
  <si>
    <t>-611.697122198599 202.261456247887 -237.386420514805</t>
  </si>
  <si>
    <t>-638.379554648553 185.483028980686 -354.323714320957</t>
  </si>
  <si>
    <t>-645.292293407078 165.33001892862 -473.641117102607</t>
  </si>
  <si>
    <t>-643.470054709532 145.24323757924 -581.288916870382</t>
  </si>
  <si>
    <t>-633.795100079156 122.987177912932 -688.08735744758</t>
  </si>
  <si>
    <t>-612.313398530191 89.5149025207463 -835.118411941987</t>
  </si>
  <si>
    <t>-567.986032594419 70.3318280761491 -924.840716519249</t>
  </si>
  <si>
    <t>-615.670507828027 134.923406752117 -776.129308688792</t>
  </si>
  <si>
    <t>-571.506165421662 275.158005800244 -779.235014889551</t>
  </si>
  <si>
    <t>-568.929073461725 378.945706357322 -480.223893251142</t>
  </si>
  <si>
    <t>-410.031516861011 261.76002064498 -310.927831303238</t>
  </si>
  <si>
    <t>-627.966243298289 73.7273797194557 -763.994200506903</t>
  </si>
  <si>
    <t>-428.402782495126 17.3493620551633 -432.517993701013</t>
  </si>
  <si>
    <t>-617.96997433215 299.036786485944 -249.461165188939</t>
  </si>
  <si>
    <t>-605.246020377433 287.554033557599 205.911115193703</t>
  </si>
  <si>
    <t>-619.247381494882 248.771154420432 673.972114232695</t>
  </si>
  <si>
    <t>-460.044807941555 252.662141980206 748.690909245246</t>
  </si>
  <si>
    <t>-605.303887174954 105.558826968157 -224.614321266504</t>
  </si>
  <si>
    <t>-465.037492868365 92.803790894246 208.76809473942</t>
  </si>
  <si>
    <t>-611.186153755184 16.2658640386273 648.688362348318</t>
  </si>
  <si>
    <t>-461.718846216052 -31.8266654792499 727.998714441092</t>
  </si>
  <si>
    <t>9763-20170724T170148.765548500.bin</t>
  </si>
  <si>
    <t>-611.78778131252 202.285885539492 -237.361062247449</t>
  </si>
  <si>
    <t>-638.531362081243 185.485297854956 -354.281199927812</t>
  </si>
  <si>
    <t>-645.425780625956 165.358837002013 -473.604167328203</t>
  </si>
  <si>
    <t>-643.552442312466 145.315329560302 -581.259207576443</t>
  </si>
  <si>
    <t>-633.791053644681 123.121228777594 -688.062669650742</t>
  </si>
  <si>
    <t>-612.151997639317 89.7537794982331 -835.09457284804</t>
  </si>
  <si>
    <t>-567.771023080821 70.6551346670274 -924.808349278298</t>
  </si>
  <si>
    <t>-615.603584783315 135.1252143372 -776.082447460668</t>
  </si>
  <si>
    <t>-571.524661132868 275.379358613708 -779.077637916052</t>
  </si>
  <si>
    <t>-568.960593519245 378.75204984433 -479.922630237304</t>
  </si>
  <si>
    <t>-410.908052110965 261.921444335599 -309.593316572531</t>
  </si>
  <si>
    <t>-627.849649396081 73.9103523096778 -763.99260031508</t>
  </si>
  <si>
    <t>-428.141938004586 17.4561233688382 -432.52910362726</t>
  </si>
  <si>
    <t>-618.162015453854 299.065483234996 -249.449535013874</t>
  </si>
  <si>
    <t>-605.353791491366 287.591528459002 205.920624523413</t>
  </si>
  <si>
    <t>-619.265538824762 248.823364657653 673.988281673427</t>
  </si>
  <si>
    <t>-460.051488046236 252.580938900943 748.689553121106</t>
  </si>
  <si>
    <t>-605.270657302873 105.582247312432 -224.590640461784</t>
  </si>
  <si>
    <t>-465.029083163886 92.9272154022385 208.802725068889</t>
  </si>
  <si>
    <t>-611.194362571539 16.3415466803397 648.685732519353</t>
  </si>
  <si>
    <t>-461.773096783347 -31.871084406476 728.009987500499</t>
  </si>
  <si>
    <t>9763-20170724T170148.792103000.bin</t>
  </si>
  <si>
    <t>-611.863692758437 202.241956470967 -237.369983057909</t>
  </si>
  <si>
    <t>-638.639050419623 185.433215128578 -354.281663728333</t>
  </si>
  <si>
    <t>-645.524834932109 165.32566004551 -473.608204521402</t>
  </si>
  <si>
    <t>-643.626244178784 145.309220202608 -581.267964642388</t>
  </si>
  <si>
    <t>-633.821843471327 123.15137723327 -688.075036608726</t>
  </si>
  <si>
    <t>-612.104287149014 89.8437537314883 -835.108821838794</t>
  </si>
  <si>
    <t>-567.684072559482 70.7923599283745 -924.813149161214</t>
  </si>
  <si>
    <t>-615.602735574555 135.193648331112 -776.082925947266</t>
  </si>
  <si>
    <t>-571.597368435302 275.480749943193 -779.020636108646</t>
  </si>
  <si>
    <t>-569.199966911324 378.800116903198 -479.845918281281</t>
  </si>
  <si>
    <t>-411.514824063278 262.066130362905 -309.110502889847</t>
  </si>
  <si>
    <t>-627.824577395595 73.9689200965886 -764.018975850074</t>
  </si>
  <si>
    <t>-428.115848938527 17.5908939108367 -432.553465181284</t>
  </si>
  <si>
    <t>-618.253363142419 299.043712992668 -249.450454523674</t>
  </si>
  <si>
    <t>-605.367822675925 287.568817240512 205.917453988724</t>
  </si>
  <si>
    <t>-619.25353746619 248.780328398065 673.986805301244</t>
  </si>
  <si>
    <t>-460.03874246601 252.661235426428 748.680089672649</t>
  </si>
  <si>
    <t>-605.370402842562 105.51931985362 -224.591972327648</t>
  </si>
  <si>
    <t>-465.09710674358 92.8928260741457 208.791951757984</t>
  </si>
  <si>
    <t>-611.190992338298 16.230166465097 648.668815351626</t>
  </si>
  <si>
    <t>-461.757818680305 -31.8934381558522 728.024729816018</t>
  </si>
  <si>
    <t>9763-20170724T170148.859987800.bin</t>
  </si>
  <si>
    <t>-611.991261463338 202.154627770268 -237.376161536142</t>
  </si>
  <si>
    <t>-638.727378128476 185.372477696564 -354.300797749455</t>
  </si>
  <si>
    <t>-645.52431426471 165.294736208482 -473.637524360842</t>
  </si>
  <si>
    <t>-643.526020461959 145.304345161905 -581.300060269273</t>
  </si>
  <si>
    <t>-633.603325498221 123.170617348031 -688.101224673379</t>
  </si>
  <si>
    <t>-611.703062818138 89.8935945200697 -835.114894747852</t>
  </si>
  <si>
    <t>-567.175153508974 70.8969583131384 -924.777404379322</t>
  </si>
  <si>
    <t>-615.288893694903 135.233662118217 -776.086560866268</t>
  </si>
  <si>
    <t>-571.407019710355 275.558360181163 -778.990694936823</t>
  </si>
  <si>
    <t>-569.730077762566 379.26981384026 -479.946625014843</t>
  </si>
  <si>
    <t>-412.781449039336 263.144280094043 -308.121101492555</t>
  </si>
  <si>
    <t>-627.49759283945 74.0017376004412 -764.0452534817</t>
  </si>
  <si>
    <t>-428.044654992417 17.4937419395383 -432.334754724637</t>
  </si>
  <si>
    <t>-618.420323868156 298.934134638458 -249.432781865936</t>
  </si>
  <si>
    <t>-605.499863297958 287.455877999357 205.934110679324</t>
  </si>
  <si>
    <t>-619.266976352509 248.763206662577 674.011151651078</t>
  </si>
  <si>
    <t>-460.039009929723 252.849000784965 748.665530760375</t>
  </si>
  <si>
    <t>-605.430297824996 105.499283916886 -224.654757247159</t>
  </si>
  <si>
    <t>-465.237337967586 92.878170707284 208.755362507353</t>
  </si>
  <si>
    <t>-611.202401048522 16.1800452248644 648.704434477729</t>
  </si>
  <si>
    <t>-461.783625629971 -31.9586068701581 728.078275120473</t>
  </si>
  <si>
    <t>9763-20170724T170148.892073500.bin</t>
  </si>
  <si>
    <t>-612.064307279231 202.219431768173 -237.358024690009</t>
  </si>
  <si>
    <t>-638.803029984152 185.408515536262 -354.277774527641</t>
  </si>
  <si>
    <t>-645.58132689841 165.325986786526 -473.614791209701</t>
  </si>
  <si>
    <t>-643.556929222996 145.340017497671 -581.277736291195</t>
  </si>
  <si>
    <t>-633.598694548045 123.218785797843 -688.078126156567</t>
  </si>
  <si>
    <t>-611.639276242419 89.9664356270584 -835.088600893542</t>
  </si>
  <si>
    <t>-567.049131598333 70.9967758037008 -924.725964249466</t>
  </si>
  <si>
    <t>-615.259476036316 135.298288477505 -776.056055370057</t>
  </si>
  <si>
    <t>-571.444466713295 275.64389680944 -778.919265518568</t>
  </si>
  <si>
    <t>-570.084516167458 379.769472615279 -480.017547265885</t>
  </si>
  <si>
    <t>-413.545088003362 263.706945232586 -307.776676467624</t>
  </si>
  <si>
    <t>-627.451763941064 74.0609345341597 -764.02594083261</t>
  </si>
  <si>
    <t>-428.183301710964 17.5027003139373 -432.204770889319</t>
  </si>
  <si>
    <t>-618.553191927791 299.012737686229 -249.424804210599</t>
  </si>
  <si>
    <t>-605.663010215887 287.56800913964 205.943794032224</t>
  </si>
  <si>
    <t>-619.311276596344 248.923839944253 674.017987603534</t>
  </si>
  <si>
    <t>-460.072597011072 252.641201677561 748.668902135367</t>
  </si>
  <si>
    <t>-605.480050220598 105.552822467134 -224.618160146216</t>
  </si>
  <si>
    <t>-465.203581566847 92.904609249453 208.7640451316</t>
  </si>
  <si>
    <t>-611.191099019107 16.2374174653428 648.694788834422</t>
  </si>
  <si>
    <t>-461.833902283897 -32.0482853401832 728.09524109035</t>
  </si>
  <si>
    <t>9763-20170724T170148.960791800.bin</t>
  </si>
  <si>
    <t>-612.14780040679 201.944057130647 -237.370316248987</t>
  </si>
  <si>
    <t>-638.890577034363 185.124830336443 -354.287949926555</t>
  </si>
  <si>
    <t>-645.603730697735 165.043030133929 -473.628726834585</t>
  </si>
  <si>
    <t>-643.492498400181 145.0590569192 -581.290356339813</t>
  </si>
  <si>
    <t>-633.420408002135 122.93936222356 -688.080589113523</t>
  </si>
  <si>
    <t>-611.275611578011 89.68748304681 -835.063220013689</t>
  </si>
  <si>
    <t>-566.560980127095 70.7703994899723 -924.649646873177</t>
  </si>
  <si>
    <t>-614.988390886128 135.022129049089 -776.038504023856</t>
  </si>
  <si>
    <t>-571.259581778911 275.383992081102 -778.868064921923</t>
  </si>
  <si>
    <t>-570.372981474848 380.298035439875 -480.240419224785</t>
  </si>
  <si>
    <t>-414.610298469007 264.981156182362 -306.798732735757</t>
  </si>
  <si>
    <t>-627.159585363235 73.7787577569663 -764.017410146254</t>
  </si>
  <si>
    <t>-428.122745921607 17.1422341761393 -432.120135505793</t>
  </si>
  <si>
    <t>-618.713569590416 298.73749384361 -249.421644495276</t>
  </si>
  <si>
    <t>-605.749695463284 287.334561477362 205.94592421933</t>
  </si>
  <si>
    <t>-619.267665083797 248.674377493181 674.042904437142</t>
  </si>
  <si>
    <t>-460.021502940965 252.893335403233 748.650931332074</t>
  </si>
  <si>
    <t>-605.461447071168 105.190128980265 -224.668053179459</t>
  </si>
  <si>
    <t>-465.283688193124 92.6897155312549 208.750464220136</t>
  </si>
  <si>
    <t>-611.204335109617 15.9250111355179 648.7240915675</t>
  </si>
  <si>
    <t>-461.671131483554 -31.8004770157297 728.131979302262</t>
  </si>
  <si>
    <t>9763-20170724T170148.992883900.bin</t>
  </si>
  <si>
    <t>-612.248891081898 201.916264936694 -237.381622428716</t>
  </si>
  <si>
    <t>-639.02082282062 185.109073539344 -354.29437700563</t>
  </si>
  <si>
    <t>-645.715834623139 165.045434266973 -473.63916353141</t>
  </si>
  <si>
    <t>-643.568553396422 145.079907831788 -581.303480451403</t>
  </si>
  <si>
    <t>-633.440824032051 122.980591761536 -688.09261162206</t>
  </si>
  <si>
    <t>-611.198532284261 89.7590284853229 -835.067415574861</t>
  </si>
  <si>
    <t>-566.408319558491 70.8584410929241 -924.619620885674</t>
  </si>
  <si>
    <t>-614.969493599285 135.08453461615 -776.039588168991</t>
  </si>
  <si>
    <t>-571.312056220737 275.476837391136 -778.856646321269</t>
  </si>
  <si>
    <t>-570.469045254469 380.604910947499 -480.304300612974</t>
  </si>
  <si>
    <t>-415.122348163444 265.432024407279 -306.394269647147</t>
  </si>
  <si>
    <t>-627.110575822203 73.832631091384 -764.031800675766</t>
  </si>
  <si>
    <t>-428.237785416222 17.2705330105032 -432.167631537232</t>
  </si>
  <si>
    <t>-618.824853380754 298.706084265856 -249.40990267958</t>
  </si>
  <si>
    <t>-605.791346397429 287.310050629975 205.955736473623</t>
  </si>
  <si>
    <t>-619.272222198924 248.662160296942 674.05273169037</t>
  </si>
  <si>
    <t>-460.02064909014 252.876578721888 748.649579027849</t>
  </si>
  <si>
    <t>-605.583914161849 105.227605979658 -224.670553467667</t>
  </si>
  <si>
    <t>-465.389440504557 92.7435618007121 208.743009378468</t>
  </si>
  <si>
    <t>-611.214830854709 15.9830511143452 648.746698757846</t>
  </si>
  <si>
    <t>-461.706463652973 -31.8197016093982 728.154847278176</t>
  </si>
  <si>
    <t>9763-20170724T170149.063089900.bin</t>
  </si>
  <si>
    <t>-612.473480517063 201.924114722848 -237.368407105155</t>
  </si>
  <si>
    <t>-639.295855318348 185.116580692566 -354.269432947581</t>
  </si>
  <si>
    <t>-645.946006383165 165.044667831137 -473.61546286099</t>
  </si>
  <si>
    <t>-643.719642464608 145.06689167771 -581.276012844466</t>
  </si>
  <si>
    <t>-633.475178620888 122.949600806701 -688.050090485264</t>
  </si>
  <si>
    <t>-611.032823062901 89.6962616404016 -834.987368588913</t>
  </si>
  <si>
    <t>-566.149214178919 70.7820441785616 -924.489844573381</t>
  </si>
  <si>
    <t>-614.887775742782 135.035225954959 -775.975139853245</t>
  </si>
  <si>
    <t>-571.232269948975 275.427107989944 -778.794197319675</t>
  </si>
  <si>
    <t>-570.951048545391 381.065946460942 -480.421016457369</t>
  </si>
  <si>
    <t>-416.624152791311 266.321382347812 -305.324108941643</t>
  </si>
  <si>
    <t>-627.037913510661 73.7846223573961 -763.969266931788</t>
  </si>
  <si>
    <t>-428.287358010037 17.338360379186 -432.082150533531</t>
  </si>
  <si>
    <t>-619.032767597969 298.725729766449 -249.391143478019</t>
  </si>
  <si>
    <t>-605.93398669161 287.347197963116 205.97313157697</t>
  </si>
  <si>
    <t>-619.328343295879 248.829566133311 674.0767909045</t>
  </si>
  <si>
    <t>-460.058080782469 252.797007786926 748.647232061619</t>
  </si>
  <si>
    <t>-605.788298296784 105.234789217492 -224.639273087556</t>
  </si>
  <si>
    <t>-465.535365435281 92.7729774193851 208.75600402874</t>
  </si>
  <si>
    <t>-611.232530199611 16.0336873982628 648.787332487229</t>
  </si>
  <si>
    <t>-461.728565558585 -31.7905605944461 728.190894346549</t>
  </si>
  <si>
    <t>9763-20170724T170149.098185500.bin</t>
  </si>
  <si>
    <t>-612.6387830662 201.911033512022 -237.357852070941</t>
  </si>
  <si>
    <t>-639.468239944199 185.111047613575 -354.258509261704</t>
  </si>
  <si>
    <t>-646.095513246559 165.038218767973 -473.605560581952</t>
  </si>
  <si>
    <t>-643.836586760435 145.055920238643 -581.264572176724</t>
  </si>
  <si>
    <t>-633.548273586446 122.92974250242 -688.032634204268</t>
  </si>
  <si>
    <t>-611.033761255388 89.6594787143501 -834.955037295943</t>
  </si>
  <si>
    <t>-566.109312261192 70.7254210814481 -924.432920130516</t>
  </si>
  <si>
    <t>-614.918760048188 135.005367415433 -775.950113851827</t>
  </si>
  <si>
    <t>-571.255450425171 275.39706151725 -778.759664922811</t>
  </si>
  <si>
    <t>-571.269979372891 381.093351047431 -480.406631433223</t>
  </si>
  <si>
    <t>-417.489931505562 266.394188473585 -304.799456159544</t>
  </si>
  <si>
    <t>-627.072690033721 73.7557359269331 -763.942788159467</t>
  </si>
  <si>
    <t>-428.44117551534 17.6383540476763 -431.972792240043</t>
  </si>
  <si>
    <t>-619.163775708201 298.709519363936 -249.383604193978</t>
  </si>
  <si>
    <t>-606.00088213899 287.320019106586 205.978576188689</t>
  </si>
  <si>
    <t>-619.318784862921 248.759532489295 674.088803982032</t>
  </si>
  <si>
    <t>-460.042329682362 252.752772858944 748.644747113025</t>
  </si>
  <si>
    <t>-605.978658468026 105.213600293233 -224.649881521688</t>
  </si>
  <si>
    <t>-465.68542784182 92.7328288153146 208.731926769658</t>
  </si>
  <si>
    <t>-611.252825736091 15.9991350937742 648.813474119765</t>
  </si>
  <si>
    <t>-461.660987926868 -31.5802569108591 728.198610594156</t>
  </si>
  <si>
    <t>9763-20170724T170149.163862900.bin</t>
  </si>
  <si>
    <t>-612.854772846554 201.889554075905 -237.321067920007</t>
  </si>
  <si>
    <t>-639.738923028143 185.108211294478 -354.211716429688</t>
  </si>
  <si>
    <t>-646.319399547464 165.033506279834 -473.561090231032</t>
  </si>
  <si>
    <t>-643.977644506538 145.038947544886 -581.215976798366</t>
  </si>
  <si>
    <t>-633.567268019227 122.888941920774 -687.967318075723</t>
  </si>
  <si>
    <t>-610.844088713871 89.5725284911855 -834.847135611628</t>
  </si>
  <si>
    <t>-565.815631275545 70.6028624053645 -924.265104543576</t>
  </si>
  <si>
    <t>-614.82877842332 134.93939536933 -775.865021067946</t>
  </si>
  <si>
    <t>-571.176428122587 275.330698339894 -778.685786854774</t>
  </si>
  <si>
    <t>-571.738120367959 381.375770889526 -480.457158867038</t>
  </si>
  <si>
    <t>-419.204749279263 266.723988610587 -303.73531642399</t>
  </si>
  <si>
    <t>-626.968032242313 73.6885124819739 -763.849624966682</t>
  </si>
  <si>
    <t>-428.758764506828 18.0871053283236 -431.758344149414</t>
  </si>
  <si>
    <t>-619.424807038178 298.698209493469 -249.33975192674</t>
  </si>
  <si>
    <t>-606.192789733907 287.316895154424 206.020668533119</t>
  </si>
  <si>
    <t>-619.36369296092 248.875892746041 674.115389875989</t>
  </si>
  <si>
    <t>-460.074681085649 252.89042442964 748.643179623752</t>
  </si>
  <si>
    <t>-606.179406202629 105.189410625426 -224.635800773798</t>
  </si>
  <si>
    <t>-465.842389567214 92.8561096918986 208.735990198272</t>
  </si>
  <si>
    <t>-611.270713918047 15.9571678718601 648.842385360709</t>
  </si>
  <si>
    <t>-461.721958460106 -31.7531636063766 728.230043590513</t>
  </si>
  <si>
    <t>9763-20170724T170149.195448600.bin</t>
  </si>
  <si>
    <t>-612.90345167796 201.829082879804 -237.315386011976</t>
  </si>
  <si>
    <t>-639.791215987388 185.03942988051 -354.204055918681</t>
  </si>
  <si>
    <t>-646.335409242152 164.963619540044 -473.555281469556</t>
  </si>
  <si>
    <t>-643.944657584267 144.969982444343 -581.209214613855</t>
  </si>
  <si>
    <t>-633.469375484116 122.822239619768 -687.954692956448</t>
  </si>
  <si>
    <t>-610.639723196201 89.5104742032015 -834.819039767353</t>
  </si>
  <si>
    <t>-565.549202251425 70.5394115795802 -924.205421259583</t>
  </si>
  <si>
    <t>-614.678190654978 134.877271436833 -775.840542547819</t>
  </si>
  <si>
    <t>-571.066366802524 275.283847933848 -778.631430347073</t>
  </si>
  <si>
    <t>-571.960989697497 381.256515038585 -480.377916331853</t>
  </si>
  <si>
    <t>-419.785557732418 267.162096840779 -302.988109069027</t>
  </si>
  <si>
    <t>-626.804077398292 73.6224689624949 -763.831626897487</t>
  </si>
  <si>
    <t>-428.79495677312 18.4272248157952 -431.595184214402</t>
  </si>
  <si>
    <t>-619.508942724748 298.664600159438 -249.335747177063</t>
  </si>
  <si>
    <t>-606.24102616881 287.286876655072 206.023636666683</t>
  </si>
  <si>
    <t>-619.324467071456 248.747409365964 674.114567075591</t>
  </si>
  <si>
    <t>-460.036815145013 252.800744666933 748.643221051932</t>
  </si>
  <si>
    <t>-606.144883192018 105.063338063673 -224.637533728231</t>
  </si>
  <si>
    <t>-465.843449781629 92.7641338235442 208.746764169146</t>
  </si>
  <si>
    <t>-611.280180865116 15.8008389434833 648.848808117326</t>
  </si>
  <si>
    <t>-461.653430396285 -31.6716878927323 728.232128013371</t>
  </si>
  <si>
    <t>9763-20170724T170149.264712100.bin</t>
  </si>
  <si>
    <t>-613.060174786082 202.038889814998 -237.276727774913</t>
  </si>
  <si>
    <t>-639.97073286851 185.214201083844 -354.155132139509</t>
  </si>
  <si>
    <t>-646.462588236362 165.093276891165 -473.501587025064</t>
  </si>
  <si>
    <t>-643.994302901678 145.054579659987 -581.145399979619</t>
  </si>
  <si>
    <t>-633.411986405711 122.857521870601 -687.870200061987</t>
  </si>
  <si>
    <t>-610.40390019662 89.4726827149705 -834.690003260402</t>
  </si>
  <si>
    <t>-565.188190023644 70.5092531931809 -924.014723327207</t>
  </si>
  <si>
    <t>-614.55153662248 134.874837648199 -775.746308544168</t>
  </si>
  <si>
    <t>-571.070135848684 275.324196261178 -778.552743704456</t>
  </si>
  <si>
    <t>-572.262432078601 381.680210708351 -480.436617852459</t>
  </si>
  <si>
    <t>-421.065326106936 267.78965018853 -302.081938755442</t>
  </si>
  <si>
    <t>-626.616973866667 73.6140986706982 -763.707104400042</t>
  </si>
  <si>
    <t>-429.127584057314 18.9447183282819 -431.23343868995</t>
  </si>
  <si>
    <t>-619.728608579196 298.831509192723 -249.319194922542</t>
  </si>
  <si>
    <t>-606.391910668096 287.432005663474 206.037645232278</t>
  </si>
  <si>
    <t>-619.345198908118 248.83417584895 674.127254714685</t>
  </si>
  <si>
    <t>-460.051897556717 252.89313166041 748.643590778082</t>
  </si>
  <si>
    <t>-606.278823933273 105.37380717516 -224.572561108805</t>
  </si>
  <si>
    <t>-465.841835509812 92.9909085059692 208.765424652364</t>
  </si>
  <si>
    <t>-611.311227591298 15.9593202405026 648.85920438139</t>
  </si>
  <si>
    <t>-461.783568682 -31.8723988324107 728.213614769707</t>
  </si>
  <si>
    <t>9763-20170724T170149.294294500.bin</t>
  </si>
  <si>
    <t>-613.100927160184 202.1047042864 -237.271656672546</t>
  </si>
  <si>
    <t>-640.030328033129 185.271730636391 -354.144557486165</t>
  </si>
  <si>
    <t>-646.502135171902 165.144623310371 -473.491073237968</t>
  </si>
  <si>
    <t>-643.999821601998 145.100498580056 -581.133132559507</t>
  </si>
  <si>
    <t>-633.368016204031 122.897313910495 -687.85157056076</t>
  </si>
  <si>
    <t>-610.27570995931 89.5022452043138 -834.655861897354</t>
  </si>
  <si>
    <t>-564.987615111266 70.5512445954791 -923.946638152422</t>
  </si>
  <si>
    <t>-614.472399723639 134.910837667829 -775.720751326419</t>
  </si>
  <si>
    <t>-570.994536140876 275.361422240715 -778.54224328058</t>
  </si>
  <si>
    <t>-572.633979421856 381.825078942862 -480.46675831617</t>
  </si>
  <si>
    <t>-421.888536688495 268.35587413555 -301.462321957553</t>
  </si>
  <si>
    <t>-626.514301841382 73.6461027533796 -763.678362211213</t>
  </si>
  <si>
    <t>-429.198721878327 19.3211447909812 -431.054671359134</t>
  </si>
  <si>
    <t>-619.820851708346 298.893630599305 -249.308813377286</t>
  </si>
  <si>
    <t>-606.456378447774 287.486659770768 206.04699416892</t>
  </si>
  <si>
    <t>-619.336250820382 248.822958873052 674.119907916878</t>
  </si>
  <si>
    <t>-460.04463011473 252.81685355932 748.643415871048</t>
  </si>
  <si>
    <t>-606.252759542016 105.395837476514 -224.580912906952</t>
  </si>
  <si>
    <t>-465.846290227357 93.0942869234325 208.769287855158</t>
  </si>
  <si>
    <t>-611.308121319356 16.0096733120388 648.833628923612</t>
  </si>
  <si>
    <t>-461.753539756836 -31.7266194549522 728.194734401884</t>
  </si>
  <si>
    <t>9763-20170724T170149.360536100.bin</t>
  </si>
  <si>
    <t>-613.18381853671 202.250166897088 -237.290760660595</t>
  </si>
  <si>
    <t>-640.129644162086 185.404066778222 -354.157879860247</t>
  </si>
  <si>
    <t>-646.530424860385 165.23587061389 -473.501231498683</t>
  </si>
  <si>
    <t>-643.929332178535 145.143503926285 -581.132124787117</t>
  </si>
  <si>
    <t>-633.165249195778 122.881523364331 -687.825036985219</t>
  </si>
  <si>
    <t>-609.85563813509 89.3942463229318 -834.574068626919</t>
  </si>
  <si>
    <t>-564.464866843321 70.4132877157178 -923.806122006455</t>
  </si>
  <si>
    <t>-614.190101930454 134.84793382064 -775.683506316945</t>
  </si>
  <si>
    <t>-570.825828471626 275.327428533455 -778.526904229708</t>
  </si>
  <si>
    <t>-573.050424184524 382.236996995863 -480.614866799877</t>
  </si>
  <si>
    <t>-423.227112059646 269.102981682316 -300.626780805214</t>
  </si>
  <si>
    <t>-626.148725647467 73.5747085143792 -763.600812118299</t>
  </si>
  <si>
    <t>-429.1933727362 19.7732122157734 -430.85769753951</t>
  </si>
  <si>
    <t>-620.010739066317 299.014993816743 -249.308562058703</t>
  </si>
  <si>
    <t>-606.606969194471 287.536348286157 206.044323212796</t>
  </si>
  <si>
    <t>-619.346339124049 248.837743522297 674.133438700986</t>
  </si>
  <si>
    <t>-460.047469270532 252.98076704578 748.633200258883</t>
  </si>
  <si>
    <t>-606.236960219867 105.57195919659 -224.613316345402</t>
  </si>
  <si>
    <t>-465.913092671896 93.2898857828711 208.764159113045</t>
  </si>
  <si>
    <t>-611.316752908989 16.0538519759741 648.810462336741</t>
  </si>
  <si>
    <t>-461.761001900396 -31.6792261177236 728.171272838988</t>
  </si>
  <si>
    <t>9763-20170724T170149.395151500.bin</t>
  </si>
  <si>
    <t>-613.246353672221 202.282834793876 -237.293588273388</t>
  </si>
  <si>
    <t>-640.200191099814 185.433325842455 -354.158450495731</t>
  </si>
  <si>
    <t>-646.576760927117 165.256406226653 -473.501702076353</t>
  </si>
  <si>
    <t>-643.940879064396 145.153630788441 -581.129524906173</t>
  </si>
  <si>
    <t>-633.129443714606 122.878801734287 -687.814981009846</t>
  </si>
  <si>
    <t>-609.741643485598 89.3705983573989 -834.546929293733</t>
  </si>
  <si>
    <t>-564.297615188659 70.3720211956468 -923.748279852431</t>
  </si>
  <si>
    <t>-614.12244336815 134.834938019184 -775.667959131714</t>
  </si>
  <si>
    <t>-570.789893910166 275.340243552213 -778.513566613817</t>
  </si>
  <si>
    <t>-573.545055486566 382.327716734039 -480.634008549834</t>
  </si>
  <si>
    <t>-424.206863311053 269.358096750572 -300.140227900569</t>
  </si>
  <si>
    <t>-626.057611341685 73.5589223639556 -763.577097191696</t>
  </si>
  <si>
    <t>-429.077805624865 20.0592009752061 -430.712325473727</t>
  </si>
  <si>
    <t>-620.126124288033 299.091876531831 -249.305796183972</t>
  </si>
  <si>
    <t>-606.68840497076 287.596821620395 206.045753583737</t>
  </si>
  <si>
    <t>-619.370084079897 248.936097088307 674.134433185448</t>
  </si>
  <si>
    <t>-460.065297578124 252.917299591572 748.630397540607</t>
  </si>
  <si>
    <t>-606.258591801659 105.569808004377 -224.610369798701</t>
  </si>
  <si>
    <t>-465.935711251142 93.2642994507671 208.766795892645</t>
  </si>
  <si>
    <t>-611.330001794355 15.9008187234542 648.804795036269</t>
  </si>
  <si>
    <t>-461.72307827971 -31.668687534248 728.167430072196</t>
  </si>
  <si>
    <t>9763-20170724T170149.462375400.bin</t>
  </si>
  <si>
    <t>-613.383722314044 202.4072589353 -237.271665849125</t>
  </si>
  <si>
    <t>-640.387410110442 185.542737618753 -354.122812481005</t>
  </si>
  <si>
    <t>-646.676402697382 165.323928048272 -473.463580898364</t>
  </si>
  <si>
    <t>-643.906301962512 145.171763691747 -581.079004425097</t>
  </si>
  <si>
    <t>-632.907111175203 122.83605934177 -687.732514177641</t>
  </si>
  <si>
    <t>-609.204618775233 89.2312192584839 -834.391726818828</t>
  </si>
  <si>
    <t>-563.638403537961 70.2021953547462 -923.52415019264</t>
  </si>
  <si>
    <t>-613.760882968336 134.742047745865 -775.562131009473</t>
  </si>
  <si>
    <t>-570.671679409588 275.298926224271 -778.45376537746</t>
  </si>
  <si>
    <t>-573.932138747537 382.586477685632 -480.687157319525</t>
  </si>
  <si>
    <t>-425.289310911155 270.162243566563 -299.281062579448</t>
  </si>
  <si>
    <t>-625.623562403782 73.4586710822598 -763.437090133639</t>
  </si>
  <si>
    <t>-428.952152560191 20.3851727446745 -430.367904808955</t>
  </si>
  <si>
    <t>-620.33977504515 299.198439723893 -249.296900161377</t>
  </si>
  <si>
    <t>-606.856516732208 287.651151532216 206.051889867371</t>
  </si>
  <si>
    <t>-619.343650894295 248.849520039221 674.136409622373</t>
  </si>
  <si>
    <t>-460.036897686269 252.937430222635 748.622451507044</t>
  </si>
  <si>
    <t>-606.322253389274 105.716867989262 -224.578929722482</t>
  </si>
  <si>
    <t>-465.921194892504 93.416242892906 208.77308696022</t>
  </si>
  <si>
    <t>-611.345309555232 15.9673134339896 648.783562026243</t>
  </si>
  <si>
    <t>-461.726151863486 -31.5922226161942 728.129050809299</t>
  </si>
  <si>
    <t>9763-20170724T170149.498475700.bin</t>
  </si>
  <si>
    <t>-613.455617016352 202.473615570375 -237.254401306584</t>
  </si>
  <si>
    <t>-640.494700089047 185.593644521953 -354.095136934323</t>
  </si>
  <si>
    <t>-646.743283805695 165.357975193442 -473.435195217643</t>
  </si>
  <si>
    <t>-643.905831112393 145.189368530111 -581.045728650834</t>
  </si>
  <si>
    <t>-632.809049496513 122.835497804647 -687.685343987544</t>
  </si>
  <si>
    <t>-608.940365319776 89.2034188648654 -834.311333936782</t>
  </si>
  <si>
    <t>-563.284738497951 70.1742735322309 -923.398128326168</t>
  </si>
  <si>
    <t>-613.582558741472 134.728050421596 -775.499232401829</t>
  </si>
  <si>
    <t>-570.508193420094 275.312379804397 -778.397494023577</t>
  </si>
  <si>
    <t>-574.146708006896 382.947730520418 -480.760932143602</t>
  </si>
  <si>
    <t>-425.826061812149 270.687425738578 -298.990079384204</t>
  </si>
  <si>
    <t>-625.42045573101 73.4410477982101 -763.368615548128</t>
  </si>
  <si>
    <t>-428.86712688149 20.661485140125 -430.22269550235</t>
  </si>
  <si>
    <t>-620.450683586753 299.286189759559 -249.288446950261</t>
  </si>
  <si>
    <t>-606.89172110777 287.734096950318 206.058059440952</t>
  </si>
  <si>
    <t>-619.359648152983 248.952134977021 674.131989380806</t>
  </si>
  <si>
    <t>-460.054999589498 253.04444643785 748.62225270276</t>
  </si>
  <si>
    <t>-606.320892519567 105.774721439018 -224.573364188313</t>
  </si>
  <si>
    <t>-465.914567122259 93.4771443959705 208.7769889628</t>
  </si>
  <si>
    <t>-611.341428126097 15.9691257399991 648.756700846521</t>
  </si>
  <si>
    <t>-461.737111940569 -31.6164216755224 728.114595344488</t>
  </si>
  <si>
    <t>9763-20170724T170149.564154800.bin</t>
  </si>
  <si>
    <t>-613.575421196388 202.553171900593 -237.309460160677</t>
  </si>
  <si>
    <t>-640.603299639905 185.670284720708 -354.152226652949</t>
  </si>
  <si>
    <t>-646.724900069247 165.39492317452 -473.49208763766</t>
  </si>
  <si>
    <t>-643.727860029853 145.172760855983 -581.088318500375</t>
  </si>
  <si>
    <t>-632.429303267956 122.745923229245 -687.691539302515</t>
  </si>
  <si>
    <t>-608.239002383338 88.9916199352017 -834.236591324441</t>
  </si>
  <si>
    <t>-562.39777246099 69.9397522591075 -923.22314101647</t>
  </si>
  <si>
    <t>-613.034148347083 134.569055939448 -775.477615104046</t>
  </si>
  <si>
    <t>-570.050117828785 275.163981473413 -778.456306429729</t>
  </si>
  <si>
    <t>-574.354165309588 383.570024683565 -481.108293903922</t>
  </si>
  <si>
    <t>-426.876079984643 271.703035004592 -298.411750556582</t>
  </si>
  <si>
    <t>-624.850767135927 73.2846998287994 -763.312251653369</t>
  </si>
  <si>
    <t>-428.822510285488 20.8232572907832 -429.899292051928</t>
  </si>
  <si>
    <t>-620.677641209212 299.408142758507 -249.304142246049</t>
  </si>
  <si>
    <t>-607.05630699392 287.751828170148 206.037780668695</t>
  </si>
  <si>
    <t>-619.328273593875 248.875672149366 674.125047016573</t>
  </si>
  <si>
    <t>-460.027905654938 253.144403596998 748.614547458488</t>
  </si>
  <si>
    <t>-606.313387038612 105.795872455603 -224.668955370717</t>
  </si>
  <si>
    <t>-466.092475289494 93.5593058627155 208.743079250833</t>
  </si>
  <si>
    <t>-611.351401369471 15.7430527117956 648.727945191692</t>
  </si>
  <si>
    <t>-461.656248195268 -31.5064707630142 728.115320677822</t>
  </si>
  <si>
    <t>9763-20170724T170149.595741200.bin</t>
  </si>
  <si>
    <t>-613.607671835545 202.623298618441 -237.313344082569</t>
  </si>
  <si>
    <t>-640.627471173522 185.742284220522 -354.158271314933</t>
  </si>
  <si>
    <t>-646.703980555697 165.456959876106 -473.49873159174</t>
  </si>
  <si>
    <t>-643.651888375438 145.220217741222 -581.090665491579</t>
  </si>
  <si>
    <t>-632.284793912642 122.772532312837 -687.682210121371</t>
  </si>
  <si>
    <t>-607.986257600534 88.982451106609 -834.201213804937</t>
  </si>
  <si>
    <t>-562.062175356333 69.908520269998 -923.140147857993</t>
  </si>
  <si>
    <t>-612.838193585664 134.576150354921 -775.459588301755</t>
  </si>
  <si>
    <t>-569.839876038886 275.178646869118 -778.453381052699</t>
  </si>
  <si>
    <t>-574.625816735876 383.846943376226 -481.208560642947</t>
  </si>
  <si>
    <t>-427.47873369437 272.181781586856 -298.121973842761</t>
  </si>
  <si>
    <t>-624.637043795297 73.2908219730184 -763.28260387809</t>
  </si>
  <si>
    <t>-428.758280340935 20.9515552202956 -429.681199101101</t>
  </si>
  <si>
    <t>-620.783899471234 299.460011085443 -249.299374097296</t>
  </si>
  <si>
    <t>-607.190952620441 287.809936747513 206.043510585194</t>
  </si>
  <si>
    <t>-619.34020682313 248.910232475572 674.131225718291</t>
  </si>
  <si>
    <t>-460.032752247976 253.137785537171 748.607831955371</t>
  </si>
  <si>
    <t>-606.27866214775 105.900152915455 -224.681206051028</t>
  </si>
  <si>
    <t>-466.148610372734 93.6755487391511 208.760591269171</t>
  </si>
  <si>
    <t>-611.356275460883 15.80220603864 648.732184866145</t>
  </si>
  <si>
    <t>-461.695464013559 -31.552817658403 728.121442022467</t>
  </si>
  <si>
    <t>9763-20170724T170149.663437300.bin</t>
  </si>
  <si>
    <t>-613.764780425448 202.79978386475 -237.314789608141</t>
  </si>
  <si>
    <t>-640.895813365085 185.870944955642 -354.127232890832</t>
  </si>
  <si>
    <t>-646.916304773328 165.512533814938 -473.458091871855</t>
  </si>
  <si>
    <t>-643.746458428261 145.195687170292 -581.031414069239</t>
  </si>
  <si>
    <t>-632.196824580852 122.651838793445 -687.583004310597</t>
  </si>
  <si>
    <t>-607.580215796324 88.7094668066559 -834.013614452117</t>
  </si>
  <si>
    <t>-561.503415712447 69.5461818029637 -922.854537513047</t>
  </si>
  <si>
    <t>-612.588719692174 134.368763774376 -775.336052187523</t>
  </si>
  <si>
    <t>-569.724437083083 275.001095282587 -778.38649161843</t>
  </si>
  <si>
    <t>-575.186410489531 384.045500569407 -481.291197710675</t>
  </si>
  <si>
    <t>-428.8242690178 272.600428054767 -297.442993416457</t>
  </si>
  <si>
    <t>-624.355866911602 73.0871302960381 -763.109316202369</t>
  </si>
  <si>
    <t>-429.022430628766 20.982453677414 -429.279422184325</t>
  </si>
  <si>
    <t>-621.146623697663 299.65960162824 -249.303179269419</t>
  </si>
  <si>
    <t>-607.425157219776 287.973298071702 206.034999423517</t>
  </si>
  <si>
    <t>-619.337808297541 248.957494964763 674.124489974108</t>
  </si>
  <si>
    <t>-460.024787678386 253.004384624357 748.599336689627</t>
  </si>
  <si>
    <t>-606.274951670332 106.073808826466 -224.657290089814</t>
  </si>
  <si>
    <t>-466.10089205631 93.9137828674077 208.772168313217</t>
  </si>
  <si>
    <t>-611.339974436252 15.9647502356486 648.681019820813</t>
  </si>
  <si>
    <t>-461.717502049642 -31.4215592925318 728.12385302643</t>
  </si>
  <si>
    <t>9763-20170724T170149.692502100.bin</t>
  </si>
  <si>
    <t>-613.859694057597 202.823767834818 -237.307293527037</t>
  </si>
  <si>
    <t>-641.015600945704 185.858471903591 -354.10856970677</t>
  </si>
  <si>
    <t>-646.98684470376 165.477606249533 -473.438157735357</t>
  </si>
  <si>
    <t>-643.742216715739 145.143925368036 -581.006106795958</t>
  </si>
  <si>
    <t>-632.088288887767 122.585274106244 -687.543141507173</t>
  </si>
  <si>
    <t>-607.297055256636 88.6233663085357 -833.939789865846</t>
  </si>
  <si>
    <t>-561.126002471254 69.4340893407816 -922.726068865024</t>
  </si>
  <si>
    <t>-612.389315846887 134.29266251682 -775.277016944035</t>
  </si>
  <si>
    <t>-569.565145197387 274.935220372596 -778.327037498326</t>
  </si>
  <si>
    <t>-575.370648241041 384.069911897851 -481.271305088167</t>
  </si>
  <si>
    <t>-429.436640211791 272.748317485686 -297.00832384232</t>
  </si>
  <si>
    <t>-624.143456094912 73.0084345915943 -763.050549937365</t>
  </si>
  <si>
    <t>-429.141398589153 21.215754312941 -429.170753126694</t>
  </si>
  <si>
    <t>-621.300745089722 299.664999918475 -249.3140535832</t>
  </si>
  <si>
    <t>-607.522899059205 288.012106232519 206.023172177206</t>
  </si>
  <si>
    <t>-619.313883808176 248.959436875842 674.107990307453</t>
  </si>
  <si>
    <t>-460.011701547204 253.140136729472 748.598600857641</t>
  </si>
  <si>
    <t>-606.264769279044 106.064128515488 -224.642992193302</t>
  </si>
  <si>
    <t>-466.043970076065 93.9817176325141 208.773530308231</t>
  </si>
  <si>
    <t>-611.324638718066 15.7992319595742 648.637775053064</t>
  </si>
  <si>
    <t>-461.706084232681 -31.516511081835 728.130025473808</t>
  </si>
  <si>
    <t>9763-20170724T170149.766530900.bin</t>
  </si>
  <si>
    <t>-614.058864923169 202.939260967183 -237.383609738678</t>
  </si>
  <si>
    <t>-641.232772170816 185.925851784645 -354.173613350841</t>
  </si>
  <si>
    <t>-647.08507106391 165.485103984092 -473.498809245278</t>
  </si>
  <si>
    <t>-643.67868939748 145.088988048337 -581.049993224687</t>
  </si>
  <si>
    <t>-631.811016246636 122.457066637684 -687.547867555901</t>
  </si>
  <si>
    <t>-606.671711831963 88.3801094171602 -833.858446275017</t>
  </si>
  <si>
    <t>-560.307601632066 69.1469960962797 -922.534573297941</t>
  </si>
  <si>
    <t>-611.928112660898 134.099087138734 -775.249064591161</t>
  </si>
  <si>
    <t>-569.18132793932 274.767345984808 -778.325721079568</t>
  </si>
  <si>
    <t>-575.691528247373 384.251696179241 -481.413224971245</t>
  </si>
  <si>
    <t>-430.598405031543 272.956402033802 -296.47174377051</t>
  </si>
  <si>
    <t>-623.662047654766 72.817151543426 -762.992081190284</t>
  </si>
  <si>
    <t>-429.197969411745 21.4740621619444 -428.702974268157</t>
  </si>
  <si>
    <t>-621.695517043225 299.88546005321 -249.397032697875</t>
  </si>
  <si>
    <t>-607.80520822795 288.210312880736 205.936317866189</t>
  </si>
  <si>
    <t>-619.277477190513 249.154816016896 674.027089665435</t>
  </si>
  <si>
    <t>-460.008651367675 253.338679516284 748.588836526344</t>
  </si>
  <si>
    <t>-606.272853841354 106.097926572839 -224.728328508087</t>
  </si>
  <si>
    <t>-466.145556045444 94.2226865334146 208.724035464041</t>
  </si>
  <si>
    <t>-611.302374897266 15.7481159842762 648.575504928579</t>
  </si>
  <si>
    <t>-461.687024875595 -31.4555354848533 728.140356331009</t>
  </si>
  <si>
    <t>9763-20170724T170149.813661300.bin</t>
  </si>
  <si>
    <t>-614.319044465668 203.026074392007 -237.443287550084</t>
  </si>
  <si>
    <t>-641.503771476432 185.983064128178 -354.226631222497</t>
  </si>
  <si>
    <t>-647.268097309615 165.501717612124 -473.549144944265</t>
  </si>
  <si>
    <t>-643.742896653397 145.062620494758 -581.088158843316</t>
  </si>
  <si>
    <t>-631.718940170188 122.379801344604 -687.557751387092</t>
  </si>
  <si>
    <t>-606.325306681693 88.2233200694407 -833.805876738456</t>
  </si>
  <si>
    <t>-559.812676010299 68.9745620194174 -922.40079597647</t>
  </si>
  <si>
    <t>-611.72350819525 133.980089733676 -775.238891612351</t>
  </si>
  <si>
    <t>-569.136655885592 274.693973317315 -778.3831603502</t>
  </si>
  <si>
    <t>-576.291569894387 384.358504840759 -481.552112615682</t>
  </si>
  <si>
    <t>-431.686240641792 273.387511566752 -296.034338644835</t>
  </si>
  <si>
    <t>-623.398926744872 72.6928560319748 -762.952300843578</t>
  </si>
  <si>
    <t>-429.695687594489 21.7859845099786 -428.403139402629</t>
  </si>
  <si>
    <t>-622.12078715208 300.103657747075 -249.466794965518</t>
  </si>
  <si>
    <t>-608.222209959558 288.48709232332 205.867768919075</t>
  </si>
  <si>
    <t>-619.303031667787 249.642525254277 673.922035233252</t>
  </si>
  <si>
    <t>-460.0785078411 253.422254023016 748.599846007537</t>
  </si>
  <si>
    <t>-606.389351313573 106.098819770216 -224.755557979319</t>
  </si>
  <si>
    <t>-466.204893248199 94.4068981351782 208.683369138706</t>
  </si>
  <si>
    <t>-611.303663390218 15.7506242127174 648.519651930694</t>
  </si>
  <si>
    <t>-461.699886295296 -31.4034741171618 728.135659374439</t>
  </si>
  <si>
    <t>9763-20170724T170149.863794700.bin</t>
  </si>
  <si>
    <t>-614.796999381749 203.258885783207 -237.601246603246</t>
  </si>
  <si>
    <t>-641.95629482572 186.179670621588 -354.385205982011</t>
  </si>
  <si>
    <t>-647.595765059329 165.675494275647 -473.70969242395</t>
  </si>
  <si>
    <t>-643.918249250612 145.217480634099 -581.240126870322</t>
  </si>
  <si>
    <t>-631.703898979705 122.51592975784 -687.684025679627</t>
  </si>
  <si>
    <t>-606.008136705997 88.3317266563911 -833.872876872575</t>
  </si>
  <si>
    <t>-559.335948940884 69.0941917122123 -922.386163701814</t>
  </si>
  <si>
    <t>-611.56757517378 134.105531624741 -775.33427341578</t>
  </si>
  <si>
    <t>-569.159062304473 274.871406030865 -778.471624843743</t>
  </si>
  <si>
    <t>-577.160975038844 384.914833687374 -481.802402673069</t>
  </si>
  <si>
    <t>-432.995431773003 274.026654360194 -295.893376836515</t>
  </si>
  <si>
    <t>-623.187880853685 72.8087743761862 -763.04326687852</t>
  </si>
  <si>
    <t>-429.964701529754 22.1772782864098 -428.070958980901</t>
  </si>
  <si>
    <t>-622.792676845829 300.569256020952 -249.611808725781</t>
  </si>
  <si>
    <t>-609.215268734821 288.985146017862 205.733307475171</t>
  </si>
  <si>
    <t>-619.331470538941 250.281054860356 673.801494704416</t>
  </si>
  <si>
    <t>-460.162712363908 253.23361066066 748.635331008402</t>
  </si>
  <si>
    <t>-606.692002269729 106.134069662994 -224.903090284088</t>
  </si>
  <si>
    <t>-466.363486647342 94.6582740182532 208.49498170406</t>
  </si>
  <si>
    <t>-611.236270841075 15.6418204520364 648.347021049968</t>
  </si>
  <si>
    <t>-461.626723899892 -31.2357152840809 728.11537670037</t>
  </si>
  <si>
    <t>9763-20170724T170149.895882400.bin</t>
  </si>
  <si>
    <t>-615.236713074986 203.208151410202 -237.707068900452</t>
  </si>
  <si>
    <t>-642.263734382579 186.097659790363 -354.517001527771</t>
  </si>
  <si>
    <t>-647.750464032269 165.579060099742 -473.846350817406</t>
  </si>
  <si>
    <t>-643.927876083896 145.113444389087 -581.370183831629</t>
  </si>
  <si>
    <t>-631.562570122284 122.408506040832 -687.795938109833</t>
  </si>
  <si>
    <t>-605.651872449934 88.2227825638306 -833.946444627923</t>
  </si>
  <si>
    <t>-558.852925960879 68.9909361647381 -922.394045424642</t>
  </si>
  <si>
    <t>-611.332486027777 134.002323661878 -775.423906935298</t>
  </si>
  <si>
    <t>-569.057261807625 274.811203910266 -778.563759852966</t>
  </si>
  <si>
    <t>-577.629360996642 385.05870161104 -481.986259906208</t>
  </si>
  <si>
    <t>-433.760250975323 274.332330963869 -295.751566695962</t>
  </si>
  <si>
    <t>-622.900650832686 72.6953855296779 -763.134718153915</t>
  </si>
  <si>
    <t>-430.065314243478 22.366761362222 -427.823552545884</t>
  </si>
  <si>
    <t>-623.361626359392 300.419078419017 -249.702379255805</t>
  </si>
  <si>
    <t>-610.031392502865 289.003107283883 205.654233511568</t>
  </si>
  <si>
    <t>-619.299480325127 250.153978168583 673.805510371164</t>
  </si>
  <si>
    <t>-460.122462979184 253.600833867217 748.600624816222</t>
  </si>
  <si>
    <t>-606.945504712372 106.094042825082 -225.038345263373</t>
  </si>
  <si>
    <t>-466.655663728775 94.8679676908166 208.378746119462</t>
  </si>
  <si>
    <t>-611.233462418297 15.6830808335455 648.327389941576</t>
  </si>
  <si>
    <t>-461.700596928994 -31.3833787308488 728.128305670204</t>
  </si>
  <si>
    <t>9763-20170724T170149.959714900.bin</t>
  </si>
  <si>
    <t>-616.247484915648 203.032915295037 -237.8922854599</t>
  </si>
  <si>
    <t>-643.22213091418 185.880356208238 -354.708152859333</t>
  </si>
  <si>
    <t>-648.484686636171 165.354684606057 -474.046140149842</t>
  </si>
  <si>
    <t>-644.39056699956 144.892186474075 -581.560721362635</t>
  </si>
  <si>
    <t>-631.687132519889 122.196233230936 -687.948537941409</t>
  </si>
  <si>
    <t>-605.240285846985 88.026749071737 -834.006746054833</t>
  </si>
  <si>
    <t>-558.154553503967 68.8649362994024 -922.317383064848</t>
  </si>
  <si>
    <t>-611.243196378899 133.815435132161 -775.523508394127</t>
  </si>
  <si>
    <t>-569.427242197435 274.75677154041 -778.632097470528</t>
  </si>
  <si>
    <t>-579.203784199465 385.456243907865 -482.260332091645</t>
  </si>
  <si>
    <t>-435.674933873295 275.067257555309 -295.563195407413</t>
  </si>
  <si>
    <t>-622.641204841728 72.4758827451474 -763.237392031407</t>
  </si>
  <si>
    <t>-430.69214385354 22.8263336332586 -427.177160168783</t>
  </si>
  <si>
    <t>-624.784437594974 300.354196526651 -249.853655156765</t>
  </si>
  <si>
    <t>-611.449996494417 289.117030907005 205.507242605513</t>
  </si>
  <si>
    <t>-619.324120439336 250.610917481318 673.693722099902</t>
  </si>
  <si>
    <t>-460.149123675142 253.569396962788 748.51404605477</t>
  </si>
  <si>
    <t>-607.574504624384 105.824026322311 -225.28425472288</t>
  </si>
  <si>
    <t>-467.517745874271 95.4041327974232 208.228392245402</t>
  </si>
  <si>
    <t>-611.347390089843 15.6850671931784 648.40143907791</t>
  </si>
  <si>
    <t>-461.652714654447 -31.0635229047077 728.085743609901</t>
  </si>
  <si>
    <t>9763-20170724T170149.997317000.bin</t>
  </si>
  <si>
    <t>-616.864505985998 203.03573136765 -237.951922250731</t>
  </si>
  <si>
    <t>-643.812249560268 185.836213562349 -354.767094597008</t>
  </si>
  <si>
    <t>-648.949780361125 165.302923758845 -474.109264590991</t>
  </si>
  <si>
    <t>-644.702537220401 144.847129470606 -581.619218937894</t>
  </si>
  <si>
    <t>-631.806476874693 122.17025252663 -687.987963087143</t>
  </si>
  <si>
    <t>-605.052119728336 88.0384381099375 -833.998944661447</t>
  </si>
  <si>
    <t>-557.797539488201 68.9486573481383 -922.234889994541</t>
  </si>
  <si>
    <t>-611.249040069069 133.82208036478 -775.532141288181</t>
  </si>
  <si>
    <t>-569.69980851372 274.853468791814 -778.617603051634</t>
  </si>
  <si>
    <t>-580.195010153273 385.671262832505 -482.314639380516</t>
  </si>
  <si>
    <t>-436.752444527352 275.554014432337 -295.391054295523</t>
  </si>
  <si>
    <t>-622.531190186598 72.459283541443 -763.255126188508</t>
  </si>
  <si>
    <t>-431.159369986256 23.2937920794539 -426.821830257739</t>
  </si>
  <si>
    <t>-625.557496598763 300.279107255979 -249.903860674562</t>
  </si>
  <si>
    <t>-612.086503671798 289.165826539527 205.456083469683</t>
  </si>
  <si>
    <t>-619.303095655372 250.638310188816 673.664217058886</t>
  </si>
  <si>
    <t>-460.12304735282 253.762327929025 748.467076236137</t>
  </si>
  <si>
    <t>-608.075225931278 105.958921116525 -225.306033710331</t>
  </si>
  <si>
    <t>-467.929905094588 95.6714281719512 208.181165137618</t>
  </si>
  <si>
    <t>-611.405935980776 15.8229789782877 648.429090292882</t>
  </si>
  <si>
    <t>-461.693969855244 -31.013739844213 728.029079252414</t>
  </si>
  <si>
    <t>9763-20170724T170150.062536000.bin</t>
  </si>
  <si>
    <t>-618.039075850732 202.945442783448 -238.097445616013</t>
  </si>
  <si>
    <t>-644.907575446944 185.658676688417 -354.91802208527</t>
  </si>
  <si>
    <t>-649.768189174152 165.125542113773 -474.27182693606</t>
  </si>
  <si>
    <t>-645.189788881259 144.700794869182 -581.774072951253</t>
  </si>
  <si>
    <t>-631.883373808465 122.082120365095 -688.104572689252</t>
  </si>
  <si>
    <t>-604.478632921552 88.0569637548338 -834.01980250697</t>
  </si>
  <si>
    <t>-556.828421781994 69.1721639411617 -922.087028122193</t>
  </si>
  <si>
    <t>-611.106173957093 133.821421561959 -775.585134496803</t>
  </si>
  <si>
    <t>-570.285696642851 275.056954064165 -778.627145330392</t>
  </si>
  <si>
    <t>-582.189936305111 386.023188845053 -482.433007129769</t>
  </si>
  <si>
    <t>-438.825405215495 276.452218501178 -295.128929287173</t>
  </si>
  <si>
    <t>-622.10253410085 72.4027987630041 -763.328594344256</t>
  </si>
  <si>
    <t>-431.666635764822 24.1713592454812 -426.247978146173</t>
  </si>
  <si>
    <t>-627.235623824085 300.166993516922 -249.985193400707</t>
  </si>
  <si>
    <t>-613.401856300056 289.276297675639 205.369347552912</t>
  </si>
  <si>
    <t>-619.347002663704 250.982872237525 673.601342606583</t>
  </si>
  <si>
    <t>-460.14204323255 254.155017123711 748.349049633122</t>
  </si>
  <si>
    <t>-608.717047448983 105.852377789704 -225.499954555208</t>
  </si>
  <si>
    <t>-468.817250656398 96.1965257380136 208.081019948318</t>
  </si>
  <si>
    <t>-611.538619243276 15.8406555310942 648.502617586288</t>
  </si>
  <si>
    <t>-461.497414443895 -30.3139695827472 727.880751582122</t>
  </si>
  <si>
    <t>9763-20170724T170150.096629400.bin</t>
  </si>
  <si>
    <t>-618.685005617313 202.908743396425 -238.093650482889</t>
  </si>
  <si>
    <t>-645.509403848573 185.557670202366 -354.914808990797</t>
  </si>
  <si>
    <t>-650.235256953966 165.018274341009 -474.272925497529</t>
  </si>
  <si>
    <t>-645.49711934833 144.610913286396 -581.771525253964</t>
  </si>
  <si>
    <t>-631.993267219056 122.031062361608 -688.085435469401</t>
  </si>
  <si>
    <t>-604.275367317818 88.0817343773078 -833.959210548564</t>
  </si>
  <si>
    <t>-556.434426881469 69.3246797800352 -921.950203724663</t>
  </si>
  <si>
    <t>-611.125995905742 133.828936217285 -775.536730303805</t>
  </si>
  <si>
    <t>-570.689464724852 275.187806063805 -778.556728834541</t>
  </si>
  <si>
    <t>-583.510813437975 386.268308869921 -482.443663692025</t>
  </si>
  <si>
    <t>-440.042755115451 277.000891874361 -295.041383798161</t>
  </si>
  <si>
    <t>-621.953317232073 72.3776932554279 -763.292509144689</t>
  </si>
  <si>
    <t>-431.935851208113 24.6368318915115 -425.942159966017</t>
  </si>
  <si>
    <t>-628.098382284214 300.096447175379 -250.009405442254</t>
  </si>
  <si>
    <t>-614.184894800918 289.354049470196 205.346243755119</t>
  </si>
  <si>
    <t>-619.338815427805 251.145992057304 673.545811777198</t>
  </si>
  <si>
    <t>-460.139364246743 254.439386410346 748.300063803938</t>
  </si>
  <si>
    <t>-609.184861804512 105.87240730973 -225.46803010469</t>
  </si>
  <si>
    <t>-469.112517999727 96.3369430213982 208.059929940011</t>
  </si>
  <si>
    <t>-611.608949295615 15.7809472214137 648.51106867966</t>
  </si>
  <si>
    <t>-461.418377989622 -30.0759636910907 727.779222650804</t>
  </si>
  <si>
    <t>9763-20170724T170150.168259000.bin</t>
  </si>
  <si>
    <t>-619.884411684416 202.817565108697 -238.206639369924</t>
  </si>
  <si>
    <t>-646.556622936998 185.327207727619 -355.041933549687</t>
  </si>
  <si>
    <t>-650.967774609123 164.785363634871 -474.411842005747</t>
  </si>
  <si>
    <t>-645.877308948476 144.428752677118 -581.903832008109</t>
  </si>
  <si>
    <t>-631.953495837069 121.950009495414 -688.184912869979</t>
  </si>
  <si>
    <t>-603.582624941189 88.1909138274882 -833.977284951639</t>
  </si>
  <si>
    <t>-555.362444072787 69.7116194346622 -921.819944830441</t>
  </si>
  <si>
    <t>-610.89799101826 133.887946907342 -775.572040346388</t>
  </si>
  <si>
    <t>-571.394602790133 275.496865482709 -778.500414233187</t>
  </si>
  <si>
    <t>-585.81528445979 386.624335008224 -482.47849529882</t>
  </si>
  <si>
    <t>-442.039119275366 278.129227715586 -294.8639165108</t>
  </si>
  <si>
    <t>-621.373771273948 72.3684363482071 -763.365438376943</t>
  </si>
  <si>
    <t>-431.880746404331 25.6937472373602 -425.694857310381</t>
  </si>
  <si>
    <t>-629.826773896572 300.03610568614 -250.121279695332</t>
  </si>
  <si>
    <t>-616.003470562142 289.673629427237 205.245779035537</t>
  </si>
  <si>
    <t>-619.374490492094 251.640982499213 673.464399651982</t>
  </si>
  <si>
    <t>-460.1626879848 254.851362676206 748.195965055651</t>
  </si>
  <si>
    <t>-609.826880219753 105.684074262144 -225.575825674072</t>
  </si>
  <si>
    <t>-469.669496399601 96.775587164735 207.938011125064</t>
  </si>
  <si>
    <t>-611.746605966817 15.5616291941942 648.480485365148</t>
  </si>
  <si>
    <t>-461.245652600433 -29.6375125309769 727.537494669948</t>
  </si>
  <si>
    <t>9763-20170724T170150.197338300.bin</t>
  </si>
  <si>
    <t>-620.420320199328 202.834767760888 -238.27135545055</t>
  </si>
  <si>
    <t>-646.978625350642 185.226184325571 -355.114891230817</t>
  </si>
  <si>
    <t>-651.209373014294 164.672039594966 -474.48909262807</t>
  </si>
  <si>
    <t>-645.926961961684 144.346321030376 -581.977791887556</t>
  </si>
  <si>
    <t>-631.781772782378 121.938724339928 -688.244764056932</t>
  </si>
  <si>
    <t>-603.072062011373 88.3199497491121 -834.003162583447</t>
  </si>
  <si>
    <t>-554.662722600768 70.0090122284716 -921.776879977421</t>
  </si>
  <si>
    <t>-610.636729562392 133.974994317382 -775.596734415846</t>
  </si>
  <si>
    <t>-571.62307847914 275.729651343185 -778.455594499402</t>
  </si>
  <si>
    <t>-586.757623687313 386.788066148461 -482.443455611299</t>
  </si>
  <si>
    <t>-442.843258430947 278.651264339432 -294.727846976321</t>
  </si>
  <si>
    <t>-620.913676144744 72.4155834834348 -763.422497264297</t>
  </si>
  <si>
    <t>-431.572560533312 26.331799069801 -425.587658334237</t>
  </si>
  <si>
    <t>-630.622825930965 300.007805375082 -250.223506631591</t>
  </si>
  <si>
    <t>-616.903019189495 289.963380259903 205.153882664133</t>
  </si>
  <si>
    <t>-619.418457174946 252.070463192973 673.386533575875</t>
  </si>
  <si>
    <t>-460.196859200029 255.140631573054 748.103106314726</t>
  </si>
  <si>
    <t>-610.042810734419 105.768690444307 -225.623311726824</t>
  </si>
  <si>
    <t>-469.876960317144 97.1654118493409 207.893896901177</t>
  </si>
  <si>
    <t>-611.801935794952 15.8227049214952 648.452051967038</t>
  </si>
  <si>
    <t>-461.368292768187 -29.7593657818647 727.417258688591</t>
  </si>
  <si>
    <t>9763-20170724T170150.260070200.bin</t>
  </si>
  <si>
    <t>-621.349234736034 202.50517473823 -238.387059393746</t>
  </si>
  <si>
    <t>-647.699547720899 184.672455316147 -355.243693039147</t>
  </si>
  <si>
    <t>-651.582752528004 164.105078960035 -474.627393989876</t>
  </si>
  <si>
    <t>-645.926251064231 143.847770819121 -582.109941966517</t>
  </si>
  <si>
    <t>-631.346443445204 121.583716745425 -688.348320864576</t>
  </si>
  <si>
    <t>-601.970140498787 88.2379542960343 -834.03661023295</t>
  </si>
  <si>
    <t>-553.198791271496 70.3295142388522 -921.692905570873</t>
  </si>
  <si>
    <t>-610.042232085181 133.812103686878 -775.635034995342</t>
  </si>
  <si>
    <t>-572.085884930685 275.854467060092 -778.364884886118</t>
  </si>
  <si>
    <t>-588.86252441499 386.997672642293 -482.473255772298</t>
  </si>
  <si>
    <t>-444.571394774096 279.650681764875 -294.593625941862</t>
  </si>
  <si>
    <t>-619.894257469866 72.1727425045788 -763.513158393437</t>
  </si>
  <si>
    <t>-431.051482600636 27.293477353378 -425.452180096021</t>
  </si>
  <si>
    <t>-632.319349924087 299.563495439892 -250.329197981311</t>
  </si>
  <si>
    <t>-618.338187203052 290.058452576847 205.051793784074</t>
  </si>
  <si>
    <t>-619.571638696772 252.413462074888 673.413141689663</t>
  </si>
  <si>
    <t>-460.208819208854 255.854197089002 747.811872725917</t>
  </si>
  <si>
    <t>-610.224100300244 105.575102636951 -225.762595030853</t>
  </si>
  <si>
    <t>-470.395181899368 97.670146603627 207.876652010416</t>
  </si>
  <si>
    <t>-611.970847211931 15.8383837911883 648.485169064013</t>
  </si>
  <si>
    <t>-461.205138726451 -29.1927533709259 727.132508308949</t>
  </si>
  <si>
    <t>9763-20170724T170150.299185700.bin</t>
  </si>
  <si>
    <t>-621.782150363636 202.144894814619 -238.39918046322</t>
  </si>
  <si>
    <t>-647.998764369081 184.195687285454 -355.268027549172</t>
  </si>
  <si>
    <t>-651.708813154802 163.636679384888 -474.658716379799</t>
  </si>
  <si>
    <t>-645.877516074311 143.435510676047 -582.142511396704</t>
  </si>
  <si>
    <t>-631.103708481784 121.273709500716 -688.375381433138</t>
  </si>
  <si>
    <t>-601.436968537389 88.1160184948262 -834.047865338971</t>
  </si>
  <si>
    <t>-552.489265321645 70.4532984992841 -921.65559745495</t>
  </si>
  <si>
    <t>-609.770859691439 133.631137719162 -775.636800749568</t>
  </si>
  <si>
    <t>-572.425780440565 275.832303012815 -778.301884021625</t>
  </si>
  <si>
    <t>-589.936935148324 386.949780177877 -482.443096719201</t>
  </si>
  <si>
    <t>-445.345075824398 280.148577131449 -294.483567209942</t>
  </si>
  <si>
    <t>-619.356259519651 71.9434939966677 -763.547742616142</t>
  </si>
  <si>
    <t>-430.604148043856 27.6759353543728 -425.296930507905</t>
  </si>
  <si>
    <t>-633.15426271244 299.106897227541 -250.310870098648</t>
  </si>
  <si>
    <t>-618.862366685815 289.8509077639 205.065585319847</t>
  </si>
  <si>
    <t>-619.642966427484 252.402633343989 673.449605137759</t>
  </si>
  <si>
    <t>-460.185367346181 256.070006512376 747.634034438773</t>
  </si>
  <si>
    <t>-610.255993749653 105.229265125742 -225.791097369274</t>
  </si>
  <si>
    <t>-470.694535468383 97.9034364678287 207.944584704989</t>
  </si>
  <si>
    <t>-612.074546528721 15.6488476729266 648.555563961772</t>
  </si>
  <si>
    <t>-461.056255963337 -28.8833064522762 727.00217905611</t>
  </si>
  <si>
    <t>9763-20170724T170150.362357400.bin</t>
  </si>
  <si>
    <t>-622.429918770911 201.194223900277 -238.33672121839</t>
  </si>
  <si>
    <t>-648.506520993879 183.000814336792 -355.199245362882</t>
  </si>
  <si>
    <t>-651.945514597163 162.438910870862 -474.597379947609</t>
  </si>
  <si>
    <t>-645.810142749761 142.331629031139 -582.08187396006</t>
  </si>
  <si>
    <t>-630.670614561162 120.356980942183 -688.302157616103</t>
  </si>
  <si>
    <t>-600.429714203163 87.5540552614582 -833.936898163219</t>
  </si>
  <si>
    <t>-551.143375816921 70.4105178839757 -921.457952569419</t>
  </si>
  <si>
    <t>-609.313694092236 132.960570871682 -775.522532392634</t>
  </si>
  <si>
    <t>-573.394291713255 275.537096349913 -778.079640533225</t>
  </si>
  <si>
    <t>-592.469845820315 386.617763978597 -482.303844071293</t>
  </si>
  <si>
    <t>-447.036066380907 280.887496334218 -294.388392203524</t>
  </si>
  <si>
    <t>-618.307101887902 71.1759333054058 -763.473540340482</t>
  </si>
  <si>
    <t>-429.697851914242 28.2995816103069 -425.155175611806</t>
  </si>
  <si>
    <t>-634.747645347268 297.984385170269 -250.228889996101</t>
  </si>
  <si>
    <t>-619.84035586093 289.280532897745 205.138852112437</t>
  </si>
  <si>
    <t>-619.768263466904 252.355662553173 673.519382004375</t>
  </si>
  <si>
    <t>-460.151246955356 256.898383017209 747.311555769191</t>
  </si>
  <si>
    <t>-610.000964891039 104.505274014314 -225.765840033262</t>
  </si>
  <si>
    <t>-470.996529979214 98.3535873918977 208.166823126823</t>
  </si>
  <si>
    <t>-612.196028366559 15.6644325026448 648.647505721112</t>
  </si>
  <si>
    <t>-460.993453000435 -28.6742716753261 726.848374900953</t>
  </si>
  <si>
    <t>9763-20170724T170150.394944500.bin</t>
  </si>
  <si>
    <t>-622.73399794437 200.779922973713 -238.322701902867</t>
  </si>
  <si>
    <t>-648.733597390816 182.447259713892 -355.180485247082</t>
  </si>
  <si>
    <t>-652.043752527392 161.895140756731 -474.584093715506</t>
  </si>
  <si>
    <t>-645.766712762844 141.857862672901 -582.07329200359</t>
  </si>
  <si>
    <t>-630.458117408206 120.012999852529 -688.296176028619</t>
  </si>
  <si>
    <t>-599.951797178261 87.4518345438273 -833.929842813572</t>
  </si>
  <si>
    <t>-550.511309882373 70.6071429497165 -921.421915274183</t>
  </si>
  <si>
    <t>-609.114500863527 132.778353326035 -775.49633179313</t>
  </si>
  <si>
    <t>-573.951322200437 275.530732592423 -777.966186024199</t>
  </si>
  <si>
    <t>-593.744130520568 386.436782548791 -482.171938243253</t>
  </si>
  <si>
    <t>-447.788901379791 281.325191455287 -294.313757886574</t>
  </si>
  <si>
    <t>-617.785282609929 70.9399820297001 -763.486624813922</t>
  </si>
  <si>
    <t>-428.949543202622 28.7433669989589 -425.151959551445</t>
  </si>
  <si>
    <t>-635.487790423668 297.544404842243 -250.22894095042</t>
  </si>
  <si>
    <t>-620.316593334424 289.1425306161 205.135708640387</t>
  </si>
  <si>
    <t>-619.847797635145 252.516754432012 673.539923309274</t>
  </si>
  <si>
    <t>-460.158566680473 257.232878777454 747.164847962703</t>
  </si>
  <si>
    <t>-609.879145486995 104.130528999142 -225.736634302134</t>
  </si>
  <si>
    <t>-471.070240652976 98.4541311947783 208.265177916224</t>
  </si>
  <si>
    <t>-612.27033600209 15.5783997419883 648.739943808243</t>
  </si>
  <si>
    <t>-460.833848490333 -28.2546520209658 726.773044221851</t>
  </si>
  <si>
    <t>9763-20170724T170150.461455100.bin</t>
  </si>
  <si>
    <t>-623.327652619768 199.919042816605 -238.242760541803</t>
  </si>
  <si>
    <t>-649.145281016165 181.292665399235 -355.094539495794</t>
  </si>
  <si>
    <t>-652.20802029167 160.751133016688 -474.50644082337</t>
  </si>
  <si>
    <t>-645.672336054098 140.849268438985 -582.005661090625</t>
  </si>
  <si>
    <t>-630.065014882595 119.264213457963 -688.238117129986</t>
  </si>
  <si>
    <t>-599.097125527112 87.1926124393558 -833.882880447019</t>
  </si>
  <si>
    <t>-549.366746989066 70.9694601442679 -921.328168687401</t>
  </si>
  <si>
    <t>-608.796133276722 132.354269604195 -775.408277824008</t>
  </si>
  <si>
    <t>-575.198596253142 275.500444929153 -777.681411268464</t>
  </si>
  <si>
    <t>-596.3439144779 385.794605040466 -481.752023707188</t>
  </si>
  <si>
    <t>-449.355139907201 281.925994876723 -294.008441271711</t>
  </si>
  <si>
    <t>-616.802766703705 70.4124112369173 -763.470934115491</t>
  </si>
  <si>
    <t>-427.564235053996 29.9205571562338 -425.307788125617</t>
  </si>
  <si>
    <t>-636.887336149341 296.413189089898 -250.159752752541</t>
  </si>
  <si>
    <t>-621.10811726281 288.741161010028 205.196990091269</t>
  </si>
  <si>
    <t>-620.059184844609 252.455882466693 673.733625269326</t>
  </si>
  <si>
    <t>-460.150672095758 257.966931931003 746.825355892534</t>
  </si>
  <si>
    <t>-609.639724868882 103.540493863607 -225.625948030173</t>
  </si>
  <si>
    <t>-471.276095806218 98.5728484754127 208.526664194306</t>
  </si>
  <si>
    <t>-612.471033900475 15.6553185517473 648.980705297373</t>
  </si>
  <si>
    <t>-460.813126852661 -28.0520703824898 726.653425488518</t>
  </si>
  <si>
    <t>9763-20170724T170150.497550400.bin</t>
  </si>
  <si>
    <t>-623.462976235607 199.332398711024 -238.215707856887</t>
  </si>
  <si>
    <t>-649.17448774326 180.550996983825 -355.066005229288</t>
  </si>
  <si>
    <t>-652.112074034793 160.010960785172 -474.481338788144</t>
  </si>
  <si>
    <t>-645.451421702206 140.174607764443 -581.984936676856</t>
  </si>
  <si>
    <t>-629.704556217557 118.7184081516 -688.222970760887</t>
  </si>
  <si>
    <t>-598.525370081008 86.8904199655083 -833.876177191266</t>
  </si>
  <si>
    <t>-548.674383862348 70.9951010524974 -921.312912101795</t>
  </si>
  <si>
    <t>-608.488281090046 131.96889311839 -775.3816475669</t>
  </si>
  <si>
    <t>-575.675050761705 275.291233322117 -777.585613668146</t>
  </si>
  <si>
    <t>-597.51574121334 385.28140603987 -481.593473060929</t>
  </si>
  <si>
    <t>-450.017062068378 282.054311309502 -293.895953420907</t>
  </si>
  <si>
    <t>-616.154073148721 69.9778794571569 -763.476517595267</t>
  </si>
  <si>
    <t>-426.708793187221 30.3891721662721 -425.375754802945</t>
  </si>
  <si>
    <t>-637.490513197578 295.690511386061 -250.110404334216</t>
  </si>
  <si>
    <t>-621.399860487205 288.464687575086 205.242768402348</t>
  </si>
  <si>
    <t>-620.197510217721 252.543797707565 673.79576890218</t>
  </si>
  <si>
    <t>-460.178271519045 258.613456131398 746.600398973267</t>
  </si>
  <si>
    <t>-609.258720673697 103.034760143907 -225.640294022283</t>
  </si>
  <si>
    <t>-471.421171845067 98.5363916705207 208.684861225668</t>
  </si>
  <si>
    <t>-612.49608061773 15.4600564488103 649.105214265345</t>
  </si>
  <si>
    <t>-460.634332451739 -27.7758187841425 726.643442769299</t>
  </si>
  <si>
    <t>9763-20170724T170150.560720700.bin</t>
  </si>
  <si>
    <t>-623.920063654171 198.237986921723 -238.108324160497</t>
  </si>
  <si>
    <t>-649.363714571827 179.223725721273 -354.979585266353</t>
  </si>
  <si>
    <t>-652.033596499272 158.733675557436 -474.409891870173</t>
  </si>
  <si>
    <t>-645.124297905119 139.058563038876 -581.927336123318</t>
  </si>
  <si>
    <t>-629.1175836447 117.876882377441 -688.181640305229</t>
  </si>
  <si>
    <t>-597.560995919842 86.5474030918483 -833.861547776869</t>
  </si>
  <si>
    <t>-547.515343225012 71.289803852681 -921.30073743137</t>
  </si>
  <si>
    <t>-608.046241798971 131.452855757555 -775.325482405237</t>
  </si>
  <si>
    <t>-576.855910133191 275.137320544585 -777.384568825072</t>
  </si>
  <si>
    <t>-600.044888250515 384.78916012683 -481.369312073499</t>
  </si>
  <si>
    <t>-451.533839009401 282.971487114784 -293.700277014452</t>
  </si>
  <si>
    <t>-615.001374319898 69.3665789011566 -763.479879945398</t>
  </si>
  <si>
    <t>-425.47928151191 31.7941114394168 -425.557601726194</t>
  </si>
  <si>
    <t>-638.916910127391 294.268271099221 -249.933840055738</t>
  </si>
  <si>
    <t>-622.211824506493 287.842931767846 205.409233113811</t>
  </si>
  <si>
    <t>-620.497608313873 252.487656354255 674.047589403746</t>
  </si>
  <si>
    <t>-460.209602074738 259.371127950898 746.185530535786</t>
  </si>
  <si>
    <t>-608.864712821773 102.376240051728 -225.573779506121</t>
  </si>
  <si>
    <t>-471.79215401636 98.5110005352246 208.999437400722</t>
  </si>
  <si>
    <t>-612.639487811211 15.44291140583 649.486641060357</t>
  </si>
  <si>
    <t>-460.54549801188 -27.4738649456335 726.746465974968</t>
  </si>
  <si>
    <t>9763-20170724T170150.595814900.bin</t>
  </si>
  <si>
    <t>-624.183948732768 197.659103527488 -238.004942882371</t>
  </si>
  <si>
    <t>-649.492185776621 178.523411258701 -354.885668697355</t>
  </si>
  <si>
    <t>-652.033656553346 158.071265777215 -474.325297438983</t>
  </si>
  <si>
    <t>-645.007091533162 138.495017891908 -581.853162572493</t>
  </si>
  <si>
    <t>-628.879337015942 117.47478991119 -688.121135769117</t>
  </si>
  <si>
    <t>-597.148118142654 86.4331389664355 -833.82492375246</t>
  </si>
  <si>
    <t>-547.021525055886 71.4991602688658 -921.273620144444</t>
  </si>
  <si>
    <t>-607.889730546398 131.235012001792 -775.255867807948</t>
  </si>
  <si>
    <t>-577.48642563341 275.099960605624 -777.222949397102</t>
  </si>
  <si>
    <t>-601.265569795489 384.653686233194 -481.218275422101</t>
  </si>
  <si>
    <t>-452.26295541101 283.630372564984 -293.509567887766</t>
  </si>
  <si>
    <t>-614.486709713577 69.1010760702552 -763.45509428824</t>
  </si>
  <si>
    <t>-424.758403146408 32.5890168291323 -425.569940570552</t>
  </si>
  <si>
    <t>-639.656525890747 293.525618874199 -249.815824486991</t>
  </si>
  <si>
    <t>-622.726411216993 287.539895345886 205.524964803151</t>
  </si>
  <si>
    <t>-620.65091008949 252.51146688259 674.170880604339</t>
  </si>
  <si>
    <t>-460.242458519219 259.776229449559 746.003108682876</t>
  </si>
  <si>
    <t>-608.625114232779 101.93587570898 -225.480009902814</t>
  </si>
  <si>
    <t>-471.898412664709 98.4025574672169 209.204891874174</t>
  </si>
  <si>
    <t>-612.735639967518 15.4021204836667 649.751273065175</t>
  </si>
  <si>
    <t>-460.454415189221 -27.220562658928 726.804856736881</t>
  </si>
  <si>
    <t>9763-20170724T170150.673029200.bin</t>
  </si>
  <si>
    <t>-624.465186781617 197.013559143398 -237.886376703824</t>
  </si>
  <si>
    <t>-649.664637036956 177.75475649795 -354.770586388455</t>
  </si>
  <si>
    <t>-652.096094280975 157.326321887328 -474.216470827581</t>
  </si>
  <si>
    <t>-644.965790657021 137.831472549228 -581.752391586231</t>
  </si>
  <si>
    <t>-628.72746942316 116.951234234311 -688.031188968044</t>
  </si>
  <si>
    <t>-596.833020102394 86.1645135820168 -833.753257458704</t>
  </si>
  <si>
    <t>-546.63326197627 71.5376637386341 -921.21188593005</t>
  </si>
  <si>
    <t>-607.826910524022 130.875018057391 -775.161304214585</t>
  </si>
  <si>
    <t>-578.202515995935 274.908520181299 -777.030508638582</t>
  </si>
  <si>
    <t>-602.563679580028 384.420580717681 -481.057873492347</t>
  </si>
  <si>
    <t>-453.112097613549 284.131334190831 -293.312397848354</t>
  </si>
  <si>
    <t>-614.063724694028 68.6983269137147 -763.390154814902</t>
  </si>
  <si>
    <t>-424.069458164235 33.4951806589588 -425.674415886049</t>
  </si>
  <si>
    <t>-640.417304839218 292.731525533325 -249.694591821426</t>
  </si>
  <si>
    <t>-623.277407792828 287.226786366712 205.644474988191</t>
  </si>
  <si>
    <t>-620.812804691877 252.538097089623 674.310859499862</t>
  </si>
  <si>
    <t>-460.284410804126 260.186983693556 745.834613954651</t>
  </si>
  <si>
    <t>-608.413596053562 101.430770273126 -225.372071417428</t>
  </si>
  <si>
    <t>-471.962810751974 98.1982257829643 209.401938720422</t>
  </si>
  <si>
    <t>-612.803026416655 15.1688448030657 649.937447345659</t>
  </si>
  <si>
    <t>-460.321846010538 -27.0076323991261 726.840962641573</t>
  </si>
  <si>
    <t>9763-20170724T170150.711148200.bin</t>
  </si>
  <si>
    <t>-624.930637079523 195.659081039315 -237.717492654998</t>
  </si>
  <si>
    <t>-649.973591054347 176.097252477984 -354.584928165712</t>
  </si>
  <si>
    <t>-652.196563243062 155.665373953591 -474.034348081021</t>
  </si>
  <si>
    <t>-644.848518170728 136.289358113157 -581.577112818475</t>
  </si>
  <si>
    <t>-628.358168428887 115.647698013555 -687.863576595297</t>
  </si>
  <si>
    <t>-596.073817191231 85.3144208213746 -833.594943954107</t>
  </si>
  <si>
    <t>-545.707067115656 71.3158163732878 -921.060449198155</t>
  </si>
  <si>
    <t>-607.600445928567 129.861720834696 -774.981002237962</t>
  </si>
  <si>
    <t>-579.579228473925 274.205145362856 -776.637908637479</t>
  </si>
  <si>
    <t>-605.205493988689 383.819525863267 -480.810013999255</t>
  </si>
  <si>
    <t>-454.851456117522 285.053889520785 -292.977486108397</t>
  </si>
  <si>
    <t>-613.116842969674 67.6101786070496 -763.245661196198</t>
  </si>
  <si>
    <t>-422.745030169096 34.6781363476609 -425.88763794937</t>
  </si>
  <si>
    <t>-641.912208372549 291.057271611402 -249.55982018126</t>
  </si>
  <si>
    <t>-624.324045564827 286.539791448577 205.772959579567</t>
  </si>
  <si>
    <t>-621.027443726607 252.707071236452 674.439974173211</t>
  </si>
  <si>
    <t>-460.351185956383 261.187308831179 745.536502681257</t>
  </si>
  <si>
    <t>-607.815286586906 100.375853761828 -225.260560842354</t>
  </si>
  <si>
    <t>-471.984343473471 97.9591735180677 209.712819096441</t>
  </si>
  <si>
    <t>-612.768639084281 15.1861990598109 650.182964050603</t>
  </si>
  <si>
    <t>-460.228414733373 -26.7704193469729 727.089610000577</t>
  </si>
  <si>
    <t>9763-20170724T170150.761280400.bin</t>
  </si>
  <si>
    <t>-625.164254284041 193.85432313454 -237.693556308201</t>
  </si>
  <si>
    <t>-649.960256821543 173.971145478766 -354.559393541346</t>
  </si>
  <si>
    <t>-651.886890432323 153.554835054314 -474.016615964771</t>
  </si>
  <si>
    <t>-644.242373584576 134.331507396581 -581.566014565363</t>
  </si>
  <si>
    <t>-627.421828820851 113.978515718843 -687.856645830622</t>
  </si>
  <si>
    <t>-594.638786378267 84.1864904590325 -833.588228740826</t>
  </si>
  <si>
    <t>-544.028488025841 70.8267325648876 -921.012961623236</t>
  </si>
  <si>
    <t>-606.749308540936 128.531105871494 -774.93830660247</t>
  </si>
  <si>
    <t>-580.369385895194 273.187496098854 -776.402305958772</t>
  </si>
  <si>
    <t>-607.843140482633 382.825077283521 -480.748797295018</t>
  </si>
  <si>
    <t>-456.548189342629 285.301203866434 -293.022957909888</t>
  </si>
  <si>
    <t>-611.539193883292 66.2059880542192 -763.274572732879</t>
  </si>
  <si>
    <t>-421.078120496529 35.3746722966828 -426.236818041252</t>
  </si>
  <si>
    <t>-643.167025147479 289.119866314178 -249.54149740784</t>
  </si>
  <si>
    <t>-625.353967313266 285.776286779607 205.792703709802</t>
  </si>
  <si>
    <t>-621.309953388861 253.013965056436 674.603067847804</t>
  </si>
  <si>
    <t>-460.455534323602 262.161286245172 745.21253984701</t>
  </si>
  <si>
    <t>-606.973028557841 98.6449754202972 -225.258366627981</t>
  </si>
  <si>
    <t>-471.826037391652 97.5465050895214 209.933194653424</t>
  </si>
  <si>
    <t>-612.606896951194 14.8647054565436 650.354885650007</t>
  </si>
  <si>
    <t>-459.942394631191 -26.2620118668385 727.462930084467</t>
  </si>
  <si>
    <t>9763-20170724T170150.794872100.bin</t>
  </si>
  <si>
    <t>-625.182859124443 192.909149447285 -237.704898427203</t>
  </si>
  <si>
    <t>-649.838337425381 172.858547820585 -354.571925280485</t>
  </si>
  <si>
    <t>-651.582752253654 152.455014314429 -474.033994075102</t>
  </si>
  <si>
    <t>-643.752357588693 133.316673907825 -581.58524246976</t>
  </si>
  <si>
    <t>-626.722299203486 113.120755047171 -687.872367414985</t>
  </si>
  <si>
    <t>-593.621582700643 83.6205418475529 -833.591506949205</t>
  </si>
  <si>
    <t>-542.852505208149 70.5950151477741 -920.974843586198</t>
  </si>
  <si>
    <t>-606.061045416627 127.853802339351 -774.926517125433</t>
  </si>
  <si>
    <t>-580.543736804484 272.660236186482 -776.288285186901</t>
  </si>
  <si>
    <t>-609.031126086051 382.263332617671 -480.71800893958</t>
  </si>
  <si>
    <t>-457.208142382989 285.411743330817 -293.070284389401</t>
  </si>
  <si>
    <t>-610.474214746735 65.4931106183819 -763.30427950639</t>
  </si>
  <si>
    <t>-419.974929686863 35.453192746229 -426.268730438206</t>
  </si>
  <si>
    <t>-643.772728353095 288.155916625619 -249.542007527653</t>
  </si>
  <si>
    <t>-625.881083309935 285.467726484972 205.793363586433</t>
  </si>
  <si>
    <t>-621.492672904865 253.321182498318 674.667418857359</t>
  </si>
  <si>
    <t>-460.54129521685 262.808717432571 745.010495615662</t>
  </si>
  <si>
    <t>-606.438170162965 97.8103466587095 -225.255581146378</t>
  </si>
  <si>
    <t>-471.736952571751 97.3135434560159 210.075238709274</t>
  </si>
  <si>
    <t>-612.546977968789 14.6214964805781 650.550675800488</t>
  </si>
  <si>
    <t>-459.768557092295 -26.0006603497454 727.700588071762</t>
  </si>
  <si>
    <t>9763-20170724T170150.861549900.bin</t>
  </si>
  <si>
    <t>-625.542921766858 191.168691802682 -237.653799424004</t>
  </si>
  <si>
    <t>-649.785069151089 170.820676388914 -354.555804770935</t>
  </si>
  <si>
    <t>-651.117408803532 150.475451063594 -474.033207200028</t>
  </si>
  <si>
    <t>-642.907654346156 131.534536329513 -581.591045933099</t>
  </si>
  <si>
    <t>-625.486571693284 111.676986122421 -687.878590676406</t>
  </si>
  <si>
    <t>-591.825393306619 82.7917230455623 -833.592617549913</t>
  </si>
  <si>
    <t>-540.716886758305 70.4578821622176 -920.878242756125</t>
  </si>
  <si>
    <t>-604.911395088031 126.786133013049 -774.888575420063</t>
  </si>
  <si>
    <t>-581.232833103458 271.922184125656 -776.089919273624</t>
  </si>
  <si>
    <t>-611.745555752552 381.050334718338 -480.546141796586</t>
  </si>
  <si>
    <t>-458.907727332587 285.700101994643 -292.953424498569</t>
  </si>
  <si>
    <t>-608.527479675375 64.3589572948049 -763.348892410456</t>
  </si>
  <si>
    <t>-418.001523885996 36.1939240479619 -425.956114441169</t>
  </si>
  <si>
    <t>-645.28242438182 286.057423539695 -249.459285684196</t>
  </si>
  <si>
    <t>-627.270022334549 284.588912522812 205.876973544253</t>
  </si>
  <si>
    <t>-621.790463972787 253.452211992794 674.867236657012</t>
  </si>
  <si>
    <t>-460.631965835385 263.723541763616 744.623634430612</t>
  </si>
  <si>
    <t>-605.763143959027 96.4743397955592 -225.187173317262</t>
  </si>
  <si>
    <t>-471.697155391568 96.9946051669697 210.339741782514</t>
  </si>
  <si>
    <t>-612.337348883221 14.515005194525 650.853327778516</t>
  </si>
  <si>
    <t>-459.66577559729 -25.948691489566 728.297431983267</t>
  </si>
  <si>
    <t>9763-20170724T170150.893637700.bin</t>
  </si>
  <si>
    <t>-625.697028344804 190.134345419364 -237.629944936024</t>
  </si>
  <si>
    <t>-649.736802074368 169.656931752399 -354.551318739798</t>
  </si>
  <si>
    <t>-650.830018261226 149.346635749628 -474.037074169044</t>
  </si>
  <si>
    <t>-642.386429226043 130.503262730778 -581.59385766004</t>
  </si>
  <si>
    <t>-624.712141638446 110.807320690636 -687.869758991249</t>
  </si>
  <si>
    <t>-590.677682924717 82.2114918054849 -833.554045018565</t>
  </si>
  <si>
    <t>-539.388429111333 70.2182962669535 -920.781237553283</t>
  </si>
  <si>
    <t>-604.138727138353 126.091853141879 -774.849508624131</t>
  </si>
  <si>
    <t>-581.466689149412 271.375195815462 -775.974437261544</t>
  </si>
  <si>
    <t>-613.021892733231 380.168169360976 -480.416351433689</t>
  </si>
  <si>
    <t>-459.623118265759 285.692600958984 -292.839051603696</t>
  </si>
  <si>
    <t>-607.335021859076 63.6366773708851 -763.33712831603</t>
  </si>
  <si>
    <t>-416.911620661024 36.3352488915225 -425.628905674224</t>
  </si>
  <si>
    <t>-646.077710514772 284.842098705934 -249.394985511285</t>
  </si>
  <si>
    <t>-628.045213564199 283.941987141508 205.941846130856</t>
  </si>
  <si>
    <t>-621.93554584404 253.385222354714 674.973565004408</t>
  </si>
  <si>
    <t>-460.679089116004 264.179776210877 744.423892008577</t>
  </si>
  <si>
    <t>-605.186803856687 95.5654049281704 -225.25421640919</t>
  </si>
  <si>
    <t>-471.740971256913 96.8011548014313 210.461700925039</t>
  </si>
  <si>
    <t>-612.241091593201 14.383793548737 651.049573688929</t>
  </si>
  <si>
    <t>-459.520581304096 -25.6942625403985 728.597674954871</t>
  </si>
  <si>
    <t>9763-20170724T170150.961823600.bin</t>
  </si>
  <si>
    <t>-626.171230512544 187.691784741364 -237.47310727879</t>
  </si>
  <si>
    <t>-649.873985308626 166.973855938755 -354.420667926713</t>
  </si>
  <si>
    <t>-650.502254245061 146.761061100371 -473.926516157459</t>
  </si>
  <si>
    <t>-641.580064252122 128.144114445385 -581.484169016082</t>
  </si>
  <si>
    <t>-623.365647120549 108.809886651559 -687.735236156268</t>
  </si>
  <si>
    <t>-588.514170734576 80.8554780150137 -833.350956079004</t>
  </si>
  <si>
    <t>-536.866681119579 69.5630228048794 -920.459933675039</t>
  </si>
  <si>
    <t>-602.783880997904 124.477598398025 -774.644603208173</t>
  </si>
  <si>
    <t>-582.242256992712 270.095632215132 -775.567517183018</t>
  </si>
  <si>
    <t>-615.88713168373 378.301954785913 -480.02460161637</t>
  </si>
  <si>
    <t>-461.262187612497 285.702752487771 -292.518481520306</t>
  </si>
  <si>
    <t>-605.085834092307 61.9713533345678 -763.196193060892</t>
  </si>
  <si>
    <t>-414.921131815132 36.8840382967223 -425.142735608628</t>
  </si>
  <si>
    <t>-647.833461475292 281.921684842472 -249.189888050846</t>
  </si>
  <si>
    <t>-629.415786681409 282.159194438759 206.13234817391</t>
  </si>
  <si>
    <t>-622.10427426798 252.91083647558 675.234495194786</t>
  </si>
  <si>
    <t>-460.703934694053 264.910952551559 744.150627930294</t>
  </si>
  <si>
    <t>-604.440121972796 93.4776621104329 -225.135750149919</t>
  </si>
  <si>
    <t>-471.759825587114 96.0998837360107 210.807718998972</t>
  </si>
  <si>
    <t>-612.042758926717 14.2126964186157 651.499196053348</t>
  </si>
  <si>
    <t>-459.279785412337 -25.2332732288792 729.287329902039</t>
  </si>
  <si>
    <t>9763-20170724T170150.996915000.bin</t>
  </si>
  <si>
    <t>-626.381987253374 186.416079706999 -237.461418906786</t>
  </si>
  <si>
    <t>-649.942285603002 165.549916145363 -354.411499319566</t>
  </si>
  <si>
    <t>-650.350362133047 145.362824826718 -473.92249238813</t>
  </si>
  <si>
    <t>-641.19407172043 126.840382076448 -581.476825873336</t>
  </si>
  <si>
    <t>-622.708811439702 107.670543574762 -687.710824759798</t>
  </si>
  <si>
    <t>-587.44175843866 80.0161070836834 -833.283755107924</t>
  </si>
  <si>
    <t>-535.607947200088 69.076808984008 -920.327225022305</t>
  </si>
  <si>
    <t>-602.109344419291 123.514914848349 -774.58419228539</t>
  </si>
  <si>
    <t>-582.639944804706 269.264707434128 -775.441944771874</t>
  </si>
  <si>
    <t>-617.353473712623 377.168774463002 -479.912100742383</t>
  </si>
  <si>
    <t>-462.169989386068 285.501058426999 -292.409749996049</t>
  </si>
  <si>
    <t>-603.98334239769 60.989779913883 -763.160415843161</t>
  </si>
  <si>
    <t>-413.94261616064 37.0184385344253 -424.807555841952</t>
  </si>
  <si>
    <t>-648.629031060455 280.54059903414 -249.154031570697</t>
  </si>
  <si>
    <t>-629.970923218061 281.449774518063 206.157579496214</t>
  </si>
  <si>
    <t>-622.232316298609 252.941958425017 675.334915932508</t>
  </si>
  <si>
    <t>-460.75671830735 265.370625308427 743.998378920127</t>
  </si>
  <si>
    <t>-604.087106431981 92.3765936510549 -225.153583885233</t>
  </si>
  <si>
    <t>-471.864301039048 95.6125761690741 210.924859516335</t>
  </si>
  <si>
    <t>-611.936843120065 14.0376624257881 651.726246109144</t>
  </si>
  <si>
    <t>-459.086212298497 -24.8377209694968 729.629396831302</t>
  </si>
  <si>
    <t>9763-20170724T170151.065097400.bin</t>
  </si>
  <si>
    <t>-626.742469439267 183.738924600088 -237.337649570394</t>
  </si>
  <si>
    <t>-649.944192939528 162.736829904178 -354.334939438631</t>
  </si>
  <si>
    <t>-649.93945085524 142.705777299493 -473.873085886361</t>
  </si>
  <si>
    <t>-640.382952869912 124.443950460219 -581.437136064292</t>
  </si>
  <si>
    <t>-621.467466036929 105.651102818987 -687.6627489416</t>
  </si>
  <si>
    <t>-585.568531479942 78.6401010400702 -833.201868298514</t>
  </si>
  <si>
    <t>-533.379160525594 68.4072583521354 -920.118738782965</t>
  </si>
  <si>
    <t>-600.946131085407 121.869976311178 -774.485470163022</t>
  </si>
  <si>
    <t>-583.457849650954 267.879642547608 -775.172455596507</t>
  </si>
  <si>
    <t>-620.139976818186 375.20121490219 -479.668345117127</t>
  </si>
  <si>
    <t>-463.870335914741 285.388541333515 -292.170181841491</t>
  </si>
  <si>
    <t>-601.959238827328 59.3134348762223 -763.125219381594</t>
  </si>
  <si>
    <t>-412.307410068817 38.036457698129 -424.399599640828</t>
  </si>
  <si>
    <t>-650.086633634673 277.465460470545 -248.907802149386</t>
  </si>
  <si>
    <t>-631.024792104294 279.639462245833 206.382893950803</t>
  </si>
  <si>
    <t>-622.418891243718 252.538252228517 675.617301974086</t>
  </si>
  <si>
    <t>-460.827190161961 266.195243010574 743.772439495507</t>
  </si>
  <si>
    <t>-603.307049027774 90.1183695558725 -225.137014550299</t>
  </si>
  <si>
    <t>-472.026001240416 94.6723758195508 211.213952317172</t>
  </si>
  <si>
    <t>-611.824869342707 13.977847325174 652.345313969273</t>
  </si>
  <si>
    <t>-458.969051908632 -24.7092046433988 730.331980850963</t>
  </si>
  <si>
    <t>9763-20170724T170151.097687600.bin</t>
  </si>
  <si>
    <t>-626.850079560886 182.442558331269 -237.276950746284</t>
  </si>
  <si>
    <t>-649.981679905016 161.357851043562 -354.273452324204</t>
  </si>
  <si>
    <t>-649.827192677769 141.394228949749 -473.822509344054</t>
  </si>
  <si>
    <t>-640.099639480705 123.256082523454 -581.392257035357</t>
  </si>
  <si>
    <t>-620.975791285493 104.648673127444 -687.613183075117</t>
  </si>
  <si>
    <t>-584.747361484074 77.95961511019 -833.130255756822</t>
  </si>
  <si>
    <t>-532.398587561635 68.0660395856703 -919.990479907038</t>
  </si>
  <si>
    <t>-600.494679757 121.052133116586 -774.410781106261</t>
  </si>
  <si>
    <t>-584.05353787197 267.189280973571 -775.006497308314</t>
  </si>
  <si>
    <t>-621.467403642623 374.191655189279 -479.478433687443</t>
  </si>
  <si>
    <t>-464.626117059835 285.491356587997 -291.928189553802</t>
  </si>
  <si>
    <t>-601.059951094851 58.4852363390416 -763.07606707802</t>
  </si>
  <si>
    <t>-411.432524033824 38.3383164171864 -424.402229009138</t>
  </si>
  <si>
    <t>-650.826610097499 276.039083803208 -248.834784240507</t>
  </si>
  <si>
    <t>-631.358984473783 278.805334411687 206.435460795247</t>
  </si>
  <si>
    <t>-622.514996263387 252.582227077082 675.707152307932</t>
  </si>
  <si>
    <t>-460.883561897453 266.638909376828 743.686592804475</t>
  </si>
  <si>
    <t>-602.807889124961 88.9983383329302 -225.138232487246</t>
  </si>
  <si>
    <t>-472.120786025947 94.1603744266633 211.384261491212</t>
  </si>
  <si>
    <t>-611.729915764481 13.7969855161259 652.594958314176</t>
  </si>
  <si>
    <t>-458.807187902134 -24.4690246923406 730.658097777346</t>
  </si>
  <si>
    <t>9763-20170724T170151.162196500.bin</t>
  </si>
  <si>
    <t>-626.901244978418 179.926945654116 -237.305142752794</t>
  </si>
  <si>
    <t>-649.704231084304 158.675372690502 -354.335933222319</t>
  </si>
  <si>
    <t>-649.173609728123 138.830325007198 -473.903715949122</t>
  </si>
  <si>
    <t>-639.081804048058 120.915297690202 -581.477220977657</t>
  </si>
  <si>
    <t>-619.566357815736 102.644014570682 -687.68533655789</t>
  </si>
  <si>
    <t>-582.762840582793 76.5373523845899 -833.163657453313</t>
  </si>
  <si>
    <t>-530.12698035661 67.2680629475972 -919.919274738789</t>
  </si>
  <si>
    <t>-599.168612318908 119.377049045183 -774.439561293297</t>
  </si>
  <si>
    <t>-584.626477525491 265.703067893521 -774.927714304487</t>
  </si>
  <si>
    <t>-623.752998707667 371.758764120668 -479.280163595165</t>
  </si>
  <si>
    <t>-465.909494300171 284.813306615959 -291.748887658971</t>
  </si>
  <si>
    <t>-598.925943379618 56.8002807138557 -763.148599083609</t>
  </si>
  <si>
    <t>-409.805463568745 38.90770922552 -425.927549365259</t>
  </si>
  <si>
    <t>-651.844454363195 273.174057293531 -248.736485311696</t>
  </si>
  <si>
    <t>-632.189586700037 277.400316698249 206.514667227317</t>
  </si>
  <si>
    <t>-622.631755631545 252.550003220845 675.806716859499</t>
  </si>
  <si>
    <t>-460.969153896453 267.568473428693 743.505733943636</t>
  </si>
  <si>
    <t>-601.810296095206 86.8907751919214 -225.226288757764</t>
  </si>
  <si>
    <t>-472.145539956669 93.0973590530718 211.587384417097</t>
  </si>
  <si>
    <t>-611.557710764338 13.7709041502908 653.101394623173</t>
  </si>
  <si>
    <t>-458.625039883293 -24.1377501425659 731.319326831483</t>
  </si>
  <si>
    <t>9763-20170724T170151.194286000.bin</t>
  </si>
  <si>
    <t>-626.877662278729 178.693547498351 -237.295222535085</t>
  </si>
  <si>
    <t>-649.601921898067 157.369178301271 -354.328025326375</t>
  </si>
  <si>
    <t>-648.941454611156 137.61153958162 -473.909687725741</t>
  </si>
  <si>
    <t>-638.707690981923 119.838986542126 -581.493463945546</t>
  </si>
  <si>
    <t>-619.023726241467 101.771228209897 -687.705349961796</t>
  </si>
  <si>
    <t>-581.957239447131 76.008535962957 -833.1781644912</t>
  </si>
  <si>
    <t>-529.194985172628 67.0519835397013 -919.88987392743</t>
  </si>
  <si>
    <t>-598.665870037916 118.699394865574 -774.430933009732</t>
  </si>
  <si>
    <t>-584.967796208486 265.111115763372 -774.791618246044</t>
  </si>
  <si>
    <t>-625.073858858465 370.848499904538 -479.161327092417</t>
  </si>
  <si>
    <t>-466.772820163949 284.774582746263 -291.61367723139</t>
  </si>
  <si>
    <t>-598.05019169095 56.116018578251 -763.190841698756</t>
  </si>
  <si>
    <t>-408.979788690016 39.3637312950045 -427.067774332371</t>
  </si>
  <si>
    <t>-652.410240797099 271.705650858819 -248.705548885925</t>
  </si>
  <si>
    <t>-632.481771206874 276.550926716027 206.527407368253</t>
  </si>
  <si>
    <t>-622.689403047742 252.490703954034 675.896675453175</t>
  </si>
  <si>
    <t>-460.996448101459 267.898811223992 743.435532100675</t>
  </si>
  <si>
    <t>-601.261117669859 85.74438317268 -225.275100871635</t>
  </si>
  <si>
    <t>-472.219431048996 92.5831440328784 211.713643241822</t>
  </si>
  <si>
    <t>-611.484613739709 13.6194997789719 653.361178787453</t>
  </si>
  <si>
    <t>-458.545210408459 -24.1380461433655 731.638999787075</t>
  </si>
  <si>
    <t>9763-20170724T170151.264161300.bin</t>
  </si>
  <si>
    <t>-626.951341675508 176.259494549656 -237.373857907279</t>
  </si>
  <si>
    <t>-649.376496225156 154.888822626155 -354.456057239374</t>
  </si>
  <si>
    <t>-648.388259425798 135.291848827605 -474.061891946285</t>
  </si>
  <si>
    <t>-637.843767248266 117.747596989334 -581.653057721691</t>
  </si>
  <si>
    <t>-617.832928210866 99.9872462476683 -687.855646185498</t>
  </si>
  <si>
    <t>-580.293905680963 74.7318215084276 -833.296265223725</t>
  </si>
  <si>
    <t>-527.332259469577 66.2923619687399 -919.938128677794</t>
  </si>
  <si>
    <t>-597.57665931591 117.194990822263 -774.550171729104</t>
  </si>
  <si>
    <t>-585.669738028531 263.755777016169 -774.842745082655</t>
  </si>
  <si>
    <t>-627.181958037944 368.454962100895 -479.037052940169</t>
  </si>
  <si>
    <t>-467.938808494878 284.024846253607 -291.539848068018</t>
  </si>
  <si>
    <t>-596.230843545625 54.6182865045912 -763.336489193511</t>
  </si>
  <si>
    <t>-407.18927211259 39.7886655551376 -428.422148996129</t>
  </si>
  <si>
    <t>-653.413756997346 268.852671952871 -248.591061542714</t>
  </si>
  <si>
    <t>-633.024621406489 274.965908319143 206.606268125536</t>
  </si>
  <si>
    <t>-622.791066164422 252.20041164755 676.053977698533</t>
  </si>
  <si>
    <t>-461.069099974992 268.676305637518 743.270525730755</t>
  </si>
  <si>
    <t>-600.346307583523 83.8217849515095 -225.523737590391</t>
  </si>
  <si>
    <t>-472.658504118514 91.4038951904474 211.850325836036</t>
  </si>
  <si>
    <t>-611.356669057178 13.5572762932502 653.920260426813</t>
  </si>
  <si>
    <t>-458.344917323773 -23.7704885017822 732.262791614782</t>
  </si>
  <si>
    <t>9763-20170724T170151.297251900.bin</t>
  </si>
  <si>
    <t>-626.958640070298 175.059923597214 -237.347189967787</t>
  </si>
  <si>
    <t>-649.287833336585 153.703304470127 -354.450129756353</t>
  </si>
  <si>
    <t>-648.219999140847 134.210724219323 -474.072412755759</t>
  </si>
  <si>
    <t>-637.608208026412 116.796260966191 -581.678017773022</t>
  </si>
  <si>
    <t>-617.533241147332 99.1991248774352 -687.895628495642</t>
  </si>
  <si>
    <t>-579.9070546244 74.2035725327187 -833.35858852096</t>
  </si>
  <si>
    <t>-526.89117532745 65.9864833542315 -919.988715303618</t>
  </si>
  <si>
    <t>-597.400613304858 116.549549639404 -774.590416482978</t>
  </si>
  <si>
    <t>-586.246807004622 263.190271647806 -774.825880991517</t>
  </si>
  <si>
    <t>-628.602689805211 367.368537571495 -478.955999786145</t>
  </si>
  <si>
    <t>-468.83010415131 283.658696032951 -291.58614753395</t>
  </si>
  <si>
    <t>-595.710364087179 53.9769532337041 -763.400965523508</t>
  </si>
  <si>
    <t>-406.520103558704 40.3316603166541 -429.021064796857</t>
  </si>
  <si>
    <t>-653.923409365494 267.339686673851 -248.456777783822</t>
  </si>
  <si>
    <t>-633.188502849 273.99616051195 206.717163065116</t>
  </si>
  <si>
    <t>-622.846885495629 251.822622687021 676.232317560462</t>
  </si>
  <si>
    <t>-461.101692464981 268.9268138643 743.235614750847</t>
  </si>
  <si>
    <t>-599.922315352961 82.8314923036712 -225.626662186963</t>
  </si>
  <si>
    <t>-472.984013884357 90.699093871742 211.960461632195</t>
  </si>
  <si>
    <t>-611.331302044475 13.4098909561735 654.245102667212</t>
  </si>
  <si>
    <t>-458.214615852479 -23.5591785946046 732.55272167354</t>
  </si>
  <si>
    <t>9763-20170724T170151.364960400.bin</t>
  </si>
  <si>
    <t>-627.070882599677 172.912737469177 -237.286451864715</t>
  </si>
  <si>
    <t>-649.253169798674 151.608725561572 -354.426965369108</t>
  </si>
  <si>
    <t>-648.040429373852 132.300400144932 -474.077625716623</t>
  </si>
  <si>
    <t>-637.296087796319 115.107139959003 -581.70572490851</t>
  </si>
  <si>
    <t>-617.085050003878 97.7838254487697 -687.942472287728</t>
  </si>
  <si>
    <t>-579.264322959922 73.2230472842195 -833.429197257886</t>
  </si>
  <si>
    <t>-526.221382020225 65.3530218464919 -920.074973471906</t>
  </si>
  <si>
    <t>-597.171244595505 115.367912028544 -774.640816429439</t>
  </si>
  <si>
    <t>-587.553653981229 262.104565847665 -774.74357101023</t>
  </si>
  <si>
    <t>-631.033272584052 365.535953584098 -478.774526972119</t>
  </si>
  <si>
    <t>-470.293051781623 283.273180074259 -291.591595049375</t>
  </si>
  <si>
    <t>-594.82638779946 52.8129880034783 -763.470760705653</t>
  </si>
  <si>
    <t>-405.492962075624 41.5657640329641 -428.864346606568</t>
  </si>
  <si>
    <t>-654.762376331266 264.713979194175 -248.176059171489</t>
  </si>
  <si>
    <t>-633.145398755236 272.459450959482 206.939680909925</t>
  </si>
  <si>
    <t>-622.965608667171 251.385431873407 676.495830947005</t>
  </si>
  <si>
    <t>-461.189826549019 269.463430696725 743.168825952736</t>
  </si>
  <si>
    <t>-599.331043584997 81.2108145579164 -225.722730839988</t>
  </si>
  <si>
    <t>-473.457776158044 89.2464978900509 212.168746834116</t>
  </si>
  <si>
    <t>-611.352356869421 13.2637962915819 654.929969195876</t>
  </si>
  <si>
    <t>-458.129903697915 -23.5213074040259 733.117216216687</t>
  </si>
  <si>
    <t>9763-20170724T170151.393040700.bin</t>
  </si>
  <si>
    <t>-626.960748102489 171.947599536134 -237.187871153223</t>
  </si>
  <si>
    <t>-649.062398240158 150.647847081204 -354.344440773587</t>
  </si>
  <si>
    <t>-647.80552327009 131.424562620676 -474.008371640344</t>
  </si>
  <si>
    <t>-637.0341188683 114.343061433891 -581.651385424663</t>
  </si>
  <si>
    <t>-616.806873625368 97.1667434713427 -687.909148642243</t>
  </si>
  <si>
    <t>-578.972756517754 72.8474794715535 -833.432904858746</t>
  </si>
  <si>
    <t>-525.94906513828 65.1376330600742 -920.104888826631</t>
  </si>
  <si>
    <t>-597.038199198142 114.88201139066 -774.613932292461</t>
  </si>
  <si>
    <t>-588.08143405406 261.668559220287 -774.650462255873</t>
  </si>
  <si>
    <t>-632.080467232005 364.562483295933 -478.570974520957</t>
  </si>
  <si>
    <t>-470.80112628554 282.705987953102 -291.673868096591</t>
  </si>
  <si>
    <t>-594.388125381703 52.3340465904466 -763.472305584645</t>
  </si>
  <si>
    <t>-405.045830576416 42.4383180935813 -428.99192987825</t>
  </si>
  <si>
    <t>-654.849927847845 263.467746170185 -248.002312637268</t>
  </si>
  <si>
    <t>-633.053520136593 271.794150401702 207.094686403991</t>
  </si>
  <si>
    <t>-622.987087687509 251.089785776925 676.600459419858</t>
  </si>
  <si>
    <t>-461.229212991973 269.768866337277 743.151024100066</t>
  </si>
  <si>
    <t>-598.927929405915 80.4954536380112 -225.662355599867</t>
  </si>
  <si>
    <t>-473.463695011874 88.483607648823 212.347451533424</t>
  </si>
  <si>
    <t>-611.354372062935 13.2257163291235 655.250152232678</t>
  </si>
  <si>
    <t>-458.066483454432 -23.3643264978368 733.400645616868</t>
  </si>
  <si>
    <t>9763-20170724T170151.461724500.bin</t>
  </si>
  <si>
    <t>-626.440628273948 170.021808001861 -236.994026954923</t>
  </si>
  <si>
    <t>-648.603118264649 148.702651015802 -354.135595585019</t>
  </si>
  <si>
    <t>-647.387989460468 129.594449022006 -473.818226878697</t>
  </si>
  <si>
    <t>-636.64180194661 112.676346626097 -581.489762128397</t>
  </si>
  <si>
    <t>-616.423825054498 95.7244737202675 -687.785180873979</t>
  </si>
  <si>
    <t>-578.583149112741 71.7818817723989 -833.36967775473</t>
  </si>
  <si>
    <t>-525.648370266344 64.3500722961696 -920.12023944363</t>
  </si>
  <si>
    <t>-596.923905143187 113.63939771743 -774.509761671258</t>
  </si>
  <si>
    <t>-589.321161511395 260.501287447108 -774.416024305264</t>
  </si>
  <si>
    <t>-633.924316954312 362.531221514452 -478.127924401136</t>
  </si>
  <si>
    <t>-471.799276063729 281.632742404026 -291.545590341392</t>
  </si>
  <si>
    <t>-593.729078132894 51.1119601849628 -763.396223787001</t>
  </si>
  <si>
    <t>-404.768456023849 43.5780794160648 -429.097623206911</t>
  </si>
  <si>
    <t>-654.983079149578 261.211668100328 -247.747949572941</t>
  </si>
  <si>
    <t>-632.421876937317 270.380124306713 207.295538068161</t>
  </si>
  <si>
    <t>-623.021897503168 250.64930754207 676.820404047788</t>
  </si>
  <si>
    <t>-461.287544204082 270.084745090192 743.211462501574</t>
  </si>
  <si>
    <t>-597.811650215317 78.8822459107557 -225.638337148082</t>
  </si>
  <si>
    <t>-473.373760667061 87.2121782078368 212.657708059771</t>
  </si>
  <si>
    <t>-611.306462339367 13.0781943726192 655.724263845894</t>
  </si>
  <si>
    <t>-458.015422083002 -23.5083124052255 733.870238622442</t>
  </si>
  <si>
    <t>9763-20170724T170151.494815100.bin</t>
  </si>
  <si>
    <t>-626.034585249233 169.217373418739 -236.957787429939</t>
  </si>
  <si>
    <t>-648.168085310864 147.84963836066 -354.095762069664</t>
  </si>
  <si>
    <t>-646.957888848386 128.785513820131 -473.785650463216</t>
  </si>
  <si>
    <t>-636.226728267322 111.946621001288 -581.471178974498</t>
  </si>
  <si>
    <t>-616.031992049742 95.1129202099687 -687.78980781577</t>
  </si>
  <si>
    <t>-578.229680728091 71.3757591784258 -833.417810221202</t>
  </si>
  <si>
    <t>-525.336820693378 64.0873254385153 -920.206084179305</t>
  </si>
  <si>
    <t>-596.648319341344 113.141409738533 -774.516886648735</t>
  </si>
  <si>
    <t>-589.489376951296 260.013030337729 -774.31624345035</t>
  </si>
  <si>
    <t>-634.459979124319 361.510033426354 -477.900639302038</t>
  </si>
  <si>
    <t>-471.856341385489 281.051816663724 -291.544565122731</t>
  </si>
  <si>
    <t>-593.263698644943 50.6162403649635 -763.446812525802</t>
  </si>
  <si>
    <t>-404.214157552724 43.9069813480664 -428.43689670357</t>
  </si>
  <si>
    <t>-654.711564489192 260.311595448289 -247.690990267527</t>
  </si>
  <si>
    <t>-631.979163531731 270.100556091115 207.33112302097</t>
  </si>
  <si>
    <t>-623.048911332644 250.687825148179 676.835130507866</t>
  </si>
  <si>
    <t>-461.347220498023 270.411801015852 743.22082095489</t>
  </si>
  <si>
    <t>-597.212951992701 78.1618019784714 -225.563290308765</t>
  </si>
  <si>
    <t>-473.03748714976 86.7224798700845 212.802758210175</t>
  </si>
  <si>
    <t>-611.235825965115 13.0755411322148 655.855511322614</t>
  </si>
  <si>
    <t>-458.01312405742 -23.6482158491544 734.071144427531</t>
  </si>
  <si>
    <t>9763-20170724T170151.561996100.bin</t>
  </si>
  <si>
    <t>-624.997013433862 167.786323382306 -236.905653415637</t>
  </si>
  <si>
    <t>-647.139483603525 146.359770663423 -354.031432259642</t>
  </si>
  <si>
    <t>-645.978533533697 127.414812094367 -473.740591777915</t>
  </si>
  <si>
    <t>-635.301793346517 110.757491687233 -581.45968530319</t>
  </si>
  <si>
    <t>-615.166794443662 94.1788438394417 -687.829615106897</t>
  </si>
  <si>
    <t>-577.44870165278 70.8725852251507 -833.549132442754</t>
  </si>
  <si>
    <t>-524.652458830657 63.870145747336 -920.419818954261</t>
  </si>
  <si>
    <t>-596.004409275003 112.446636847823 -774.556025342187</t>
  </si>
  <si>
    <t>-589.536794340623 259.365611063365 -774.00896792783</t>
  </si>
  <si>
    <t>-634.897790444054 360.022228066189 -477.366404901437</t>
  </si>
  <si>
    <t>-471.598589898952 280.29677766991 -291.303850497389</t>
  </si>
  <si>
    <t>-592.271215468631 49.9229877714051 -763.589682029369</t>
  </si>
  <si>
    <t>-403.656579752442 45.6044797540774 -427.713538674544</t>
  </si>
  <si>
    <t>-654.088298539141 258.731066631789 -247.602342008463</t>
  </si>
  <si>
    <t>-631.055541633945 269.231445117267 207.388793200707</t>
  </si>
  <si>
    <t>-623.049299454755 250.386927534784 676.91972340931</t>
  </si>
  <si>
    <t>-461.408334721389 270.701749642359 743.274964196647</t>
  </si>
  <si>
    <t>-595.769962934694 76.901384481255 -225.605240412761</t>
  </si>
  <si>
    <t>-472.47229241666 85.7836364593982 213.002151085204</t>
  </si>
  <si>
    <t>-611.063396961258 12.6916989090505 656.084464171166</t>
  </si>
  <si>
    <t>-457.743207887604 -23.4259773476233 734.39114029439</t>
  </si>
  <si>
    <t>9763-20170724T170151.593581800.bin</t>
  </si>
  <si>
    <t>-624.515425433077 167.209341210771 -236.855308172856</t>
  </si>
  <si>
    <t>-646.666522164766 145.761416892222 -353.975437699743</t>
  </si>
  <si>
    <t>-645.509504365694 126.84753601536 -473.689617011465</t>
  </si>
  <si>
    <t>-634.832803086429 110.242291748132 -581.416700434377</t>
  </si>
  <si>
    <t>-614.692968571622 93.7413759249405 -687.797982584593</t>
  </si>
  <si>
    <t>-576.962057211698 70.5704760145836 -833.535669614284</t>
  </si>
  <si>
    <t>-524.217102145699 63.7015775857381 -920.448021637329</t>
  </si>
  <si>
    <t>-595.595485460946 112.082298846479 -774.523054975506</t>
  </si>
  <si>
    <t>-589.525799348549 259.009867326738 -773.909276123976</t>
  </si>
  <si>
    <t>-634.950521482049 359.291084706325 -477.149390954589</t>
  </si>
  <si>
    <t>-471.260760929312 280.069081869432 -291.215039580419</t>
  </si>
  <si>
    <t>-591.718094891321 49.5635956695496 -763.579465082134</t>
  </si>
  <si>
    <t>-403.210476425066 45.1832132580771 -426.907315328335</t>
  </si>
  <si>
    <t>-653.813401630302 258.05901881926 -247.561208512648</t>
  </si>
  <si>
    <t>-630.550050193364 268.845993185417 207.411512732709</t>
  </si>
  <si>
    <t>-623.009597644316 250.283872972265 676.928938784293</t>
  </si>
  <si>
    <t>-461.418310113602 270.789447155154 743.346526385154</t>
  </si>
  <si>
    <t>-595.112128391023 76.4317042497019 -225.504476366464</t>
  </si>
  <si>
    <t>-471.977963177302 85.4250622773409 213.146541303641</t>
  </si>
  <si>
    <t>-610.988565055403 12.6496378262179 656.175520026498</t>
  </si>
  <si>
    <t>-457.740632601273 -23.6275886418341 734.549897435161</t>
  </si>
  <si>
    <t>9763-20170724T170151.660842100.bin</t>
  </si>
  <si>
    <t>-623.541095043484 166.432061147988 -236.881802508827</t>
  </si>
  <si>
    <t>-645.707550933813 144.839730468183 -353.972395299229</t>
  </si>
  <si>
    <t>-644.570712578793 125.95987749195 -473.692320520587</t>
  </si>
  <si>
    <t>-633.907853818583 109.459628633621 -581.436878247115</t>
  </si>
  <si>
    <t>-613.773640284206 93.1378535497208 -687.846651257533</t>
  </si>
  <si>
    <t>-576.038475344928 70.293035053458 -833.634844146502</t>
  </si>
  <si>
    <t>-523.377104175014 63.6665361966566 -920.616781780898</t>
  </si>
  <si>
    <t>-594.75848587604 111.66372428499 -774.550636168053</t>
  </si>
  <si>
    <t>-589.015574507971 258.60662217716 -773.630256998462</t>
  </si>
  <si>
    <t>-635.035118026869 358.290367672337 -476.760593363559</t>
  </si>
  <si>
    <t>-470.739762639621 279.665128354899 -291.107311054514</t>
  </si>
  <si>
    <t>-590.711806794051 49.1384152432465 -763.705535870722</t>
  </si>
  <si>
    <t>-401.679940931324 45.319111611356 -426.192295228873</t>
  </si>
  <si>
    <t>-653.02665713572 257.289095502265 -247.623174773914</t>
  </si>
  <si>
    <t>-629.856826837542 268.641489585312 207.340477363314</t>
  </si>
  <si>
    <t>-623.042369015189 250.436549225909 676.892581278984</t>
  </si>
  <si>
    <t>-461.517540305167 271.172428903755 743.400314528257</t>
  </si>
  <si>
    <t>-593.962669597009 75.6672562646509 -225.476496074464</t>
  </si>
  <si>
    <t>-471.324602944072 85.0785870406992 213.3047503897</t>
  </si>
  <si>
    <t>-610.806483028663 12.8432130615838 656.201880556032</t>
  </si>
  <si>
    <t>-457.72055146847 -23.680106081556 734.778311315117</t>
  </si>
  <si>
    <t>9763-20170724T170151.693935500.bin</t>
  </si>
  <si>
    <t>-623.050576243996 166.126971869543 -236.879704067213</t>
  </si>
  <si>
    <t>-645.080090726526 144.556176978374 -354.000227169385</t>
  </si>
  <si>
    <t>-643.829179302626 125.716063829757 -473.725108523298</t>
  </si>
  <si>
    <t>-633.073534865953 109.260301554031 -581.467274463155</t>
  </si>
  <si>
    <t>-612.856914997338 92.9922616797203 -687.869753721148</t>
  </si>
  <si>
    <t>-575.017859832934 70.2323258611459 -833.644344342302</t>
  </si>
  <si>
    <t>-522.367812168841 63.6831718577291 -920.63889294927</t>
  </si>
  <si>
    <t>-593.819595933383 111.56445823272 -774.55902739744</t>
  </si>
  <si>
    <t>-588.270141186198 258.497368651937 -773.561390391476</t>
  </si>
  <si>
    <t>-634.26181746463 358.116245574436 -476.66582542218</t>
  </si>
  <si>
    <t>-469.891869691539 279.765695822063 -290.962475290842</t>
  </si>
  <si>
    <t>-589.701323854691 49.0414093733762 -763.728213304124</t>
  </si>
  <si>
    <t>-400.883149387267 45.0985204781891 -426.470843692994</t>
  </si>
  <si>
    <t>-652.574215413114 256.974195772727 -247.638016775703</t>
  </si>
  <si>
    <t>-629.655547160898 268.553593275637 207.332657547587</t>
  </si>
  <si>
    <t>-623.061982450612 250.457380141776 676.883479960665</t>
  </si>
  <si>
    <t>-461.556284288344 271.319180002221 743.398177456922</t>
  </si>
  <si>
    <t>-593.318332834158 75.4319995065043 -225.485875701232</t>
  </si>
  <si>
    <t>-471.018869158313 84.7711185327896 213.391437520411</t>
  </si>
  <si>
    <t>-610.748832096717 12.5682981327152 656.29673179202</t>
  </si>
  <si>
    <t>-457.563769421181 -23.5220761391995 734.880033957728</t>
  </si>
  <si>
    <t>9763-20170724T170151.764628200.bin</t>
  </si>
  <si>
    <t>-622.298015201331 165.866344514356 -236.855225075121</t>
  </si>
  <si>
    <t>-644.242037251849 144.24328831857 -353.982163655634</t>
  </si>
  <si>
    <t>-642.932849750038 125.458752039475 -473.715203139288</t>
  </si>
  <si>
    <t>-632.132396061818 109.093935990462 -581.466653175573</t>
  </si>
  <si>
    <t>-611.877024335617 92.9547852284718 -687.881452581184</t>
  </si>
  <si>
    <t>-573.988629814395 70.4113857741181 -833.676737661779</t>
  </si>
  <si>
    <t>-521.384296478218 63.9684553508785 -920.70698149786</t>
  </si>
  <si>
    <t>-592.836648920797 111.652923853281 -774.54287356333</t>
  </si>
  <si>
    <t>-587.118783043964 258.59485303176 -773.062250248166</t>
  </si>
  <si>
    <t>-633.33002197967 358.272153623465 -476.220186052868</t>
  </si>
  <si>
    <t>-468.874674078233 280.563307029743 -290.322768005384</t>
  </si>
  <si>
    <t>-588.669507732055 49.1193700545687 -763.790851302689</t>
  </si>
  <si>
    <t>-399.567989335751 44.3664295577375 -427.412841759077</t>
  </si>
  <si>
    <t>-652.12018319039 256.680705636305 -247.655025363964</t>
  </si>
  <si>
    <t>-629.440637035608 268.501349151655 207.321475112597</t>
  </si>
  <si>
    <t>-623.139500479554 250.722591698388 676.878057151678</t>
  </si>
  <si>
    <t>-461.663965920341 271.646023597754 743.446598317471</t>
  </si>
  <si>
    <t>-592.412372709169 75.0620725979568 -225.381616327767</t>
  </si>
  <si>
    <t>-470.361025530542 84.5288804492563 213.562034659871</t>
  </si>
  <si>
    <t>-610.594382986461 12.3063585012542 656.290245885519</t>
  </si>
  <si>
    <t>-457.434503018828 -23.618312258958 734.998451572782</t>
  </si>
  <si>
    <t>9763-20170724T170151.797737100.bin</t>
  </si>
  <si>
    <t>-621.8732614684 165.82554690764 -236.946289556022</t>
  </si>
  <si>
    <t>-643.673778840144 144.19121571323 -354.097882826954</t>
  </si>
  <si>
    <t>-642.283375546317 125.416879960496 -473.83156558581</t>
  </si>
  <si>
    <t>-631.434821373422 109.065207409291 -581.580252168802</t>
  </si>
  <si>
    <t>-611.156329383956 92.9398860975361 -687.992775988638</t>
  </si>
  <si>
    <t>-573.261354892063 70.4137709598845 -833.788957300324</t>
  </si>
  <si>
    <t>-520.685657924877 63.9652649563507 -920.83602502886</t>
  </si>
  <si>
    <t>-592.105028813933 111.648980033624 -774.64934801394</t>
  </si>
  <si>
    <t>-586.238490027044 258.577002058614 -772.990674999464</t>
  </si>
  <si>
    <t>-632.417243849309 358.382023844115 -476.18658587044</t>
  </si>
  <si>
    <t>-468.128081402671 280.87029632664 -290.060060779025</t>
  </si>
  <si>
    <t>-587.952384386394 49.1127376785162 -763.907994233568</t>
  </si>
  <si>
    <t>-398.565114718798 43.8958097750524 -428.074425828495</t>
  </si>
  <si>
    <t>-651.800543803623 256.680042523931 -247.708208486878</t>
  </si>
  <si>
    <t>-629.506421767276 268.639540548718 207.283684799086</t>
  </si>
  <si>
    <t>-623.208852122007 250.985167856747 676.820707785598</t>
  </si>
  <si>
    <t>-461.748403260162 271.917475701854 743.423090493434</t>
  </si>
  <si>
    <t>-591.801459135594 75.077765519691 -225.494065771283</t>
  </si>
  <si>
    <t>-470.230112032261 84.4089359904988 213.58567982651</t>
  </si>
  <si>
    <t>-610.521124136738 12.1680748453659 656.330236182889</t>
  </si>
  <si>
    <t>-457.322649480979 -23.5180069246653 735.071878755325</t>
  </si>
  <si>
    <t>9763-20170724T170151.862798200.bin</t>
  </si>
  <si>
    <t>-621.012802538234 165.978807887899 -236.934401808476</t>
  </si>
  <si>
    <t>-642.566763968865 144.370090670593 -354.136288518062</t>
  </si>
  <si>
    <t>-641.059852906101 125.625498744106 -473.873302285579</t>
  </si>
  <si>
    <t>-630.159595020473 109.295453241483 -581.619924966655</t>
  </si>
  <si>
    <t>-609.882641520726 93.1821457686026 -688.034521029537</t>
  </si>
  <si>
    <t>-572.044457509416 70.6586772622709 -833.846010094617</t>
  </si>
  <si>
    <t>-519.520761614119 64.146094986128 -920.919753098793</t>
  </si>
  <si>
    <t>-590.840596857995 111.895528334326 -774.692462680476</t>
  </si>
  <si>
    <t>-584.629585695649 258.803488261455 -772.662543053438</t>
  </si>
  <si>
    <t>-631.059593855136 359.005427554135 -476.031395178809</t>
  </si>
  <si>
    <t>-467.102751817973 282.051090954701 -289.381363965869</t>
  </si>
  <si>
    <t>-586.732775454069 49.3537089318436 -763.965534437535</t>
  </si>
  <si>
    <t>-396.809999294973 43.4525148982318 -428.586776885879</t>
  </si>
  <si>
    <t>-651.188169814224 256.660118832207 -247.768095760042</t>
  </si>
  <si>
    <t>-629.619554750085 268.785795879512 207.254255327875</t>
  </si>
  <si>
    <t>-623.294541610669 251.221853571799 676.808065476079</t>
  </si>
  <si>
    <t>-461.85293025799 272.311565031151 743.406546029465</t>
  </si>
  <si>
    <t>-590.756650050399 75.3288554535789 -225.450565931917</t>
  </si>
  <si>
    <t>-469.379392299171 84.4822599152058 213.686607948416</t>
  </si>
  <si>
    <t>-610.328389848584 12.3454968055848 656.251711035495</t>
  </si>
  <si>
    <t>-457.461752832496 -24.1928438189761 735.246967162189</t>
  </si>
  <si>
    <t>9763-20170724T170151.897365900.bin</t>
  </si>
  <si>
    <t>-620.627301120134 166.012891726675 -236.972712842751</t>
  </si>
  <si>
    <t>-642.178940222001 144.363094686975 -354.167507702663</t>
  </si>
  <si>
    <t>-640.656656550957 125.624870440508 -473.905214076322</t>
  </si>
  <si>
    <t>-629.735582831754 109.316644184144 -581.653218951292</t>
  </si>
  <si>
    <t>-609.430284213754 93.2393434688565 -688.067729568675</t>
  </si>
  <si>
    <t>-571.544578284898 70.7789783165531 -833.876554963742</t>
  </si>
  <si>
    <t>-519.041007591016 64.2485314617329 -920.961132383316</t>
  </si>
  <si>
    <t>-590.35967506916 111.990175794145 -774.711211289328</t>
  </si>
  <si>
    <t>-584.087532533731 258.888624158218 -772.486361698679</t>
  </si>
  <si>
    <t>-630.796440135558 359.454526747616 -476.022230445598</t>
  </si>
  <si>
    <t>-466.990238105186 282.929262207061 -289.06389323901</t>
  </si>
  <si>
    <t>-586.255990405307 49.44379891982 -764.010296189669</t>
  </si>
  <si>
    <t>-396.553807121274 43.5319193419425 -428.865732775611</t>
  </si>
  <si>
    <t>-650.921354529258 256.686934194261 -247.797133830223</t>
  </si>
  <si>
    <t>-629.607824794494 268.923549068337 207.234293591432</t>
  </si>
  <si>
    <t>-623.344269269662 251.399008889545 676.761080753046</t>
  </si>
  <si>
    <t>-461.918820298548 272.461362246368 743.407249499244</t>
  </si>
  <si>
    <t>-590.287031852537 75.381317009743 -225.449134906439</t>
  </si>
  <si>
    <t>-468.983986351038 84.4956637524233 213.709424068075</t>
  </si>
  <si>
    <t>-610.182663925285 12.2942413599151 656.146597360975</t>
  </si>
  <si>
    <t>-457.342040595169 -24.0329118133898 735.289447554108</t>
  </si>
  <si>
    <t>9763-20170724T170151.964919900.bin</t>
  </si>
  <si>
    <t>-619.656775006562 166.124838949313 -237.015406276216</t>
  </si>
  <si>
    <t>-641.201715347532 144.402132126605 -354.197964467414</t>
  </si>
  <si>
    <t>-639.650672991816 125.669745036236 -473.936207332843</t>
  </si>
  <si>
    <t>-628.692209083811 109.398631945703 -581.686058184425</t>
  </si>
  <si>
    <t>-608.336966574567 93.3893476652013 -688.101408591987</t>
  </si>
  <si>
    <t>-570.36808209009 71.0546952995439 -833.9079010595</t>
  </si>
  <si>
    <t>-517.882512276661 64.5470555818667 -921.004868734436</t>
  </si>
  <si>
    <t>-589.256495967809 112.210538461326 -774.727281335434</t>
  </si>
  <si>
    <t>-583.090748360616 259.106056554641 -772.295821784128</t>
  </si>
  <si>
    <t>-630.581415353814 360.721530317848 -476.314078019616</t>
  </si>
  <si>
    <t>-466.749032040541 285.007878011468 -289.048412484921</t>
  </si>
  <si>
    <t>-585.079838554695 49.6635235907497 -764.058712712353</t>
  </si>
  <si>
    <t>-395.850161597033 44.2542170491949 -429.49747686594</t>
  </si>
  <si>
    <t>-650.222950461782 256.740272395551 -247.883197394715</t>
  </si>
  <si>
    <t>-629.1466236799 269.059046870904 207.157139683767</t>
  </si>
  <si>
    <t>-623.343558705365 251.463727062369 676.724814743302</t>
  </si>
  <si>
    <t>-461.960690609717 272.571930160066 743.459585965065</t>
  </si>
  <si>
    <t>-588.96050641052 75.5678133528334 -225.474748279836</t>
  </si>
  <si>
    <t>-468.019803869506 84.4430706044484 213.788507365087</t>
  </si>
  <si>
    <t>-609.907066101018 12.052307892945 655.959387864139</t>
  </si>
  <si>
    <t>-457.210322516086 -24.2415388931595 735.394735116094</t>
  </si>
  <si>
    <t>9763-20170724T170151.995523900.bin</t>
  </si>
  <si>
    <t>-619.030336248111 166.042992516838 -237.052708362034</t>
  </si>
  <si>
    <t>-640.549927236636 144.243266162974 -354.225658334089</t>
  </si>
  <si>
    <t>-638.970679285582 125.481700850547 -473.958920678326</t>
  </si>
  <si>
    <t>-627.984085795833 109.203319307459 -581.704811943046</t>
  </si>
  <si>
    <t>-607.597356010787 93.2054936887064 -688.11579981079</t>
  </si>
  <si>
    <t>-569.58070461684 70.9053894502331 -833.91515245692</t>
  </si>
  <si>
    <t>-517.099711413531 64.4116801615114 -921.016087902179</t>
  </si>
  <si>
    <t>-588.494993362506 112.046532632415 -774.732658836128</t>
  </si>
  <si>
    <t>-582.457072428925 258.968112275119 -772.25827095312</t>
  </si>
  <si>
    <t>-630.857308206619 361.454015493141 -476.724295231242</t>
  </si>
  <si>
    <t>-466.80506591382 286.977656030195 -289.155143003347</t>
  </si>
  <si>
    <t>-584.308863548741 49.4983232919562 -764.074288716429</t>
  </si>
  <si>
    <t>-395.521773083367 44.1202751136129 -429.727684922107</t>
  </si>
  <si>
    <t>-649.739926443594 256.73644300124 -247.970724857961</t>
  </si>
  <si>
    <t>-628.904261228497 269.274815332446 207.074737743746</t>
  </si>
  <si>
    <t>-623.356930244128 251.796325912798 676.592300998374</t>
  </si>
  <si>
    <t>-462.029144186937 272.808493528467 743.490333412218</t>
  </si>
  <si>
    <t>-588.161067224801 75.2523920009551 -225.494982535192</t>
  </si>
  <si>
    <t>-467.43359552031 84.6256280347397 213.816593786131</t>
  </si>
  <si>
    <t>-609.710627013659 12.2427551010971 655.742808756598</t>
  </si>
  <si>
    <t>-457.145561441328 -24.0993050443167 735.408797127604</t>
  </si>
  <si>
    <t>9763-20170724T170152.062956300.bin</t>
  </si>
  <si>
    <t>-617.676137986625 165.851900563871 -237.33544840641</t>
  </si>
  <si>
    <t>-639.074164727469 144.05514490632 -354.531168010778</t>
  </si>
  <si>
    <t>-637.364862619923 125.309777226388 -474.265216030062</t>
  </si>
  <si>
    <t>-626.258264398665 109.046938722776 -582.001140439449</t>
  </si>
  <si>
    <t>-605.749957685804 93.0628338518632 -688.390809054355</t>
  </si>
  <si>
    <t>-567.563656929847 70.7777961469424 -834.148073737981</t>
  </si>
  <si>
    <t>-515.05025556892 64.2802314444834 -921.229154507248</t>
  </si>
  <si>
    <t>-586.563150790783 111.910976090139 -774.987455576667</t>
  </si>
  <si>
    <t>-580.534857256201 258.832355342937 -772.522745251554</t>
  </si>
  <si>
    <t>-631.301298474789 363.903318539662 -478.296571574215</t>
  </si>
  <si>
    <t>-467.039844176712 290.349109660905 -290.546845506206</t>
  </si>
  <si>
    <t>-582.356701051885 49.3653471863001 -764.32264979128</t>
  </si>
  <si>
    <t>-394.283965834421 44.4095017495044 -429.463503331814</t>
  </si>
  <si>
    <t>-648.759479067834 256.670675626418 -248.227947562377</t>
  </si>
  <si>
    <t>-628.411354890579 269.408260396383 206.834086238083</t>
  </si>
  <si>
    <t>-623.329808066442 252.11844691412 676.425341360563</t>
  </si>
  <si>
    <t>-462.082760344909 273.173567841491 743.504294511147</t>
  </si>
  <si>
    <t>-586.48983023947 75.2495217557018 -225.768348467684</t>
  </si>
  <si>
    <t>-466.607881831486 84.8787397957392 213.769221990229</t>
  </si>
  <si>
    <t>-609.519361146151 12.2664097371937 655.572833232957</t>
  </si>
  <si>
    <t>-457.062593605285 -24.2682085075598 735.357972158174</t>
  </si>
  <si>
    <t>9763-20170724T170152.100041000.bin</t>
  </si>
  <si>
    <t>-617.22907910009 165.722590775854 -237.384689543477</t>
  </si>
  <si>
    <t>-638.59144815551 143.930165098878 -354.587747696901</t>
  </si>
  <si>
    <t>-636.843222132584 125.173848738616 -474.31958964152</t>
  </si>
  <si>
    <t>-625.701091450094 108.8926569816 -582.048976730223</t>
  </si>
  <si>
    <t>-605.157553979199 92.8805518694314 -688.427585637376</t>
  </si>
  <si>
    <t>-566.923421337287 70.5453298857592 -834.164647960838</t>
  </si>
  <si>
    <t>-514.390254653256 63.9844418359921 -921.229112147399</t>
  </si>
  <si>
    <t>-585.947964879223 111.698387149402 -775.025754540596</t>
  </si>
  <si>
    <t>-579.833414796417 258.618992830946 -772.549011065901</t>
  </si>
  <si>
    <t>-631.799274816755 364.737261478789 -478.908724691727</t>
  </si>
  <si>
    <t>-467.323953356783 292.074962834977 -290.998742190868</t>
  </si>
  <si>
    <t>-581.733729569389 49.157556288782 -764.335435527474</t>
  </si>
  <si>
    <t>-394.237617216208 44.6604397078363 -429.175814774118</t>
  </si>
  <si>
    <t>-648.471873904017 256.556114874375 -248.302400156301</t>
  </si>
  <si>
    <t>-628.218321356612 269.593574783155 206.755312144824</t>
  </si>
  <si>
    <t>-623.304253340041 252.451617800398 676.28728403876</t>
  </si>
  <si>
    <t>-462.115959838674 273.445074567788 743.526553992462</t>
  </si>
  <si>
    <t>-585.909982661753 75.0326425848218 -225.802986446655</t>
  </si>
  <si>
    <t>-466.245453640062 84.8507515669221 213.789680203176</t>
  </si>
  <si>
    <t>-609.445813438611 12.1747578194525 655.444027230635</t>
  </si>
  <si>
    <t>-456.977817900872 -24.1773594351232 735.291052391868</t>
  </si>
  <si>
    <t>9763-20170724T170152.162207000.bin</t>
  </si>
  <si>
    <t>-616.438967238973 165.430288806875 -237.705850106266</t>
  </si>
  <si>
    <t>-637.773129228549 143.626664021681 -354.911819750399</t>
  </si>
  <si>
    <t>-635.903657858663 124.844097436467 -474.637727351615</t>
  </si>
  <si>
    <t>-624.615910388727 108.528374207325 -582.346801249384</t>
  </si>
  <si>
    <t>-603.893253749424 92.4673762289858 -688.683435695267</t>
  </si>
  <si>
    <t>-565.378284256697 70.0461394941558 -834.33327658396</t>
  </si>
  <si>
    <t>-512.814903292029 63.3569524955935 -921.36963988519</t>
  </si>
  <si>
    <t>-584.542297825396 111.231187711618 -775.26164450192</t>
  </si>
  <si>
    <t>-578.457310326468 258.148063360022 -772.795995094842</t>
  </si>
  <si>
    <t>-632.933176274114 367.188402829831 -480.685173110031</t>
  </si>
  <si>
    <t>-468.342985784519 295.946218276207 -292.332600949828</t>
  </si>
  <si>
    <t>-580.297693210902 48.7022980463664 -764.513542497553</t>
  </si>
  <si>
    <t>-393.720728875801 45.3666065091261 -428.684880971248</t>
  </si>
  <si>
    <t>-647.845213081836 256.378407508012 -248.610994530184</t>
  </si>
  <si>
    <t>-628.269261113637 269.96334474509 206.46026748596</t>
  </si>
  <si>
    <t>-623.294410430262 253.276818947633 675.968276006462</t>
  </si>
  <si>
    <t>-462.225575210258 274.135052221453 743.535158777651</t>
  </si>
  <si>
    <t>-584.909000575661 74.6528470113121 -226.079468422378</t>
  </si>
  <si>
    <t>-465.642496164738 84.7525960808252 213.614921136159</t>
  </si>
  <si>
    <t>-609.307016106848 12.1775207494177 655.186958491941</t>
  </si>
  <si>
    <t>-456.990682646576 -24.46913796186 735.18867328679</t>
  </si>
  <si>
    <t>9763-20170724T170152.198813600.bin</t>
  </si>
  <si>
    <t>-616.185150708301 165.225713035782 -237.832700275517</t>
  </si>
  <si>
    <t>-637.480897334427 143.425262260596 -355.046382061917</t>
  </si>
  <si>
    <t>-635.511589069464 124.632546197163 -474.768932657923</t>
  </si>
  <si>
    <t>-624.110341725647 108.298590076502 -582.463322424773</t>
  </si>
  <si>
    <t>-603.252678641331 92.208386311806 -688.769017541288</t>
  </si>
  <si>
    <t>-564.529890923278 69.7332019436394 -834.355404234779</t>
  </si>
  <si>
    <t>-511.938156045701 62.9982177177592 -921.371236027119</t>
  </si>
  <si>
    <t>-583.800095123672 110.937749407101 -775.332098057588</t>
  </si>
  <si>
    <t>-577.826785442155 257.850367944121 -772.93501803375</t>
  </si>
  <si>
    <t>-633.923522445439 368.068184261819 -481.573864499919</t>
  </si>
  <si>
    <t>-469.234402646081 297.804642879811 -292.940376949281</t>
  </si>
  <si>
    <t>-579.526960923581 48.4176695897881 -764.543788602582</t>
  </si>
  <si>
    <t>-393.649519421393 45.7342176026809 -428.527489041999</t>
  </si>
  <si>
    <t>-647.814186802853 256.13337066911 -248.733165180859</t>
  </si>
  <si>
    <t>-628.441862952288 269.951618342351 206.339760846309</t>
  </si>
  <si>
    <t>-623.289683671091 253.622773621267 675.850297915269</t>
  </si>
  <si>
    <t>-462.256546318314 274.32095365943 743.551278433349</t>
  </si>
  <si>
    <t>-584.447224758883 74.4215923879044 -226.234010164721</t>
  </si>
  <si>
    <t>-465.431924733496 84.720877960008 213.523788195834</t>
  </si>
  <si>
    <t>-609.291663634845 12.1668517993705 655.08408086291</t>
  </si>
  <si>
    <t>-457.021358831055 -24.6180671284094 735.109877692319</t>
  </si>
  <si>
    <t>9763-20170724T170152.262486000.bin</t>
  </si>
  <si>
    <t>-615.857244128153 164.380037323871 -238.187063373077</t>
  </si>
  <si>
    <t>-637.049194931738 142.622062114464 -355.427462664167</t>
  </si>
  <si>
    <t>-634.767070313751 123.888392710295 -475.153832616802</t>
  </si>
  <si>
    <t>-623.001317749761 107.602303547431 -582.816187521586</t>
  </si>
  <si>
    <t>-601.702317670376 91.5460019767131 -689.039409297303</t>
  </si>
  <si>
    <t>-562.29235953354 69.0965530236156 -834.445415701663</t>
  </si>
  <si>
    <t>-509.568384154675 62.3315946556615 -921.37863230938</t>
  </si>
  <si>
    <t>-581.906888561445 110.283319592842 -775.523028006369</t>
  </si>
  <si>
    <t>-576.232243004986 257.206083923547 -773.181981787222</t>
  </si>
  <si>
    <t>-636.066865491066 369.335118465717 -483.297372085887</t>
  </si>
  <si>
    <t>-471.278648439681 301.353627339391 -293.91580620176</t>
  </si>
  <si>
    <t>-577.553174956954 47.776216952343 -764.69252178698</t>
  </si>
  <si>
    <t>-393.733334057879 45.8697290401947 -428.087527587169</t>
  </si>
  <si>
    <t>-647.948150704296 255.345727166874 -248.97060153401</t>
  </si>
  <si>
    <t>-628.845577800758 269.759093179955 206.095328300488</t>
  </si>
  <si>
    <t>-623.336888566001 254.255047061494 675.672705429536</t>
  </si>
  <si>
    <t>-462.345452779993 274.9414053894 743.476532788579</t>
  </si>
  <si>
    <t>-583.605949059706 73.5156063003778 -226.699835193269</t>
  </si>
  <si>
    <t>-465.50229255202 84.3234918153983 213.291585776188</t>
  </si>
  <si>
    <t>-609.221931751772 11.6535088631297 654.844010168496</t>
  </si>
  <si>
    <t>-456.7587908175 -24.2271427377557 734.913267639404</t>
  </si>
  <si>
    <t>9763-20170724T170152.298096100.bin</t>
  </si>
  <si>
    <t>-615.715952575736 163.83633033598 -238.339212315541</t>
  </si>
  <si>
    <t>-636.792487360294 142.16693560091 -355.616779896892</t>
  </si>
  <si>
    <t>-634.302671381431 123.523980059341 -475.353110350459</t>
  </si>
  <si>
    <t>-622.314202902813 107.314080907562 -583.002381771868</t>
  </si>
  <si>
    <t>-600.760423685926 91.3232752750996 -689.184178069785</t>
  </si>
  <si>
    <t>-560.966373625567 68.9496518590811 -834.49720415956</t>
  </si>
  <si>
    <t>-508.12627839218 62.1937141269252 -921.360778895212</t>
  </si>
  <si>
    <t>-580.789805213849 110.099568232785 -775.619155194915</t>
  </si>
  <si>
    <t>-575.319090139315 257.028232776463 -773.314257125683</t>
  </si>
  <si>
    <t>-636.97242075354 369.93613665459 -484.113921786802</t>
  </si>
  <si>
    <t>-472.207779199727 302.85134858143 -294.392255109853</t>
  </si>
  <si>
    <t>-576.358214664929 47.599010459176 -764.782366376669</t>
  </si>
  <si>
    <t>-393.585007021874 46.0407076521126 -427.845557822476</t>
  </si>
  <si>
    <t>-648.023257505579 254.610803442537 -249.012714941723</t>
  </si>
  <si>
    <t>-629.033824644112 269.382959901116 206.046515612131</t>
  </si>
  <si>
    <t>-623.318798071507 254.224796052655 675.657042790851</t>
  </si>
  <si>
    <t>-462.335974583674 275.150603445039 743.407709316607</t>
  </si>
  <si>
    <t>-583.205811639153 73.226009640789 -226.954652864613</t>
  </si>
  <si>
    <t>-465.575776557672 84.2712074651895 213.157609518476</t>
  </si>
  <si>
    <t>-609.193761559415 11.7361646713 654.746409259277</t>
  </si>
  <si>
    <t>-456.814187124922 -24.3789434423745 734.869292108664</t>
  </si>
  <si>
    <t>9763-20170724T170152.363761200.bin</t>
  </si>
  <si>
    <t>-615.811721213301 162.893237928846 -238.466058129578</t>
  </si>
  <si>
    <t>-636.786017405387 141.278348203422 -355.772109731885</t>
  </si>
  <si>
    <t>-633.95159605938 122.77980509078 -475.523273889905</t>
  </si>
  <si>
    <t>-621.554479094838 106.724127599627 -583.149292161258</t>
  </si>
  <si>
    <t>-599.498956344009 90.9022940907873 -689.253290140477</t>
  </si>
  <si>
    <t>-558.916626353878 68.7707758373995 -834.385343071521</t>
  </si>
  <si>
    <t>-505.848878135452 62.0751672319282 -921.114538109598</t>
  </si>
  <si>
    <t>-579.20061968215 109.80600781523 -775.583946905593</t>
  </si>
  <si>
    <t>-574.173478939005 256.750253930662 -773.173393391756</t>
  </si>
  <si>
    <t>-639.598847157465 370.987768149025 -485.327179499139</t>
  </si>
  <si>
    <t>-474.972906433006 305.123861013534 -295.058174119509</t>
  </si>
  <si>
    <t>-574.545486051033 47.3205459711658 -764.753749406473</t>
  </si>
  <si>
    <t>-393.974678760574 46.2915533164369 -427.661147104069</t>
  </si>
  <si>
    <t>-648.789140039791 253.220893925072 -248.99845119152</t>
  </si>
  <si>
    <t>-629.582825352472 268.680391397435 206.02884623188</t>
  </si>
  <si>
    <t>-623.356788627096 254.342290908531 675.646659105051</t>
  </si>
  <si>
    <t>-462.414453267671 275.757156569118 743.340750552918</t>
  </si>
  <si>
    <t>-582.806532587205 72.6489297220096 -227.214762739053</t>
  </si>
  <si>
    <t>-465.786056815916 84.3367803403983 213.04343564579</t>
  </si>
  <si>
    <t>-609.242473587475 11.7937266050653 654.649220872304</t>
  </si>
  <si>
    <t>-456.842449822141 -24.6229717131744 734.59653372757</t>
  </si>
  <si>
    <t>9763-20170724T170152.396349000.bin</t>
  </si>
  <si>
    <t>-615.892895031857 162.235925048524 -238.540949297503</t>
  </si>
  <si>
    <t>-636.751370353591 140.622115710495 -355.867752070872</t>
  </si>
  <si>
    <t>-633.693695040485 122.191775928564 -475.623861566602</t>
  </si>
  <si>
    <t>-621.051706019948 106.219438128664 -583.233835287441</t>
  </si>
  <si>
    <t>-598.710098991072 90.4981445189385 -689.293103378591</t>
  </si>
  <si>
    <t>-557.689812899539 68.5206702760602 -834.325337867537</t>
  </si>
  <si>
    <t>-504.500675439202 61.8916658351495 -920.985259088356</t>
  </si>
  <si>
    <t>-578.244786159386 109.482171938919 -775.566677143921</t>
  </si>
  <si>
    <t>-573.598433497939 256.446790414373 -773.117779422898</t>
  </si>
  <si>
    <t>-640.476275505657 371.017589167895 -485.738199777728</t>
  </si>
  <si>
    <t>-475.970365478849 305.486965352771 -295.250277975115</t>
  </si>
  <si>
    <t>-573.43520086813 47.0079869528752 -764.739341694876</t>
  </si>
  <si>
    <t>-393.479630048372 46.6551294930637 -427.921664492074</t>
  </si>
  <si>
    <t>-649.133827993322 252.313517485214 -248.967921314807</t>
  </si>
  <si>
    <t>-629.94331188042 268.175233924601 206.046138210148</t>
  </si>
  <si>
    <t>-623.35492475928 254.101807044072 675.733654098547</t>
  </si>
  <si>
    <t>-462.413531821703 276.028706388913 743.265747957662</t>
  </si>
  <si>
    <t>-582.512102959923 72.24345407894 -227.392314965551</t>
  </si>
  <si>
    <t>-466.036789773767 84.2972368566066 213.000624321997</t>
  </si>
  <si>
    <t>-609.279307632956 11.8368336206031 654.618482684016</t>
  </si>
  <si>
    <t>-456.806074619623 -24.5468373640022 734.441128174821</t>
  </si>
  <si>
    <t>9763-20170724T170152.464039100.bin</t>
  </si>
  <si>
    <t>-616.116614788535 160.553472369521 -238.488271978158</t>
  </si>
  <si>
    <t>-636.787461871334 138.953945478782 -355.850814366707</t>
  </si>
  <si>
    <t>-633.335257004863 120.656279944991 -475.616617704209</t>
  </si>
  <si>
    <t>-620.253994462105 104.845332675081 -583.197985614982</t>
  </si>
  <si>
    <t>-597.393750782866 89.3210408892503 -689.175476151758</t>
  </si>
  <si>
    <t>-555.574836982472 67.6491250143099 -834.025593562738</t>
  </si>
  <si>
    <t>-502.150746268465 61.1668535482718 -920.552033310058</t>
  </si>
  <si>
    <t>-576.671371718796 108.459206894579 -775.353787166624</t>
  </si>
  <si>
    <t>-572.926641619523 255.439217455551 -772.857387998415</t>
  </si>
  <si>
    <t>-642.053833550092 370.066425153894 -486.032997238204</t>
  </si>
  <si>
    <t>-477.95273879931 304.74437679189 -295.125004554855</t>
  </si>
  <si>
    <t>-571.485473043766 46.0171646236593 -764.514116765155</t>
  </si>
  <si>
    <t>-393.478317874481 46.5859734239802 -428.359874262672</t>
  </si>
  <si>
    <t>-650.116142008064 250.207829042096 -248.834052953017</t>
  </si>
  <si>
    <t>-630.852805399249 266.7873552764 206.151324951351</t>
  </si>
  <si>
    <t>-623.370397528623 253.817451122346 675.835330547893</t>
  </si>
  <si>
    <t>-462.435569496239 276.41047132781 743.163168428157</t>
  </si>
  <si>
    <t>-582.088852035066 70.938662100109 -227.485397866454</t>
  </si>
  <si>
    <t>-465.968994830754 83.867189122733 212.976436895844</t>
  </si>
  <si>
    <t>-609.236770618348 11.7694096525074 654.532336586942</t>
  </si>
  <si>
    <t>-456.784937245321 -24.7230733159756 734.346175695162</t>
  </si>
  <si>
    <t>9763-20170724T170152.496619100.bin</t>
  </si>
  <si>
    <t>-616.259870606656 159.651953360381 -238.502188885706</t>
  </si>
  <si>
    <t>-636.901430137189 137.978338246222 -355.856126402795</t>
  </si>
  <si>
    <t>-633.30985116576 119.742543294838 -475.627332765016</t>
  </si>
  <si>
    <t>-620.054869595354 104.036306387005 -583.202787502085</t>
  </si>
  <si>
    <t>-596.972991898179 88.6606796769909 -689.154019926126</t>
  </si>
  <si>
    <t>-554.797265124134 67.2368742195433 -833.937379740215</t>
  </si>
  <si>
    <t>-501.264194422374 60.8760990426708 -920.405470953051</t>
  </si>
  <si>
    <t>-576.130299346886 107.93447366912 -775.273012876748</t>
  </si>
  <si>
    <t>-572.751852461679 254.928257463328 -772.624498035686</t>
  </si>
  <si>
    <t>-642.99320308659 369.257649480489 -485.951961130678</t>
  </si>
  <si>
    <t>-479.031748715752 303.791508099964 -294.973136865799</t>
  </si>
  <si>
    <t>-570.787146012472 45.4979741574409 -764.477581899975</t>
  </si>
  <si>
    <t>-393.425419126455 46.8452830101658 -428.093145387345</t>
  </si>
  <si>
    <t>-650.565311782157 249.122889225249 -248.774888893049</t>
  </si>
  <si>
    <t>-631.275443753193 266.166636029433 206.192364594126</t>
  </si>
  <si>
    <t>-623.38906433924 253.672768400914 675.904270851093</t>
  </si>
  <si>
    <t>-462.446658694015 276.650975134254 743.083661992328</t>
  </si>
  <si>
    <t>-581.904369045344 70.2019674072376 -227.53183477689</t>
  </si>
  <si>
    <t>-465.916820226393 83.5276635878054 212.953029059679</t>
  </si>
  <si>
    <t>-609.215374623675 11.6257986502462 654.519226541164</t>
  </si>
  <si>
    <t>-456.739544024147 -24.7493770954441 734.340787337141</t>
  </si>
  <si>
    <t>9763-20170724T170152.563236200.bin</t>
  </si>
  <si>
    <t>-616.346221869541 157.316973414627 -238.502282678275</t>
  </si>
  <si>
    <t>-636.816363229305 135.66219995068 -355.889794154567</t>
  </si>
  <si>
    <t>-632.979374047022 117.59726183462 -475.679244902054</t>
  </si>
  <si>
    <t>-619.470393975317 102.101102746732 -583.253430794262</t>
  </si>
  <si>
    <t>-596.102255723101 86.9852333681231 -689.179343345666</t>
  </si>
  <si>
    <t>-553.495670473009 65.9697429117559 -833.896456966657</t>
  </si>
  <si>
    <t>-499.831533427636 59.7850187391248 -920.296085082042</t>
  </si>
  <si>
    <t>-575.184365247463 106.477367947806 -775.230908298365</t>
  </si>
  <si>
    <t>-572.595895970698 253.489187169504 -772.35033216304</t>
  </si>
  <si>
    <t>-644.555877729995 366.732652328277 -485.673093533983</t>
  </si>
  <si>
    <t>-480.816929309377 300.938909076975 -294.616062303367</t>
  </si>
  <si>
    <t>-569.511177015664 44.0594934963856 -764.496458882304</t>
  </si>
  <si>
    <t>-393.50201723291 47.5211095946956 -427.246323193679</t>
  </si>
  <si>
    <t>-651.292280965943 246.585134056755 -248.666763790294</t>
  </si>
  <si>
    <t>-631.923018196986 264.502990772351 206.263364203613</t>
  </si>
  <si>
    <t>-623.421982953178 253.353065814606 676.035636002917</t>
  </si>
  <si>
    <t>-462.461028504329 276.951039895886 742.955207522735</t>
  </si>
  <si>
    <t>-581.242480941617 68.0618834165593 -227.748669290018</t>
  </si>
  <si>
    <t>-465.939167944586 82.4833844574482 212.881374902283</t>
  </si>
  <si>
    <t>-609.072952453603 11.2467771197908 654.512139861352</t>
  </si>
  <si>
    <t>-456.562706202731 -24.4569290550062 734.570769752798</t>
  </si>
  <si>
    <t>9763-20170724T170152.593315200.bin</t>
  </si>
  <si>
    <t>-616.344104345103 156.213856356371 -238.513975305041</t>
  </si>
  <si>
    <t>-636.881259464858 134.494911070674 -355.878090683934</t>
  </si>
  <si>
    <t>-633.013517401806 116.459999075056 -475.670937372176</t>
  </si>
  <si>
    <t>-619.434427615959 101.028692005114 -583.245735179881</t>
  </si>
  <si>
    <t>-595.953264978186 86.0144670851164 -689.160973086576</t>
  </si>
  <si>
    <t>-553.145602453795 65.1766440983934 -833.844487434132</t>
  </si>
  <si>
    <t>-499.446435479145 59.114591707598 -920.231106727404</t>
  </si>
  <si>
    <t>-575.025270757557 105.596971951945 -775.189561364976</t>
  </si>
  <si>
    <t>-572.904071752255 252.603720443672 -772.176217397407</t>
  </si>
  <si>
    <t>-645.534341150921 365.083912533809 -485.3673652886</t>
  </si>
  <si>
    <t>-481.694191811898 299.510292701847 -294.321565409051</t>
  </si>
  <si>
    <t>-569.148070915733 43.1964945215072 -764.463520587898</t>
  </si>
  <si>
    <t>-393.833831344079 47.6925927813895 -426.753000600087</t>
  </si>
  <si>
    <t>-651.61560404083 245.342305897948 -248.622926643424</t>
  </si>
  <si>
    <t>-632.072535973069 263.843886899865 206.276370585672</t>
  </si>
  <si>
    <t>-623.443056545237 253.321826405157 676.059707958446</t>
  </si>
  <si>
    <t>-462.498427137914 277.334262621477 742.871082149459</t>
  </si>
  <si>
    <t>-581.051712425913 67.1542457792859 -227.788403661928</t>
  </si>
  <si>
    <t>-465.844703682867 81.8928432731132 212.85632487665</t>
  </si>
  <si>
    <t>-609.013264123884 11.2244423131849 654.534760769267</t>
  </si>
  <si>
    <t>-456.660062439494 -24.8027558252948 734.747325671917</t>
  </si>
  <si>
    <t>9763-20170724T170152.661509200.bin</t>
  </si>
  <si>
    <t>-616.43729753816 153.91928494926 -238.603581097134</t>
  </si>
  <si>
    <t>-636.986600724246 132.15401186621 -355.956916351272</t>
  </si>
  <si>
    <t>-633.042101556737 114.22425529939 -475.763198336553</t>
  </si>
  <si>
    <t>-619.353940913959 98.9528051933387 -583.346931622948</t>
  </si>
  <si>
    <t>-595.722383762904 84.1635237431358 -689.260575755813</t>
  </si>
  <si>
    <t>-552.661799339819 63.7065558173974 -833.923249543632</t>
  </si>
  <si>
    <t>-498.964351809149 57.9306808250897 -920.330357085403</t>
  </si>
  <si>
    <t>-574.90660981393 103.934130021028 -775.273218112532</t>
  </si>
  <si>
    <t>-573.900660038914 250.953326655846 -772.073613619778</t>
  </si>
  <si>
    <t>-647.549089494383 362.252457465738 -485.063875810136</t>
  </si>
  <si>
    <t>-483.175244255541 297.643448200889 -294.147754569175</t>
  </si>
  <si>
    <t>-568.522958224427 41.5820469421344 -764.555670028914</t>
  </si>
  <si>
    <t>-394.01348558898 48.1347949342146 -425.681468698696</t>
  </si>
  <si>
    <t>-652.253538117237 242.917319615334 -248.550966512603</t>
  </si>
  <si>
    <t>-632.367767273112 262.442366415333 206.29078324946</t>
  </si>
  <si>
    <t>-623.503539960687 253.246707228271 676.130969405909</t>
  </si>
  <si>
    <t>-462.546751368788 277.689190860295 742.7567279888</t>
  </si>
  <si>
    <t>-580.550661800159 65.000329793399 -228.006489133868</t>
  </si>
  <si>
    <t>-465.886095842199 80.5570553098844 212.751582955121</t>
  </si>
  <si>
    <t>-608.839222081499 10.8278011412938 654.654113570296</t>
  </si>
  <si>
    <t>-456.635035379701 -25.0709306698482 735.206400730197</t>
  </si>
  <si>
    <t>9763-20170724T170152.695602000.bin</t>
  </si>
  <si>
    <t>-616.48356370769 152.659274337303 -238.621604532458</t>
  </si>
  <si>
    <t>-637.029427359825 130.911291741079 -355.978842053226</t>
  </si>
  <si>
    <t>-633.036964766756 113.056647766493 -475.794620540288</t>
  </si>
  <si>
    <t>-619.286384582134 97.8778740373098 -583.383530441878</t>
  </si>
  <si>
    <t>-595.573017561189 83.2058053479054 -689.295075042174</t>
  </si>
  <si>
    <t>-552.378519156753 62.9374282281406 -833.944428519483</t>
  </si>
  <si>
    <t>-498.68296797649 57.3216041188343 -920.363318768465</t>
  </si>
  <si>
    <t>-574.805350730058 103.069129781296 -775.298036654306</t>
  </si>
  <si>
    <t>-574.398329755047 250.076828073692 -772.044478854572</t>
  </si>
  <si>
    <t>-648.608836775648 361.082579539898 -485.06585249439</t>
  </si>
  <si>
    <t>-483.902905427835 297.322590758402 -294.150538888618</t>
  </si>
  <si>
    <t>-568.176125428498 40.7419570635857 -764.585034757566</t>
  </si>
  <si>
    <t>-394.116766997781 47.7550234007649 -425.433512179781</t>
  </si>
  <si>
    <t>-652.608172377956 241.571885546366 -248.484958902574</t>
  </si>
  <si>
    <t>-632.535722730088 261.581467180597 206.327442971175</t>
  </si>
  <si>
    <t>-623.530695010644 253.162022417741 676.188432592604</t>
  </si>
  <si>
    <t>-462.557080794091 277.763368089195 742.715019402886</t>
  </si>
  <si>
    <t>-580.282662944485 63.850027474806 -228.132679115807</t>
  </si>
  <si>
    <t>-465.976300822853 79.6219501043543 212.710913099021</t>
  </si>
  <si>
    <t>-608.764004917299 10.5640266145958 654.761106602881</t>
  </si>
  <si>
    <t>-456.479653417575 -24.7342083488795 735.427170990918</t>
  </si>
  <si>
    <t>9763-20170724T170152.764789300.bin</t>
  </si>
  <si>
    <t>-616.611105607326 150.171863019866 -238.632054843303</t>
  </si>
  <si>
    <t>-637.033410440482 128.430361629218 -356.011850847444</t>
  </si>
  <si>
    <t>-632.986599514988 110.694845798192 -475.843555066119</t>
  </si>
  <si>
    <t>-619.211526831557 95.6688492471251 -583.450856895156</t>
  </si>
  <si>
    <t>-595.495436541993 81.1919375702876 -689.388642569136</t>
  </si>
  <si>
    <t>-552.316678415664 61.2378880716967 -834.086294523198</t>
  </si>
  <si>
    <t>-498.703352606654 55.8979563399839 -920.573802769626</t>
  </si>
  <si>
    <t>-574.923323599103 101.212931258269 -775.402060025551</t>
  </si>
  <si>
    <t>-575.420055712386 248.23940454233 -772.052502996871</t>
  </si>
  <si>
    <t>-650.798472869541 358.73573597924 -485.181665663288</t>
  </si>
  <si>
    <t>-485.345499234359 296.694963036699 -294.345910445768</t>
  </si>
  <si>
    <t>-567.920583994224 38.9209293294837 -764.722150682663</t>
  </si>
  <si>
    <t>-394.108684746009 47.0385681482928 -425.474218210093</t>
  </si>
  <si>
    <t>-653.290399003587 238.988955597204 -248.35371343597</t>
  </si>
  <si>
    <t>-632.918845309488 259.876331664004 206.405976215427</t>
  </si>
  <si>
    <t>-623.587567145503 253.016136256195 676.28742692652</t>
  </si>
  <si>
    <t>-462.606791391908 277.944550400466 742.674781738961</t>
  </si>
  <si>
    <t>-579.787656641892 61.297790690543 -228.222008317827</t>
  </si>
  <si>
    <t>-466.224614464892 78.0900476161034 212.775863900585</t>
  </si>
  <si>
    <t>-608.779931708399 10.4014113304231 655.155314455961</t>
  </si>
  <si>
    <t>-456.45279033231 -24.8073065058013 735.779795462766</t>
  </si>
  <si>
    <t>9763-20170724T170152.796382400.bin</t>
  </si>
  <si>
    <t>-616.589353314877 148.803291792636 -238.624574398865</t>
  </si>
  <si>
    <t>-636.963417259418 127.071406684928 -356.014721313844</t>
  </si>
  <si>
    <t>-632.930097270531 109.37766809352 -475.853083058271</t>
  </si>
  <si>
    <t>-619.19083073523 94.4014877745688 -583.471834884802</t>
  </si>
  <si>
    <t>-595.532472856468 79.9855798094152 -689.430718545565</t>
  </si>
  <si>
    <t>-552.455077064331 60.1269111854542 -834.171753229016</t>
  </si>
  <si>
    <t>-498.908872096316 54.8932528403168 -920.707405488992</t>
  </si>
  <si>
    <t>-575.092089711089 100.051814541246 -775.465073701864</t>
  </si>
  <si>
    <t>-575.941415369609 247.058662952735 -772.088544080087</t>
  </si>
  <si>
    <t>-651.721043082473 357.590717189559 -485.337248266381</t>
  </si>
  <si>
    <t>-486.03751209971 296.301183722923 -294.458734170519</t>
  </si>
  <si>
    <t>-567.938863563917 37.7757334509802 -764.791788843742</t>
  </si>
  <si>
    <t>-393.830978143632 46.1922099460639 -425.572001727975</t>
  </si>
  <si>
    <t>-653.54270289419 237.626097805632 -248.280470752651</t>
  </si>
  <si>
    <t>-633.063073122061 258.969183679503 206.453260176366</t>
  </si>
  <si>
    <t>-623.616317671311 252.958007072868 676.341426324429</t>
  </si>
  <si>
    <t>-462.627280600738 278.014986869649 742.66020842816</t>
  </si>
  <si>
    <t>-579.52412617826 59.9453060740984 -228.319158940099</t>
  </si>
  <si>
    <t>-466.494699517479 77.2675927351386 212.795299333665</t>
  </si>
  <si>
    <t>-608.789638801568 10.4691439145461 655.364609916797</t>
  </si>
  <si>
    <t>-456.435527854264 -24.7467266064523 735.93497198608</t>
  </si>
  <si>
    <t>9763-20170724T170152.864064100.bin</t>
  </si>
  <si>
    <t>-616.721642542478 146.331432674138 -238.570482475549</t>
  </si>
  <si>
    <t>-637.067491005457 124.694888542863 -355.983125234846</t>
  </si>
  <si>
    <t>-633.143567832448 107.104532021258 -475.840348058997</t>
  </si>
  <si>
    <t>-619.557580928737 92.2309521520824 -583.492780785152</t>
  </si>
  <si>
    <t>-596.103704304071 77.9294867699546 -689.512680080066</t>
  </si>
  <si>
    <t>-553.359599527983 58.2455425063993 -834.3763349096</t>
  </si>
  <si>
    <t>-500.006100991733 53.1718468687093 -921.040258955343</t>
  </si>
  <si>
    <t>-576.003879032763 98.076207525937 -775.608331757334</t>
  </si>
  <si>
    <t>-577.531256451824 245.098194811369 -772.269202936048</t>
  </si>
  <si>
    <t>-653.77571470844 355.942169889004 -485.761705741299</t>
  </si>
  <si>
    <t>-487.894514452041 295.471086361347 -294.793762404584</t>
  </si>
  <si>
    <t>-568.54117584365 35.8340260961313 -764.949009801477</t>
  </si>
  <si>
    <t>-393.985615335847 45.5636942646377 -426.249886734023</t>
  </si>
  <si>
    <t>-653.974786609542 235.158725565878 -248.126698374432</t>
  </si>
  <si>
    <t>-633.242499560514 257.290440301443 206.557936753964</t>
  </si>
  <si>
    <t>-623.614991934221 252.772890226914 676.423697963346</t>
  </si>
  <si>
    <t>-462.642846343491 278.089829767389 742.68475893237</t>
  </si>
  <si>
    <t>-579.402004614518 57.600213014277 -228.310345765189</t>
  </si>
  <si>
    <t>-466.642585404742 75.4179766849049 212.8535007251</t>
  </si>
  <si>
    <t>-608.865749966041 10.317123903721 655.807885124964</t>
  </si>
  <si>
    <t>-456.349224422885 -24.5559810527279 736.219904595486</t>
  </si>
  <si>
    <t>9763-20170724T170152.896150100.bin</t>
  </si>
  <si>
    <t>-616.832176992241 145.215864725292 -238.475180454806</t>
  </si>
  <si>
    <t>-637.239732169101 123.540233969159 -355.869867827071</t>
  </si>
  <si>
    <t>-633.387640738447 105.933889158137 -475.727122710543</t>
  </si>
  <si>
    <t>-619.86905692736 91.0576520973364 -583.38752073621</t>
  </si>
  <si>
    <t>-596.483733820765 76.7665996015357 -689.424216882476</t>
  </si>
  <si>
    <t>-553.835043912837 57.1115165469353 -834.319819513814</t>
  </si>
  <si>
    <t>-500.583462750858 52.0831793236755 -921.049222337244</t>
  </si>
  <si>
    <t>-576.493520910037 96.9216865454669 -775.543366886617</t>
  </si>
  <si>
    <t>-578.250902121634 243.923532785678 -772.245681569512</t>
  </si>
  <si>
    <t>-654.863571835031 355.127918054559 -485.976035256376</t>
  </si>
  <si>
    <t>-488.973277060259 294.85193885486 -294.954403494189</t>
  </si>
  <si>
    <t>-568.917948761494 34.695045184837 -764.872606849766</t>
  </si>
  <si>
    <t>-393.91026149161 44.8058967336037 -426.381126390302</t>
  </si>
  <si>
    <t>-654.118228804525 234.005073047877 -248.040251960914</t>
  </si>
  <si>
    <t>-633.311192640336 256.654840270928 206.615379063944</t>
  </si>
  <si>
    <t>-623.62244646969 252.741225667293 676.452909474808</t>
  </si>
  <si>
    <t>-462.646360264336 278.049512144768 742.707732568854</t>
  </si>
  <si>
    <t>-579.468115636235 56.4405298335075 -228.226637544459</t>
  </si>
  <si>
    <t>-466.683711560644 74.5218619193074 212.920066043067</t>
  </si>
  <si>
    <t>-608.870494644686 10.0071352990969 655.958478741429</t>
  </si>
  <si>
    <t>-456.248226840935 -24.5660138308901 736.299321783887</t>
  </si>
  <si>
    <t>9763-20170724T170152.963342300.bin</t>
  </si>
  <si>
    <t>-616.792459002896 143.18739565914 -238.512575707133</t>
  </si>
  <si>
    <t>-637.302285498721 121.578019637426 -355.901641455504</t>
  </si>
  <si>
    <t>-633.63018213367 103.957864817236 -475.7625331945</t>
  </si>
  <si>
    <t>-620.306426457907 89.0397340391387 -583.441491854603</t>
  </si>
  <si>
    <t>-597.147054223783 74.6795610090733 -689.518333064445</t>
  </si>
  <si>
    <t>-554.843287180248 54.9022384411965 -834.498476744545</t>
  </si>
  <si>
    <t>-501.79397355313 49.8373991139003 -921.349432770668</t>
  </si>
  <si>
    <t>-577.413238514887 94.7531378825133 -775.715726320396</t>
  </si>
  <si>
    <t>-579.480228443064 241.771057097197 -772.656742267315</t>
  </si>
  <si>
    <t>-656.89390704037 353.105889202562 -486.653448915519</t>
  </si>
  <si>
    <t>-491.142719514112 293.308247768037 -295.360915906958</t>
  </si>
  <si>
    <t>-569.709508862917 32.5530956465182 -764.98277194903</t>
  </si>
  <si>
    <t>-394.751780965731 43.8332510288246 -427.197907039191</t>
  </si>
  <si>
    <t>-654.277617086409 231.964932061578 -247.950667473645</t>
  </si>
  <si>
    <t>-633.150842563968 255.407128206345 206.650132112237</t>
  </si>
  <si>
    <t>-623.622733767603 252.612600505169 676.513828316821</t>
  </si>
  <si>
    <t>-462.673877131377 278.181601469375 742.734663145291</t>
  </si>
  <si>
    <t>-579.174379056095 54.473047414459 -228.420587411069</t>
  </si>
  <si>
    <t>-467.135008601403 73.2827527041195 212.885506394644</t>
  </si>
  <si>
    <t>-608.857238403656 10.0653830797598 656.24695710293</t>
  </si>
  <si>
    <t>-456.231550015192 -24.4045208052917 736.625667049882</t>
  </si>
  <si>
    <t>9763-20170724T170152.995449500.bin</t>
  </si>
  <si>
    <t>-616.820118812066 142.278388222923 -238.439812777901</t>
  </si>
  <si>
    <t>-637.319151137417 120.660688674857 -355.829296868019</t>
  </si>
  <si>
    <t>-633.694055644697 103.017368699337 -475.688102704089</t>
  </si>
  <si>
    <t>-620.435930197419 88.0721346334039 -583.371437299871</t>
  </si>
  <si>
    <t>-597.364520251488 73.6787782095516 -689.462844164551</t>
  </si>
  <si>
    <t>-555.205148609248 53.8491028192568 -834.477961495356</t>
  </si>
  <si>
    <t>-502.241431520501 48.7370694198958 -921.378411983693</t>
  </si>
  <si>
    <t>-577.713165536697 93.7218238931562 -775.686178535799</t>
  </si>
  <si>
    <t>-579.783569747611 240.714243165227 -772.666894632983</t>
  </si>
  <si>
    <t>-657.853249223692 352.483839052795 -487.011726946538</t>
  </si>
  <si>
    <t>-492.159844843544 292.879433609968 -295.608874596402</t>
  </si>
  <si>
    <t>-570.005569351248 31.5243145882698 -764.940469902281</t>
  </si>
  <si>
    <t>-394.728428044033 43.1654120703336 -427.104834590258</t>
  </si>
  <si>
    <t>-654.30385060007 231.047527801479 -247.889600970139</t>
  </si>
  <si>
    <t>-633.091596596606 254.927703977995 206.684324127098</t>
  </si>
  <si>
    <t>-623.62948829321 252.6009542207 676.530003109164</t>
  </si>
  <si>
    <t>-462.692642468829 278.274775473842 742.739378599189</t>
  </si>
  <si>
    <t>-579.190587454564 53.560393931896 -228.339521842768</t>
  </si>
  <si>
    <t>-467.177838454891 72.6731556014413 212.960287179638</t>
  </si>
  <si>
    <t>-608.864141551515 9.89983976565372 656.424003752178</t>
  </si>
  <si>
    <t>-456.169332696696 -24.376294176652 736.754282329829</t>
  </si>
  <si>
    <t>9763-20170724T170153.058433600.bin</t>
  </si>
  <si>
    <t>-616.637185646979 140.79444022967 -238.318953509096</t>
  </si>
  <si>
    <t>-637.194592771938 119.152593604211 -355.693590239745</t>
  </si>
  <si>
    <t>-633.716629966443 101.44030988656 -475.54667096849</t>
  </si>
  <si>
    <t>-620.626765303634 86.4140824199328 -583.239376431353</t>
  </si>
  <si>
    <t>-597.757435814553 71.9212608213481 -689.361002816451</t>
  </si>
  <si>
    <t>-555.912489544386 51.9340479541188 -834.445592507962</t>
  </si>
  <si>
    <t>-503.103261766634 46.7106033041298 -921.433348447702</t>
  </si>
  <si>
    <t>-578.277854857282 91.8731795060173 -775.644409643747</t>
  </si>
  <si>
    <t>-580.384756112964 238.886643246718 -772.813378438512</t>
  </si>
  <si>
    <t>-659.967613435718 351.521401571993 -487.916602646421</t>
  </si>
  <si>
    <t>-494.311186880098 292.249412688472 -296.37847653301</t>
  </si>
  <si>
    <t>-570.577297945112 29.6823730872461 -764.855855267184</t>
  </si>
  <si>
    <t>-395.937804969683 42.2764125198748 -426.933109741515</t>
  </si>
  <si>
    <t>-654.24242793679 229.490641691692 -247.772001011066</t>
  </si>
  <si>
    <t>-632.947079804123 254.0463724254 206.762063450512</t>
  </si>
  <si>
    <t>-623.620242538735 252.511899111719 676.583727609512</t>
  </si>
  <si>
    <t>-462.707176652654 278.365507311889 742.781156533401</t>
  </si>
  <si>
    <t>-578.920547705169 52.1149038645196 -228.216169535249</t>
  </si>
  <si>
    <t>-467.217048057184 71.8965735420543 213.132547612345</t>
  </si>
  <si>
    <t>-608.921252636679 9.99446836264383 656.717825129747</t>
  </si>
  <si>
    <t>-456.246350543995 -24.5874059837247 736.954833643882</t>
  </si>
  <si>
    <t>9763-20170724T170153.098074800.bin</t>
  </si>
  <si>
    <t>-616.514490409589 140.067597893823 -238.243306750302</t>
  </si>
  <si>
    <t>-637.185397999716 118.381569829053 -355.58992886917</t>
  </si>
  <si>
    <t>-633.82518881824 100.627576924762 -475.440198223266</t>
  </si>
  <si>
    <t>-620.841642749757 85.5654939051278 -583.140653634894</t>
  </si>
  <si>
    <t>-598.077618935991 71.0387184182048 -689.280375003836</t>
  </si>
  <si>
    <t>-556.377042317813 51.0068652543903 -834.400249706724</t>
  </si>
  <si>
    <t>-503.633087584701 45.7474892439243 -921.425411825537</t>
  </si>
  <si>
    <t>-578.667233631786 90.9669926915033 -775.584856439618</t>
  </si>
  <si>
    <t>-580.715712429065 237.974264232407 -772.844174653672</t>
  </si>
  <si>
    <t>-660.90899614776 351.339072968364 -488.408423957599</t>
  </si>
  <si>
    <t>-495.2206721897 292.376500325103 -296.802358364696</t>
  </si>
  <si>
    <t>-570.989286838346 28.7737899026179 -764.793620791412</t>
  </si>
  <si>
    <t>-396.403922996632 41.5180137930529 -426.60715053517</t>
  </si>
  <si>
    <t>-654.167818211922 228.822190483884 -247.72322369881</t>
  </si>
  <si>
    <t>-632.816063894588 253.674940008397 206.79208877671</t>
  </si>
  <si>
    <t>-623.631413805847 252.545576889709 676.607380773383</t>
  </si>
  <si>
    <t>-462.70559119921 278.30135604358 742.811795959603</t>
  </si>
  <si>
    <t>-578.758713578202 51.2594337527926 -228.101668316799</t>
  </si>
  <si>
    <t>-467.130445201006 71.5267743937943 213.244052537518</t>
  </si>
  <si>
    <t>-608.955166321823 9.96847739058967 656.843704349156</t>
  </si>
  <si>
    <t>-456.211010271277 -24.5476340208793 736.977174804304</t>
  </si>
  <si>
    <t>9763-20170724T170153.163770200.bin</t>
  </si>
  <si>
    <t>-616.51545134035 139.006902709364 -238.139610956413</t>
  </si>
  <si>
    <t>-637.241938280901 117.303496579671 -355.473175906745</t>
  </si>
  <si>
    <t>-634.048534341258 99.466413600717 -475.315588260342</t>
  </si>
  <si>
    <t>-621.261069419499 84.3073131781946 -583.026128325117</t>
  </si>
  <si>
    <t>-598.736911150127 69.665129014272 -689.20095747641</t>
  </si>
  <si>
    <t>-557.412940481518 49.457114957565 -834.404171614332</t>
  </si>
  <si>
    <t>-504.805865229781 44.0992944485847 -921.506330396032</t>
  </si>
  <si>
    <t>-579.52603040399 89.4927052994606 -775.573227960996</t>
  </si>
  <si>
    <t>-581.355524680112 236.517737989004 -772.972709458508</t>
  </si>
  <si>
    <t>-662.701401276377 351.291269167526 -489.430694206184</t>
  </si>
  <si>
    <t>-496.971177403812 293.648371338517 -297.459753932573</t>
  </si>
  <si>
    <t>-571.868998022876 27.3043393105038 -764.739227088516</t>
  </si>
  <si>
    <t>-397.936845738649 40.7359856103253 -425.548004705779</t>
  </si>
  <si>
    <t>-654.090227719467 227.830630323549 -247.660187138354</t>
  </si>
  <si>
    <t>-632.560275432763 253.162337640481 206.820100880166</t>
  </si>
  <si>
    <t>-623.624454385619 252.549059676239 676.635933142936</t>
  </si>
  <si>
    <t>-462.708049538996 278.279790676893 742.87299490044</t>
  </si>
  <si>
    <t>-578.846834746377 50.3035690762677 -227.953684126656</t>
  </si>
  <si>
    <t>-467.206012446498 71.0232040517249 213.367849719678</t>
  </si>
  <si>
    <t>-609.090904301257 10.200323445044 657.071006629228</t>
  </si>
  <si>
    <t>-456.311759245272 -24.8194264219833 736.918737008841</t>
  </si>
  <si>
    <t>9763-20170724T170153.209904100.bin</t>
  </si>
  <si>
    <t>-616.602913599711 138.569323169329 -238.065026309481</t>
  </si>
  <si>
    <t>-637.385857565093 116.849033833662 -355.385576594335</t>
  </si>
  <si>
    <t>-634.265194859213 98.9398696364308 -475.219166824563</t>
  </si>
  <si>
    <t>-621.550982236192 83.6938322633803 -582.925880217894</t>
  </si>
  <si>
    <t>-599.108038140788 68.9436356741785 -689.103176498488</t>
  </si>
  <si>
    <t>-557.905457715129 48.5640640984436 -834.31689894271</t>
  </si>
  <si>
    <t>-505.347585757769 43.1062732528196 -921.44251088488</t>
  </si>
  <si>
    <t>-579.933411809852 88.675292770846 -775.50543838372</t>
  </si>
  <si>
    <t>-581.654550405586 235.711071014394 -773.074523890254</t>
  </si>
  <si>
    <t>-663.647462120111 351.431619897557 -490.104459698726</t>
  </si>
  <si>
    <t>-497.877066772345 294.420153535973 -297.979650671783</t>
  </si>
  <si>
    <t>-572.339205083658 26.4875798166981 -764.62319587227</t>
  </si>
  <si>
    <t>-398.671549251371 40.0910629274917 -424.935757984689</t>
  </si>
  <si>
    <t>-654.054173245367 227.405217870438 -247.620149881545</t>
  </si>
  <si>
    <t>-632.450916325426 252.954355097676 206.844571334746</t>
  </si>
  <si>
    <t>-623.611700985662 252.539581196726 676.647280290292</t>
  </si>
  <si>
    <t>-462.71661249801 278.365424249349 742.899183092467</t>
  </si>
  <si>
    <t>-579.066467673978 49.8575607443092 -227.834871919884</t>
  </si>
  <si>
    <t>-467.048636032813 70.4794054582867 213.395663630922</t>
  </si>
  <si>
    <t>-609.084014371394 9.91867794032441 657.095403551953</t>
  </si>
  <si>
    <t>-456.156758517582 -24.5194802713563 736.912554335016</t>
  </si>
  <si>
    <t>9763-20170724T170153.262627400.bin</t>
  </si>
  <si>
    <t>-616.687771770311 137.901641932126 -237.912584119832</t>
  </si>
  <si>
    <t>-637.669284870414 116.083766616197 -355.179706219653</t>
  </si>
  <si>
    <t>-634.732863706547 98.0322636786411 -474.996541646337</t>
  </si>
  <si>
    <t>-622.178370611494 82.6414076231406 -582.701469569643</t>
  </si>
  <si>
    <t>-599.88806418943 67.731997632985 -688.888605822192</t>
  </si>
  <si>
    <t>-558.890141157907 47.1173771116994 -834.127070763666</t>
  </si>
  <si>
    <t>-506.435635101433 41.429186842154 -921.300260525904</t>
  </si>
  <si>
    <t>-580.767864420294 87.3348689955876 -775.332128623897</t>
  </si>
  <si>
    <t>-582.212764844277 234.38439661135 -773.240846996011</t>
  </si>
  <si>
    <t>-666.188325834987 352.249606506776 -491.741171278843</t>
  </si>
  <si>
    <t>-500.212181444414 295.950137863364 -299.584118829105</t>
  </si>
  <si>
    <t>-573.293003929629 25.1425153331829 -764.394897388342</t>
  </si>
  <si>
    <t>-399.933623471152 39.7711081365433 -424.350159879516</t>
  </si>
  <si>
    <t>-653.987945010935 226.772939376142 -247.537385486983</t>
  </si>
  <si>
    <t>-632.341808776735 252.708456743093 206.903453825549</t>
  </si>
  <si>
    <t>-623.622001834995 252.626765876155 676.663968848497</t>
  </si>
  <si>
    <t>-462.726003325676 278.304203635454 742.971317200276</t>
  </si>
  <si>
    <t>-579.250496361364 49.0072957264777 -227.657585103319</t>
  </si>
  <si>
    <t>-466.81441117076 69.965074877141 213.450740358659</t>
  </si>
  <si>
    <t>-609.096727175631 10.0161614892347 657.119538385186</t>
  </si>
  <si>
    <t>-456.284135193056 -24.9385243602192 736.931778594013</t>
  </si>
  <si>
    <t>9763-20170724T170153.296222700.bin</t>
  </si>
  <si>
    <t>-616.693327709137 137.485982771041 -237.965105030933</t>
  </si>
  <si>
    <t>-637.770902085051 115.638064058346 -355.209260097092</t>
  </si>
  <si>
    <t>-634.910957265306 97.488405987915 -475.013207473338</t>
  </si>
  <si>
    <t>-622.419094950239 81.9830126187903 -582.709118835291</t>
  </si>
  <si>
    <t>-600.185947292747 66.9344469569296 -688.888417098913</t>
  </si>
  <si>
    <t>-559.26291173335 46.1020073740324 -834.116992944272</t>
  </si>
  <si>
    <t>-506.858000395247 40.2729970562427 -921.310670059554</t>
  </si>
  <si>
    <t>-581.085006912511 86.4118894160868 -775.364737100185</t>
  </si>
  <si>
    <t>-582.502151521141 233.438808833091 -773.492088963131</t>
  </si>
  <si>
    <t>-667.226931579001 352.290430341085 -492.632253967249</t>
  </si>
  <si>
    <t>-501.245627987864 296.363762789625 -300.370854211859</t>
  </si>
  <si>
    <t>-573.655177537122 24.2275031454626 -764.35110763589</t>
  </si>
  <si>
    <t>-400.61230819287 38.9679307793176 -424.561463157923</t>
  </si>
  <si>
    <t>-654.004741399052 226.501025364064 -247.553619341305</t>
  </si>
  <si>
    <t>-632.286440576781 252.506164563166 206.879638757336</t>
  </si>
  <si>
    <t>-623.633758693913 252.656675510236 676.676417433254</t>
  </si>
  <si>
    <t>-462.728207375603 278.289199888028 742.977980274432</t>
  </si>
  <si>
    <t>-579.229781298864 48.3965586505942 -227.72501651404</t>
  </si>
  <si>
    <t>-466.97475137075 69.789907637537 213.40850899697</t>
  </si>
  <si>
    <t>-609.061738994519 9.89268407866257 657.123361429135</t>
  </si>
  <si>
    <t>-456.302465582531 -25.054301399319 737.040993269187</t>
  </si>
  <si>
    <t>9763-20170724T170153.365928300.bin</t>
  </si>
  <si>
    <t>-616.85991402653 136.908396007502 -237.922397139217</t>
  </si>
  <si>
    <t>-637.942498312252 115.087947703198 -355.170896466476</t>
  </si>
  <si>
    <t>-635.163730522115 96.8210104407431 -474.958881055043</t>
  </si>
  <si>
    <t>-622.780082089364 81.1519292201147 -582.643471920687</t>
  </si>
  <si>
    <t>-600.69144896252 65.8834715359089 -688.821760388462</t>
  </si>
  <si>
    <t>-560.007692933611 44.6887887557111 -834.065021341136</t>
  </si>
  <si>
    <t>-507.664849240524 38.6086209839743 -921.278866561718</t>
  </si>
  <si>
    <t>-581.661054342291 85.1570889535806 -775.359183157403</t>
  </si>
  <si>
    <t>-582.788010810223 232.197783080288 -773.764221378741</t>
  </si>
  <si>
    <t>-669.187445757472 351.903839157373 -493.778932956025</t>
  </si>
  <si>
    <t>-503.057569316215 296.870898100508 -301.387906293382</t>
  </si>
  <si>
    <t>-574.356913530153 22.9766227870464 -764.23960279739</t>
  </si>
  <si>
    <t>-401.447453988388 38.0035903510886 -424.829953684278</t>
  </si>
  <si>
    <t>-654.056192187639 226.141076683796 -247.560017563154</t>
  </si>
  <si>
    <t>-632.423675762545 252.322331989765 206.867417969416</t>
  </si>
  <si>
    <t>-623.660237210455 252.781675221783 676.659927217083</t>
  </si>
  <si>
    <t>-462.737972701299 278.270051422027 742.97640260464</t>
  </si>
  <si>
    <t>-579.575353762387 47.8221907168677 -227.66525885842</t>
  </si>
  <si>
    <t>-467.090101085585 69.5431558790551 213.393638400094</t>
  </si>
  <si>
    <t>-609.042392546532 9.94578794632685 657.176492736444</t>
  </si>
  <si>
    <t>-456.373250000133 -25.1387105217386 737.205958763006</t>
  </si>
  <si>
    <t>9763-20170724T170153.396538300.bin</t>
  </si>
  <si>
    <t>-616.965433424109 136.807606988666 -237.988336431498</t>
  </si>
  <si>
    <t>-638.144765430582 114.987028088348 -355.219278951069</t>
  </si>
  <si>
    <t>-635.434996838147 96.6718357191492 -475.001475262232</t>
  </si>
  <si>
    <t>-623.103210225659 80.9391565840908 -582.682701381994</t>
  </si>
  <si>
    <t>-601.056887024688 65.5869668493244 -688.857711714394</t>
  </si>
  <si>
    <t>-560.422959993206 44.2547152444993 -834.094895710713</t>
  </si>
  <si>
    <t>-508.091608744506 38.0557449504438 -921.307149661433</t>
  </si>
  <si>
    <t>-582.035253181984 84.7818765295017 -775.41453299572</t>
  </si>
  <si>
    <t>-583.050093444045 231.815951078245 -773.869511714707</t>
  </si>
  <si>
    <t>-670.203600274015 352.023435275729 -494.333059529308</t>
  </si>
  <si>
    <t>-503.974463949785 297.331555685668 -301.930612895407</t>
  </si>
  <si>
    <t>-574.769212521513 22.6052735455314 -764.249241688945</t>
  </si>
  <si>
    <t>-402.027880033524 37.7086788729007 -425.125641885643</t>
  </si>
  <si>
    <t>-654.17726887725 226.050939354083 -247.58474258808</t>
  </si>
  <si>
    <t>-632.454224039434 252.257257760765 206.83690182272</t>
  </si>
  <si>
    <t>-623.666094844056 252.807548260508 676.653887582388</t>
  </si>
  <si>
    <t>-462.739017200296 278.32348477419 742.948014276922</t>
  </si>
  <si>
    <t>-579.671338176066 47.7246660753005 -227.784820912033</t>
  </si>
  <si>
    <t>-467.226957127815 69.3675742683226 213.288223077813</t>
  </si>
  <si>
    <t>-608.919439032446 9.79195314222807 657.093006148563</t>
  </si>
  <si>
    <t>-456.400385323227 -25.2356169138418 737.432986339218</t>
  </si>
  <si>
    <t>9763-20170724T170153.463219300.bin</t>
  </si>
  <si>
    <t>-617.242489092726 136.419520757473 -238.034303936706</t>
  </si>
  <si>
    <t>-638.517428159585 114.563481333798 -355.241368872487</t>
  </si>
  <si>
    <t>-635.893338064475 96.1821724608496 -475.01541406134</t>
  </si>
  <si>
    <t>-623.635072084829 80.379294829771 -582.6946789299</t>
  </si>
  <si>
    <t>-601.65835388841 64.9483006494622 -688.87278635132</t>
  </si>
  <si>
    <t>-561.117120158708 43.4990928244927 -834.11853799375</t>
  </si>
  <si>
    <t>-508.824559833869 37.1631448659393 -921.344175378075</t>
  </si>
  <si>
    <t>-582.676907134542 84.0759660733868 -775.453319489371</t>
  </si>
  <si>
    <t>-583.663794544646 231.116124545071 -773.989940855992</t>
  </si>
  <si>
    <t>-672.29077657512 351.990955524022 -495.205506409507</t>
  </si>
  <si>
    <t>-505.893055768227 297.554066085764 -302.876510349</t>
  </si>
  <si>
    <t>-575.433821033377 21.9034561985677 -764.250182942916</t>
  </si>
  <si>
    <t>-402.376846551742 37.11215975862 -425.356688028808</t>
  </si>
  <si>
    <t>-654.382964176415 225.871142607851 -247.632790255016</t>
  </si>
  <si>
    <t>-632.471402098857 252.146129865851 206.775825472945</t>
  </si>
  <si>
    <t>-623.677837526539 252.856511570925 676.630583083556</t>
  </si>
  <si>
    <t>-462.759430333322 278.484973623281 742.902453309979</t>
  </si>
  <si>
    <t>-579.983831372106 46.8859961222959 -227.804621747638</t>
  </si>
  <si>
    <t>-467.307384137923 69.0639705590042 213.182739475515</t>
  </si>
  <si>
    <t>-608.709285442421 9.32419954074226 657.107115886111</t>
  </si>
  <si>
    <t>-456.387172771922 -25.5125887920933 737.902417655477</t>
  </si>
  <si>
    <t>9763-20170724T170153.496318000.bin</t>
  </si>
  <si>
    <t>-617.341237809687 136.163402155579 -238.018186481013</t>
  </si>
  <si>
    <t>-638.666950716948 114.276050731602 -355.210189289206</t>
  </si>
  <si>
    <t>-636.090150840792 95.8643568920254 -474.980618464977</t>
  </si>
  <si>
    <t>-623.872642495886 80.0350942829291 -582.660625211924</t>
  </si>
  <si>
    <t>-601.934215775255 64.5798261303119 -688.843033292193</t>
  </si>
  <si>
    <t>-561.443394724298 43.0993847878015 -834.098234665222</t>
  </si>
  <si>
    <t>-509.173558308541 36.7280313764454 -921.335042716347</t>
  </si>
  <si>
    <t>-582.980270751064 83.6892860303069 -775.433646043602</t>
  </si>
  <si>
    <t>-583.948906598886 230.729131685217 -773.950248912632</t>
  </si>
  <si>
    <t>-673.492398347772 352.117367972939 -495.682209264416</t>
  </si>
  <si>
    <t>-506.928643427262 297.818141364852 -303.457921166891</t>
  </si>
  <si>
    <t>-575.738402845093 21.5183252722497 -764.220974617349</t>
  </si>
  <si>
    <t>-402.698604301825 36.6211245167451 -425.283607849539</t>
  </si>
  <si>
    <t>-654.48408139834 225.708130256704 -247.629553818232</t>
  </si>
  <si>
    <t>-632.475049562829 252.061519738528 206.769771215971</t>
  </si>
  <si>
    <t>-623.661918492666 252.843883904078 676.612412653511</t>
  </si>
  <si>
    <t>-462.745183719717 278.477440557211 742.886328391154</t>
  </si>
  <si>
    <t>-580.099058475682 46.7165800200257 -227.758033631887</t>
  </si>
  <si>
    <t>-467.213668826301 69.0275634023708 213.169112942661</t>
  </si>
  <si>
    <t>-608.651744144816 9.29384769523676 657.152229228533</t>
  </si>
  <si>
    <t>-456.346429587123 -25.3184936769403 738.075617639093</t>
  </si>
  <si>
    <t>9763-20170724T170153.562448200.bin</t>
  </si>
  <si>
    <t>-617.591360029846 135.955451264902 -237.959040840946</t>
  </si>
  <si>
    <t>-639.060612380963 113.950930802332 -355.102725706996</t>
  </si>
  <si>
    <t>-636.613858319349 95.4762314802776 -474.866217388833</t>
  </si>
  <si>
    <t>-624.504773699842 79.6168892683993 -582.554041529733</t>
  </si>
  <si>
    <t>-602.663617768989 64.1606116975825 -688.756362686791</t>
  </si>
  <si>
    <t>-562.294632146689 42.7107957594656 -834.050084780364</t>
  </si>
  <si>
    <t>-510.118052489821 36.3757998399972 -921.345367992949</t>
  </si>
  <si>
    <t>-583.807489267998 83.2842214704779 -775.3652846189</t>
  </si>
  <si>
    <t>-584.9996926863 230.330844326629 -773.925312653857</t>
  </si>
  <si>
    <t>-676.718785954068 352.737467869743 -496.814607019275</t>
  </si>
  <si>
    <t>-509.831991520699 298.487538299205 -304.856702620542</t>
  </si>
  <si>
    <t>-576.505849455813 21.1190569836056 -764.159119611498</t>
  </si>
  <si>
    <t>-403.616549365583 36.4458537328696 -425.099170263198</t>
  </si>
  <si>
    <t>-654.654480554544 225.611925541004 -247.615508565677</t>
  </si>
  <si>
    <t>-632.580105015962 251.998888377263 206.778636518279</t>
  </si>
  <si>
    <t>-623.69041079462 252.932022047529 676.620931819193</t>
  </si>
  <si>
    <t>-462.752657764333 278.493078951288 742.871767499382</t>
  </si>
  <si>
    <t>-580.443958451094 46.3051194786503 -227.605386744389</t>
  </si>
  <si>
    <t>-467.22621619823 68.8146405718232 213.226431925076</t>
  </si>
  <si>
    <t>-608.568059833691 8.8946654657816 657.240544842991</t>
  </si>
  <si>
    <t>-456.228226641439 -25.1549780001685 738.337420464147</t>
  </si>
  <si>
    <t>9763-20170724T170153.598547700.bin</t>
  </si>
  <si>
    <t>-617.716881560606 135.767543684678 -237.951106108973</t>
  </si>
  <si>
    <t>-639.117298553835 113.783078348415 -355.111309042097</t>
  </si>
  <si>
    <t>-636.652232271171 95.3226423159808 -474.87652188363</t>
  </si>
  <si>
    <t>-624.547827498169 79.4771783442952 -582.566964920728</t>
  </si>
  <si>
    <t>-602.732042453775 64.0376737610322 -688.776872978252</t>
  </si>
  <si>
    <t>-562.418730536146 42.6165331830848 -834.090242701584</t>
  </si>
  <si>
    <t>-510.285227808115 36.3336387452077 -921.414982633228</t>
  </si>
  <si>
    <t>-583.929981441072 83.1749378459576 -775.394380026399</t>
  </si>
  <si>
    <t>-585.31040450914 230.204344496892 -773.987241972634</t>
  </si>
  <si>
    <t>-678.200706472323 353.470002922216 -497.64856061223</t>
  </si>
  <si>
    <t>-511.248273797648 298.947042357504 -305.825204465251</t>
  </si>
  <si>
    <t>-576.582312612205 21.0143706544327 -764.192745783679</t>
  </si>
  <si>
    <t>-403.649751376945 36.2799610850634 -424.982286717949</t>
  </si>
  <si>
    <t>-654.74600289898 225.494896181151 -247.612996856974</t>
  </si>
  <si>
    <t>-632.59451170561 251.948215133078 206.773718096211</t>
  </si>
  <si>
    <t>-623.695906767947 252.956476178548 676.609660396023</t>
  </si>
  <si>
    <t>-462.757222106948 278.494318334025 742.867356939071</t>
  </si>
  <si>
    <t>-580.554461685033 46.1070557529572 -227.621065456369</t>
  </si>
  <si>
    <t>-467.384316884192 68.7908003948487 213.214027900558</t>
  </si>
  <si>
    <t>-608.565642453732 9.04038322505471 657.311739041694</t>
  </si>
  <si>
    <t>-456.235330534974 -24.9334581098128 738.458328949737</t>
  </si>
  <si>
    <t>9763-20170724T170153.662722600.bin</t>
  </si>
  <si>
    <t>-617.978503727317 135.646531974897 -237.91823942238</t>
  </si>
  <si>
    <t>-639.401773988268 113.671260226263 -355.076035524065</t>
  </si>
  <si>
    <t>-637.016458353469 95.2521347628458 -474.849244655149</t>
  </si>
  <si>
    <t>-625.005444967694 79.4615365544116 -582.558168013578</t>
  </si>
  <si>
    <t>-603.302128647382 64.0971099438259 -688.802022395963</t>
  </si>
  <si>
    <t>-563.16249211631 42.8034830076729 -834.182323983053</t>
  </si>
  <si>
    <t>-511.118105445487 36.6371882032599 -921.568375737148</t>
  </si>
  <si>
    <t>-584.651608640738 83.3024361448061 -775.437399656166</t>
  </si>
  <si>
    <t>-586.201608139703 230.349134472673 -773.947784179519</t>
  </si>
  <si>
    <t>-681.217598101416 354.448043271458 -498.706724915152</t>
  </si>
  <si>
    <t>-514.064178982578 300.089779541493 -307.011706258169</t>
  </si>
  <si>
    <t>-577.194500802383 21.1478937941674 -764.274802555909</t>
  </si>
  <si>
    <t>-403.973884997814 36.5531208400532 -424.975674219554</t>
  </si>
  <si>
    <t>-654.916760598336 225.363384778532 -247.574374017099</t>
  </si>
  <si>
    <t>-632.670560531531 251.879679721236 206.803950936905</t>
  </si>
  <si>
    <t>-623.719754035179 252.998807294714 676.62441220205</t>
  </si>
  <si>
    <t>-462.768326096759 278.480841190726 742.872583195182</t>
  </si>
  <si>
    <t>-580.975541775367 46.0245833274028 -227.543797776467</t>
  </si>
  <si>
    <t>-467.587471980296 68.5603346404837 213.243002914576</t>
  </si>
  <si>
    <t>-608.606435311674 9.06346764436876 657.524020126542</t>
  </si>
  <si>
    <t>-456.28818237413 -24.9807735001971 738.663693341495</t>
  </si>
  <si>
    <t>9763-20170724T170153.694807500.bin</t>
  </si>
  <si>
    <t>-618.152372557869 135.609791305427 -237.905463488747</t>
  </si>
  <si>
    <t>-639.556966679415 113.650678321801 -355.069621532532</t>
  </si>
  <si>
    <t>-637.168679035966 95.2485103653316 -474.845425562811</t>
  </si>
  <si>
    <t>-625.161458707637 79.474448112453 -582.557308047057</t>
  </si>
  <si>
    <t>-603.468173284941 64.1283495328462 -688.805902236722</t>
  </si>
  <si>
    <t>-563.348613868413 42.8626419535001 -834.195591801993</t>
  </si>
  <si>
    <t>-511.337664800354 36.7315704182797 -921.604182917795</t>
  </si>
  <si>
    <t>-584.848742226888 83.3472313707146 -775.444678254418</t>
  </si>
  <si>
    <t>-586.567631217547 230.380989178847 -773.917444895929</t>
  </si>
  <si>
    <t>-682.47938069882 354.703699572613 -499.088568519489</t>
  </si>
  <si>
    <t>-515.257647909777 300.637418247618 -307.370442476499</t>
  </si>
  <si>
    <t>-577.351819596471 21.196761742149 -764.285526704333</t>
  </si>
  <si>
    <t>-403.939274440472 36.5352084347867 -424.967404911115</t>
  </si>
  <si>
    <t>-655.03467258651 225.269374775949 -247.553174968289</t>
  </si>
  <si>
    <t>-632.738000897347 251.848040584822 206.81911469567</t>
  </si>
  <si>
    <t>-623.727046320225 253.005498363122 676.631391631658</t>
  </si>
  <si>
    <t>-462.77645383135 278.488455973108 742.88129125828</t>
  </si>
  <si>
    <t>-581.193242012962 46.0353844998494 -227.547939500062</t>
  </si>
  <si>
    <t>-467.771621767388 68.4927534862873 213.234165279</t>
  </si>
  <si>
    <t>-608.62805757765 9.18691472290402 657.590641674985</t>
  </si>
  <si>
    <t>-456.434717969336 -25.3926264899594 738.738366304428</t>
  </si>
  <si>
    <t>9763-20170724T170153.760812100.bin</t>
  </si>
  <si>
    <t>-618.402552431373 135.242535953254 -237.884273907797</t>
  </si>
  <si>
    <t>-639.703955049423 113.390913797811 -355.087345266647</t>
  </si>
  <si>
    <t>-637.308285488498 95.0777415250182 -474.876576124649</t>
  </si>
  <si>
    <t>-625.334403072822 79.3803176877236 -582.603459807965</t>
  </si>
  <si>
    <t>-603.713521813137 64.109648018891 -688.877634351998</t>
  </si>
  <si>
    <t>-563.73351591792 42.9495303816916 -834.321228587892</t>
  </si>
  <si>
    <t>-511.777447273411 36.8876221464202 -921.767222271346</t>
  </si>
  <si>
    <t>-585.214292402795 83.3852917373169 -775.529601640768</t>
  </si>
  <si>
    <t>-587.054051193414 230.421457744063 -773.834725190724</t>
  </si>
  <si>
    <t>-684.095298116927 354.768204342787 -499.413295924997</t>
  </si>
  <si>
    <t>-517.080354325073 301.420709777129 -307.314145080082</t>
  </si>
  <si>
    <t>-577.6325499369 21.2392224147311 -764.404188797995</t>
  </si>
  <si>
    <t>-403.759841720138 36.8220890693842 -425.389129738375</t>
  </si>
  <si>
    <t>-655.229523963057 224.931996456874 -247.492678838314</t>
  </si>
  <si>
    <t>-632.837849819643 251.577218325835 206.870817717738</t>
  </si>
  <si>
    <t>-623.739981843817 252.918060997455 676.678917927377</t>
  </si>
  <si>
    <t>-462.7978382157 278.57700167903 742.881392695687</t>
  </si>
  <si>
    <t>-581.441032541931 45.5631460061147 -227.568439027649</t>
  </si>
  <si>
    <t>-468.137354261738 68.1273710521828 213.238514945215</t>
  </si>
  <si>
    <t>-608.683337550207 9.05291880049344 657.79487753813</t>
  </si>
  <si>
    <t>-456.348965499426 -25.1028318018334 738.857459948916</t>
  </si>
  <si>
    <t>9763-20170724T170153.794880200.bin</t>
  </si>
  <si>
    <t>-618.442902978985 135.013133202364 -237.837188312419</t>
  </si>
  <si>
    <t>-639.768087885388 113.163664381438 -355.036304516691</t>
  </si>
  <si>
    <t>-637.398113816059 94.8706580333696 -474.829161783486</t>
  </si>
  <si>
    <t>-625.447370178765 79.1995711159684 -582.562355484272</t>
  </si>
  <si>
    <t>-603.84895780857 63.9635626867387 -688.845999016171</t>
  </si>
  <si>
    <t>-563.89874892517 42.8611760967769 -834.306333688124</t>
  </si>
  <si>
    <t>-511.970031289754 36.8354749671071 -921.770949272165</t>
  </si>
  <si>
    <t>-585.376852753023 83.2719769042506 -775.49659670134</t>
  </si>
  <si>
    <t>-587.329574050816 230.303588897402 -773.699794779537</t>
  </si>
  <si>
    <t>-685.044158497558 354.79309295792 -499.582224708988</t>
  </si>
  <si>
    <t>-518.270618636152 301.743359705507 -307.190994283492</t>
  </si>
  <si>
    <t>-577.77415565654 21.1245775236891 -764.392532211499</t>
  </si>
  <si>
    <t>-403.710753492935 36.619205553649 -425.466409552318</t>
  </si>
  <si>
    <t>-655.230017402756 224.745865354304 -247.451219015565</t>
  </si>
  <si>
    <t>-632.899995103017 251.461087233401 206.911378961297</t>
  </si>
  <si>
    <t>-623.758176860824 252.943314408089 676.688390982081</t>
  </si>
  <si>
    <t>-462.815230159344 278.605348527665 742.887757278495</t>
  </si>
  <si>
    <t>-581.502533761464 45.2768721609318 -227.524907450425</t>
  </si>
  <si>
    <t>-468.241574841121 68.0105142526165 213.284290645344</t>
  </si>
  <si>
    <t>-608.686591557277 8.94145706912286 657.844492379131</t>
  </si>
  <si>
    <t>-456.294426541308 -25.0045265207852 738.88653273919</t>
  </si>
  <si>
    <t>9763-20170724T170153.861065800.bin</t>
  </si>
  <si>
    <t>-618.501529912372 134.886014974821 -237.837595748507</t>
  </si>
  <si>
    <t>-639.76663754656 113.090677473353 -355.057787843916</t>
  </si>
  <si>
    <t>-637.348313896847 94.8701232879623 -474.860701064538</t>
  </si>
  <si>
    <t>-625.358731022513 79.2723464070696 -582.60021827433</t>
  </si>
  <si>
    <t>-603.726154762526 64.117584531979 -688.888627339851</t>
  </si>
  <si>
    <t>-563.733123284898 43.1360948542585 -834.354509330075</t>
  </si>
  <si>
    <t>-511.811793870673 37.1973652044162 -921.82966477929</t>
  </si>
  <si>
    <t>-585.243200178813 83.4957154907972 -775.521268363778</t>
  </si>
  <si>
    <t>-587.287334993912 230.528022820465 -773.583591035726</t>
  </si>
  <si>
    <t>-686.157707394101 355.316411763922 -500.016835067676</t>
  </si>
  <si>
    <t>-519.743880258416 302.489913183284 -307.25328555478</t>
  </si>
  <si>
    <t>-577.614338312686 21.3439499023993 -764.459308778784</t>
  </si>
  <si>
    <t>-403.48532654829 36.9344789064173 -425.700442958483</t>
  </si>
  <si>
    <t>-655.287482045104 224.600110369292 -247.420116995678</t>
  </si>
  <si>
    <t>-632.928999716757 251.362567704139 206.938317406478</t>
  </si>
  <si>
    <t>-623.805606561324 252.933231039606 676.743679980749</t>
  </si>
  <si>
    <t>-462.842793949958 278.653500005044 742.872069934468</t>
  </si>
  <si>
    <t>-581.596689556314 45.2797278404178 -227.580883898562</t>
  </si>
  <si>
    <t>-468.495796843824 67.7637182860433 213.282154354316</t>
  </si>
  <si>
    <t>-608.754350742791 9.03698228228677 658.029831072014</t>
  </si>
  <si>
    <t>-456.368754318194 -25.1351949588941 738.989133136495</t>
  </si>
  <si>
    <t>9763-20170724T170153.893152100.bin</t>
  </si>
  <si>
    <t>-618.531702444549 134.773060917275 -237.786316607539</t>
  </si>
  <si>
    <t>-639.760902644201 112.983248172351 -355.013946236553</t>
  </si>
  <si>
    <t>-637.323798457964 94.7673723282676 -474.817141179656</t>
  </si>
  <si>
    <t>-625.324427146677 79.1732418472809 -582.556111989085</t>
  </si>
  <si>
    <t>-603.689134027704 64.0212834470067 -688.844317883918</t>
  </si>
  <si>
    <t>-563.6996087347 43.0426125273611 -834.311734526531</t>
  </si>
  <si>
    <t>-511.767520061892 37.1209828279286 -921.781574320462</t>
  </si>
  <si>
    <t>-585.209839357128 83.4006630700658 -775.477472409853</t>
  </si>
  <si>
    <t>-587.354440017087 230.43470860827 -773.523620149191</t>
  </si>
  <si>
    <t>-686.535997579546 355.116423664279 -500.02097149147</t>
  </si>
  <si>
    <t>-520.268483879328 302.554899732936 -307.05864530184</t>
  </si>
  <si>
    <t>-577.577645823144 21.2492177966642 -764.416247966981</t>
  </si>
  <si>
    <t>-403.356142817138 36.8471762889205 -425.677534208834</t>
  </si>
  <si>
    <t>-655.278821186065 224.476699166925 -247.375254388077</t>
  </si>
  <si>
    <t>-632.993290622793 251.281301254443 206.98421155853</t>
  </si>
  <si>
    <t>-623.815658465992 252.883128975765 676.764849124456</t>
  </si>
  <si>
    <t>-462.857409890015 278.679433876537 742.874792078737</t>
  </si>
  <si>
    <t>-581.687764953349 45.0429344621498 -227.496901618273</t>
  </si>
  <si>
    <t>-468.592439345267 67.7043584433004 213.358639637209</t>
  </si>
  <si>
    <t>-608.785116596442 9.07827533799286 658.091813354906</t>
  </si>
  <si>
    <t>-456.409591661588 -25.2324989814442 739.011442127695</t>
  </si>
  <si>
    <t>9763-20170724T170153.963356100.bin</t>
  </si>
  <si>
    <t>-618.601546553105 134.672395373675 -237.696563798477</t>
  </si>
  <si>
    <t>-639.651326729943 112.966391212146 -354.972156546154</t>
  </si>
  <si>
    <t>-637.064880079276 94.8215887712902 -474.783038030538</t>
  </si>
  <si>
    <t>-624.944727693094 79.2800347301388 -582.516027707953</t>
  </si>
  <si>
    <t>-603.204122677794 64.1653848291619 -688.788053447155</t>
  </si>
  <si>
    <t>-563.085323417502 43.2194168386065 -834.224497788965</t>
  </si>
  <si>
    <t>-511.068452295971 37.3088381149853 -921.644787609788</t>
  </si>
  <si>
    <t>-584.623074080856 83.56834255015 -775.39430508644</t>
  </si>
  <si>
    <t>-586.970202096079 230.593023534449 -773.370224111831</t>
  </si>
  <si>
    <t>-686.058275216063 354.574269229603 -499.515544582207</t>
  </si>
  <si>
    <t>-520.069645267462 302.992007345674 -306.049453516903</t>
  </si>
  <si>
    <t>-577.05029074452 21.4061891388492 -764.352491541062</t>
  </si>
  <si>
    <t>-402.612974944452 36.946352027051 -425.449587363023</t>
  </si>
  <si>
    <t>-655.272535397401 224.249194349164 -247.198744331054</t>
  </si>
  <si>
    <t>-633.057042080123 250.963984820873 207.169515549522</t>
  </si>
  <si>
    <t>-623.954885060583 252.491343430199 677.078660416984</t>
  </si>
  <si>
    <t>-462.912229679323 278.598047267736 742.860195453558</t>
  </si>
  <si>
    <t>-581.827578500842 45.235372684308 -227.417846089802</t>
  </si>
  <si>
    <t>-468.930161193778 67.6881601294476 213.499065038379</t>
  </si>
  <si>
    <t>-608.988306118233 9.23039598379341 658.458933009993</t>
  </si>
  <si>
    <t>-456.427022755149 -25.013631771971 739.056191551352</t>
  </si>
  <si>
    <t>9763-20170724T170153.997454800.bin</t>
  </si>
  <si>
    <t>-618.791373222548 134.688383846713 -237.519267475616</t>
  </si>
  <si>
    <t>-639.69750179626 112.967699231451 -354.817848557877</t>
  </si>
  <si>
    <t>-637.007677049182 94.8477218446612 -474.630138196801</t>
  </si>
  <si>
    <t>-624.81002096901 79.3414883785188 -582.359611791267</t>
  </si>
  <si>
    <t>-603.00737274047 64.2726128581005 -688.625392797283</t>
  </si>
  <si>
    <t>-562.81797727551 43.3991694076194 -834.052756683089</t>
  </si>
  <si>
    <t>-510.755238267213 37.5051788511266 -921.446830347574</t>
  </si>
  <si>
    <t>-584.375612209016 83.72029308839 -775.210682886329</t>
  </si>
  <si>
    <t>-586.849731563752 230.773839097575 -773.162464924999</t>
  </si>
  <si>
    <t>-684.580203128048 353.174241278344 -498.111314348225</t>
  </si>
  <si>
    <t>-518.501431570247 304.056621210474 -304.081995413858</t>
  </si>
  <si>
    <t>-576.825493175376 21.5496385549147 -764.200736594662</t>
  </si>
  <si>
    <t>-402.19648494372 36.9884533749862 -425.469566864242</t>
  </si>
  <si>
    <t>-655.353275628025 224.041674931073 -246.99365667009</t>
  </si>
  <si>
    <t>-633.208353797654 250.792637427362 207.375880661325</t>
  </si>
  <si>
    <t>-624.082933176109 252.157424740292 677.295939868388</t>
  </si>
  <si>
    <t>-462.973222158052 278.478466369195 742.827484300959</t>
  </si>
  <si>
    <t>-582.126455174933 45.3463712690366 -227.171309243292</t>
  </si>
  <si>
    <t>-469.240940013472 67.8899643562695 213.743984281086</t>
  </si>
  <si>
    <t>-609.161378522803 9.44351746692223 658.729828729775</t>
  </si>
  <si>
    <t>-456.559030416654 -25.1770052538448 739.08806422582</t>
  </si>
  <si>
    <t>9763-20170724T170154.064631200.bin</t>
  </si>
  <si>
    <t>-619.041965536845 134.330918475926 -236.991067396681</t>
  </si>
  <si>
    <t>-639.647621906866 112.70892060601 -354.360959477432</t>
  </si>
  <si>
    <t>-636.694386206758 94.842171123116 -474.205251837086</t>
  </si>
  <si>
    <t>-624.271723394506 79.6258247459 -581.950275413375</t>
  </si>
  <si>
    <t>-602.255419100221 64.9059736995353 -688.220924063549</t>
  </si>
  <si>
    <t>-561.77892115173 44.5775481062333 -833.645844885053</t>
  </si>
  <si>
    <t>-509.446061520787 38.9628189699326 -920.896850389438</t>
  </si>
  <si>
    <t>-583.53922298591 84.6635516784004 -774.717763089918</t>
  </si>
  <si>
    <t>-586.847952359467 231.659982918815 -772.610274916444</t>
  </si>
  <si>
    <t>-674.54952823178 349.216162022928 -492.11940687806</t>
  </si>
  <si>
    <t>-507.626450807982 307.389249723562 -297.108505301211</t>
  </si>
  <si>
    <t>-575.837774994995 22.4809579621995 -763.881789688053</t>
  </si>
  <si>
    <t>-400.958154235969 37.2934113926522 -425.743506883097</t>
  </si>
  <si>
    <t>-655.684020765705 223.473903641205 -246.478659162038</t>
  </si>
  <si>
    <t>-633.199979488558 250.093721308084 207.881924577172</t>
  </si>
  <si>
    <t>-624.258880556436 251.249774030859 677.78114974177</t>
  </si>
  <si>
    <t>-463.038398267113 278.15371121292 742.801546991291</t>
  </si>
  <si>
    <t>-582.280939606601 45.2864276884025 -226.7449388102</t>
  </si>
  <si>
    <t>-469.907236196569 67.8360532175973 214.300742448425</t>
  </si>
  <si>
    <t>-609.51514401968 9.03488478380768 659.406606266853</t>
  </si>
  <si>
    <t>-456.377145750771 -24.4982211332306 739.20509280675</t>
  </si>
  <si>
    <t>9763-20170724T170154.093707600.bin</t>
  </si>
  <si>
    <t>-619.08050278354 134.177495752503 -236.629695163258</t>
  </si>
  <si>
    <t>-639.608188525805 112.542028069762 -354.010902127725</t>
  </si>
  <si>
    <t>-636.643159532967 94.8009064906889 -473.873457348701</t>
  </si>
  <si>
    <t>-624.232228993402 79.7580103556882 -581.644175700732</t>
  </si>
  <si>
    <t>-602.246345319097 65.2727327546743 -687.953454196419</t>
  </si>
  <si>
    <t>-561.827647610471 45.3353011399001 -833.448457113075</t>
  </si>
  <si>
    <t>-509.229142499208 39.9371827042885 -920.553242468645</t>
  </si>
  <si>
    <t>-583.647818900992 85.248608558655 -774.42548609654</t>
  </si>
  <si>
    <t>-587.644468016555 232.256112653532 -772.23876036918</t>
  </si>
  <si>
    <t>-665.401765678578 346.721201349249 -487.567506107164</t>
  </si>
  <si>
    <t>-497.968388721862 307.544136022855 -292.443756596558</t>
  </si>
  <si>
    <t>-575.775505187622 23.0654472581937 -763.717406107076</t>
  </si>
  <si>
    <t>-400.661967087706 37.444760787371 -426.197036797275</t>
  </si>
  <si>
    <t>-655.812092975676 223.294753367292 -246.201011998666</t>
  </si>
  <si>
    <t>-633.130741910576 249.799547219985 208.15646268187</t>
  </si>
  <si>
    <t>-624.264894631712 250.82790702586 677.974090335462</t>
  </si>
  <si>
    <t>-463.033135120854 278.095924144298 742.814526093944</t>
  </si>
  <si>
    <t>-582.196950900897 45.1283487048245 -226.4252438834</t>
  </si>
  <si>
    <t>-469.992106018696 67.9424022675007 214.649877913636</t>
  </si>
  <si>
    <t>-609.56256600099 8.83793171198636 659.582429726209</t>
  </si>
  <si>
    <t>-456.320768944785 -24.4943955438196 739.265651132481</t>
  </si>
  <si>
    <t>9763-20170724T170154.165904900.bin</t>
  </si>
  <si>
    <t>-619.081101915545 134.287566869276 -236.152739167434</t>
  </si>
  <si>
    <t>-639.506294253134 112.521182321851 -353.527550481712</t>
  </si>
  <si>
    <t>-636.625192308569 95.0535256939611 -473.43221385016</t>
  </si>
  <si>
    <t>-624.350296356458 80.4250834517181 -581.275618368812</t>
  </si>
  <si>
    <t>-602.54918195655 66.5217733671243 -687.700533642178</t>
  </si>
  <si>
    <t>-562.426967078393 47.5667161717199 -833.408924835183</t>
  </si>
  <si>
    <t>-508.859229117193 42.7341879974163 -919.954388896553</t>
  </si>
  <si>
    <t>-584.240916402506 87.0612811004235 -774.102385186955</t>
  </si>
  <si>
    <t>-588.935000040137 233.971793953022 -771.254557021731</t>
  </si>
  <si>
    <t>-637.647121083303 342.979124568027 -478.115186289256</t>
  </si>
  <si>
    <t>-468.864691763681 301.290588255293 -284.681570451221</t>
  </si>
  <si>
    <t>-576.118687002362 24.8462663808446 -763.772346989105</t>
  </si>
  <si>
    <t>-400.211053640871 37.5350553888907 -426.914362074645</t>
  </si>
  <si>
    <t>-656.078712677708 223.28200403119 -245.850621153878</t>
  </si>
  <si>
    <t>-633.565684776765 249.711010739861 208.519594713995</t>
  </si>
  <si>
    <t>-624.355834315717 250.577594019811 678.194209912014</t>
  </si>
  <si>
    <t>-463.089421988492 278.146566118888 742.82091131105</t>
  </si>
  <si>
    <t>-582.014487954649 45.4022842073973 -225.90077095198</t>
  </si>
  <si>
    <t>-469.490488177738 68.4664627995621 215.079996367198</t>
  </si>
  <si>
    <t>-609.49608900316 8.64259195411069 659.696633108313</t>
  </si>
  <si>
    <t>-456.154764124433 -24.318463464753 739.342850242491</t>
  </si>
  <si>
    <t>9763-20170724T170154.192978500.bin</t>
  </si>
  <si>
    <t>-619.13809588422 134.585169436843 -236.052509361257</t>
  </si>
  <si>
    <t>-639.490954499047 112.791293746454 -353.434736318357</t>
  </si>
  <si>
    <t>-636.660606547536 95.5360564001264 -473.37140223088</t>
  </si>
  <si>
    <t>-624.471743990881 81.1934973436048 -581.262886966979</t>
  </si>
  <si>
    <t>-602.79013472653 67.6671052835979 -687.760882740599</t>
  </si>
  <si>
    <t>-562.86247573242 49.3274673239951 -833.601268923802</t>
  </si>
  <si>
    <t>-508.784421411776 44.8046183395923 -919.845656598772</t>
  </si>
  <si>
    <t>-584.598816119326 88.5709783415741 -774.099976649575</t>
  </si>
  <si>
    <t>-589.12987715739 235.479903602947 -770.558929912255</t>
  </si>
  <si>
    <t>-620.716677380176 342.272268276594 -474.275483297829</t>
  </si>
  <si>
    <t>-451.503597202369 299.474768453072 -281.461275452127</t>
  </si>
  <si>
    <t>-576.459655001062 26.3133388781482 -764.042808776442</t>
  </si>
  <si>
    <t>-399.773373125335 37.6349365355602 -426.900082571927</t>
  </si>
  <si>
    <t>-656.336894791245 223.591105222705 -245.789643248464</t>
  </si>
  <si>
    <t>-633.810006598657 249.774566700386 208.594146563625</t>
  </si>
  <si>
    <t>-624.407942165887 250.534190632123 678.271269497971</t>
  </si>
  <si>
    <t>-463.128166949013 278.217052676883 742.815760267635</t>
  </si>
  <si>
    <t>-581.794803728404 45.6264880079073 -225.837984982244</t>
  </si>
  <si>
    <t>-469.359008170842 68.8722758841923 215.15578721393</t>
  </si>
  <si>
    <t>-609.423280030722 8.72502157038366 659.675941144345</t>
  </si>
  <si>
    <t>-456.147807557371 -24.3882461591988 739.38572248884</t>
  </si>
  <si>
    <t>9763-20170724T170154.265174700.bin</t>
  </si>
  <si>
    <t>-619.166293598231 134.92801854847 -235.878210382919</t>
  </si>
  <si>
    <t>-639.44308377409 113.077395319548 -353.263054019953</t>
  </si>
  <si>
    <t>-636.540181888072 96.3055647666313 -473.266594071117</t>
  </si>
  <si>
    <t>-624.266881199976 82.6010598865398 -581.231342753719</t>
  </si>
  <si>
    <t>-602.471846159748 69.9015801651194 -687.807859274782</t>
  </si>
  <si>
    <t>-562.34823406834 52.8959959423621 -833.75620336907</t>
  </si>
  <si>
    <t>-507.401300155265 48.8479349542965 -919.473422634046</t>
  </si>
  <si>
    <t>-584.055210382272 91.6122443932527 -773.899980811845</t>
  </si>
  <si>
    <t>-587.19656114149 238.570944249435 -769.030749992698</t>
  </si>
  <si>
    <t>-583.664018682442 338.665239078575 -468.772805494408</t>
  </si>
  <si>
    <t>-412.990610635721 298.647655868957 -276.649785567694</t>
  </si>
  <si>
    <t>-576.148150960054 29.2287068304015 -764.457318994898</t>
  </si>
  <si>
    <t>-399.289012801556 37.0162844213473 -427.124030006276</t>
  </si>
  <si>
    <t>-656.479659751987 224.038171393807 -245.700022891948</t>
  </si>
  <si>
    <t>-634.054211456647 250.070854012177 208.697529018048</t>
  </si>
  <si>
    <t>-624.476195748848 250.502714512952 678.370136514173</t>
  </si>
  <si>
    <t>-463.178705238292 278.3287631033 742.808934407175</t>
  </si>
  <si>
    <t>-581.684919780278 45.8694013864231 -225.496728181415</t>
  </si>
  <si>
    <t>-468.732764792124 69.5894277648688 215.339805708329</t>
  </si>
  <si>
    <t>-609.36029388003 8.94127254119167 659.668430543702</t>
  </si>
  <si>
    <t>-456.217925295346 -24.7136945532579 739.407155793551</t>
  </si>
  <si>
    <t>9763-20170724T170154.297764300.bin</t>
  </si>
  <si>
    <t>-619.295645214202 135.07114380247 -235.863439139657</t>
  </si>
  <si>
    <t>-639.69027448331 113.207396796145 -353.225456541982</t>
  </si>
  <si>
    <t>-636.859513777867 96.6855642061112 -473.265323353787</t>
  </si>
  <si>
    <t>-624.621469832747 83.3049618328216 -581.274867774599</t>
  </si>
  <si>
    <t>-602.826630050335 71.0211862705671 -687.900012793338</t>
  </si>
  <si>
    <t>-562.663217591922 54.6828790994816 -833.913687967643</t>
  </si>
  <si>
    <t>-507.45072099918 50.7894464295696 -919.467165332055</t>
  </si>
  <si>
    <t>-584.27991935597 93.1425249652866 -773.859476643334</t>
  </si>
  <si>
    <t>-586.26252296493 240.045376027343 -768.144658157028</t>
  </si>
  <si>
    <t>-565.439274533633 335.032260539428 -466.930337643174</t>
  </si>
  <si>
    <t>-394.146776703911 293.560064341116 -275.668745758914</t>
  </si>
  <si>
    <t>-576.588614168621 30.6817120074543 -764.754750410781</t>
  </si>
  <si>
    <t>-400.228910692749 36.7848972365098 -427.436931986352</t>
  </si>
  <si>
    <t>-656.517025791462 224.240706654745 -245.671650098722</t>
  </si>
  <si>
    <t>-634.125668809055 250.200774350779 208.731675903299</t>
  </si>
  <si>
    <t>-624.527564544358 250.571512514576 678.398865256383</t>
  </si>
  <si>
    <t>-463.206607913302 278.334107213396 742.806128772148</t>
  </si>
  <si>
    <t>-582.075673190205 45.8888017933386 -225.381893171429</t>
  </si>
  <si>
    <t>-468.594357102298 69.5448246933352 215.322129607891</t>
  </si>
  <si>
    <t>-609.304037361603 8.7910377708979 659.591546969477</t>
  </si>
  <si>
    <t>-456.097446478534 -24.5124827483899 739.354503085149</t>
  </si>
  <si>
    <t>9763-20170724T170154.362440300.bin</t>
  </si>
  <si>
    <t>-619.741177408706 135.093177012001 -235.919029729807</t>
  </si>
  <si>
    <t>-640.129524880245 113.469199571671 -353.326584451985</t>
  </si>
  <si>
    <t>-637.366568001759 97.4932695850546 -473.441920368562</t>
  </si>
  <si>
    <t>-625.203800295497 84.7025619065239 -581.531289987144</t>
  </si>
  <si>
    <t>-603.490948366305 73.0889487677387 -688.248370594022</t>
  </si>
  <si>
    <t>-563.442797095347 57.7497580237923 -834.401779884727</t>
  </si>
  <si>
    <t>-507.957314565153 53.8971248073324 -919.780443240826</t>
  </si>
  <si>
    <t>-584.593131169445 95.8611191156906 -773.960961422665</t>
  </si>
  <si>
    <t>-582.896562976087 242.73322920164 -766.30566920305</t>
  </si>
  <si>
    <t>-530.088378373033 325.324376795929 -465.346906816342</t>
  </si>
  <si>
    <t>-357.248612899334 279.88018902644 -276.393669445531</t>
  </si>
  <si>
    <t>-577.732578765802 33.2126510327712 -765.505984775579</t>
  </si>
  <si>
    <t>-402.832086699448 36.7263682245186 -428.198710225555</t>
  </si>
  <si>
    <t>-656.55512152776 224.59030738974 -245.647330725306</t>
  </si>
  <si>
    <t>-634.147871507981 250.383683105627 208.764640862171</t>
  </si>
  <si>
    <t>-624.630504118155 250.604614162452 678.500895782299</t>
  </si>
  <si>
    <t>-463.22839459116 278.088323893306 742.824485921222</t>
  </si>
  <si>
    <t>-582.758147467864 45.5346617961516 -225.484960486334</t>
  </si>
  <si>
    <t>-468.934374359168 69.479025557036 215.115202144772</t>
  </si>
  <si>
    <t>-609.318013220787 8.84405193363705 659.583448440066</t>
  </si>
  <si>
    <t>-456.249163330728 -25.076759819078 739.350712728276</t>
  </si>
  <si>
    <t>9763-20170724T170154.396530600.bin</t>
  </si>
  <si>
    <t>-619.739155989728 134.914505411889 -235.820475831239</t>
  </si>
  <si>
    <t>-640.061985840124 113.479170483127 -353.273961961518</t>
  </si>
  <si>
    <t>-637.380728823672 97.7904866606345 -473.429132293281</t>
  </si>
  <si>
    <t>-625.343807467208 85.2826453061139 -581.565606042411</t>
  </si>
  <si>
    <t>-603.804574337221 73.9662119291622 -688.34973043631</t>
  </si>
  <si>
    <t>-564.043206790473 59.0465340540286 -834.625052461715</t>
  </si>
  <si>
    <t>-508.572943292447 55.1214791964865 -920.010090917407</t>
  </si>
  <si>
    <t>-584.739171485742 97.0304917014419 -773.947140122624</t>
  </si>
  <si>
    <t>-580.674194623116 243.765970373013 -765.030454458762</t>
  </si>
  <si>
    <t>-514.377228858684 317.972301316862 -464.556913737887</t>
  </si>
  <si>
    <t>-338.897017269991 271.558734742158 -278.292206014011</t>
  </si>
  <si>
    <t>-578.533617287867 34.2654012984822 -765.858264183719</t>
  </si>
  <si>
    <t>-404.308697122917 36.3671665876004 -428.219717545788</t>
  </si>
  <si>
    <t>-656.174415362414 224.674913636586 -245.603074561689</t>
  </si>
  <si>
    <t>-634.220922558326 250.436386548035 208.832984295883</t>
  </si>
  <si>
    <t>-624.673248142079 250.768753029987 678.504239431945</t>
  </si>
  <si>
    <t>-463.230295653266 277.948821823483 742.854341396261</t>
  </si>
  <si>
    <t>-583.159327219439 45.2432734793754 -225.385816170166</t>
  </si>
  <si>
    <t>-468.952403187011 69.1826664122923 215.115369484055</t>
  </si>
  <si>
    <t>-609.321336031851 8.86698153503494 659.530214888192</t>
  </si>
  <si>
    <t>-456.321359154433 -25.2657665010684 739.339174872736</t>
  </si>
  <si>
    <t>9763-20170724T170154.463720700.bin</t>
  </si>
  <si>
    <t>-619.135767160975 134.988993875214 -235.864026775724</t>
  </si>
  <si>
    <t>-639.337604397898 113.865528644538 -353.39496539729</t>
  </si>
  <si>
    <t>-636.734654075188 98.6505683101293 -473.612601663083</t>
  </si>
  <si>
    <t>-624.835806284423 86.6008834588122 -581.816525969887</t>
  </si>
  <si>
    <t>-603.495766773246 75.7539836719216 -688.689213033007</t>
  </si>
  <si>
    <t>-564.069894154587 61.479700623591 -835.11958345788</t>
  </si>
  <si>
    <t>-508.715871891313 57.3282351982591 -920.569441301231</t>
  </si>
  <si>
    <t>-583.853803746684 99.286708877001 -774.028391237844</t>
  </si>
  <si>
    <t>-574.905694513564 245.686405562329 -763.064368700573</t>
  </si>
  <si>
    <t>-487.712959241857 304.412466624069 -464.509799418252</t>
  </si>
  <si>
    <t>-305.347627399274 255.087092638023 -285.758656318242</t>
  </si>
  <si>
    <t>-579.175432206762 36.3045551830887 -766.629090175971</t>
  </si>
  <si>
    <t>-406.559182874573 34.7281661547254 -428.388438466932</t>
  </si>
  <si>
    <t>-654.541926888642 225.173398026579 -245.717982611315</t>
  </si>
  <si>
    <t>-634.39715055813 250.725900017982 208.813564030977</t>
  </si>
  <si>
    <t>-624.781046332626 251.218250637865 678.480584301315</t>
  </si>
  <si>
    <t>-463.250471073339 277.634804161533 742.928758791888</t>
  </si>
  <si>
    <t>-583.636052607908 44.7873444828604 -225.302863178051</t>
  </si>
  <si>
    <t>-468.637814052197 68.6761173615225 214.995233777111</t>
  </si>
  <si>
    <t>-609.263547650045 8.73401796253893 659.314386724147</t>
  </si>
  <si>
    <t>-456.469771405493 -25.8425191152071 739.327093464379</t>
  </si>
  <si>
    <t>9763-20170724T170154.496809900.bin</t>
  </si>
  <si>
    <t>-618.495830821458 134.839848753844 -235.95556674662</t>
  </si>
  <si>
    <t>-638.53354678947 113.912767886461 -353.549572245828</t>
  </si>
  <si>
    <t>-635.911584203594 98.8508152289503 -473.786147659991</t>
  </si>
  <si>
    <t>-624.053268207995 86.9062132691902 -582.006004910816</t>
  </si>
  <si>
    <t>-602.810876135028 76.1242197008855 -688.904843919811</t>
  </si>
  <si>
    <t>-563.579397930375 61.890910090264 -835.391490002853</t>
  </si>
  <si>
    <t>-508.250355483054 57.5268057321091 -920.846891214284</t>
  </si>
  <si>
    <t>-582.868726478803 99.7212052010182 -774.156502480388</t>
  </si>
  <si>
    <t>-571.585959396162 245.901058550339 -762.583011149263</t>
  </si>
  <si>
    <t>-477.108657298597 298.420812209976 -465.090350766812</t>
  </si>
  <si>
    <t>-291.097077270094 246.649470808391 -290.844891390799</t>
  </si>
  <si>
    <t>-579.007457346453 36.6562025534795 -766.994814953695</t>
  </si>
  <si>
    <t>-407.54795358037 33.1658551544504 -428.731531394689</t>
  </si>
  <si>
    <t>-653.385471273059 225.354404624184 -245.857623385961</t>
  </si>
  <si>
    <t>-634.144725380341 250.808562336774 208.718603972278</t>
  </si>
  <si>
    <t>-624.788014593563 251.434458870119 678.405837682307</t>
  </si>
  <si>
    <t>-463.224754989448 277.30446551714 742.993559646662</t>
  </si>
  <si>
    <t>-583.445904146472 44.2403820161596 -225.39927577445</t>
  </si>
  <si>
    <t>-468.582411926256 68.5501987032305 214.910967211617</t>
  </si>
  <si>
    <t>-609.188586793624 8.79030746293483 659.150259573775</t>
  </si>
  <si>
    <t>-456.599209455032 -26.1724893173807 739.384939770396</t>
  </si>
  <si>
    <t>9763-20170724T170154.562994000.bin</t>
  </si>
  <si>
    <t>-616.303731030639 134.442141396257 -236.323326335678</t>
  </si>
  <si>
    <t>-636.043938262845 114.083686961156 -354.067272274717</t>
  </si>
  <si>
    <t>-633.313802956197 99.292849865712 -474.33513901883</t>
  </si>
  <si>
    <t>-621.444008645261 87.4502899942795 -582.565097111254</t>
  </si>
  <si>
    <t>-600.282076517062 76.6189690879237 -689.474826562662</t>
  </si>
  <si>
    <t>-561.262386278043 62.1512695902329 -835.995023477949</t>
  </si>
  <si>
    <t>-505.907330540409 57.0839841915385 -921.394825124893</t>
  </si>
  <si>
    <t>-579.721010643661 100.13780732848 -774.601052625829</t>
  </si>
  <si>
    <t>-564.213969912082 245.860871627811 -762.342959267975</t>
  </si>
  <si>
    <t>-459.736932498353 290.532796234862 -466.919167108493</t>
  </si>
  <si>
    <t>-268.446566621007 236.717253697328 -299.127834216659</t>
  </si>
  <si>
    <t>-577.33376953163 36.9677448377681 -767.727767953301</t>
  </si>
  <si>
    <t>-407.724153995636 29.5601861504085 -429.007805456365</t>
  </si>
  <si>
    <t>-649.964480675891 225.594405269972 -246.245954074168</t>
  </si>
  <si>
    <t>-632.60640046813 251.036065834317 208.406870951184</t>
  </si>
  <si>
    <t>-624.652728819319 251.65682468094 678.175664300256</t>
  </si>
  <si>
    <t>-463.116758609124 276.640432803925 743.179047009454</t>
  </si>
  <si>
    <t>-582.543255629842 43.4822332076703 -225.814528841112</t>
  </si>
  <si>
    <t>-468.327790406667 67.9768846502147 214.654048469942</t>
  </si>
  <si>
    <t>-609.045246167583 9.01898252063938 658.884294539742</t>
  </si>
  <si>
    <t>-456.918927614965 -27.010030160586 739.525528055592</t>
  </si>
  <si>
    <t>9763-20170724T170154.596080400.bin</t>
  </si>
  <si>
    <t>-615.022147838816 134.22698621556 -236.492428734852</t>
  </si>
  <si>
    <t>-634.671083290354 114.165302504945 -354.302828825405</t>
  </si>
  <si>
    <t>-631.874332386437 99.4161132718989 -474.574039999747</t>
  </si>
  <si>
    <t>-619.964805369003 87.5015138016238 -582.791776233483</t>
  </si>
  <si>
    <t>-598.790044741477 76.4871635089344 -689.680258250028</t>
  </si>
  <si>
    <t>-559.785702021346 61.6490952181175 -836.16741858333</t>
  </si>
  <si>
    <t>-504.419244876801 55.9592865185837 -921.520654355549</t>
  </si>
  <si>
    <t>-577.920498375496 99.8102296172606 -774.785237758069</t>
  </si>
  <si>
    <t>-560.611647748711 245.356793607399 -762.577487022399</t>
  </si>
  <si>
    <t>-453.326420182527 288.649006877629 -467.955868026682</t>
  </si>
  <si>
    <t>-260.228055299285 233.928135368038 -302.54525703599</t>
  </si>
  <si>
    <t>-576.167307783221 36.6187403162153 -767.917620742305</t>
  </si>
  <si>
    <t>-407.304062236543 27.8490772454024 -428.923043054047</t>
  </si>
  <si>
    <t>-647.913360749621 225.604673384562 -246.422096483197</t>
  </si>
  <si>
    <t>-631.352824391845 251.209548082057 208.251191211252</t>
  </si>
  <si>
    <t>-624.463481455361 251.713993882634 677.965003177337</t>
  </si>
  <si>
    <t>-463.034379357928 276.419951054013 743.339080615562</t>
  </si>
  <si>
    <t>-582.132974610036 42.9786928885396 -225.943274408683</t>
  </si>
  <si>
    <t>-467.952945622885 67.3238153907591 214.542715032298</t>
  </si>
  <si>
    <t>-609.049257985234 8.90624025325974 658.800942384441</t>
  </si>
  <si>
    <t>-456.931207548642 -27.0101442056525 739.508003118795</t>
  </si>
  <si>
    <t>9763-20170724T170154.659259500.bin</t>
  </si>
  <si>
    <t>-611.896511876278 134.263902464851 -237.046065015067</t>
  </si>
  <si>
    <t>-631.423414295823 114.612618706002 -354.945889422916</t>
  </si>
  <si>
    <t>-628.5163927341 99.6216316895293 -475.184627801527</t>
  </si>
  <si>
    <t>-616.538996364649 87.2168131034637 -583.339741605788</t>
  </si>
  <si>
    <t>-595.344559309345 75.4415878772779 -690.14325907391</t>
  </si>
  <si>
    <t>-556.377029898473 59.2654067994902 -836.498477485017</t>
  </si>
  <si>
    <t>-501.122889860338 51.9940578784963 -921.80441466895</t>
  </si>
  <si>
    <t>-573.966657992418 98.0122047845173 -775.324973492701</t>
  </si>
  <si>
    <t>-554.101249658512 243.259360070319 -763.721203902881</t>
  </si>
  <si>
    <t>-444.116275032503 287.379318985283 -470.220045338094</t>
  </si>
  <si>
    <t>-249.96975373786 232.114433233906 -306.223200531031</t>
  </si>
  <si>
    <t>-573.27125091808 34.8335771234363 -768.156797577212</t>
  </si>
  <si>
    <t>-405.225899912017 24.8087397270699 -428.453972736903</t>
  </si>
  <si>
    <t>-643.53144467942 226.152745141157 -247.066319461419</t>
  </si>
  <si>
    <t>-628.151717481956 251.885546208603 207.641134778759</t>
  </si>
  <si>
    <t>-623.981853861987 252.259373223901 677.29292019404</t>
  </si>
  <si>
    <t>-462.896002460576 276.140339910233 743.81025459522</t>
  </si>
  <si>
    <t>-580.186785079196 42.5201945881913 -226.380374996178</t>
  </si>
  <si>
    <t>-466.618731528202 66.148213229229 214.302851251964</t>
  </si>
  <si>
    <t>-609.125591885066 8.96150392716049 658.438084355043</t>
  </si>
  <si>
    <t>-457.351071898127 -28.2826894338043 739.190056181331</t>
  </si>
  <si>
    <t>9763-20170724T170154.697360800.bin</t>
  </si>
  <si>
    <t>-610.251373187622 134.540079091186 -237.345491049225</t>
  </si>
  <si>
    <t>-629.649405409891 114.966916985696 -355.279338564905</t>
  </si>
  <si>
    <t>-626.631585247668 99.6793670502589 -475.478176599715</t>
  </si>
  <si>
    <t>-614.577740991748 86.8546500338618 -583.575738941757</t>
  </si>
  <si>
    <t>-593.340118196001 74.5103380826035 -690.306393090858</t>
  </si>
  <si>
    <t>-554.355277773076 57.3903453066873 -836.549617076901</t>
  </si>
  <si>
    <t>-499.138625628988 49.2177565927072 -921.798276727609</t>
  </si>
  <si>
    <t>-571.734137323206 96.539378236763 -775.572170518675</t>
  </si>
  <si>
    <t>-550.893934153632 241.693979202613 -764.667067986446</t>
  </si>
  <si>
    <t>-440.586173737674 287.26582320325 -471.509043565861</t>
  </si>
  <si>
    <t>-247.140558705009 230.906901180004 -307.056824244914</t>
  </si>
  <si>
    <t>-571.475602792265 33.3913839265724 -768.110903979187</t>
  </si>
  <si>
    <t>-403.580909653653 23.6739905731997 -428.050741016084</t>
  </si>
  <si>
    <t>-641.378328726199 226.635385183395 -247.442417598475</t>
  </si>
  <si>
    <t>-626.572492098939 252.61384170262 207.270234674974</t>
  </si>
  <si>
    <t>-623.730682928985 252.718162400929 676.875587565668</t>
  </si>
  <si>
    <t>-462.831072483316 276.065237947924 744.030157632951</t>
  </si>
  <si>
    <t>-579.059975447527 42.5995848128132 -226.485037538466</t>
  </si>
  <si>
    <t>-465.716519064089 65.8040851165301 214.278443736756</t>
  </si>
  <si>
    <t>-609.266394865136 9.13833163318782 658.24441956307</t>
  </si>
  <si>
    <t>-457.457146241966 -28.4419835754479 738.775038228833</t>
  </si>
  <si>
    <t>9763-20170724T170154.761543800.bin</t>
  </si>
  <si>
    <t>-607.054916240016 134.973900896518 -237.692220512228</t>
  </si>
  <si>
    <t>-626.285745110327 115.267739242452 -355.631351700546</t>
  </si>
  <si>
    <t>-623.036342929327 99.1562127243321 -475.716389793837</t>
  </si>
  <si>
    <t>-610.777756807788 85.3046701184842 -583.66408359498</t>
  </si>
  <si>
    <t>-589.359264804304 71.6542720224795 -690.199463689152</t>
  </si>
  <si>
    <t>-550.165596165027 52.4310661354421 -836.125199145982</t>
  </si>
  <si>
    <t>-494.993431320377 42.4415517252785 -921.208822506581</t>
  </si>
  <si>
    <t>-567.304426766715 92.4645334272609 -775.656314387065</t>
  </si>
  <si>
    <t>-544.937353889968 237.487487607791 -766.360993171581</t>
  </si>
  <si>
    <t>-436.860668081433 286.5802926306 -472.940454813865</t>
  </si>
  <si>
    <t>-245.002782949738 231.171299243446 -306.319852927109</t>
  </si>
  <si>
    <t>-567.710786356011 29.4087685675797 -767.458817819234</t>
  </si>
  <si>
    <t>-400.269427589896 21.5875296792165 -426.651909190407</t>
  </si>
  <si>
    <t>-637.541098968813 227.449506701031 -248.149488523663</t>
  </si>
  <si>
    <t>-623.786735384884 253.525320324921 206.590563795873</t>
  </si>
  <si>
    <t>-623.234512808955 253.180746330482 676.219900841488</t>
  </si>
  <si>
    <t>-462.71952166316 275.983438364296 744.472957916025</t>
  </si>
  <si>
    <t>-576.451068347321 42.5336268765984 -226.462548916271</t>
  </si>
  <si>
    <t>-463.699340416229 65.923299533549 214.44287385501</t>
  </si>
  <si>
    <t>-609.596481213264 9.79546715762444 657.674609793429</t>
  </si>
  <si>
    <t>-457.503435874746 -28.1859562648349 737.478274847484</t>
  </si>
  <si>
    <t>9763-20170724T170154.794626700.bin</t>
  </si>
  <si>
    <t>-605.602464279801 135.284791392678 -237.801267486729</t>
  </si>
  <si>
    <t>-624.60629719828 115.438945360107 -355.753839696961</t>
  </si>
  <si>
    <t>-621.147708423863 98.792565558927 -475.760066006857</t>
  </si>
  <si>
    <t>-608.72587998647 84.2999446145427 -583.60495608205</t>
  </si>
  <si>
    <t>-587.181062800909 69.8536242288378 -690.009614515041</t>
  </si>
  <si>
    <t>-547.859682875482 49.3665384715805 -835.728985578331</t>
  </si>
  <si>
    <t>-492.704770806271 38.3831939491999 -920.701240238642</t>
  </si>
  <si>
    <t>-564.95138033431 89.9254457708209 -775.597744083103</t>
  </si>
  <si>
    <t>-542.207569887625 234.96527794188 -767.407565514815</t>
  </si>
  <si>
    <t>-435.565917931589 285.769030189484 -473.753471637625</t>
  </si>
  <si>
    <t>-244.486974173817 230.23775598014 -306.280387264752</t>
  </si>
  <si>
    <t>-565.564953571123 26.93746979809 -766.907647733659</t>
  </si>
  <si>
    <t>-398.576083922188 21.2127741517802 -425.680740079087</t>
  </si>
  <si>
    <t>-636.06052416708 227.800765619593 -248.411153031133</t>
  </si>
  <si>
    <t>-622.773800891359 253.865680346632 206.343428786047</t>
  </si>
  <si>
    <t>-623.059983056092 253.181804883674 676.054200267908</t>
  </si>
  <si>
    <t>-462.656108173474 275.796247717888 744.630353991544</t>
  </si>
  <si>
    <t>-575.079222319983 42.8815369225786 -226.429846712187</t>
  </si>
  <si>
    <t>-462.522983340378 66.1704291272094 214.530929497545</t>
  </si>
  <si>
    <t>-609.664737480543 10.0631665526596 657.315401256017</t>
  </si>
  <si>
    <t>-457.62422534597 -28.4677719430767 736.955588698797</t>
  </si>
  <si>
    <t>9763-20170724T170154.863821500.bin</t>
  </si>
  <si>
    <t>-602.915300836055 135.921759310047 -237.898861855894</t>
  </si>
  <si>
    <t>-621.590653698269 115.587014919903 -355.820553777504</t>
  </si>
  <si>
    <t>-617.810456360766 97.4441016565925 -475.600007473924</t>
  </si>
  <si>
    <t>-605.146608359318 81.1938725960681 -583.165840541548</t>
  </si>
  <si>
    <t>-583.436389497852 64.5910133305085 -689.221845185883</t>
  </si>
  <si>
    <t>-543.990406260652 40.6975193498088 -834.387616276128</t>
  </si>
  <si>
    <t>-488.805945116754 27.2716897392074 -918.989104145099</t>
  </si>
  <si>
    <t>-560.999725761872 82.6574902683694 -775.201751059544</t>
  </si>
  <si>
    <t>-537.769599396702 227.787701110551 -770.149690361438</t>
  </si>
  <si>
    <t>-434.138024176926 282.579940211433 -476.13516988019</t>
  </si>
  <si>
    <t>-244.606680700839 227.834031996362 -306.657132027796</t>
  </si>
  <si>
    <t>-561.888287107725 19.8819317079526 -765.110700875029</t>
  </si>
  <si>
    <t>-396.181433873967 20.8179044525871 -423.368821774013</t>
  </si>
  <si>
    <t>-633.715225846699 228.284722523455 -248.768584962785</t>
  </si>
  <si>
    <t>-621.06207424973 254.170956438966 206.014330129005</t>
  </si>
  <si>
    <t>-622.730675384914 252.683322620873 675.851491954256</t>
  </si>
  <si>
    <t>-462.499515361577 275.461862486599 744.776350467525</t>
  </si>
  <si>
    <t>-572.076525116397 43.6690739042156 -226.229541840667</t>
  </si>
  <si>
    <t>-460.436449614165 66.9618932453827 214.963834074808</t>
  </si>
  <si>
    <t>-609.808723914674 10.4107186906185 656.80659143859</t>
  </si>
  <si>
    <t>-457.691926080044 -28.5132388533816 736.109263772093</t>
  </si>
  <si>
    <t>9763-20170724T170154.895946300.bin</t>
  </si>
  <si>
    <t>-601.673987969667 136.350476719829 -237.822884859744</t>
  </si>
  <si>
    <t>-620.145713578549 115.693445119045 -355.720670950929</t>
  </si>
  <si>
    <t>-616.196710890726 96.6280249655974 -475.351302682768</t>
  </si>
  <si>
    <t>-603.422108113084 79.3025126518419 -582.736042435419</t>
  </si>
  <si>
    <t>-581.65995229928 61.3855147520189 -688.56726845802</t>
  </si>
  <si>
    <t>-542.21850598829 35.420357178016 -833.378076053491</t>
  </si>
  <si>
    <t>-487.037940908074 20.5033575370444 -917.732018173492</t>
  </si>
  <si>
    <t>-559.159319611766 78.2236189941286 -774.779545965937</t>
  </si>
  <si>
    <t>-535.770004504988 223.363817587014 -771.663265126518</t>
  </si>
  <si>
    <t>-433.461043577281 281.063888238898 -477.741815073842</t>
  </si>
  <si>
    <t>-244.599021305521 226.662498694084 -307.407949204735</t>
  </si>
  <si>
    <t>-560.180939722048 15.594418117314 -763.82811920153</t>
  </si>
  <si>
    <t>-395.112039082835 20.9556429561815 -422.123472699813</t>
  </si>
  <si>
    <t>-632.803192217734 228.565405487219 -248.923622231431</t>
  </si>
  <si>
    <t>-620.346390924073 254.363503571057 205.869649409327</t>
  </si>
  <si>
    <t>-622.56132318323 252.527681698786 675.671546866338</t>
  </si>
  <si>
    <t>-462.454854096506 275.441815803823 744.840781740743</t>
  </si>
  <si>
    <t>-570.446490901207 44.2971928795753 -225.988988187671</t>
  </si>
  <si>
    <t>-459.324807116058 67.5649774585195 215.336557978866</t>
  </si>
  <si>
    <t>-609.902091161949 10.6937318205667 656.663093337821</t>
  </si>
  <si>
    <t>-457.647180923952 -28.3310137664566 735.650604918763</t>
  </si>
  <si>
    <t>9763-20170724T170154.965644200.bin</t>
  </si>
  <si>
    <t>-599.09884559813 137.754340624385 -237.749326833661</t>
  </si>
  <si>
    <t>-617.098895796053 116.337203311467 -355.584436720813</t>
  </si>
  <si>
    <t>-612.720969905916 95.1269204732498 -474.838398185048</t>
  </si>
  <si>
    <t>-599.643248724824 75.3045791082404 -581.753817347734</t>
  </si>
  <si>
    <t>-577.704704306135 54.339410461844 -686.98701674918</t>
  </si>
  <si>
    <t>-538.188942830777 23.5722388188526 -830.833789928977</t>
  </si>
  <si>
    <t>-483.042969775382 5.21145415174851 -914.528323663961</t>
  </si>
  <si>
    <t>-554.963303329212 68.3080339149681 -773.647518919023</t>
  </si>
  <si>
    <t>-530.936902354126 213.389771166325 -774.968188076884</t>
  </si>
  <si>
    <t>-432.026919093746 278.554466258386 -481.443874013092</t>
  </si>
  <si>
    <t>-243.989332319882 226.200218938191 -309.563224768912</t>
  </si>
  <si>
    <t>-556.383474310649 6.06363668820882 -760.724320865327</t>
  </si>
  <si>
    <t>-392.679115955567 21.9717518507312 -419.645371394778</t>
  </si>
  <si>
    <t>-630.651690834485 229.529394258975 -249.467684437841</t>
  </si>
  <si>
    <t>-618.862238782435 255.453330949401 205.336181729694</t>
  </si>
  <si>
    <t>-622.140763551617 252.838350691088 675.064699236696</t>
  </si>
  <si>
    <t>-462.320054452867 275.730030115146 744.898980455449</t>
  </si>
  <si>
    <t>-567.413460075065 46.1654130220718 -225.297954812563</t>
  </si>
  <si>
    <t>-457.229844121849 69.5180144036738 216.258248670033</t>
  </si>
  <si>
    <t>-610.267079405804 11.9165322207389 656.552465999599</t>
  </si>
  <si>
    <t>-457.682165388493 -28.1078993965821 734.394619402841</t>
  </si>
  <si>
    <t>9763-20170724T170154.997728100.bin</t>
  </si>
  <si>
    <t>-597.736881262629 138.599453101628 -237.836058747776</t>
  </si>
  <si>
    <t>-615.373806575438 116.750391464215 -355.646860671955</t>
  </si>
  <si>
    <t>-610.735498818568 94.3881422440147 -474.680321752621</t>
  </si>
  <si>
    <t>-597.501104295953 73.2343977216538 -581.320929592176</t>
  </si>
  <si>
    <t>-575.507429173893 50.6511870837458 -686.207192728822</t>
  </si>
  <si>
    <t>-536.041530120316 17.341236624048 -829.500324486591</t>
  </si>
  <si>
    <t>-552.677836805479 63.0869231915997 -773.077962043583</t>
  </si>
  <si>
    <t>-528.176043124142 208.028896577859 -776.655198915679</t>
  </si>
  <si>
    <t>-431.189607841514 277.483765990162 -483.473001565578</t>
  </si>
  <si>
    <t>-243.552403139029 226.503920935553 -310.743572673766</t>
  </si>
  <si>
    <t>-554.330086530381 1.07276405645666 -759.117034243444</t>
  </si>
  <si>
    <t>-391.523263532171 22.7282525835533 -418.524690685851</t>
  </si>
  <si>
    <t>-629.523200502952 230.202395935431 -249.911104777991</t>
  </si>
  <si>
    <t>-618.238658057562 256.143274118242 204.904736813394</t>
  </si>
  <si>
    <t>-621.925287364969 253.402468275933 674.573795325927</t>
  </si>
  <si>
    <t>-462.27200765293 275.871766393269 744.92634740155</t>
  </si>
  <si>
    <t>-565.786858501384 47.1723822534111 -225.094448179725</t>
  </si>
  <si>
    <t>-456.268243152563 70.4741959685302 216.629855863221</t>
  </si>
  <si>
    <t>-610.385954360387 12.3767439143692 656.400004696123</t>
  </si>
  <si>
    <t>-457.579884228344 -27.8281518208123 733.713548536264</t>
  </si>
  <si>
    <t>9763-20170724T170155.061411800.bin</t>
  </si>
  <si>
    <t>-595.292479107734 139.370733649183 -238.079404125326</t>
  </si>
  <si>
    <t>-612.362341003743 116.906487276683 -355.857798471403</t>
  </si>
  <si>
    <t>-607.133700925812 92.3643428394134 -474.436535271924</t>
  </si>
  <si>
    <t>-593.440905341987 68.6092275985454 -580.469821513457</t>
  </si>
  <si>
    <t>-571.119343268875 42.8014341139808 -684.539729967846</t>
  </si>
  <si>
    <t>-531.385500530448 4.37142709808131 -826.470618103994</t>
  </si>
  <si>
    <t>-547.875178674114 52.1219422379368 -771.690310035576</t>
  </si>
  <si>
    <t>-522.164364892183 196.705313399575 -779.662173081878</t>
  </si>
  <si>
    <t>-429.546084470094 275.999149586335 -487.565385981006</t>
  </si>
  <si>
    <t>-243.346230046006 228.283470343869 -312.365835845977</t>
  </si>
  <si>
    <t>-389.414360658129 23.3504585037688 -416.049598776963</t>
  </si>
  <si>
    <t>-627.648534857549 230.458092694999 -250.617461302653</t>
  </si>
  <si>
    <t>-616.68071900813 256.760776374254 204.185220204687</t>
  </si>
  <si>
    <t>-621.65532814013 253.791031670528 674.163408158914</t>
  </si>
  <si>
    <t>-462.164646301677 276.027876844494 744.957210903937</t>
  </si>
  <si>
    <t>-562.897043127864 48.3245098119619 -224.85126547373</t>
  </si>
  <si>
    <t>-454.715525830796 71.8283523314078 217.191629535484</t>
  </si>
  <si>
    <t>-610.530544166726 13.317735264575 656.227892725379</t>
  </si>
  <si>
    <t>-457.585972619094 -27.7233114440385 732.82488831349</t>
  </si>
  <si>
    <t>9763-20170724T170155.098515200.bin</t>
  </si>
  <si>
    <t>-594.143198393714 139.11573355725 -238.134352886186</t>
  </si>
  <si>
    <t>-610.946728757907 116.343168186429 -355.892045435962</t>
  </si>
  <si>
    <t>-605.408503939603 90.7414882977646 -474.232387138681</t>
  </si>
  <si>
    <t>-591.461696739552 65.7249999684996 -579.941968813809</t>
  </si>
  <si>
    <t>-568.940884160842 38.3559449759214 -683.569219594401</t>
  </si>
  <si>
    <t>-545.447531192389 46.1558434578681 -770.802081616198</t>
  </si>
  <si>
    <t>-519.049376925014 190.470597766194 -780.900373496901</t>
  </si>
  <si>
    <t>-428.800822096868 274.751724016389 -489.458937008586</t>
  </si>
  <si>
    <t>-243.575193886629 228.775390759424 -312.768032541283</t>
  </si>
  <si>
    <t>-388.504977399115 22.9137551750262 -414.634474466855</t>
  </si>
  <si>
    <t>-626.590379411354 229.916736852949 -250.827179909951</t>
  </si>
  <si>
    <t>-615.593561610786 256.768505903305 203.942756638532</t>
  </si>
  <si>
    <t>-621.578425946881 253.875485039886 673.97504393978</t>
  </si>
  <si>
    <t>-462.144289228945 276.039570240239 744.918996589327</t>
  </si>
  <si>
    <t>-561.583669137158 48.3057187461011 -224.719414422676</t>
  </si>
  <si>
    <t>-454.161473629278 71.8132027197614 217.508515419906</t>
  </si>
  <si>
    <t>-610.600040120466 13.4364147384913 656.297662752246</t>
  </si>
  <si>
    <t>-457.422728847501 -27.2822589551035 732.601098589787</t>
  </si>
  <si>
    <t>9763-20170724T170155.160678100.bin</t>
  </si>
  <si>
    <t>-592.036179692748 138.289022959156 -238.282974634745</t>
  </si>
  <si>
    <t>-608.437651637994 115.098490739746 -356.015800037033</t>
  </si>
  <si>
    <t>-602.37469081943 87.6496244356508 -473.915555836083</t>
  </si>
  <si>
    <t>-587.989272514011 60.3854154547698 -579.008652418983</t>
  </si>
  <si>
    <t>-565.123617609271 30.199212436991 -681.774494935452</t>
  </si>
  <si>
    <t>-541.127418236446 35.2153102592199 -769.074995942198</t>
  </si>
  <si>
    <t>-512.618640582947 178.850407155638 -782.58932853819</t>
  </si>
  <si>
    <t>-427.416272352912 274.308122040331 -493.081893414025</t>
  </si>
  <si>
    <t>-243.80611816838 231.72968554975 -313.8712350832</t>
  </si>
  <si>
    <t>-386.823316641954 22.2821340538715 -411.961973795568</t>
  </si>
  <si>
    <t>-624.603397878289 228.715560366692 -251.265963722941</t>
  </si>
  <si>
    <t>-613.292590649446 256.571771969763 203.435980410427</t>
  </si>
  <si>
    <t>-621.336276534917 254.291450319547 673.428964309876</t>
  </si>
  <si>
    <t>-462.081765448293 276.06743434468 744.894446382613</t>
  </si>
  <si>
    <t>-559.417792268964 48.0515394623601 -224.56908654588</t>
  </si>
  <si>
    <t>-453.645471828623 71.2782461529541 218.071137081812</t>
  </si>
  <si>
    <t>-610.696593015919 13.6013277418849 656.630519405496</t>
  </si>
  <si>
    <t>-457.356469943105 -27.1675122986901 732.579342573919</t>
  </si>
  <si>
    <t>9763-20170724T170155.193768700.bin</t>
  </si>
  <si>
    <t>-591.199422642513 137.738608489753 -238.3361636031</t>
  </si>
  <si>
    <t>-607.412821899191 114.381841655994 -356.061972447211</t>
  </si>
  <si>
    <t>-601.120407982305 86.1113466355969 -473.755420094268</t>
  </si>
  <si>
    <t>-586.551683216126 57.8398186666145 -578.556889547219</t>
  </si>
  <si>
    <t>-563.554930546768 26.3856181948611 -680.912220766216</t>
  </si>
  <si>
    <t>-539.307305196155 30.138089637175 -768.206665044518</t>
  </si>
  <si>
    <t>-509.873009690069 173.456583864377 -783.47410541382</t>
  </si>
  <si>
    <t>-427.435790885793 273.1227776622 -494.585037156291</t>
  </si>
  <si>
    <t>-244.402226810438 232.193453584846 -314.402867523571</t>
  </si>
  <si>
    <t>-386.281526543121 21.6690940295607 -410.744372398087</t>
  </si>
  <si>
    <t>-623.715985740906 228.060293777113 -251.489416656563</t>
  </si>
  <si>
    <t>-612.24418265689 256.392291630424 203.179036796757</t>
  </si>
  <si>
    <t>-621.208899274765 254.491465079672 673.188967875878</t>
  </si>
  <si>
    <t>-462.037355974826 275.92974905647 744.940867202779</t>
  </si>
  <si>
    <t>-558.645926171915 47.4671317879565 -224.413791686244</t>
  </si>
  <si>
    <t>-453.48756003015 70.952010052433 218.359120763443</t>
  </si>
  <si>
    <t>-610.758719051156 13.7359521776273 656.878454783563</t>
  </si>
  <si>
    <t>-457.335117742642 -27.0660221600572 732.640649619715</t>
  </si>
  <si>
    <t>9763-20170724T170155.260684900.bin</t>
  </si>
  <si>
    <t>-589.632495433514 136.057203105231 -238.245831852024</t>
  </si>
  <si>
    <t>-605.329403290804 112.266755180197 -355.95472593238</t>
  </si>
  <si>
    <t>-598.655677826192 82.5724318716202 -473.27607883479</t>
  </si>
  <si>
    <t>-583.86352181392 52.6145528896477 -577.576478505115</t>
  </si>
  <si>
    <t>-560.808341900301 19.0828021803038 -679.256955293723</t>
  </si>
  <si>
    <t>-536.248505904702 20.7757891767476 -766.528404703222</t>
  </si>
  <si>
    <t>-505.240631119172 163.406032801537 -784.194690288635</t>
  </si>
  <si>
    <t>-428.175704195987 270.348919874911 -496.426694141406</t>
  </si>
  <si>
    <t>-246.528645304796 231.868448929963 -314.312322792607</t>
  </si>
  <si>
    <t>-385.407550245492 18.5543191509362 -408.336988787616</t>
  </si>
  <si>
    <t>-622.101392535309 226.122840353292 -251.824516365024</t>
  </si>
  <si>
    <t>-610.62166033853 255.775444984482 202.759555199297</t>
  </si>
  <si>
    <t>-620.986524198664 255.067416726883 672.703444518815</t>
  </si>
  <si>
    <t>-461.962315810321 275.530348760231 745.064153365239</t>
  </si>
  <si>
    <t>-557.228557816799 46.0443396430539 -223.839427006214</t>
  </si>
  <si>
    <t>-452.587752529166 69.9409672352938 219.034070820938</t>
  </si>
  <si>
    <t>-610.880604186592 14.0784409407268 657.374730509914</t>
  </si>
  <si>
    <t>-457.332196332909 -26.8546589198991 732.812661102675</t>
  </si>
  <si>
    <t>9763-20170724T170155.298785100.bin</t>
  </si>
  <si>
    <t>-588.879905138838 135.017254159846 -238.216196484719</t>
  </si>
  <si>
    <t>-604.448352974143 111.156815080136 -355.928115000442</t>
  </si>
  <si>
    <t>-597.675698136694 81.095955069123 -473.150386003211</t>
  </si>
  <si>
    <t>-582.825348456449 50.6893614847752 -577.312352962904</t>
  </si>
  <si>
    <t>-559.755946597898 16.5948417066329 -678.802425586841</t>
  </si>
  <si>
    <t>-535.112472596729 17.7222890362368 -766.059326010128</t>
  </si>
  <si>
    <t>-503.527439552803 160.146456428792 -784.383543237161</t>
  </si>
  <si>
    <t>-428.418158970959 269.380254083093 -496.959174037708</t>
  </si>
  <si>
    <t>-247.326281754305 231.904064578401 -314.083966305034</t>
  </si>
  <si>
    <t>-384.855690500374 17.1198794971122 -407.650113192895</t>
  </si>
  <si>
    <t>-621.289566186406 225.07257566861 -251.932686652194</t>
  </si>
  <si>
    <t>-610.084913925456 255.290814729197 202.620980644186</t>
  </si>
  <si>
    <t>-620.91531260122 255.360815800218 672.535080365171</t>
  </si>
  <si>
    <t>-461.942818770352 275.317151341031 745.150482722727</t>
  </si>
  <si>
    <t>-556.457288887091 45.0268620340344 -223.775926898974</t>
  </si>
  <si>
    <t>-452.576572302933 69.2573982555311 219.258381005693</t>
  </si>
  <si>
    <t>-610.970365218532 13.989053326836 657.65972180442</t>
  </si>
  <si>
    <t>-457.347853460365 -26.9190524816811 732.96020249664</t>
  </si>
  <si>
    <t>9763-20170724T170155.362517800.bin</t>
  </si>
  <si>
    <t>-587.485410169502 132.607048452559 -238.10546897301</t>
  </si>
  <si>
    <t>-603.050182701358 108.631432870947 -355.794483218695</t>
  </si>
  <si>
    <t>-596.339220395562 78.190918311255 -472.92224713855</t>
  </si>
  <si>
    <t>-581.585263773909 47.3402608481715 -576.967495314848</t>
  </si>
  <si>
    <t>-558.661293108292 12.7071327148194 -678.307870667587</t>
  </si>
  <si>
    <t>-534.082433591424 13.3026791213608 -765.588382034519</t>
  </si>
  <si>
    <t>-502.016947969969 155.587632327321 -784.479591771016</t>
  </si>
  <si>
    <t>-429.585986148971 267.439592476217 -497.374988712556</t>
  </si>
  <si>
    <t>-249.207369101217 231.785095084978 -313.433749827319</t>
  </si>
  <si>
    <t>-384.067674304801 13.6535029667184 -406.779177835338</t>
  </si>
  <si>
    <t>-619.771678226518 222.556280610648 -251.999438519445</t>
  </si>
  <si>
    <t>-608.554235140881 254.096624025355 202.464020115224</t>
  </si>
  <si>
    <t>-620.777490840071 255.522045985598 672.402001581324</t>
  </si>
  <si>
    <t>-461.892542348027 274.99288732368 745.340081677298</t>
  </si>
  <si>
    <t>-555.211616222904 42.7331568654097 -223.429599369819</t>
  </si>
  <si>
    <t>-452.517618255715 68.0935215660952 219.8179934704</t>
  </si>
  <si>
    <t>-611.18961238556 13.8330239342565 658.225054331465</t>
  </si>
  <si>
    <t>-457.298845623804 -26.6770833441274 733.192237566138</t>
  </si>
  <si>
    <t>9763-20170724T170155.395607400.bin</t>
  </si>
  <si>
    <t>-586.949783604978 131.493668044957 -237.883187992957</t>
  </si>
  <si>
    <t>-602.504041753652 107.409526843632 -355.551470932505</t>
  </si>
  <si>
    <t>-595.850937208455 76.8601648260828 -472.654151698764</t>
  </si>
  <si>
    <t>-581.177021569399 45.9112422232613 -576.681497335455</t>
  </si>
  <si>
    <t>-558.360376416506 11.1802587052673 -678.012679074072</t>
  </si>
  <si>
    <t>-533.831740939097 11.6911181940804 -765.307817449156</t>
  </si>
  <si>
    <t>-501.62942820314 153.949058215718 -784.144746218727</t>
  </si>
  <si>
    <t>-430.258888442377 266.136542214887 -496.905471379215</t>
  </si>
  <si>
    <t>-249.92482279457 231.087702104638 -312.804330485517</t>
  </si>
  <si>
    <t>-383.610062358239 11.5264356423684 -406.331613201459</t>
  </si>
  <si>
    <t>-619.074441370208 221.308406012675 -251.927482687118</t>
  </si>
  <si>
    <t>-607.743881777596 253.59935567989 202.480466147088</t>
  </si>
  <si>
    <t>-620.712899672572 255.623497006033 672.326112710263</t>
  </si>
  <si>
    <t>-461.877116566409 274.869798022321 745.430722249652</t>
  </si>
  <si>
    <t>-554.740537081171 41.6267211411935 -223.16692868457</t>
  </si>
  <si>
    <t>-452.281182929537 67.5295362221746 220.103600267222</t>
  </si>
  <si>
    <t>-611.264625519189 13.7832470821525 658.431115729676</t>
  </si>
  <si>
    <t>-457.132752123983 -26.1460685388533 733.214309657426</t>
  </si>
  <si>
    <t>9763-20170724T170155.464322600.bin</t>
  </si>
  <si>
    <t>-585.761923924766 129.917861880739 -237.571242822028</t>
  </si>
  <si>
    <t>-601.460146477273 105.711332585614 -355.195341902192</t>
  </si>
  <si>
    <t>-594.975366627093 75.3251409683414 -472.349884045771</t>
  </si>
  <si>
    <t>-580.445428705947 44.635287419128 -576.474068857495</t>
  </si>
  <si>
    <t>-557.752894671165 10.2707814580988 -677.958066117342</t>
  </si>
  <si>
    <t>-533.27470372569 11.1741339975667 -765.264200166655</t>
  </si>
  <si>
    <t>-501.231274585297 153.512708018792 -783.411864939496</t>
  </si>
  <si>
    <t>-431.768669842034 265.721408883278 -495.713505465736</t>
  </si>
  <si>
    <t>-251.097174057928 230.604862776913 -311.956301290704</t>
  </si>
  <si>
    <t>-382.000988184429 8.82642337958896 -406.344895043951</t>
  </si>
  <si>
    <t>-617.672775064862 219.638872711929 -251.800571029334</t>
  </si>
  <si>
    <t>-606.223585822323 252.922451974944 202.532754744489</t>
  </si>
  <si>
    <t>-620.468189502718 255.66215264477 672.163830721859</t>
  </si>
  <si>
    <t>-461.772462872005 274.724870058703 745.619892561952</t>
  </si>
  <si>
    <t>-553.733129466788 40.2322524565504 -222.743691691289</t>
  </si>
  <si>
    <t>-451.416808241033 66.4794758034141 220.539616423546</t>
  </si>
  <si>
    <t>-611.438633034536 14.0762007285257 658.727738732572</t>
  </si>
  <si>
    <t>-457.350863337039 -26.6172989319978 733.189197561101</t>
  </si>
  <si>
    <t>9763-20170724T170155.503928200.bin</t>
  </si>
  <si>
    <t>-585.120191920643 129.297649852048 -237.451946104318</t>
  </si>
  <si>
    <t>-600.874661118024 105.050453377578 -355.060135808934</t>
  </si>
  <si>
    <t>-594.482312111083 74.8837735119903 -472.27655354253</t>
  </si>
  <si>
    <t>-580.032049766274 44.500948030231 -576.50185045888</t>
  </si>
  <si>
    <t>-557.40219843465 10.5521687674959 -678.139568357987</t>
  </si>
  <si>
    <t>-533.00343645634 11.8919618447276 -765.462256300779</t>
  </si>
  <si>
    <t>-501.250000201036 154.403417210881 -783.011185435363</t>
  </si>
  <si>
    <t>-432.37933827234 265.959099689909 -494.916865605243</t>
  </si>
  <si>
    <t>-251.360984264249 230.66215055153 -311.53599803671</t>
  </si>
  <si>
    <t>-381.26202876024 8.09456887859096 -406.912317461673</t>
  </si>
  <si>
    <t>-616.8081182667 219.016426534439 -251.758896938772</t>
  </si>
  <si>
    <t>-605.602702260126 252.709181908859 202.55047665141</t>
  </si>
  <si>
    <t>-620.370405140191 255.726015223233 672.120902345022</t>
  </si>
  <si>
    <t>-461.744046734355 274.697247664025 745.750319249806</t>
  </si>
  <si>
    <t>-553.24068299828 39.5409974065208 -222.526113833871</t>
  </si>
  <si>
    <t>-450.940608748252 66.1159638095432 220.741452740879</t>
  </si>
  <si>
    <t>-611.523720492876 14.2396123970707 658.786133248504</t>
  </si>
  <si>
    <t>-457.428282141084 -26.6703280109414 733.11297393742</t>
  </si>
  <si>
    <t>9763-20170724T170155.561595900.bin</t>
  </si>
  <si>
    <t>-584.070921856508 128.236656878108 -237.386101435294</t>
  </si>
  <si>
    <t>-600.152812930245 104.039277886548 -354.960118855646</t>
  </si>
  <si>
    <t>-594.249370462327 74.6550327914008 -472.400679288634</t>
  </si>
  <si>
    <t>-580.251893354592 45.2868923808544 -576.978132342776</t>
  </si>
  <si>
    <t>-558.046451755135 12.6615511073464 -679.141479794414</t>
  </si>
  <si>
    <t>-534.166611287244 15.3611040137052 -766.57611972924</t>
  </si>
  <si>
    <t>-503.346039837258 158.263251314256 -782.481256834333</t>
  </si>
  <si>
    <t>-435.074111881216 267.364502226348 -493.306411425019</t>
  </si>
  <si>
    <t>-253.003110508164 231.264387903654 -311.127998353218</t>
  </si>
  <si>
    <t>-381.188481119152 8.08701462260797 -408.756706134572</t>
  </si>
  <si>
    <t>-615.740971139667 218.150923629198 -251.649698999962</t>
  </si>
  <si>
    <t>-604.612085821872 252.129680290953 202.640155285621</t>
  </si>
  <si>
    <t>-620.245223431738 255.589779267708 672.218645109393</t>
  </si>
  <si>
    <t>-461.64847142801 274.368644644765 745.96100278835</t>
  </si>
  <si>
    <t>-552.403499151223 38.3110055425529 -222.451603968433</t>
  </si>
  <si>
    <t>-450.437677647724 66.0178731834101 220.823652074111</t>
  </si>
  <si>
    <t>-611.617047224157 14.421117599665 658.698718747882</t>
  </si>
  <si>
    <t>-457.648435316517 -27.1163695491978 732.940273252038</t>
  </si>
  <si>
    <t>9763-20170724T170155.594684000.bin</t>
  </si>
  <si>
    <t>-583.865832002611 128.037128870251 -237.433237349604</t>
  </si>
  <si>
    <t>-600.106728555596 103.957046708146 -355.009449445151</t>
  </si>
  <si>
    <t>-594.519721390312 75.0922689939916 -472.594219601488</t>
  </si>
  <si>
    <t>-580.841469108746 46.3655863209794 -577.391949473983</t>
  </si>
  <si>
    <t>-558.965684919903 14.5558073255622 -679.883069102237</t>
  </si>
  <si>
    <t>-535.504181783036 18.0796925718221 -767.401655368633</t>
  </si>
  <si>
    <t>-505.364147811369 161.229077315135 -782.451496574568</t>
  </si>
  <si>
    <t>-437.25273947848 268.781176430651 -492.659216914989</t>
  </si>
  <si>
    <t>-254.591414050046 231.844241885862 -311.240969409836</t>
  </si>
  <si>
    <t>-381.526392773699 8.93230178744375 -410.060409910436</t>
  </si>
  <si>
    <t>-615.438863673825 218.02862294092 -251.580662167275</t>
  </si>
  <si>
    <t>-604.316822412803 251.936083315661 202.714592838679</t>
  </si>
  <si>
    <t>-620.200178179471 255.430616743833 672.287041359247</t>
  </si>
  <si>
    <t>-461.617934526953 274.216525478576 746.058776895349</t>
  </si>
  <si>
    <t>-552.343066392191 38.1349967241092 -222.626153921729</t>
  </si>
  <si>
    <t>-450.573631232058 65.7814111035982 220.698004288532</t>
  </si>
  <si>
    <t>-611.65788764015 14.1500508480372 658.638555518521</t>
  </si>
  <si>
    <t>-457.628173393381 -27.2007008501471 732.857643507328</t>
  </si>
  <si>
    <t>9763-20170724T170155.658636400.bin</t>
  </si>
  <si>
    <t>-584.045903308007 128.700747886068 -237.676878172855</t>
  </si>
  <si>
    <t>-600.91339748071 104.994312929137 -355.240805671821</t>
  </si>
  <si>
    <t>-596.172239918705 77.2244584360278 -473.126002874177</t>
  </si>
  <si>
    <t>-583.290291723176 49.7980011183861 -578.372022152328</t>
  </si>
  <si>
    <t>-562.200618489881 19.6046359113116 -681.514751708489</t>
  </si>
  <si>
    <t>-539.715267787743 24.7342467937674 -769.210092622475</t>
  </si>
  <si>
    <t>-511.128698131399 168.3826327297 -782.643651603559</t>
  </si>
  <si>
    <t>-442.901734586966 272.623284464254 -491.670907586461</t>
  </si>
  <si>
    <t>-259.284684941799 233.430748572295 -311.69643207026</t>
  </si>
  <si>
    <t>-382.488297072705 11.7723935354729 -412.399124158977</t>
  </si>
  <si>
    <t>-615.433578090147 218.772089664077 -251.482924420183</t>
  </si>
  <si>
    <t>-603.98697813566 252.140071114373 202.844338317408</t>
  </si>
  <si>
    <t>-620.09163268629 255.320641710747 672.324924306192</t>
  </si>
  <si>
    <t>-461.562564193897 273.886277771838 746.266613832533</t>
  </si>
  <si>
    <t>-552.649926768243 38.6664663617134 -223.273766687317</t>
  </si>
  <si>
    <t>-451.329528080615 65.6888169329634 220.191707421151</t>
  </si>
  <si>
    <t>-611.726709023432 13.8789262057862 658.438756185446</t>
  </si>
  <si>
    <t>-457.611575682179 -27.1389830322257 732.665255900904</t>
  </si>
  <si>
    <t>9763-20170724T170155.696744800.bin</t>
  </si>
  <si>
    <t>-584.354058561389 129.488391631272 -237.939047762237</t>
  </si>
  <si>
    <t>-601.620442741806 105.944137626605 -355.477662515144</t>
  </si>
  <si>
    <t>-597.325166224998 78.65656108638 -473.492597004097</t>
  </si>
  <si>
    <t>-584.839855171532 51.804732742866 -578.93427461255</t>
  </si>
  <si>
    <t>-564.122206861802 22.3281718791088 -682.359465607546</t>
  </si>
  <si>
    <t>-542.104567000084 28.1669772113457 -770.12896306065</t>
  </si>
  <si>
    <t>-514.295820511905 172.002456145595 -782.882086965737</t>
  </si>
  <si>
    <t>-445.944542823476 274.382550010367 -491.278498017461</t>
  </si>
  <si>
    <t>-261.862362122588 234.02999696824 -312.037139644169</t>
  </si>
  <si>
    <t>-383.079674178636 13.6338456146068 -413.917811158575</t>
  </si>
  <si>
    <t>-615.662913117623 219.606327801606 -251.53767334109</t>
  </si>
  <si>
    <t>-603.772931962408 252.472302655676 202.814697675712</t>
  </si>
  <si>
    <t>-619.952215212667 255.293602923154 672.261905471553</t>
  </si>
  <si>
    <t>-461.478129460483 273.707537072316 746.359231345399</t>
  </si>
  <si>
    <t>-553.052553899959 39.3886695837384 -223.739234342477</t>
  </si>
  <si>
    <t>-452.028995501196 65.7977049068122 219.830880051375</t>
  </si>
  <si>
    <t>-611.776961796575 13.6470255794552 658.313560972261</t>
  </si>
  <si>
    <t>-457.564383739193 -27.0282828529564 732.526134825465</t>
  </si>
  <si>
    <t>9763-20170724T170155.762460300.bin</t>
  </si>
  <si>
    <t>-585.641322230286 132.104516716982 -238.596146246834</t>
  </si>
  <si>
    <t>-603.578974628755 109.00217159983 -356.122032104763</t>
  </si>
  <si>
    <t>-600.001254155652 82.5645944110443 -474.354036026284</t>
  </si>
  <si>
    <t>-588.147786195214 56.6644857901433 -580.106353924416</t>
  </si>
  <si>
    <t>-568.019599134414 28.3310083546585 -683.966364745409</t>
  </si>
  <si>
    <t>-546.77102350411 35.273578905241 -771.845042306815</t>
  </si>
  <si>
    <t>-520.231491195934 179.447283527411 -783.58437992443</t>
  </si>
  <si>
    <t>-451.341652793103 278.367839154278 -490.915468420966</t>
  </si>
  <si>
    <t>-266.433085905686 236.390584130559 -312.901996059379</t>
  </si>
  <si>
    <t>-384.396261028435 18.577561519329 -416.913233964848</t>
  </si>
  <si>
    <t>-616.602755447509 222.379220620348 -251.738691726805</t>
  </si>
  <si>
    <t>-603.393124317182 253.862251186943 202.675186680483</t>
  </si>
  <si>
    <t>-619.781731761185 255.350256982912 672.162662166239</t>
  </si>
  <si>
    <t>-461.415699859325 273.42812903494 746.572991556723</t>
  </si>
  <si>
    <t>-554.602950585076 41.8730384946737 -224.817420600488</t>
  </si>
  <si>
    <t>-453.810417547765 66.4298771280448 218.911669300884</t>
  </si>
  <si>
    <t>-611.85828382829 13.4177208956423 657.989973099255</t>
  </si>
  <si>
    <t>-457.615235459092 -27.0436884132816 732.256178898848</t>
  </si>
  <si>
    <t>9763-20170724T170155.797548500.bin</t>
  </si>
  <si>
    <t>-586.467165247837 133.911627143203 -238.935245958298</t>
  </si>
  <si>
    <t>-604.666323377132 111.011053503399 -356.46040200777</t>
  </si>
  <si>
    <t>-601.401993579575 84.8823553861391 -474.770123991404</t>
  </si>
  <si>
    <t>-589.841920460158 59.310901505306 -580.634696879734</t>
  </si>
  <si>
    <t>-570.009110754562 31.3580979897656 -684.654714341435</t>
  </si>
  <si>
    <t>-549.097437464533 38.6604095559433 -772.585016749871</t>
  </si>
  <si>
    <t>-523.088952065786 182.956756245254 -784.048302004984</t>
  </si>
  <si>
    <t>-453.813511722258 280.312078179079 -490.945835424365</t>
  </si>
  <si>
    <t>-268.689849399196 237.579507574183 -313.336122964494</t>
  </si>
  <si>
    <t>-385.399228554706 21.4020042927737 -418.270849347617</t>
  </si>
  <si>
    <t>-617.212916919529 224.264931234341 -251.865182433532</t>
  </si>
  <si>
    <t>-603.305047601411 254.961283998768 202.581683953578</t>
  </si>
  <si>
    <t>-619.687181247708 255.491973424601 672.050158569343</t>
  </si>
  <si>
    <t>-461.380529627963 273.418464840876 746.623312723648</t>
  </si>
  <si>
    <t>-555.527191665241 43.6601447746793 -225.359935121186</t>
  </si>
  <si>
    <t>-454.722672038394 67.1077830446955 218.426420346682</t>
  </si>
  <si>
    <t>-611.884729196201 13.4164551258496 657.808771230849</t>
  </si>
  <si>
    <t>-457.724282312706 -27.2239955282814 732.148651039544</t>
  </si>
  <si>
    <t>9763-20170724T170155.861230400.bin</t>
  </si>
  <si>
    <t>-588.119611000307 138.161995430378 -239.437857264213</t>
  </si>
  <si>
    <t>-606.587390278374 115.550447780283 -356.977177243416</t>
  </si>
  <si>
    <t>-603.769055807101 89.735425291205 -475.367187355801</t>
  </si>
  <si>
    <t>-592.67526966397 64.4662383225318 -581.354190769529</t>
  </si>
  <si>
    <t>-573.363926972661 36.8396099725533 -685.55919502868</t>
  </si>
  <si>
    <t>-552.939112027562 44.4398645153226 -773.578603402835</t>
  </si>
  <si>
    <t>-527.232372345061 188.791069457996 -784.840981887452</t>
  </si>
  <si>
    <t>-457.476796408294 284.810008420796 -491.411717328949</t>
  </si>
  <si>
    <t>-272.456128030623 240.569073409961 -314.064104052918</t>
  </si>
  <si>
    <t>-387.773837146337 26.3998890744926 -420.239002348176</t>
  </si>
  <si>
    <t>-618.44839933775 228.839192041917 -252.151039693235</t>
  </si>
  <si>
    <t>-603.847431336948 257.607125966327 202.400302079704</t>
  </si>
  <si>
    <t>-619.588577249426 256.073832985788 671.789100848485</t>
  </si>
  <si>
    <t>-461.384035130666 273.537095258792 746.688258091787</t>
  </si>
  <si>
    <t>-557.542529908298 47.4394399967739 -226.110341391463</t>
  </si>
  <si>
    <t>-456.144692482588 68.8419719846197 217.644178148355</t>
  </si>
  <si>
    <t>-611.876578432958 13.2246903727321 657.334935494845</t>
  </si>
  <si>
    <t>-457.758253456208 -27.2757328174546 731.838397511334</t>
  </si>
  <si>
    <t>9763-20170724T170155.900334200.bin</t>
  </si>
  <si>
    <t>-588.874991688468 140.496696836607 -239.728214745696</t>
  </si>
  <si>
    <t>-607.433485401347 118.013689838988 -357.277766115933</t>
  </si>
  <si>
    <t>-604.773775494513 92.2680216089509 -475.68665227894</t>
  </si>
  <si>
    <t>-593.851133940686 67.040306289178 -581.701310260458</t>
  </si>
  <si>
    <t>-574.737870032029 39.4367466764609 -685.948950959571</t>
  </si>
  <si>
    <t>-554.444044419311 47.0480436283201 -773.997651630114</t>
  </si>
  <si>
    <t>-528.69283834253 191.390327797325 -785.38757924216</t>
  </si>
  <si>
    <t>-458.844810966896 287.539756259078 -492.023133296484</t>
  </si>
  <si>
    <t>-274.189440615956 242.058128211076 -314.608642222644</t>
  </si>
  <si>
    <t>-388.850874390223 28.7042169673184 -421.057419590541</t>
  </si>
  <si>
    <t>-619.093303529457 231.498685274881 -252.362650143359</t>
  </si>
  <si>
    <t>-604.498826985977 259.10436536719 202.260849219859</t>
  </si>
  <si>
    <t>-619.543902732488 256.44570009283 671.651423853878</t>
  </si>
  <si>
    <t>-461.367902065832 273.634042494039 746.674289362605</t>
  </si>
  <si>
    <t>-558.439342720765 49.481166283505 -226.421899080994</t>
  </si>
  <si>
    <t>-456.548393504171 69.9410968390621 217.264114746198</t>
  </si>
  <si>
    <t>-611.85877867072 13.0511721492933 657.043497263405</t>
  </si>
  <si>
    <t>-457.73181334043 -27.2166838781404 731.655047453486</t>
  </si>
  <si>
    <t>9763-20170724T170155.959493100.bin</t>
  </si>
  <si>
    <t>-590.639216583447 145.209258063332 -240.051877093063</t>
  </si>
  <si>
    <t>-609.200080980856 122.766831592835 -357.608689706144</t>
  </si>
  <si>
    <t>-606.750744988355 96.9224289820947 -476.000728052034</t>
  </si>
  <si>
    <t>-596.106130504669 71.554740861134 -582.010195809267</t>
  </si>
  <si>
    <t>-577.359244462224 43.7643182823738 -686.274683345164</t>
  </si>
  <si>
    <t>-543.123192541989 2.25194400147075 -828.769049543319</t>
  </si>
  <si>
    <t>-557.2512182695 51.1940214383826 -774.381613154418</t>
  </si>
  <si>
    <t>-531.171914695151 195.430333092503 -786.23945289739</t>
  </si>
  <si>
    <t>-461.470571533492 292.740906175429 -493.223107244614</t>
  </si>
  <si>
    <t>-278.127158609912 243.789923512632 -315.371892544625</t>
  </si>
  <si>
    <t>-391.323209358721 32.0371764698418 -422.543738198621</t>
  </si>
  <si>
    <t>-620.379663324061 236.793020533475 -252.744947791895</t>
  </si>
  <si>
    <t>-606.479734098657 262.090968844691 202.0347266453</t>
  </si>
  <si>
    <t>-619.592201379684 257.049200581153 671.527980436878</t>
  </si>
  <si>
    <t>-461.398934281147 273.739100096022 746.626908992262</t>
  </si>
  <si>
    <t>-560.733647427824 53.5125657902047 -226.658239111305</t>
  </si>
  <si>
    <t>-456.564662608222 71.5364539355739 216.604262578635</t>
  </si>
  <si>
    <t>-611.609054706195 12.0419232665431 656.181659834678</t>
  </si>
  <si>
    <t>-457.721643418911 -27.5539739236087 731.642510377138</t>
  </si>
  <si>
    <t>9763-20170724T170155.997594800.bin</t>
  </si>
  <si>
    <t>-591.400441663123 147.273091847102 -240.160759914235</t>
  </si>
  <si>
    <t>-609.99876665015 124.886110090662 -357.722321063861</t>
  </si>
  <si>
    <t>-607.663462918267 99.0012548479519 -476.107676765786</t>
  </si>
  <si>
    <t>-597.156039122666 73.5593867361242 -582.113105647552</t>
  </si>
  <si>
    <t>-578.581894449741 45.6591856043615 -686.379262633829</t>
  </si>
  <si>
    <t>-544.623945310358 3.95838963907295 -828.885091667286</t>
  </si>
  <si>
    <t>-558.533859584669 52.9758206185163 -774.509315440099</t>
  </si>
  <si>
    <t>-532.115867503921 197.12222677294 -786.582548078897</t>
  </si>
  <si>
    <t>-462.864208237032 294.951754102691 -493.632312710199</t>
  </si>
  <si>
    <t>-280.208602622053 244.103684677688 -315.605798630772</t>
  </si>
  <si>
    <t>-392.415882574213 33.2893055245399 -422.864303313528</t>
  </si>
  <si>
    <t>-621.038381350556 239.287048793774 -252.881659839919</t>
  </si>
  <si>
    <t>-607.515736129355 263.226698421081 201.982721785982</t>
  </si>
  <si>
    <t>-619.600853112886 257.122769130982 671.519217000355</t>
  </si>
  <si>
    <t>-461.379936353154 273.714433023345 746.581665124471</t>
  </si>
  <si>
    <t>-561.670303740347 55.1252583923549 -226.763540687823</t>
  </si>
  <si>
    <t>-456.110994598279 71.9145598974546 216.218440021889</t>
  </si>
  <si>
    <t>-611.331913446658 11.2172300785637 655.592030922481</t>
  </si>
  <si>
    <t>-457.826348919666 -27.9950536480387 732.024713518605</t>
  </si>
  <si>
    <t>9763-20170724T170156.064783900.bin</t>
  </si>
  <si>
    <t>-592.320030030442 150.868536711246 -240.488069763986</t>
  </si>
  <si>
    <t>-610.955142268346 128.474489326261 -358.042491564436</t>
  </si>
  <si>
    <t>-608.853598408929 102.482742639607 -476.408883523578</t>
  </si>
  <si>
    <t>-598.639639925529 76.9062655464274 -582.410546390682</t>
  </si>
  <si>
    <t>-580.441195884171 48.8360999387228 -686.697302417401</t>
  </si>
  <si>
    <t>-547.090291162633 6.86402887338772 -829.266811079099</t>
  </si>
  <si>
    <t>-560.547610287064 55.9905572768025 -774.875668775751</t>
  </si>
  <si>
    <t>-533.358770295288 199.988584129399 -787.059451832265</t>
  </si>
  <si>
    <t>-465.09248421017 297.8090545765 -493.875042151706</t>
  </si>
  <si>
    <t>-283.221075059709 244.164981241749 -315.866131616504</t>
  </si>
  <si>
    <t>-393.870138997654 35.6641833140418 -423.124745537632</t>
  </si>
  <si>
    <t>-621.765203493491 243.967382640561 -253.220747158754</t>
  </si>
  <si>
    <t>-609.175085462766 265.513258792855 201.790187905066</t>
  </si>
  <si>
    <t>-619.639068097687 257.625165423012 671.355607094315</t>
  </si>
  <si>
    <t>-461.372597447863 273.651720436586 746.444663019951</t>
  </si>
  <si>
    <t>-562.796954975624 57.7656286717422 -227.0710517127</t>
  </si>
  <si>
    <t>-454.96926226551 72.4995262234331 215.437470122693</t>
  </si>
  <si>
    <t>-610.501807319939 9.43735826939269 654.470740590984</t>
  </si>
  <si>
    <t>-458.026449885147 -29.181759685318 733.232095151599</t>
  </si>
  <si>
    <t>9763-20170724T170156.097868900.bin</t>
  </si>
  <si>
    <t>-592.650505431643 153.029106978695 -240.556451727963</t>
  </si>
  <si>
    <t>-611.273205243935 130.638255332459 -358.113401253477</t>
  </si>
  <si>
    <t>-609.29980650326 104.5952141653 -476.470764401917</t>
  </si>
  <si>
    <t>-599.259867308806 78.9526882116488 -582.473042524272</t>
  </si>
  <si>
    <t>-581.293215618061 50.7988058290589 -686.77739056381</t>
  </si>
  <si>
    <t>-548.323636958358 8.69346210816229 -829.396299094295</t>
  </si>
  <si>
    <t>-561.544477690874 57.8727639620897 -774.994792719398</t>
  </si>
  <si>
    <t>-534.14563343211 201.831264196032 -787.231988659664</t>
  </si>
  <si>
    <t>-466.122002554951 299.319554614032 -493.880585750995</t>
  </si>
  <si>
    <t>-284.541984433102 244.593454694481 -315.90362226586</t>
  </si>
  <si>
    <t>-394.677063055932 37.3147634217735 -422.976297869499</t>
  </si>
  <si>
    <t>-621.991801029502 246.590527149004 -253.359704848135</t>
  </si>
  <si>
    <t>-609.900473759824 266.930947558348 201.720262914724</t>
  </si>
  <si>
    <t>-619.68171528752 258.073071648813 671.245310003559</t>
  </si>
  <si>
    <t>-461.40819700893 273.606227401133 746.423394578721</t>
  </si>
  <si>
    <t>-563.27376569871 59.7661474699437 -227.029735873558</t>
  </si>
  <si>
    <t>-454.664133056415 73.5491522510949 215.318162368092</t>
  </si>
  <si>
    <t>-610.458680154034 9.28502010958414 654.270162352869</t>
  </si>
  <si>
    <t>-458.016286540449 -29.0353680906619 733.240934208551</t>
  </si>
  <si>
    <t>9763-20170724T170156.166020600.bin</t>
  </si>
  <si>
    <t>-593.086009798134 158.497816396307 -240.738577040397</t>
  </si>
  <si>
    <t>-611.664334315697 136.175483910016 -358.315671943008</t>
  </si>
  <si>
    <t>-609.837015930399 110.138149607252 -476.676500498941</t>
  </si>
  <si>
    <t>-600.00784443719 84.4777634780896 -582.694192289429</t>
  </si>
  <si>
    <t>-582.329997898801 56.2853689667218 -687.037602870409</t>
  </si>
  <si>
    <t>-549.841496746674 14.1067247017668 -829.745186990208</t>
  </si>
  <si>
    <t>-562.760406230511 63.3160538993272 -775.2982718173</t>
  </si>
  <si>
    <t>-534.921218619041 207.181088876582 -787.446429303598</t>
  </si>
  <si>
    <t>-467.179584259476 304.382073254261 -493.934718283067</t>
  </si>
  <si>
    <t>-285.937649998262 247.927013585397 -316.15310533454</t>
  </si>
  <si>
    <t>-565.672857921721 2.22290954131813 -757.904739844479</t>
  </si>
  <si>
    <t>-395.031875075832 42.3569552634724 -422.572730384228</t>
  </si>
  <si>
    <t>-622.006020018967 252.175817267402 -253.694956903511</t>
  </si>
  <si>
    <t>-610.691868255407 270.317715454447 201.497910628195</t>
  </si>
  <si>
    <t>-619.553585407665 258.99169095236 670.857316162139</t>
  </si>
  <si>
    <t>-461.395731175869 273.605229450422 746.461857962228</t>
  </si>
  <si>
    <t>-564.157768773461 65.3338257640489 -227.008552785531</t>
  </si>
  <si>
    <t>-454.608208707725 77.2764831320308 215.160948575348</t>
  </si>
  <si>
    <t>-610.778454950659 10.551315700636 653.824682760068</t>
  </si>
  <si>
    <t>-458.555108373395 -29.8320620650809 732.187606380221</t>
  </si>
  <si>
    <t>9763-20170724T170156.194093500.bin</t>
  </si>
  <si>
    <t>-593.195718862173 161.087278216551 -240.827586939226</t>
  </si>
  <si>
    <t>-611.74078477295 138.798435291204 -358.416252755</t>
  </si>
  <si>
    <t>-609.93646080453 112.751180823631 -476.775180387809</t>
  </si>
  <si>
    <t>-600.152219943261 87.0669053407628 -582.791452085813</t>
  </si>
  <si>
    <t>-582.543726497371 58.8373777153693 -687.136542224179</t>
  </si>
  <si>
    <t>-550.176789445416 16.5950012104861 -829.852862306436</t>
  </si>
  <si>
    <t>-563.030701095781 65.8288165696965 -775.41284805836</t>
  </si>
  <si>
    <t>-535.208326556213 209.727029877933 -787.594094742251</t>
  </si>
  <si>
    <t>-467.375136176625 306.970923546997 -494.11766444076</t>
  </si>
  <si>
    <t>-286.189928031516 249.883250830524 -316.480515896966</t>
  </si>
  <si>
    <t>-565.965634988186 4.74288357434375 -757.997691387646</t>
  </si>
  <si>
    <t>-395.414581982194 44.6189315865572 -422.722341269777</t>
  </si>
  <si>
    <t>-621.95241772205 254.554345833279 -253.776154550634</t>
  </si>
  <si>
    <t>-610.765718682677 271.827822623932 201.453668333977</t>
  </si>
  <si>
    <t>-619.512563340662 259.149244738667 670.841842023587</t>
  </si>
  <si>
    <t>-461.372103863764 273.576290170062 746.518482439977</t>
  </si>
  <si>
    <t>-564.342510713818 67.9141668864856 -227.089403312958</t>
  </si>
  <si>
    <t>-454.648666819359 78.9514554287878 215.067896075748</t>
  </si>
  <si>
    <t>-610.905635566731 10.8932799428001 653.46312386708</t>
  </si>
  <si>
    <t>-458.549319705243 -29.5775536283156 731.521951100006</t>
  </si>
  <si>
    <t>9763-20170724T170156.262278300.bin</t>
  </si>
  <si>
    <t>-593.044790948568 165.154554218097 -241.089032520609</t>
  </si>
  <si>
    <t>-611.4941282647 142.977892000439 -358.713960655465</t>
  </si>
  <si>
    <t>-609.692166682346 116.945873258083 -477.076354388439</t>
  </si>
  <si>
    <t>-599.954516005163 91.2372911989651 -583.090893457454</t>
  </si>
  <si>
    <t>-582.439504893796 62.9455902045925 -687.434986918252</t>
  </si>
  <si>
    <t>-550.252920726005 20.5787390231101 -830.15516188757</t>
  </si>
  <si>
    <t>-562.977096780745 69.8611090793947 -775.728441481806</t>
  </si>
  <si>
    <t>-535.161499268021 213.74189557292 -787.936883236839</t>
  </si>
  <si>
    <t>-467.116790433429 311.24242289797 -494.594457349457</t>
  </si>
  <si>
    <t>-286.155015292594 252.954567845029 -317.119357693908</t>
  </si>
  <si>
    <t>-566.011859048394 8.7884849610939 -758.283363785511</t>
  </si>
  <si>
    <t>-394.46467273085 48.1816830660816 -422.852404748505</t>
  </si>
  <si>
    <t>-621.597780875453 258.555866379442 -253.922642368544</t>
  </si>
  <si>
    <t>-610.754043913816 274.299254046119 201.370812506843</t>
  </si>
  <si>
    <t>-619.507255987872 259.612594087821 670.670455872839</t>
  </si>
  <si>
    <t>-461.405674025534 273.603668135739 746.510083156135</t>
  </si>
  <si>
    <t>-564.402143037217 71.8536077535157 -227.482894982179</t>
  </si>
  <si>
    <t>-454.995761915479 81.3888498095639 214.780680650799</t>
  </si>
  <si>
    <t>-611.152952963323 11.1770976965784 652.922505513214</t>
  </si>
  <si>
    <t>-458.485369488823 -29.3165542455224 730.358836088787</t>
  </si>
  <si>
    <t>9763-20170724T170156.300381400.bin</t>
  </si>
  <si>
    <t>-592.959397151961 166.926574628347 -241.239312574899</t>
  </si>
  <si>
    <t>-611.308746093511 144.892384410588 -358.90670623377</t>
  </si>
  <si>
    <t>-609.497967140575 118.880339311057 -477.273316740648</t>
  </si>
  <si>
    <t>-599.795433968148 93.1409379097991 -583.283677088044</t>
  </si>
  <si>
    <t>-582.361594228088 64.7710895796349 -687.619971942175</t>
  </si>
  <si>
    <t>-550.338352017908 22.2473883632499 -830.330365921095</t>
  </si>
  <si>
    <t>-502.224407811709 0.202847563390606 -917.405394478838</t>
  </si>
  <si>
    <t>-562.950855319347 71.5901357798207 -775.932358183959</t>
  </si>
  <si>
    <t>-535.071231460666 215.466696007815 -788.183742512805</t>
  </si>
  <si>
    <t>-466.796528383742 313.082679487626 -494.933300023124</t>
  </si>
  <si>
    <t>-286.127331375419 254.110148569894 -317.386299848112</t>
  </si>
  <si>
    <t>-566.064404806993 10.535528559871 -758.438416277626</t>
  </si>
  <si>
    <t>-394.585579790288 50.1960466575292 -423.334030476415</t>
  </si>
  <si>
    <t>-621.362993852007 260.256738927488 -253.995705060675</t>
  </si>
  <si>
    <t>-610.748520993816 275.370782188801 201.324545628097</t>
  </si>
  <si>
    <t>-619.493895915313 259.8061998039 670.584661312964</t>
  </si>
  <si>
    <t>-461.417771008045 273.6151484134 746.510744865709</t>
  </si>
  <si>
    <t>-564.510297214235 73.7486037325543 -227.685983972093</t>
  </si>
  <si>
    <t>-455.247016136907 82.4156187776744 214.63078930348</t>
  </si>
  <si>
    <t>-611.309019359455 11.5477118898423 652.709706660573</t>
  </si>
  <si>
    <t>-458.634353024168 -29.600252834397 729.786250624099</t>
  </si>
  <si>
    <t>9763-20170724T170156.364078200.bin</t>
  </si>
  <si>
    <t>-592.747616740773 169.842792511235 -241.572163009565</t>
  </si>
  <si>
    <t>-610.985596282637 148.035671324345 -359.299085722279</t>
  </si>
  <si>
    <t>-609.200071950137 122.093690147498 -477.68155246757</t>
  </si>
  <si>
    <t>-599.5830144097 96.3554851048966 -583.700073775783</t>
  </si>
  <si>
    <t>-582.300634318236 67.9272474241534 -688.045534392287</t>
  </si>
  <si>
    <t>-550.559264092384 25.2614756315991 -830.776577171632</t>
  </si>
  <si>
    <t>-502.593276892419 3.11254450712431 -917.906688462549</t>
  </si>
  <si>
    <t>-562.974170722898 74.6593929046328 -776.383033153797</t>
  </si>
  <si>
    <t>-534.75176717418 218.470359715527 -788.579182492128</t>
  </si>
  <si>
    <t>-466.333786413094 315.60280658631 -495.201471661964</t>
  </si>
  <si>
    <t>-286.206856655492 255.449531075937 -317.499668050425</t>
  </si>
  <si>
    <t>-566.233490279333 13.6201958203312 -758.861892542183</t>
  </si>
  <si>
    <t>-392.966856454657 54.3633911961658 -423.9280247656</t>
  </si>
  <si>
    <t>-620.739889957411 263.03838544444 -254.208786952085</t>
  </si>
  <si>
    <t>-610.507176208219 277.038956281952 201.155895460827</t>
  </si>
  <si>
    <t>-619.467120315648 260.205252791081 670.389139122765</t>
  </si>
  <si>
    <t>-461.443974028517 273.573256804733 746.504113267891</t>
  </si>
  <si>
    <t>-564.71901315084 76.7164826461496 -228.20657366022</t>
  </si>
  <si>
    <t>-455.802512891041 83.86538472965 214.222789503714</t>
  </si>
  <si>
    <t>-611.520273985989 11.9686620928082 652.228075771835</t>
  </si>
  <si>
    <t>-458.627348421182 -29.4299078947606 728.73580101432</t>
  </si>
  <si>
    <t>9763-20170724T170156.398168500.bin</t>
  </si>
  <si>
    <t>-592.674321800602 170.927445483505 -241.772561963181</t>
  </si>
  <si>
    <t>-610.902952343349 149.239857332711 -359.523072581108</t>
  </si>
  <si>
    <t>-609.131894067071 123.296309087625 -477.905362134431</t>
  </si>
  <si>
    <t>-599.542149794094 97.5114784001785 -583.914826488506</t>
  </si>
  <si>
    <t>-582.303771042239 68.9941008046328 -688.243500103231</t>
  </si>
  <si>
    <t>-550.642916696913 26.1627474924771 -830.942640110501</t>
  </si>
  <si>
    <t>-502.762115845491 3.90255074660399 -918.091372590699</t>
  </si>
  <si>
    <t>-563.012534772585 75.6238219859608 -776.596449973587</t>
  </si>
  <si>
    <t>-534.853697952625 219.448752307656 -788.820897759244</t>
  </si>
  <si>
    <t>-466.254231407468 316.238128440461 -495.372243205085</t>
  </si>
  <si>
    <t>-286.467935812607 255.849395726426 -317.405616477578</t>
  </si>
  <si>
    <t>-566.291223530688 14.6046668584836 -759.008899634295</t>
  </si>
  <si>
    <t>-392.62193583115 55.1610975653214 -424.318885707261</t>
  </si>
  <si>
    <t>-620.3964170499 264.116148880762 -254.31784222026</t>
  </si>
  <si>
    <t>-610.297008993017 277.738311567056 201.061285816692</t>
  </si>
  <si>
    <t>-619.4531715706 260.378987936021 670.279120847255</t>
  </si>
  <si>
    <t>-461.467863344424 273.554214246654 746.506239522536</t>
  </si>
  <si>
    <t>-564.912356401629 77.8257236993791 -228.474557997727</t>
  </si>
  <si>
    <t>-455.97399441347 84.0891229136062 213.96289041024</t>
  </si>
  <si>
    <t>-611.583758331325 11.9492382750941 652.005374557468</t>
  </si>
  <si>
    <t>-458.583976346398 -29.3532550746638 728.35122809707</t>
  </si>
  <si>
    <t>9763-20170724T170156.459645800.bin</t>
  </si>
  <si>
    <t>-592.370272006688 172.714136378275 -242.227007668015</t>
  </si>
  <si>
    <t>-610.536708099585 151.248909915483 -360.027822168438</t>
  </si>
  <si>
    <t>-608.64729379789 125.401095954017 -478.429169118974</t>
  </si>
  <si>
    <t>-598.93433709184 99.6517036132166 -584.436106535986</t>
  </si>
  <si>
    <t>-581.56101669417 71.1193090141398 -688.738216914828</t>
  </si>
  <si>
    <t>-549.704407939121 28.2164862171264 -831.372442534447</t>
  </si>
  <si>
    <t>-501.8328789703 5.9179596322233 -918.516372062571</t>
  </si>
  <si>
    <t>-562.118378204886 77.7051089846 -777.061418578116</t>
  </si>
  <si>
    <t>-533.858151948269 221.502853051495 -789.16741959468</t>
  </si>
  <si>
    <t>-466.085699967594 318.446672207974 -495.57768747722</t>
  </si>
  <si>
    <t>-286.697565612896 257.240607162838 -317.488369421834</t>
  </si>
  <si>
    <t>-565.481521225269 16.6942972735644 -759.461102023778</t>
  </si>
  <si>
    <t>-390.632130006385 55.4324747298579 -424.779299113731</t>
  </si>
  <si>
    <t>-619.680543956143 265.925868246288 -254.616369876727</t>
  </si>
  <si>
    <t>-609.822591003451 278.867763642048 200.787863115459</t>
  </si>
  <si>
    <t>-619.400052622913 260.746186582698 670.006092207331</t>
  </si>
  <si>
    <t>-461.49446829597 273.513111518962 746.46743470261</t>
  </si>
  <si>
    <t>-564.933982125886 79.563413001247 -229.143867783293</t>
  </si>
  <si>
    <t>-456.445454710545 84.555157718489 213.420310418949</t>
  </si>
  <si>
    <t>-611.627541652275 12.0741902750356 651.553234714491</t>
  </si>
  <si>
    <t>-458.518865578983 -29.1430370768733 727.726588592708</t>
  </si>
  <si>
    <t>9763-20170724T170156.496745700.bin</t>
  </si>
  <si>
    <t>-592.180697485054 173.336491666107 -242.424154899905</t>
  </si>
  <si>
    <t>-610.272358613937 152.005099837045 -360.260783805406</t>
  </si>
  <si>
    <t>-608.283165603984 126.219501540739 -478.673978237781</t>
  </si>
  <si>
    <t>-598.474535309501 100.495303193864 -584.67827598544</t>
  </si>
  <si>
    <t>-581.003387336462 71.9564753285881 -688.962388130322</t>
  </si>
  <si>
    <t>-549.011721240628 29.0114144422912 -831.553506479323</t>
  </si>
  <si>
    <t>-501.089208782103 6.69230764008626 -918.664260001604</t>
  </si>
  <si>
    <t>-561.428915792642 78.5164890179528 -777.258166309391</t>
  </si>
  <si>
    <t>-533.019674691525 222.300399480082 -789.348510130391</t>
  </si>
  <si>
    <t>-466.045773364325 319.620020391396 -495.699851222616</t>
  </si>
  <si>
    <t>-286.782583283234 258.052294428706 -317.60943429874</t>
  </si>
  <si>
    <t>-564.905168693278 17.510009178915 -759.664510745755</t>
  </si>
  <si>
    <t>-389.880544038611 54.6729908851246 -424.749755460716</t>
  </si>
  <si>
    <t>-619.317736022572 266.546864849474 -254.729733993016</t>
  </si>
  <si>
    <t>-609.697180178246 279.225258553419 200.686905457891</t>
  </si>
  <si>
    <t>-619.404699795797 260.842171863484 669.92160709547</t>
  </si>
  <si>
    <t>-461.52361707045 273.495575197407 746.45246324008</t>
  </si>
  <si>
    <t>-564.905874666552 80.2009895361816 -229.417056101377</t>
  </si>
  <si>
    <t>-456.645421498302 84.7572127139827 213.207631759132</t>
  </si>
  <si>
    <t>-611.621610598864 12.0694446216521 651.36174653518</t>
  </si>
  <si>
    <t>-458.490294469191 -29.0879637160006 727.521974876503</t>
  </si>
  <si>
    <t>9763-20170724T170156.561926300.bin</t>
  </si>
  <si>
    <t>-591.734890560958 173.978447884249 -242.628168224513</t>
  </si>
  <si>
    <t>-609.755246393862 152.792199507651 -360.501865999931</t>
  </si>
  <si>
    <t>-607.644865189043 127.090747132719 -478.931368090719</t>
  </si>
  <si>
    <t>-597.711286737041 101.413720780222 -584.935440894593</t>
  </si>
  <si>
    <t>-580.103447373234 72.8918126233496 -689.201039277971</t>
  </si>
  <si>
    <t>-547.913401567402 29.9373142347426 -831.74497722431</t>
  </si>
  <si>
    <t>-499.878777727889 7.56366544447314 -918.779876401804</t>
  </si>
  <si>
    <t>-560.296176527473 79.446567318485 -777.445443614662</t>
  </si>
  <si>
    <t>-531.381586225933 223.139666745439 -789.357938097941</t>
  </si>
  <si>
    <t>-466.557744122458 321.410767027537 -495.543627843855</t>
  </si>
  <si>
    <t>-287.467093106765 258.745914287908 -317.662317387704</t>
  </si>
  <si>
    <t>-564.016818671666 18.4401059907586 -759.901895893423</t>
  </si>
  <si>
    <t>-388.736326656015 53.0283713177985 -424.63229454797</t>
  </si>
  <si>
    <t>-618.592991696871 267.167776921041 -254.851955384234</t>
  </si>
  <si>
    <t>-609.368072161986 279.519155331135 200.581909950885</t>
  </si>
  <si>
    <t>-619.433406254502 260.755553288258 669.850240031727</t>
  </si>
  <si>
    <t>-461.560784483505 273.367518628533 746.405398291797</t>
  </si>
  <si>
    <t>-564.761737999799 80.8067731595741 -229.710811266399</t>
  </si>
  <si>
    <t>-456.720615937062 85.0844578922811 212.97012626061</t>
  </si>
  <si>
    <t>-611.587011656482 12.1102659669245 651.048177612418</t>
  </si>
  <si>
    <t>-458.538062168103 -29.3258471031625 727.22281854728</t>
  </si>
  <si>
    <t>9763-20170724T170156.594009800.bin</t>
  </si>
  <si>
    <t>-591.50929347988 174.100893478067 -242.69206693557</t>
  </si>
  <si>
    <t>-609.534478774531 152.958693988662 -360.573024708382</t>
  </si>
  <si>
    <t>-607.367383551906 127.262837098773 -479.002568045926</t>
  </si>
  <si>
    <t>-597.360369131648 101.57255130426 -584.996542895236</t>
  </si>
  <si>
    <t>-579.659428104694 73.0183676682173 -689.237604529683</t>
  </si>
  <si>
    <t>-547.322157812974 29.9983388969467 -831.728150703159</t>
  </si>
  <si>
    <t>-499.218947564597 7.57373754012906 -918.712153421507</t>
  </si>
  <si>
    <t>-559.696388872881 79.5326386870265 -777.449809156284</t>
  </si>
  <si>
    <t>-530.464451948692 223.160061588577 -789.281741694002</t>
  </si>
  <si>
    <t>-466.770733472909 321.977201823383 -495.403396000113</t>
  </si>
  <si>
    <t>-287.720689718068 258.99983585756 -317.591722154862</t>
  </si>
  <si>
    <t>-563.564401431744 18.5339610229626 -759.911320818986</t>
  </si>
  <si>
    <t>-388.292768506895 51.8199603607754 -424.547306338811</t>
  </si>
  <si>
    <t>-618.153005122492 267.319926301354 -254.895357958063</t>
  </si>
  <si>
    <t>-609.136802070549 279.632669139536 200.543689098746</t>
  </si>
  <si>
    <t>-619.457325650994 260.810309502993 669.793932870399</t>
  </si>
  <si>
    <t>-461.593804072914 273.324848223939 746.38378370342</t>
  </si>
  <si>
    <t>-564.800117814368 80.9058417246479 -229.770474528457</t>
  </si>
  <si>
    <t>-456.602937360803 84.9176142409485 212.874847087664</t>
  </si>
  <si>
    <t>-611.56905587892 11.9495264022707 650.932164298654</t>
  </si>
  <si>
    <t>-458.39656952171 -29.0638281683152 727.087307562541</t>
  </si>
  <si>
    <t>9763-20170724T170156.660192500.bin</t>
  </si>
  <si>
    <t>-591.024433822503 174.405090803256 -242.840326956343</t>
  </si>
  <si>
    <t>-609.048434990725 153.38751661371 -360.743550925863</t>
  </si>
  <si>
    <t>-606.814277198335 127.760453848481 -479.186891504813</t>
  </si>
  <si>
    <t>-596.722346222105 102.110354654276 -585.182615331711</t>
  </si>
  <si>
    <t>-578.914201263133 73.5749842134569 -689.410532484227</t>
  </si>
  <si>
    <t>-546.406502656342 30.560261044242 -831.863911236557</t>
  </si>
  <si>
    <t>-498.163052982639 8.11715616176843 -918.76536957092</t>
  </si>
  <si>
    <t>-558.773463060812 80.0926668516136 -777.582112073337</t>
  </si>
  <si>
    <t>-529.126355930784 223.663359267671 -789.217503901877</t>
  </si>
  <si>
    <t>-467.874138520569 322.76221245736 -494.915195027547</t>
  </si>
  <si>
    <t>-288.758980780223 259.093539743787 -317.415754704</t>
  </si>
  <si>
    <t>-562.806822351336 19.0932713334835 -760.083402159369</t>
  </si>
  <si>
    <t>-387.367699959896 51.3319057218282 -424.764427701963</t>
  </si>
  <si>
    <t>-617.313796152287 267.784524270082 -255.00847728752</t>
  </si>
  <si>
    <t>-608.587051998249 279.932112095227 200.440684000382</t>
  </si>
  <si>
    <t>-619.49286734575 261.004033024208 669.660368450529</t>
  </si>
  <si>
    <t>-461.666070166715 273.213007266427 746.375095219507</t>
  </si>
  <si>
    <t>-564.636725687471 81.1254807718365 -229.986321350229</t>
  </si>
  <si>
    <t>-456.525172983589 84.8788869225696 212.682228256617</t>
  </si>
  <si>
    <t>-611.542395264709 12.0908520209118 650.751536318902</t>
  </si>
  <si>
    <t>-458.536540099835 -29.5377381327328 726.90778908996</t>
  </si>
  <si>
    <t>9763-20170724T170156.702301300.bin</t>
  </si>
  <si>
    <t>-590.66409393893 174.410992424393 -242.86870138477</t>
  </si>
  <si>
    <t>-608.680473143013 153.424407470429 -360.778690714666</t>
  </si>
  <si>
    <t>-606.392117124782 127.791545598969 -479.219873747877</t>
  </si>
  <si>
    <t>-596.233826182994 102.122697761778 -585.204629639003</t>
  </si>
  <si>
    <t>-578.342893894292 73.5570769896135 -689.410020514563</t>
  </si>
  <si>
    <t>-545.704251138853 30.4889364035862 -831.817309554769</t>
  </si>
  <si>
    <t>-497.393856682418 8.03362526929641 -918.678412262059</t>
  </si>
  <si>
    <t>-558.102173574777 80.0417109176526 -777.561072514511</t>
  </si>
  <si>
    <t>-528.369359815456 223.582292141968 -789.131280064733</t>
  </si>
  <si>
    <t>-468.055364672443 323.294241300473 -494.842432780898</t>
  </si>
  <si>
    <t>-288.920653595228 259.494068115375 -317.409864381124</t>
  </si>
  <si>
    <t>-562.189436987277 19.0489720257642 -760.051844516425</t>
  </si>
  <si>
    <t>-386.725819960049 50.5193847836074 -424.753703405285</t>
  </si>
  <si>
    <t>-616.830057991508 267.838008120938 -255.055765072206</t>
  </si>
  <si>
    <t>-608.266057957948 280.036137291439 200.395161087353</t>
  </si>
  <si>
    <t>-619.501466619252 261.091585235499 669.608696947671</t>
  </si>
  <si>
    <t>-461.69535224123 273.172951081204 746.386164400474</t>
  </si>
  <si>
    <t>-564.369602378341 81.058856799455 -230.032699199303</t>
  </si>
  <si>
    <t>-456.345557983189 84.828711801709 212.657139238698</t>
  </si>
  <si>
    <t>-611.523430876727 12.2604794138176 650.662106952191</t>
  </si>
  <si>
    <t>-458.661208227707 -29.8673615978475 726.832336249495</t>
  </si>
  <si>
    <t>9763-20170724T170156.762000500.bin</t>
  </si>
  <si>
    <t>-590.115109593021 174.0408996067 -243.00897241057</t>
  </si>
  <si>
    <t>-608.1833204593 153.084077425801 -360.916411014773</t>
  </si>
  <si>
    <t>-605.860499037823 127.498007852005 -479.366904983832</t>
  </si>
  <si>
    <t>-595.634785532367 101.878371859114 -585.357050873459</t>
  </si>
  <si>
    <t>-577.640188902544 73.3685542683347 -689.559851084873</t>
  </si>
  <si>
    <t>-544.819818459698 30.3851306365839 -831.951122036738</t>
  </si>
  <si>
    <t>-496.349478859764 7.9982475182926 -918.740799436145</t>
  </si>
  <si>
    <t>-557.251552750249 79.9054272574544 -777.672995140577</t>
  </si>
  <si>
    <t>-526.97363199118 223.366361478166 -788.995050425131</t>
  </si>
  <si>
    <t>-469.256880691201 323.6466912739 -494.378730873155</t>
  </si>
  <si>
    <t>-289.948632944045 259.56757722741 -317.222157038002</t>
  </si>
  <si>
    <t>-561.432104213664 18.902437486192 -760.221714303183</t>
  </si>
  <si>
    <t>-386.05050669538 49.7796104141619 -425.211311288309</t>
  </si>
  <si>
    <t>-616.046325165193 267.674911051674 -255.188643398555</t>
  </si>
  <si>
    <t>-607.705992018059 279.98578816399 200.263497103845</t>
  </si>
  <si>
    <t>-619.523142467406 261.324360874521 669.473045585024</t>
  </si>
  <si>
    <t>-461.763900985237 273.074220973656 746.398207207732</t>
  </si>
  <si>
    <t>-564.196407505705 80.511838568498 -230.119659899946</t>
  </si>
  <si>
    <t>-456.016258605425 84.6266497459908 212.528995229706</t>
  </si>
  <si>
    <t>-611.471922651605 12.3288908532625 650.488484516574</t>
  </si>
  <si>
    <t>-458.589211303405 -29.723883473715 726.659059510817</t>
  </si>
  <si>
    <t>9763-20170724T170156.794085400.bin</t>
  </si>
  <si>
    <t>-589.90814585678 173.937165619293 -243.115570947518</t>
  </si>
  <si>
    <t>-607.934788093029 153.020214555283 -361.036431708872</t>
  </si>
  <si>
    <t>-605.573433740669 127.470133002842 -479.493915726201</t>
  </si>
  <si>
    <t>-595.31396157715 101.883445535849 -585.488855739842</t>
  </si>
  <si>
    <t>-577.286006925656 73.4087469222441 -689.695511612274</t>
  </si>
  <si>
    <t>-544.41896527836 30.4778787764219 -832.091895627868</t>
  </si>
  <si>
    <t>-495.895400403852 8.13356091072365 -918.862601534515</t>
  </si>
  <si>
    <t>-556.876185653197 79.9782764449756 -777.801396103145</t>
  </si>
  <si>
    <t>-526.593141643045 223.426733611856 -789.027780148097</t>
  </si>
  <si>
    <t>-469.908937430559 324.2664519185 -494.401743589984</t>
  </si>
  <si>
    <t>-290.525053508576 260.133098800226 -317.341301154177</t>
  </si>
  <si>
    <t>-561.046995682944 18.9687298234157 -760.370455479631</t>
  </si>
  <si>
    <t>-385.721688924629 49.4036554957452 -425.370137171898</t>
  </si>
  <si>
    <t>-615.725390312314 267.545021672692 -255.271217278352</t>
  </si>
  <si>
    <t>-607.485276550403 279.933801169827 200.180568470144</t>
  </si>
  <si>
    <t>-619.507769984653 261.358168151713 669.39250973119</t>
  </si>
  <si>
    <t>-461.781491197442 273.041982571818 746.395219887512</t>
  </si>
  <si>
    <t>-563.995979115591 80.5075575791795 -230.261507946233</t>
  </si>
  <si>
    <t>-456.029756171819 84.4635217301077 212.440774773735</t>
  </si>
  <si>
    <t>-611.465095367239 12.3662701148719 650.443378772193</t>
  </si>
  <si>
    <t>-458.600739929292 -29.7857010309503 726.595925258004</t>
  </si>
  <si>
    <t>9763-20170724T170156.858292400.bin</t>
  </si>
  <si>
    <t>-589.399266855859 173.547692579085 -243.261420529897</t>
  </si>
  <si>
    <t>-607.375523591951 152.684141262065 -361.199396324368</t>
  </si>
  <si>
    <t>-604.897325997511 127.198534564799 -479.668401803176</t>
  </si>
  <si>
    <t>-594.504657600228 101.677039869023 -585.666044269026</t>
  </si>
  <si>
    <t>-576.315732325878 73.2754200832323 -689.864714043267</t>
  </si>
  <si>
    <t>-543.195623496865 30.4557213873493 -832.23575603479</t>
  </si>
  <si>
    <t>-494.523476373916 8.22759507633282 -918.953277504896</t>
  </si>
  <si>
    <t>-555.785124086775 79.9137857544415 -777.937401601426</t>
  </si>
  <si>
    <t>-525.599327596523 223.406161019697 -789.040256005026</t>
  </si>
  <si>
    <t>-471.214284428683 325.159225032354 -494.294965084967</t>
  </si>
  <si>
    <t>-291.602873606481 261.105052517991 -317.436719120237</t>
  </si>
  <si>
    <t>-559.915312286556 18.8905555063891 -760.54468943013</t>
  </si>
  <si>
    <t>-384.687589592265 48.5231384894253 -425.17034786906</t>
  </si>
  <si>
    <t>-615.123859441543 267.142347120518 -255.397989460033</t>
  </si>
  <si>
    <t>-607.046107316811 279.753987355716 200.05042474007</t>
  </si>
  <si>
    <t>-619.518160595743 261.456817759041 669.294949429396</t>
  </si>
  <si>
    <t>-461.833009743797 272.991536918704 746.404291893891</t>
  </si>
  <si>
    <t>-563.567970515214 79.9814239959028 -230.448174186747</t>
  </si>
  <si>
    <t>-455.966520196008 84.0828666476375 212.341499083318</t>
  </si>
  <si>
    <t>-611.443492952984 12.4331088827964 650.367515554106</t>
  </si>
  <si>
    <t>-458.584874901723 -29.8017057155919 726.485664925593</t>
  </si>
  <si>
    <t>9763-20170724T170156.897396200.bin</t>
  </si>
  <si>
    <t>-589.135386891703 173.218043025391 -243.325028249303</t>
  </si>
  <si>
    <t>-607.10446857539 152.368480372972 -361.266528599857</t>
  </si>
  <si>
    <t>-604.564198399286 126.92725845 -479.743796006243</t>
  </si>
  <si>
    <t>-594.091439581328 101.459717630092 -585.746531612246</t>
  </si>
  <si>
    <t>-575.797427463415 73.1269670436384 -689.945545202757</t>
  </si>
  <si>
    <t>-542.504481290921 30.4185878197866 -832.309827106025</t>
  </si>
  <si>
    <t>-493.749286446895 8.27780474359088 -919.002937051011</t>
  </si>
  <si>
    <t>-555.198658460054 79.8341296569142 -777.997002452124</t>
  </si>
  <si>
    <t>-525.186645216027 223.370787722365 -789.062731834469</t>
  </si>
  <si>
    <t>-472.014528161536 325.476040568938 -494.218044694117</t>
  </si>
  <si>
    <t>-292.27522378957 261.379500235736 -317.505085680571</t>
  </si>
  <si>
    <t>-559.272452922645 18.7972830381698 -760.638917325027</t>
  </si>
  <si>
    <t>-384.10896305752 48.176064237832 -425.216304390598</t>
  </si>
  <si>
    <t>-614.853056050082 266.814120146423 -255.449166988923</t>
  </si>
  <si>
    <t>-606.831062929573 279.582253945283 199.996092313744</t>
  </si>
  <si>
    <t>-619.531298220985 261.487033305053 669.253106359451</t>
  </si>
  <si>
    <t>-461.860472001024 272.949525286676 746.402506655611</t>
  </si>
  <si>
    <t>-563.341247954134 79.6802733089942 -230.508979993744</t>
  </si>
  <si>
    <t>-455.921574840031 83.9125542883883 212.323620937409</t>
  </si>
  <si>
    <t>-611.431577837673 12.4799116297734 650.353906535368</t>
  </si>
  <si>
    <t>-458.605746786559 -29.9261479539075 726.442697857186</t>
  </si>
  <si>
    <t>9763-20170724T170156.961869400.bin</t>
  </si>
  <si>
    <t>-588.897517067688 172.439596071749 -243.400840663866</t>
  </si>
  <si>
    <t>-606.841415024981 151.605522762844 -361.34897509626</t>
  </si>
  <si>
    <t>-604.176244163856 126.187704011694 -479.828490179644</t>
  </si>
  <si>
    <t>-593.550347646581 100.745271156643 -585.821917092288</t>
  </si>
  <si>
    <t>-575.063636206486 72.4418249486748 -689.99490182161</t>
  </si>
  <si>
    <t>-541.462535798366 29.7791824297701 -832.300569402652</t>
  </si>
  <si>
    <t>-492.549563445873 7.78431339970416 -918.941908351318</t>
  </si>
  <si>
    <t>-554.333774883923 79.1773227805475 -778.013510965067</t>
  </si>
  <si>
    <t>-524.724254700216 222.789192221189 -789.024737637024</t>
  </si>
  <si>
    <t>-473.821807220287 326.009271469264 -494.167544684057</t>
  </si>
  <si>
    <t>-294.10247202993 261.744647024595 -317.495358166215</t>
  </si>
  <si>
    <t>-558.326115482519 18.1349055108392 -760.655814603933</t>
  </si>
  <si>
    <t>-383.405419051957 47.293314991445 -424.824570780996</t>
  </si>
  <si>
    <t>-614.598470129216 265.978544792018 -255.492646136064</t>
  </si>
  <si>
    <t>-606.526030423598 279.052628307322 199.943014987049</t>
  </si>
  <si>
    <t>-619.555145792906 261.307627059879 669.242779438703</t>
  </si>
  <si>
    <t>-461.900095095261 272.890291503377 746.406469296811</t>
  </si>
  <si>
    <t>-563.150805516151 78.9976298699953 -230.594332087028</t>
  </si>
  <si>
    <t>-455.898976185021 83.4434282970988 212.276919630434</t>
  </si>
  <si>
    <t>-611.435710308787 12.3913103710975 650.379260307397</t>
  </si>
  <si>
    <t>-458.503709886663 -29.8312204349977 726.35671384077</t>
  </si>
  <si>
    <t>9763-20170724T170156.994957300.bin</t>
  </si>
  <si>
    <t>-588.742983648931 172.029730368722 -243.415172798292</t>
  </si>
  <si>
    <t>-606.685563719806 151.19163162413 -361.362888467662</t>
  </si>
  <si>
    <t>-604.00441347555 125.772583083698 -479.841710076834</t>
  </si>
  <si>
    <t>-593.358167705589 100.330036175065 -585.833157272998</t>
  </si>
  <si>
    <t>-574.845106222525 72.0278135081933 -690.001716636464</t>
  </si>
  <si>
    <t>-541.201337383728 29.3681284982979 -832.298073234384</t>
  </si>
  <si>
    <t>-492.237582314012 7.42261163083458 -918.923331191382</t>
  </si>
  <si>
    <t>-554.104873778697 78.7650898351344 -778.017799241771</t>
  </si>
  <si>
    <t>-524.585402014289 222.415870611202 -789.046011752281</t>
  </si>
  <si>
    <t>-474.86737198666 326.018586578955 -494.120974245115</t>
  </si>
  <si>
    <t>-295.27322851111 261.78880827031 -317.308909716182</t>
  </si>
  <si>
    <t>-558.070469214073 17.7222877555685 -760.655041152073</t>
  </si>
  <si>
    <t>-383.18421244021 46.983633960918 -424.645011806403</t>
  </si>
  <si>
    <t>-614.468255158197 265.525031177108 -255.494066677559</t>
  </si>
  <si>
    <t>-606.478262674397 278.759184644276 199.938246253203</t>
  </si>
  <si>
    <t>-619.57594956826 261.244064209563 669.239048297783</t>
  </si>
  <si>
    <t>-461.923606632263 272.871033776478 746.401630913933</t>
  </si>
  <si>
    <t>-562.916744213211 78.57374171729 -230.645861343599</t>
  </si>
  <si>
    <t>-455.896743526356 83.1286486541821 212.280371921766</t>
  </si>
  <si>
    <t>-611.432884442086 12.3600002627279 650.413098098066</t>
  </si>
  <si>
    <t>-458.419093009683 -29.657011662076 726.339806167525</t>
  </si>
  <si>
    <t>9763-20170724T170157.065153800.bin</t>
  </si>
  <si>
    <t>-588.567991366625 171.233455840531 -243.41651038386</t>
  </si>
  <si>
    <t>-606.466200853314 150.418452648891 -361.37489296591</t>
  </si>
  <si>
    <t>-603.688863169249 124.994564720901 -479.850604042203</t>
  </si>
  <si>
    <t>-592.936005847714 99.538833943348 -585.828104938288</t>
  </si>
  <si>
    <t>-574.29790227418 71.2153904310778 -689.968504070981</t>
  </si>
  <si>
    <t>-540.462000445674 28.5194159089374 -832.208498154756</t>
  </si>
  <si>
    <t>-491.381825579601 6.67611405937419 -918.79364619926</t>
  </si>
  <si>
    <t>-553.48637664279 77.9300349311779 -777.969419981873</t>
  </si>
  <si>
    <t>-524.355216687395 221.634296324735 -788.997098886583</t>
  </si>
  <si>
    <t>-476.834626015133 326.02371252706 -493.987236092267</t>
  </si>
  <si>
    <t>-297.467242876152 261.74864197667 -316.961488870503</t>
  </si>
  <si>
    <t>-557.380260699837 16.8920707912189 -760.574097596446</t>
  </si>
  <si>
    <t>-382.746466472458 46.0414895579056 -424.513782760743</t>
  </si>
  <si>
    <t>-614.349931375617 264.716038098005 -255.480895521542</t>
  </si>
  <si>
    <t>-606.390776803987 278.226369056378 199.943981233787</t>
  </si>
  <si>
    <t>-619.635141813649 261.096021457136 669.267082187395</t>
  </si>
  <si>
    <t>-461.974840849684 272.837121973138 746.396165979074</t>
  </si>
  <si>
    <t>-562.7090026064 77.7515706853226 -230.676362562718</t>
  </si>
  <si>
    <t>-455.944491299487 82.5878877881896 212.308498168471</t>
  </si>
  <si>
    <t>-611.428923839071 12.4901524063639 650.508611688825</t>
  </si>
  <si>
    <t>-458.42188919559 -29.6834865965125 726.362038796061</t>
  </si>
  <si>
    <t>9763-20170724T170157.099249700.bin</t>
  </si>
  <si>
    <t>-588.536873834023 170.830235257284 -243.386372500967</t>
  </si>
  <si>
    <t>-606.407706092916 150.009822183534 -361.348145448383</t>
  </si>
  <si>
    <t>-603.611120496249 124.588845081019 -479.823867067158</t>
  </si>
  <si>
    <t>-592.843540266579 99.1408144460531 -585.801703852125</t>
  </si>
  <si>
    <t>-574.192507786114 70.8313521324339 -689.943751332874</t>
  </si>
  <si>
    <t>-540.339848042698 28.1617815901182 -832.187663544604</t>
  </si>
  <si>
    <t>-491.21978358073 6.36484061323972 -918.761897274113</t>
  </si>
  <si>
    <t>-553.386127846022 77.5622524591054 -777.944517737664</t>
  </si>
  <si>
    <t>-524.398059675956 221.311225935815 -789.011662492786</t>
  </si>
  <si>
    <t>-477.866956265739 326.167679625348 -494.009659991004</t>
  </si>
  <si>
    <t>-298.633725193218 261.98980169782 -316.812743488237</t>
  </si>
  <si>
    <t>-557.2510858325 16.5212007400355 -760.553673979818</t>
  </si>
  <si>
    <t>-382.640361158896 45.7345431420295 -424.56009137949</t>
  </si>
  <si>
    <t>-614.281433983871 264.323286292561 -255.464781827726</t>
  </si>
  <si>
    <t>-606.346040323979 277.975401559506 199.956181022881</t>
  </si>
  <si>
    <t>-619.657214637587 261.033898863996 669.272997269235</t>
  </si>
  <si>
    <t>-461.997923867525 272.824008050593 746.396595882271</t>
  </si>
  <si>
    <t>-562.725313500659 77.4225248647156 -230.624813208061</t>
  </si>
  <si>
    <t>-455.884542387985 82.2945083401949 212.341300567425</t>
  </si>
  <si>
    <t>-611.422512495263 12.4890260439445 650.549926206324</t>
  </si>
  <si>
    <t>-458.367180762222 -29.5657337507757 726.371895189411</t>
  </si>
  <si>
    <t>9763-20170724T170157.160451000.bin</t>
  </si>
  <si>
    <t>-588.308575262127 170.205230391532 -243.347202789051</t>
  </si>
  <si>
    <t>-606.255699562288 149.344223785826 -361.29004628097</t>
  </si>
  <si>
    <t>-603.449856337123 123.899697011281 -479.760629238433</t>
  </si>
  <si>
    <t>-592.637292107397 98.4399819757589 -585.730955590405</t>
  </si>
  <si>
    <t>-573.903902689322 70.1299074437354 -689.858149612998</t>
  </si>
  <si>
    <t>-539.89720432605 27.4725759583093 -832.068889489662</t>
  </si>
  <si>
    <t>-490.670067475918 5.72672155766577 -918.595085106776</t>
  </si>
  <si>
    <t>-553.042309369499 76.8682947161105 -777.845388894614</t>
  </si>
  <si>
    <t>-524.321127411749 220.660960481951 -788.942150768519</t>
  </si>
  <si>
    <t>-479.819189107187 325.986288656681 -493.794186209252</t>
  </si>
  <si>
    <t>-300.748708417158 261.946026409597 -316.383202358658</t>
  </si>
  <si>
    <t>-556.845884766641 15.8260546625929 -760.444687233112</t>
  </si>
  <si>
    <t>-382.083641018532 44.8219875121242 -424.45390180469</t>
  </si>
  <si>
    <t>-614.057116107112 263.727283813211 -255.465889909332</t>
  </si>
  <si>
    <t>-606.075875952865 277.608623833904 199.947386344696</t>
  </si>
  <si>
    <t>-619.703166486702 261.02997400386 669.260701376189</t>
  </si>
  <si>
    <t>-462.051285185564 272.787713562561 746.404344460495</t>
  </si>
  <si>
    <t>-562.503027643481 76.7492209727131 -230.54570615559</t>
  </si>
  <si>
    <t>-455.654368756331 82.0966490911683 212.412923870854</t>
  </si>
  <si>
    <t>-611.38541172414 12.5571752123451 650.597442233215</t>
  </si>
  <si>
    <t>-458.432608491746 -29.8810481745827 726.412695296142</t>
  </si>
  <si>
    <t>9763-20170724T170157.192532800.bin</t>
  </si>
  <si>
    <t>-588.281664342396 169.960698712905 -243.305763580297</t>
  </si>
  <si>
    <t>-606.212495543661 149.072957822014 -361.24632448974</t>
  </si>
  <si>
    <t>-603.375881011064 123.612578626068 -479.71283061517</t>
  </si>
  <si>
    <t>-592.529317802127 98.143272264577 -585.677390866567</t>
  </si>
  <si>
    <t>-573.755534911854 69.8287765546593 -689.7959917326</t>
  </si>
  <si>
    <t>-539.68600350516 27.1704210829014 -831.991430248017</t>
  </si>
  <si>
    <t>-490.418886939722 5.44162884288562 -918.499279489205</t>
  </si>
  <si>
    <t>-552.864370452314 76.5664407750148 -777.776304876494</t>
  </si>
  <si>
    <t>-524.181418662568 220.370559076303 -788.832545960904</t>
  </si>
  <si>
    <t>-480.697861458258 326.050386448363 -493.659483467005</t>
  </si>
  <si>
    <t>-301.705616258402 262.055424424418 -316.153158803965</t>
  </si>
  <si>
    <t>-556.657080989553 15.5243393222343 -760.37256517122</t>
  </si>
  <si>
    <t>-381.861935658745 44.5379204292974 -424.571030498647</t>
  </si>
  <si>
    <t>-614.036213915642 263.514248419068 -255.460075627109</t>
  </si>
  <si>
    <t>-605.939707144971 277.522279829503 199.947301921032</t>
  </si>
  <si>
    <t>-619.715384951735 261.032988540148 669.249951515338</t>
  </si>
  <si>
    <t>-462.072336959139 272.77725338048 746.413609373105</t>
  </si>
  <si>
    <t>-562.427283846786 76.52689587293 -230.497351813218</t>
  </si>
  <si>
    <t>-455.568983971638 81.9639261630432 212.457959769043</t>
  </si>
  <si>
    <t>-611.372198314042 12.5095629554228 650.62027290654</t>
  </si>
  <si>
    <t>-458.371507883542 -29.7964464711724 726.412733134249</t>
  </si>
  <si>
    <t>9763-20170724T170157.263489900.bin</t>
  </si>
  <si>
    <t>-588.146029143507 169.599777259107 -243.286786020139</t>
  </si>
  <si>
    <t>-606.138661311033 148.657428665259 -361.208215167856</t>
  </si>
  <si>
    <t>-603.33481823314 123.146397199869 -479.664520049659</t>
  </si>
  <si>
    <t>-592.504938613638 97.6351026077216 -585.620752346035</t>
  </si>
  <si>
    <t>-573.734346860151 69.2830384025046 -689.729771894884</t>
  </si>
  <si>
    <t>-539.654676646436 26.5785855309273 -831.908922338957</t>
  </si>
  <si>
    <t>-490.354137046589 4.86652526489956 -918.401853471727</t>
  </si>
  <si>
    <t>-552.872974952204 75.9918806169264 -777.719336708766</t>
  </si>
  <si>
    <t>-524.319011429122 219.818235039926 -788.768803289611</t>
  </si>
  <si>
    <t>-482.510653732218 325.947623054476 -493.514946665194</t>
  </si>
  <si>
    <t>-303.578099321838 262.381232412859 -315.794628921487</t>
  </si>
  <si>
    <t>-556.594799223187 14.9560047904461 -760.278761412232</t>
  </si>
  <si>
    <t>-381.65981947856 44.0302094788099 -424.40393074031</t>
  </si>
  <si>
    <t>-613.981422950198 263.141358898791 -255.463272502093</t>
  </si>
  <si>
    <t>-605.837920104174 277.340438487032 199.937371345261</t>
  </si>
  <si>
    <t>-619.754867316405 261.048425419537 669.241042332209</t>
  </si>
  <si>
    <t>-462.122645589679 272.784822755888 746.428043972236</t>
  </si>
  <si>
    <t>-562.278447437934 76.1742600417595 -230.436702034802</t>
  </si>
  <si>
    <t>-455.396377916027 81.802128511823 212.510493301294</t>
  </si>
  <si>
    <t>-611.328412171206 12.5846764321909 650.628944068719</t>
  </si>
  <si>
    <t>-458.285705742918 -29.6001036243545 726.404189655124</t>
  </si>
  <si>
    <t>9763-20170724T170157.295573500.bin</t>
  </si>
  <si>
    <t>-588.196692806083 169.471043987267 -243.310829977786</t>
  </si>
  <si>
    <t>-606.206347405753 148.522759044157 -361.228587052346</t>
  </si>
  <si>
    <t>-603.407439730819 122.992697816355 -479.680956029177</t>
  </si>
  <si>
    <t>-592.577471478588 97.4596314107841 -585.632017040575</t>
  </si>
  <si>
    <t>-573.802362597434 69.0822515057939 -689.733245547454</t>
  </si>
  <si>
    <t>-539.711973351916 26.3390749337889 -831.898140920324</t>
  </si>
  <si>
    <t>-490.403435463954 4.62296345331106 -918.385510119551</t>
  </si>
  <si>
    <t>-552.952586961024 75.766903005939 -777.727312762333</t>
  </si>
  <si>
    <t>-524.467405553171 219.615749539695 -788.775658094607</t>
  </si>
  <si>
    <t>-483.466288651752 325.961216040527 -493.486529131743</t>
  </si>
  <si>
    <t>-304.511353371189 262.411384928275 -315.782792511764</t>
  </si>
  <si>
    <t>-556.639316534942 14.7361053956445 -760.26181878277</t>
  </si>
  <si>
    <t>-381.69634289963 43.9801532577972 -424.414139379238</t>
  </si>
  <si>
    <t>-614.098489141402 262.980696795352 -255.464789933365</t>
  </si>
  <si>
    <t>-605.839490344014 277.262093243869 199.931213746447</t>
  </si>
  <si>
    <t>-619.773412317642 261.022894129821 669.244902328908</t>
  </si>
  <si>
    <t>-462.143116131088 272.782653652146 746.432454742089</t>
  </si>
  <si>
    <t>-562.224954185947 76.0663140829736 -230.462754787036</t>
  </si>
  <si>
    <t>-455.411095798649 81.7043596079175 212.50068749464</t>
  </si>
  <si>
    <t>-611.31704671024 12.4456236516603 650.649550875947</t>
  </si>
  <si>
    <t>-458.2249981645 -29.573888439224 726.416907236977</t>
  </si>
  <si>
    <t>9763-20170724T170157.365812000.bin</t>
  </si>
  <si>
    <t>-588.378695239275 169.161031040534 -243.302400414105</t>
  </si>
  <si>
    <t>-606.42098740767 148.172134544034 -361.20800677851</t>
  </si>
  <si>
    <t>-603.627665923155 122.581963245866 -479.647472473985</t>
  </si>
  <si>
    <t>-592.791846354828 96.9894928041185 -585.583603471523</t>
  </si>
  <si>
    <t>-574.000068252242 68.5491367839481 -689.664572433324</t>
  </si>
  <si>
    <t>-539.875263642319 25.7162748938042 -831.794392404542</t>
  </si>
  <si>
    <t>-490.554499204291 3.97505933604043 -918.268380418666</t>
  </si>
  <si>
    <t>-553.175197690771 75.1781086011106 -777.668872617509</t>
  </si>
  <si>
    <t>-525.040371948636 219.079249659708 -788.889524017698</t>
  </si>
  <si>
    <t>-485.2400957643 326.137423623711 -493.69337174038</t>
  </si>
  <si>
    <t>-306.306315923886 262.728820912079 -315.918057449017</t>
  </si>
  <si>
    <t>-556.773618757203 14.158990277313 -760.143948357487</t>
  </si>
  <si>
    <t>-381.799820369947 43.7026664141483 -424.308570431307</t>
  </si>
  <si>
    <t>-614.351517026995 262.691985811478 -255.46747197627</t>
  </si>
  <si>
    <t>-605.939907599008 277.081870742005 199.922261203018</t>
  </si>
  <si>
    <t>-619.818963829213 260.981449850361 669.254195176327</t>
  </si>
  <si>
    <t>-462.186273142646 272.787025466416 746.429722869875</t>
  </si>
  <si>
    <t>-562.305206331862 75.6559676821967 -230.467588294946</t>
  </si>
  <si>
    <t>-455.571733606893 81.6280076086898 212.510913574518</t>
  </si>
  <si>
    <t>-611.295597299404 12.4600340582556 650.711082707169</t>
  </si>
  <si>
    <t>-458.218713064168 -29.6539845695602 726.456618374659</t>
  </si>
  <si>
    <t>9763-20170724T170157.396891300.bin</t>
  </si>
  <si>
    <t>-588.56414951836 169.078829022374 -243.315783876898</t>
  </si>
  <si>
    <t>-606.646325774658 148.083222377172 -361.214090268435</t>
  </si>
  <si>
    <t>-603.874441847322 122.468477912621 -479.648785924897</t>
  </si>
  <si>
    <t>-593.050734920337 96.8476163523637 -585.579279884027</t>
  </si>
  <si>
    <t>-574.264269244898 68.3727758031553 -689.651768322351</t>
  </si>
  <si>
    <t>-540.140164751044 25.4862916480949 -831.765470871791</t>
  </si>
  <si>
    <t>-490.816447955115 3.71730340788872 -918.230942280852</t>
  </si>
  <si>
    <t>-553.450946652165 74.9683935504102 -777.661326346902</t>
  </si>
  <si>
    <t>-525.399461133998 218.881906788933 -788.927873585436</t>
  </si>
  <si>
    <t>-486.194965639316 326.234034603215 -493.758765642166</t>
  </si>
  <si>
    <t>-307.285310265093 262.878059432943 -315.940274462791</t>
  </si>
  <si>
    <t>-557.02711770244 13.9561246608532 -760.108023289235</t>
  </si>
  <si>
    <t>-382.02613755192 43.6513010743613 -424.191400262394</t>
  </si>
  <si>
    <t>-614.550762319258 262.587366333912 -255.466019816299</t>
  </si>
  <si>
    <t>-606.070712997598 277.01247263715 199.921378430802</t>
  </si>
  <si>
    <t>-619.847768078589 260.978949474919 669.259309958749</t>
  </si>
  <si>
    <t>-462.211162645139 272.788096821976 746.426406529973</t>
  </si>
  <si>
    <t>-562.527388949849 75.6455988919251 -230.452546142001</t>
  </si>
  <si>
    <t>-455.673992538694 81.5316788996327 212.498205724518</t>
  </si>
  <si>
    <t>-611.293986215495 12.501020081869 650.751765991091</t>
  </si>
  <si>
    <t>-458.182574800963 -29.5514021927177 726.461793485683</t>
  </si>
  <si>
    <t>9763-20170724T170157.461069000.bin</t>
  </si>
  <si>
    <t>-589.110220125113 168.909269789531 -243.261285125132</t>
  </si>
  <si>
    <t>-607.295077805617 147.877314702957 -361.137399959581</t>
  </si>
  <si>
    <t>-604.561073050006 122.194451334562 -479.558112786924</t>
  </si>
  <si>
    <t>-593.746019234181 96.5000213854237 -585.471602316881</t>
  </si>
  <si>
    <t>-574.943596427667 67.9402920212599 -689.518139781917</t>
  </si>
  <si>
    <t>-540.772999694049 24.9246710864829 -831.581686270554</t>
  </si>
  <si>
    <t>-491.432971219783 3.06872610760843 -918.015792641515</t>
  </si>
  <si>
    <t>-554.105122386048 74.4558329361978 -777.527599257597</t>
  </si>
  <si>
    <t>-526.162195264365 218.380500198748 -788.928079294869</t>
  </si>
  <si>
    <t>-488.173549097149 326.416492385645 -493.849619845218</t>
  </si>
  <si>
    <t>-309.303277818875 263.270851121075 -315.916738021794</t>
  </si>
  <si>
    <t>-557.679724337276 13.4597385058946 -759.918298186936</t>
  </si>
  <si>
    <t>-382.638185844854 43.3503324141084 -423.846950354811</t>
  </si>
  <si>
    <t>-615.080408321735 262.453728445329 -255.458667653592</t>
  </si>
  <si>
    <t>-606.381942583007 276.937190863521 199.922789600713</t>
  </si>
  <si>
    <t>-619.894351354995 261.005528284635 669.259387760451</t>
  </si>
  <si>
    <t>-462.254646362854 272.771245233238 746.426691715792</t>
  </si>
  <si>
    <t>-563.045530068844 75.397917892833 -230.384959165815</t>
  </si>
  <si>
    <t>-455.876645998013 81.4188508106679 212.487698158128</t>
  </si>
  <si>
    <t>-611.293061264283 12.5876055886483 650.819706095104</t>
  </si>
  <si>
    <t>-458.072905581933 -29.2048927685526 726.45357629011</t>
  </si>
  <si>
    <t>9763-20170724T170157.494152900.bin</t>
  </si>
  <si>
    <t>-589.424951838187 168.843576294704 -243.267255432192</t>
  </si>
  <si>
    <t>-607.651413025316 147.797461330794 -361.134362174807</t>
  </si>
  <si>
    <t>-604.927735468664 122.088108554391 -479.549791138789</t>
  </si>
  <si>
    <t>-594.109458000484 96.3654091274066 -585.455983227101</t>
  </si>
  <si>
    <t>-575.291581124887 67.7736659584564 -689.490916320242</t>
  </si>
  <si>
    <t>-541.08718292571 24.7103077764164 -831.531752848793</t>
  </si>
  <si>
    <t>-491.727258453027 2.8136021794578 -917.944299856999</t>
  </si>
  <si>
    <t>-554.43802891929 74.2596111407861 -777.498958355639</t>
  </si>
  <si>
    <t>-526.51478007727 218.183363355248 -788.92988464224</t>
  </si>
  <si>
    <t>-489.025887049385 326.374608272985 -493.844350423625</t>
  </si>
  <si>
    <t>-310.198640148476 263.285098125771 -315.848290028202</t>
  </si>
  <si>
    <t>-558.005070529622 13.2694128597034 -759.86721752331</t>
  </si>
  <si>
    <t>-382.97177929659 43.2313699569381 -423.869777071596</t>
  </si>
  <si>
    <t>-615.37700482963 262.452493176051 -255.467456122911</t>
  </si>
  <si>
    <t>-606.53307969443 276.92147632033 199.911593332647</t>
  </si>
  <si>
    <t>-619.914535345084 261.03624737815 669.253195878697</t>
  </si>
  <si>
    <t>-462.275078839512 272.75767608985 746.427847656554</t>
  </si>
  <si>
    <t>-563.389252233374 75.3020783734601 -230.387897641541</t>
  </si>
  <si>
    <t>-456.081236726978 81.3417757641544 212.450788521319</t>
  </si>
  <si>
    <t>-611.305247250308 12.5910861097291 650.860076538654</t>
  </si>
  <si>
    <t>-458.027172775084 -29.0727792835726 726.447527461199</t>
  </si>
  <si>
    <t>9763-20170724T170157.563863900.bin</t>
  </si>
  <si>
    <t>-590.05402169499 168.821064710954 -243.227130528191</t>
  </si>
  <si>
    <t>-608.338717276104 147.777918113386 -361.085799279715</t>
  </si>
  <si>
    <t>-605.629506263115 122.02925779965 -479.492921018228</t>
  </si>
  <si>
    <t>-594.807934139278 96.2548842342035 -585.386359540182</t>
  </si>
  <si>
    <t>-575.971391406694 67.5967523775396 -689.39943119215</t>
  </si>
  <si>
    <t>-541.726412212121 24.4264023626347 -831.398143126379</t>
  </si>
  <si>
    <t>-492.315984594855 2.43075714924339 -917.756646338896</t>
  </si>
  <si>
    <t>-555.090189050376 74.0164282070871 -777.405844161996</t>
  </si>
  <si>
    <t>-527.276905951985 217.959204969108 -788.903646570562</t>
  </si>
  <si>
    <t>-490.321540361614 326.512789814068 -493.88394523532</t>
  </si>
  <si>
    <t>-311.612538987146 263.473448378039 -315.751433770355</t>
  </si>
  <si>
    <t>-558.667360345206 13.0393954848007 -759.730329918818</t>
  </si>
  <si>
    <t>-383.785470441125 42.8745444603908 -424.250615533919</t>
  </si>
  <si>
    <t>-615.986084741933 262.482602224236 -255.450085099814</t>
  </si>
  <si>
    <t>-606.942832520677 276.938258866259 199.925501412848</t>
  </si>
  <si>
    <t>-619.965237545322 261.090624922632 669.265797088737</t>
  </si>
  <si>
    <t>-462.317015536259 272.741079425027 746.433299625077</t>
  </si>
  <si>
    <t>-563.989467017897 75.2126095011552 -230.352827854068</t>
  </si>
  <si>
    <t>-456.320379228652 81.2662455888885 212.398065314266</t>
  </si>
  <si>
    <t>-611.308240818656 12.546129358989 650.907325659066</t>
  </si>
  <si>
    <t>-458.059558602334 -29.3170003067221 726.444262404707</t>
  </si>
  <si>
    <t>9763-20170724T170157.596952100.bin</t>
  </si>
  <si>
    <t>-590.379839923087 168.70310040158 -243.224473073011</t>
  </si>
  <si>
    <t>-608.734532922661 147.639392968992 -361.068586795842</t>
  </si>
  <si>
    <t>-606.034132238221 121.879308986817 -479.473411266475</t>
  </si>
  <si>
    <t>-595.195305532258 96.09698961511 -585.363226753386</t>
  </si>
  <si>
    <t>-576.316844550712 67.4322654845489 -689.366972440078</t>
  </si>
  <si>
    <t>-541.988602294812 24.2538431746066 -831.34298304842</t>
  </si>
  <si>
    <t>-492.532056288476 2.23513255472608 -917.669179217904</t>
  </si>
  <si>
    <t>-555.38216730025 73.8469457809817 -777.360958988824</t>
  </si>
  <si>
    <t>-527.543889553923 217.771455110596 -788.886923947091</t>
  </si>
  <si>
    <t>-490.951235007042 326.472614478416 -493.876356201426</t>
  </si>
  <si>
    <t>-312.25933839042 263.343479381391 -315.758404717089</t>
  </si>
  <si>
    <t>-558.973370005051 12.8710234323376 -759.68498156008</t>
  </si>
  <si>
    <t>-384.362238200878 42.4563490467224 -424.553196424775</t>
  </si>
  <si>
    <t>-616.327611362158 262.434686920095 -255.441991022621</t>
  </si>
  <si>
    <t>-607.221902746676 276.884939330633 199.932583577914</t>
  </si>
  <si>
    <t>-619.997569954444 261.125391974131 669.276028250957</t>
  </si>
  <si>
    <t>-462.340845604655 272.719710827001 746.434587143508</t>
  </si>
  <si>
    <t>-564.382616506682 74.9774937681766 -230.34446902851</t>
  </si>
  <si>
    <t>-456.463754803461 81.1893717313296 212.343494749623</t>
  </si>
  <si>
    <t>-611.30409926073 12.5341436921619 650.923922177854</t>
  </si>
  <si>
    <t>-457.984282805856 -29.1170538711192 726.433681146722</t>
  </si>
  <si>
    <t>9763-20170724T170157.658256700.bin</t>
  </si>
  <si>
    <t>-591.216837998771 168.686896611885 -243.259586730061</t>
  </si>
  <si>
    <t>-609.690224521011 147.609858296417 -361.082733114364</t>
  </si>
  <si>
    <t>-607.000727763642 121.839928282805 -479.48571439983</t>
  </si>
  <si>
    <t>-596.128467547948 96.0460386935956 -585.369206993518</t>
  </si>
  <si>
    <t>-577.174907709881 67.3650781889303 -689.354898382274</t>
  </si>
  <si>
    <t>-542.701205704185 24.1574151948762 -831.28677196505</t>
  </si>
  <si>
    <t>-493.154915054319 2.10024829793952 -917.551631029587</t>
  </si>
  <si>
    <t>-556.116147927668 73.761851282515 -777.320527701894</t>
  </si>
  <si>
    <t>-528.142905888767 217.678149987919 -788.84685404815</t>
  </si>
  <si>
    <t>-492.39210747238 326.688430380222 -493.847038458512</t>
  </si>
  <si>
    <t>-313.801692818448 262.987018529286 -315.831185759733</t>
  </si>
  <si>
    <t>-559.793377125072 12.7889492737177 -759.652003425981</t>
  </si>
  <si>
    <t>-385.147544924808 42.226883375334 -424.376346874546</t>
  </si>
  <si>
    <t>-617.118455006824 262.453873685521 -255.465774920415</t>
  </si>
  <si>
    <t>-607.627680416141 276.8693229389 199.901936657007</t>
  </si>
  <si>
    <t>-620.04801819447 261.163237015702 669.277829333171</t>
  </si>
  <si>
    <t>-462.38047394073 272.667837893828 746.427667967394</t>
  </si>
  <si>
    <t>-565.215731563466 74.9800397326903 -230.374250304509</t>
  </si>
  <si>
    <t>-456.970262306434 81.1573866401848 212.234355983073</t>
  </si>
  <si>
    <t>-611.305882013292 12.4805814186557 650.970193620788</t>
  </si>
  <si>
    <t>-458.013086546574 -29.3004516203675 726.463070271742</t>
  </si>
  <si>
    <t>9763-20170724T170157.697364400.bin</t>
  </si>
  <si>
    <t>-591.665690479251 168.511394110612 -243.25574622192</t>
  </si>
  <si>
    <t>-610.16167963237 147.466383217922 -361.081206116338</t>
  </si>
  <si>
    <t>-607.467859882711 121.697536189687 -479.484242714771</t>
  </si>
  <si>
    <t>-596.582374618179 95.8911425422032 -585.363249288756</t>
  </si>
  <si>
    <t>-577.607768903552 67.1835755422242 -689.337785882738</t>
  </si>
  <si>
    <t>-543.098159527218 23.9242300676776 -831.245216242899</t>
  </si>
  <si>
    <t>-493.519227890529 1.8338652589664 -917.482914669396</t>
  </si>
  <si>
    <t>-556.511931866679 73.5485120797493 -777.296969246906</t>
  </si>
  <si>
    <t>-528.528227069439 217.449691440307 -788.858480265084</t>
  </si>
  <si>
    <t>-493.057471578126 326.452657400158 -493.822187408748</t>
  </si>
  <si>
    <t>-314.553587804358 262.521641004935 -315.801737931486</t>
  </si>
  <si>
    <t>-560.223270303853 12.5817358799043 -759.614084907812</t>
  </si>
  <si>
    <t>-385.696280135095 41.8843787488299 -424.033828385373</t>
  </si>
  <si>
    <t>-617.509209241791 262.295335261016 -255.433222443948</t>
  </si>
  <si>
    <t>-607.876986467563 276.694753744071 199.932076100159</t>
  </si>
  <si>
    <t>-620.081606865999 260.960477881258 669.350984440589</t>
  </si>
  <si>
    <t>-462.387808410631 272.63506784742 746.42169882442</t>
  </si>
  <si>
    <t>-565.747892820157 74.7259759589774 -230.399547289528</t>
  </si>
  <si>
    <t>-457.253921924399 81.058872879903 212.146056506853</t>
  </si>
  <si>
    <t>-611.309317546994 12.5511668180211 651.012927009616</t>
  </si>
  <si>
    <t>-457.955168512557 -29.0448484111787 726.483316843816</t>
  </si>
  <si>
    <t>9763-20170724T170157.766079900.bin</t>
  </si>
  <si>
    <t>-592.599069601165 168.281959749991 -243.213009940716</t>
  </si>
  <si>
    <t>-611.132992221998 147.306785115685 -361.044958260814</t>
  </si>
  <si>
    <t>-608.451473322965 121.559926968141 -479.452989080477</t>
  </si>
  <si>
    <t>-597.568493182353 95.7542081008112 -585.332535497892</t>
  </si>
  <si>
    <t>-578.589130172418 67.0285444421854 -689.301176210897</t>
  </si>
  <si>
    <t>-544.066715401059 23.7249101995633 -831.191967104962</t>
  </si>
  <si>
    <t>-494.468695555235 1.6143551261066 -917.413467356596</t>
  </si>
  <si>
    <t>-557.475830550297 73.3661687295707 -777.258103747941</t>
  </si>
  <si>
    <t>-529.531071289998 217.273691048954 -788.841867540678</t>
  </si>
  <si>
    <t>-494.462912087975 326.273526869709 -493.756364566101</t>
  </si>
  <si>
    <t>-315.877060261772 262.09692985844 -315.906647880392</t>
  </si>
  <si>
    <t>-561.207740235343 12.4047982100692 -759.561314816725</t>
  </si>
  <si>
    <t>-386.715955950683 41.8685430123126 -423.276820781371</t>
  </si>
  <si>
    <t>-618.311514771084 261.986269184399 -255.331665090118</t>
  </si>
  <si>
    <t>-608.437876986092 276.335618607466 200.030024455635</t>
  </si>
  <si>
    <t>-620.131992406861 260.693115370137 669.426127947745</t>
  </si>
  <si>
    <t>-462.403009221707 272.544299778381 746.397724425916</t>
  </si>
  <si>
    <t>-566.843574573735 74.6571147122288 -230.428551663139</t>
  </si>
  <si>
    <t>-457.890338924016 80.4870037733685 212.01120145763</t>
  </si>
  <si>
    <t>-611.355031689766 12.5577094959647 651.194429136831</t>
  </si>
  <si>
    <t>-458.047015646292 -29.3995814270011 726.558544592823</t>
  </si>
  <si>
    <t>9763-20170724T170157.796135900.bin</t>
  </si>
  <si>
    <t>-593.055854536942 168.251733631179 -243.223801617629</t>
  </si>
  <si>
    <t>-611.613378069079 147.309758269349 -361.057812810567</t>
  </si>
  <si>
    <t>-608.940848016576 121.571774584474 -479.468067624884</t>
  </si>
  <si>
    <t>-598.060853428831 95.7646013727938 -585.347596397089</t>
  </si>
  <si>
    <t>-579.07977399639 67.028815379562 -689.312995448663</t>
  </si>
  <si>
    <t>-544.550708646699 23.7023410648492 -831.195275016231</t>
  </si>
  <si>
    <t>-494.94868134646 1.59076895849375 -917.414080303582</t>
  </si>
  <si>
    <t>-557.964536121585 73.3521973710974 -777.270498295317</t>
  </si>
  <si>
    <t>-530.052912643592 217.261977134357 -788.878573031948</t>
  </si>
  <si>
    <t>-495.202484332479 326.402776480177 -493.819326339613</t>
  </si>
  <si>
    <t>-316.511090976682 262.255177239721 -316.065274761759</t>
  </si>
  <si>
    <t>-561.692983469403 12.3936545240576 -759.56302525332</t>
  </si>
  <si>
    <t>-387.261632623346 41.6670774699155 -423.036085891985</t>
  </si>
  <si>
    <t>-618.680852513465 262.021859160775 -255.32647048886</t>
  </si>
  <si>
    <t>-608.715756464163 276.3026904809 200.035284311577</t>
  </si>
  <si>
    <t>-620.157998930057 260.712918159376 669.431631404768</t>
  </si>
  <si>
    <t>-462.424088026859 272.544883034942 746.396152018134</t>
  </si>
  <si>
    <t>-567.371843180609 74.5475943491133 -230.449754786854</t>
  </si>
  <si>
    <t>-458.12338704301 80.1666775702281 211.919828457434</t>
  </si>
  <si>
    <t>-611.390844274835 12.4812155929728 651.291795393662</t>
  </si>
  <si>
    <t>-458.012442699404 -29.3497701942024 726.582912563584</t>
  </si>
  <si>
    <t>9763-20170724T170157.863454000.bin</t>
  </si>
  <si>
    <t>-593.518762215748 168.167595627247 -243.215224793498</t>
  </si>
  <si>
    <t>-612.169523145844 147.263226939308 -361.041153588084</t>
  </si>
  <si>
    <t>-609.563079052547 121.555170734727 -479.459359921417</t>
  </si>
  <si>
    <t>-598.730973431843 95.7721560380248 -585.349778850649</t>
  </si>
  <si>
    <t>-579.785712104349 67.0580174895654 -689.327772537072</t>
  </si>
  <si>
    <t>-545.293729487749 23.7594572712724 -831.227520598234</t>
  </si>
  <si>
    <t>-495.677282618103 1.65664560590199 -917.440323639019</t>
  </si>
  <si>
    <t>-558.672945823987 73.3988370743339 -777.284515079772</t>
  </si>
  <si>
    <t>-530.769308633095 217.311473544524 -788.921948334721</t>
  </si>
  <si>
    <t>-496.628563534704 326.84934113268 -493.927014617135</t>
  </si>
  <si>
    <t>-317.658429625431 262.555844603433 -316.506342393988</t>
  </si>
  <si>
    <t>-562.437798097021 12.4364768354412 -759.597913739444</t>
  </si>
  <si>
    <t>-387.8356471162 41.4195440752153 -423.324846413583</t>
  </si>
  <si>
    <t>-619.02165551319 262.069922048515 -255.325998525949</t>
  </si>
  <si>
    <t>-608.926520595862 276.373327587602 200.032310753359</t>
  </si>
  <si>
    <t>-620.217401102684 260.884901313216 669.403468716275</t>
  </si>
  <si>
    <t>-462.490828087438 272.557394217432 746.40730787915</t>
  </si>
  <si>
    <t>-567.835824448804 74.3292479390573 -230.472380303046</t>
  </si>
  <si>
    <t>-458.52070801003 79.98557747627 211.88034120118</t>
  </si>
  <si>
    <t>-611.415246741944 12.5921977894284 651.367966698762</t>
  </si>
  <si>
    <t>-458.055030736907 -29.4075368208159 726.60213354512</t>
  </si>
  <si>
    <t>9763-20170724T170157.895539700.bin</t>
  </si>
  <si>
    <t>-593.574131816285 168.107800470265 -243.273776158358</t>
  </si>
  <si>
    <t>-612.306205861684 147.220941103053 -361.089960242793</t>
  </si>
  <si>
    <t>-609.753086094875 121.522088378309 -479.511170853296</t>
  </si>
  <si>
    <t>-598.95745838348 95.7438069895045 -585.406417581254</t>
  </si>
  <si>
    <t>-580.037021039744 67.0307943320613 -689.389313856121</t>
  </si>
  <si>
    <t>-545.56758414632 23.7301991688257 -831.293844769661</t>
  </si>
  <si>
    <t>-495.950724695732 1.62175157996739 -917.505058467816</t>
  </si>
  <si>
    <t>-558.9220604089 73.3705147856749 -777.345617518013</t>
  </si>
  <si>
    <t>-531.069155295751 217.284504559995 -789.016865822834</t>
  </si>
  <si>
    <t>-497.343140021918 327.208350595985 -494.117784639938</t>
  </si>
  <si>
    <t>-318.271626790574 262.77680561457 -316.84952251837</t>
  </si>
  <si>
    <t>-562.716404739546 12.408243342154 -759.665318689335</t>
  </si>
  <si>
    <t>-388.020540989115 41.139661601419 -423.519261185171</t>
  </si>
  <si>
    <t>-619.077873535418 262.077673136831 -255.35049229927</t>
  </si>
  <si>
    <t>-608.806180796746 276.352013332089 200.004678603399</t>
  </si>
  <si>
    <t>-620.238556628281 260.885219737125 669.400939459656</t>
  </si>
  <si>
    <t>-462.513575524425 272.525103423991 746.412968816637</t>
  </si>
  <si>
    <t>-567.931062311196 74.1975497430358 -230.547454426853</t>
  </si>
  <si>
    <t>-458.700851733554 79.9069585031427 211.825570744401</t>
  </si>
  <si>
    <t>-611.406122386243 12.4969359873198 651.394760924481</t>
  </si>
  <si>
    <t>-458.001151701816 -29.3644821926307 726.614743553993</t>
  </si>
  <si>
    <t>9763-20170724T170157.967477800.bin</t>
  </si>
  <si>
    <t>-593.783765765039 168.117024285753 -243.303330550052</t>
  </si>
  <si>
    <t>-612.5591810686 147.251644021969 -361.116325274951</t>
  </si>
  <si>
    <t>-610.087702390141 121.555650893467 -479.540128923556</t>
  </si>
  <si>
    <t>-599.380691153689 95.7746180715999 -585.443574851509</t>
  </si>
  <si>
    <t>-580.562899805304 67.0548402160268 -689.443245702223</t>
  </si>
  <si>
    <t>-546.249718099356 23.7417018307115 -831.381841522391</t>
  </si>
  <si>
    <t>-496.671900306654 1.60790697059974 -917.608910674677</t>
  </si>
  <si>
    <t>-559.50750457875 73.3870967762816 -777.414268972272</t>
  </si>
  <si>
    <t>-531.664263780729 217.296002450031 -789.253665467196</t>
  </si>
  <si>
    <t>-498.969951421112 327.671449429832 -494.407021457656</t>
  </si>
  <si>
    <t>-319.806858890606 262.949534131323 -317.33720276306</t>
  </si>
  <si>
    <t>-563.356964474283 12.4257246103464 -759.742329439874</t>
  </si>
  <si>
    <t>-388.168336712966 40.6867426861961 -423.815701672361</t>
  </si>
  <si>
    <t>-619.122059726652 262.130032001687 -255.362811178994</t>
  </si>
  <si>
    <t>-608.725238713937 276.403365719856 199.989661447669</t>
  </si>
  <si>
    <t>-620.265212880924 260.890607934653 669.379800203044</t>
  </si>
  <si>
    <t>-462.551843769145 272.470069949818 746.424751988768</t>
  </si>
  <si>
    <t>-568.403804455461 74.2024479287443 -230.508696068256</t>
  </si>
  <si>
    <t>-458.82302065809 79.8928791449644 211.777767620376</t>
  </si>
  <si>
    <t>-611.382927791888 12.6754006537421 651.416779039609</t>
  </si>
  <si>
    <t>-458.00826293386 -29.3011428815132 726.634403672696</t>
  </si>
  <si>
    <t>9763-20170724T170157.993540400.bin</t>
  </si>
  <si>
    <t>-593.868033978585 168.144502409128 -243.31510764472</t>
  </si>
  <si>
    <t>-612.68034905466 147.296521032668 -361.125405027956</t>
  </si>
  <si>
    <t>-610.264672239768 121.609655425047 -479.552246709279</t>
  </si>
  <si>
    <t>-599.615315682095 95.8341895751066 -585.462977528864</t>
  </si>
  <si>
    <t>-580.861807930074 67.1180867103899 -689.475153605124</t>
  </si>
  <si>
    <t>-546.644278549148 23.8086661083539 -831.437988616069</t>
  </si>
  <si>
    <t>-497.115297856903 1.66721538274828 -917.691266049034</t>
  </si>
  <si>
    <t>-559.853858991407 73.4526935197241 -777.457527561908</t>
  </si>
  <si>
    <t>-532.003169062501 217.353436285119 -789.27144921111</t>
  </si>
  <si>
    <t>-499.964605663185 327.859040967489 -494.401525890864</t>
  </si>
  <si>
    <t>-320.70614993379 262.945764249432 -317.498366961975</t>
  </si>
  <si>
    <t>-563.715070494462 12.4908725629714 -759.790053689605</t>
  </si>
  <si>
    <t>-388.375314611064 40.5114773454984 -423.934558034738</t>
  </si>
  <si>
    <t>-619.18764548424 262.191118959903 -255.367142326154</t>
  </si>
  <si>
    <t>-608.756355454347 276.405400388669 199.986361641794</t>
  </si>
  <si>
    <t>-620.294325008573 260.890847373238 669.381002515764</t>
  </si>
  <si>
    <t>-462.579100986507 272.448989487575 746.425260685602</t>
  </si>
  <si>
    <t>-568.466957313427 74.2380129357989 -230.565393621657</t>
  </si>
  <si>
    <t>-458.914378491646 79.7506610351174 211.730427674965</t>
  </si>
  <si>
    <t>-611.38042570665 12.4910377104852 651.437763136307</t>
  </si>
  <si>
    <t>-457.881510496957 -29.0775160306953 726.628516836739</t>
  </si>
  <si>
    <t>9763-20170724T170158.063304000.bin</t>
  </si>
  <si>
    <t>-594.051489578084 168.143553909267 -243.31160644429</t>
  </si>
  <si>
    <t>-612.911218588518 147.330533009999 -361.120611804884</t>
  </si>
  <si>
    <t>-610.593703371314 121.680003819458 -479.557128644707</t>
  </si>
  <si>
    <t>-600.051696015517 95.9406743411166 -585.487349737773</t>
  </si>
  <si>
    <t>-581.422399362814 67.265021302725 -689.533071749889</t>
  </si>
  <si>
    <t>-547.392818473998 24.0182126910788 -831.560266769819</t>
  </si>
  <si>
    <t>-497.972363444239 1.87277391193174 -917.874655066569</t>
  </si>
  <si>
    <t>-560.533557471099 73.6384288437448 -777.54106577624</t>
  </si>
  <si>
    <t>-532.707811706884 217.561093269698 -789.29356039113</t>
  </si>
  <si>
    <t>-501.627416605849 328.035128851912 -494.309356965626</t>
  </si>
  <si>
    <t>-322.392111168342 262.893267933069 -317.466886319918</t>
  </si>
  <si>
    <t>-564.366163798735 12.6687509619176 -759.89419298253</t>
  </si>
  <si>
    <t>-388.764893000614 40.8562180930153 -424.143789016327</t>
  </si>
  <si>
    <t>-619.332174423727 262.131408903516 -255.325324117744</t>
  </si>
  <si>
    <t>-608.746959989548 276.299987048534 200.026116328896</t>
  </si>
  <si>
    <t>-620.329390625823 260.670893365944 669.439615986193</t>
  </si>
  <si>
    <t>-462.596355753475 272.369275784949 746.426370150438</t>
  </si>
  <si>
    <t>-568.746461586186 74.1951647436808 -230.570647853248</t>
  </si>
  <si>
    <t>-459.066918397376 79.6419795548607 211.694425734706</t>
  </si>
  <si>
    <t>-611.364530248074 12.4929888279414 651.471615165333</t>
  </si>
  <si>
    <t>-457.8709846978 -29.116809132041 726.650524336765</t>
  </si>
  <si>
    <t>9763-20170724T170158.097395000.bin</t>
  </si>
  <si>
    <t>-594.106064303478 168.083567312948 -243.283798831233</t>
  </si>
  <si>
    <t>-612.98678092448 147.268627478942 -361.088969458301</t>
  </si>
  <si>
    <t>-610.720415026294 121.621037380072 -479.527314017482</t>
  </si>
  <si>
    <t>-600.235935129762 95.8871254108569 -585.464454255353</t>
  </si>
  <si>
    <t>-581.674457063595 67.2206123422648 -689.524890644748</t>
  </si>
  <si>
    <t>-547.749007923963 23.9898183406206 -831.581826908176</t>
  </si>
  <si>
    <t>-498.39362402181 1.83973807096231 -917.932315214517</t>
  </si>
  <si>
    <t>-560.854240404066 73.6038653471901 -777.548321171801</t>
  </si>
  <si>
    <t>-533.088767860419 217.529256821032 -789.263954633958</t>
  </si>
  <si>
    <t>-502.303073898255 328.140399447126 -494.300413647622</t>
  </si>
  <si>
    <t>-323.156682896859 262.898874827539 -317.404385904961</t>
  </si>
  <si>
    <t>-564.665721623638 12.6323237017007 -759.903607217042</t>
  </si>
  <si>
    <t>-388.965679593321 40.8742204048338 -424.130248185284</t>
  </si>
  <si>
    <t>-619.369694317933 262.092209997704 -255.300208271193</t>
  </si>
  <si>
    <t>-608.741480597015 276.258739725182 200.050207314258</t>
  </si>
  <si>
    <t>-620.343856714527 260.651789763866 669.434654405712</t>
  </si>
  <si>
    <t>-462.614272232238 272.372790376289 746.424932590168</t>
  </si>
  <si>
    <t>-568.751233839366 74.1173310819565 -230.572918438685</t>
  </si>
  <si>
    <t>-459.129517286379 79.618376137262 211.705803078204</t>
  </si>
  <si>
    <t>-611.35876178504 12.4639886168184 651.489288012887</t>
  </si>
  <si>
    <t>-457.84435324163 -29.0910467407341 726.655887177184</t>
  </si>
  <si>
    <t>9763-20170724T170158.162460200.bin</t>
  </si>
  <si>
    <t>-594.032734234286 168.249665682127 -243.321694369796</t>
  </si>
  <si>
    <t>-612.963401163771 147.417623775528 -361.115782885389</t>
  </si>
  <si>
    <t>-610.817037042117 121.751719565873 -479.552419545097</t>
  </si>
  <si>
    <t>-600.468106088989 96.0023938376034 -585.499231003355</t>
  </si>
  <si>
    <t>-582.067917302437 67.3217594115811 -689.58423210188</t>
  </si>
  <si>
    <t>-548.391706633343 24.0736898775026 -831.695205280827</t>
  </si>
  <si>
    <t>-499.142612378046 1.92433538635555 -918.106508933281</t>
  </si>
  <si>
    <t>-561.402375545623 73.6943280157552 -777.645004842688</t>
  </si>
  <si>
    <t>-533.696047787774 217.636561676741 -789.380120134893</t>
  </si>
  <si>
    <t>-503.54811227932 328.284282292519 -494.364153222782</t>
  </si>
  <si>
    <t>-324.632669902242 262.924437352033 -317.278293886189</t>
  </si>
  <si>
    <t>-565.182436449839 12.7248425506123 -759.986044161483</t>
  </si>
  <si>
    <t>-389.24526176202 41.0691584135384 -424.019428874584</t>
  </si>
  <si>
    <t>-619.312797004135 262.223427903612 -255.308820795283</t>
  </si>
  <si>
    <t>-608.663511979978 276.336389768978 200.042716031495</t>
  </si>
  <si>
    <t>-620.383089016853 260.60323769295 669.439150168613</t>
  </si>
  <si>
    <t>-462.656893750304 272.375709305426 746.42853844051</t>
  </si>
  <si>
    <t>-568.677495751841 74.3423342389515 -230.60444663604</t>
  </si>
  <si>
    <t>-459.134053893833 79.6775794691769 211.695658180576</t>
  </si>
  <si>
    <t>-611.338667002635 12.6423866326513 651.52508508737</t>
  </si>
  <si>
    <t>-457.917809861109 -29.2973658471537 726.669015517228</t>
  </si>
  <si>
    <t>9763-20170724T170158.196553300.bin</t>
  </si>
  <si>
    <t>-593.998432753135 168.296824970851 -243.306694486235</t>
  </si>
  <si>
    <t>-612.957941556158 147.448937437069 -361.093401491796</t>
  </si>
  <si>
    <t>-610.8647427267 121.775717630451 -479.529345827336</t>
  </si>
  <si>
    <t>-600.572611412467 96.0240725146782 -585.48108027015</t>
  </si>
  <si>
    <t>-582.236899203056 67.34616202242 -689.578312271275</t>
  </si>
  <si>
    <t>-548.657361187809 24.1072392447004 -831.714965514135</t>
  </si>
  <si>
    <t>-499.442606395745 1.95772225270912 -918.145836090662</t>
  </si>
  <si>
    <t>-561.635942458324 73.7244445040253 -777.653706558836</t>
  </si>
  <si>
    <t>-533.971958942838 217.669139523324 -789.400109165993</t>
  </si>
  <si>
    <t>-504.084099228093 328.427471420505 -494.39913652931</t>
  </si>
  <si>
    <t>-325.289415660916 262.966297559326 -317.228754519957</t>
  </si>
  <si>
    <t>-565.39464694986 12.7537598450426 -759.994118855898</t>
  </si>
  <si>
    <t>-389.420683217321 41.1498940962006 -424.060110635635</t>
  </si>
  <si>
    <t>-619.309707592322 262.225198738783 -255.298708759629</t>
  </si>
  <si>
    <t>-608.641226582524 276.32714305683 200.052731727368</t>
  </si>
  <si>
    <t>-620.398122601508 260.527916610768 669.453319987542</t>
  </si>
  <si>
    <t>-462.669274989711 272.356080530633 746.428812620459</t>
  </si>
  <si>
    <t>-568.592009815276 74.4366967057344 -230.588538891372</t>
  </si>
  <si>
    <t>-459.112245654213 79.8102340386097 211.726907020371</t>
  </si>
  <si>
    <t>-611.32327078284 12.8893708469268 651.545855710189</t>
  </si>
  <si>
    <t>-458.009134826526 -29.4443475360172 726.686680362671</t>
  </si>
  <si>
    <t>9763-20170724T170158.259355100.bin</t>
  </si>
  <si>
    <t>-593.839456407939 168.352624191749 -243.279034427771</t>
  </si>
  <si>
    <t>-612.870824960311 147.455487608377 -361.045411560074</t>
  </si>
  <si>
    <t>-610.90862964855 121.756283202897 -479.477976684079</t>
  </si>
  <si>
    <t>-600.756091654398 95.992597347094 -585.440178637683</t>
  </si>
  <si>
    <t>-582.578800947488 67.3151170365952 -689.565363138158</t>
  </si>
  <si>
    <t>-549.23643540083 24.0908515200715 -831.762263889986</t>
  </si>
  <si>
    <t>-499.995033297334 1.84660360439489 -918.153510296077</t>
  </si>
  <si>
    <t>-562.1267580673 73.7023942065216 -777.674871557307</t>
  </si>
  <si>
    <t>-534.520100202571 217.659724500551 -789.423000591542</t>
  </si>
  <si>
    <t>-505.234938148303 328.621282810416 -494.438063054819</t>
  </si>
  <si>
    <t>-326.568552954121 263.249552116919 -317.10532416917</t>
  </si>
  <si>
    <t>-565.852008036926 12.7302191529886 -760.01421719359</t>
  </si>
  <si>
    <t>-389.782671054136 41.2607085230231 -424.197517585817</t>
  </si>
  <si>
    <t>-619.168022784439 262.267777653092 -255.297368153602</t>
  </si>
  <si>
    <t>-608.55507357063 276.374484254672 200.055285588322</t>
  </si>
  <si>
    <t>-620.433583899124 260.556162317395 669.436435829045</t>
  </si>
  <si>
    <t>-462.712340995413 272.373833304193 746.429013528305</t>
  </si>
  <si>
    <t>-568.422492560597 74.5367668334948 -230.540946206075</t>
  </si>
  <si>
    <t>-458.952408748521 79.7279956864977 211.779166331985</t>
  </si>
  <si>
    <t>-611.286457163158 12.8678138423638 651.558031535319</t>
  </si>
  <si>
    <t>-457.889368251412 -29.1820115132239 726.688985151245</t>
  </si>
  <si>
    <t>9763-20170724T170158.292446100.bin</t>
  </si>
  <si>
    <t>-593.773019173134 168.396030188042 -243.30660741497</t>
  </si>
  <si>
    <t>-612.812835146265 147.50932204446 -361.073554860468</t>
  </si>
  <si>
    <t>-610.911926585349 121.803770074311 -479.505778414012</t>
  </si>
  <si>
    <t>-600.836061431733 96.0292072543375 -585.472610929733</t>
  </si>
  <si>
    <t>-582.75602364767 67.336886547663 -689.610651522892</t>
  </si>
  <si>
    <t>-549.569430452601 24.0885835617557 -831.836588387703</t>
  </si>
  <si>
    <t>-500.291936344453 1.74895050101441 -918.182782158887</t>
  </si>
  <si>
    <t>-562.395149606932 73.7093520303788 -777.742270734286</t>
  </si>
  <si>
    <t>-534.786947844378 217.667644377907 -789.546313991619</t>
  </si>
  <si>
    <t>-505.834319772206 328.722786258987 -494.563648684985</t>
  </si>
  <si>
    <t>-327.264132942522 263.471316042524 -317.089853699646</t>
  </si>
  <si>
    <t>-566.111773729978 12.7398828969961 -760.06976572061</t>
  </si>
  <si>
    <t>-389.93543257066 41.4105840454151 -424.334636308488</t>
  </si>
  <si>
    <t>-619.114177114463 262.325868780394 -255.316062613316</t>
  </si>
  <si>
    <t>-608.553383926784 276.424879971565 200.038051636135</t>
  </si>
  <si>
    <t>-620.451580798619 260.57755576348 669.423499585391</t>
  </si>
  <si>
    <t>-462.736456285494 272.372124749069 746.43221932792</t>
  </si>
  <si>
    <t>-568.340534776452 74.5652381843468 -230.560938428501</t>
  </si>
  <si>
    <t>-458.912850231549 79.7159773844091 211.770013496144</t>
  </si>
  <si>
    <t>-611.271227348216 12.7684243587587 651.561620947932</t>
  </si>
  <si>
    <t>-457.874874924436 -29.278816311529 726.695503911969</t>
  </si>
  <si>
    <t>9763-20170724T170158.362150000.bin</t>
  </si>
  <si>
    <t>-593.631277036359 168.541539900739 -243.248157174409</t>
  </si>
  <si>
    <t>-612.689494831275 147.626995606483 -361.007062109077</t>
  </si>
  <si>
    <t>-610.832415596216 121.859869300769 -479.426598680466</t>
  </si>
  <si>
    <t>-600.80748604443 96.0171759791474 -585.381679845413</t>
  </si>
  <si>
    <t>-582.790234782009 67.2449059290955 -689.508488274887</t>
  </si>
  <si>
    <t>-549.703581399511 23.8738017075952 -831.720482095279</t>
  </si>
  <si>
    <t>-500.297427412737 1.21561317003284 -917.909813202878</t>
  </si>
  <si>
    <t>-562.475725853496 73.5413211627806 -777.656301986636</t>
  </si>
  <si>
    <t>-534.837756046544 217.469705068644 -789.616558440982</t>
  </si>
  <si>
    <t>-506.592301934328 328.981461968066 -494.737745797176</t>
  </si>
  <si>
    <t>-328.294187460939 263.927181697121 -316.918250156386</t>
  </si>
  <si>
    <t>-566.211027170509 12.5870175828277 -759.935863918142</t>
  </si>
  <si>
    <t>-389.939592127433 41.6118391065561 -424.275014572439</t>
  </si>
  <si>
    <t>-618.949340446515 262.444665395415 -255.311038212568</t>
  </si>
  <si>
    <t>-608.569786412997 276.52593646999 200.047826068312</t>
  </si>
  <si>
    <t>-620.493372314849 260.59568473441 669.422776234852</t>
  </si>
  <si>
    <t>-462.780741759505 272.355185773577 746.442022793018</t>
  </si>
  <si>
    <t>-568.216642391433 74.7310771923223 -230.50083349183</t>
  </si>
  <si>
    <t>-458.74821999228 79.8327112286022 211.82066903909</t>
  </si>
  <si>
    <t>-611.221966916114 12.9199679164612 651.5370788025</t>
  </si>
  <si>
    <t>-457.8742271136 -29.2849104829693 726.681838849705</t>
  </si>
  <si>
    <t>9763-20170724T170158.400248600.bin</t>
  </si>
  <si>
    <t>-593.549076893755 168.622792454004 -243.268041287678</t>
  </si>
  <si>
    <t>-612.634922705138 147.697734275733 -361.020592555212</t>
  </si>
  <si>
    <t>-610.804329192695 121.897867445772 -479.433394953892</t>
  </si>
  <si>
    <t>-600.804015066071 96.0154732942656 -585.38114865791</t>
  </si>
  <si>
    <t>-582.812881128351 67.19333742347 -689.498740641451</t>
  </si>
  <si>
    <t>-549.76515635932 23.7416628103049 -831.695067001599</t>
  </si>
  <si>
    <t>-500.305589882131 0.901935971448665 -917.805958223941</t>
  </si>
  <si>
    <t>-562.502496993113 73.439923530472 -777.651058479444</t>
  </si>
  <si>
    <t>-534.818076271034 217.369579636187 -789.683956354422</t>
  </si>
  <si>
    <t>-507.073915200307 329.274602770219 -494.906579922908</t>
  </si>
  <si>
    <t>-328.922461260435 264.239796253951 -316.93300743956</t>
  </si>
  <si>
    <t>-566.273030066983 12.495381606399 -759.904213948549</t>
  </si>
  <si>
    <t>-390.03545666893 41.7783005295464 -424.240662525664</t>
  </si>
  <si>
    <t>-618.879399822205 262.495820447749 -255.317052360977</t>
  </si>
  <si>
    <t>-608.486971705327 276.56731869895 200.041783915439</t>
  </si>
  <si>
    <t>-620.509535892158 260.582646638879 669.41839789281</t>
  </si>
  <si>
    <t>-462.800094510879 272.343495637379 746.443866403359</t>
  </si>
  <si>
    <t>-568.136248924146 74.864840148749 -230.508007718026</t>
  </si>
  <si>
    <t>-458.710130531837 79.7835765769248 211.826035736323</t>
  </si>
  <si>
    <t>-611.204427279308 12.7642880959818 651.536402432759</t>
  </si>
  <si>
    <t>-457.79487818814 -29.2102283211616 726.683993554356</t>
  </si>
  <si>
    <t>9763-20170724T170158.465455600.bin</t>
  </si>
  <si>
    <t>-593.278784953523 168.629243917613 -243.278865263929</t>
  </si>
  <si>
    <t>-612.300857772109 147.712494915496 -361.043255712423</t>
  </si>
  <si>
    <t>-610.457383431783 121.840036287221 -479.440074334172</t>
  </si>
  <si>
    <t>-600.471106673545 95.8572622685324 -585.364604971413</t>
  </si>
  <si>
    <t>-582.523049571887 66.8988023433326 -689.451705729331</t>
  </si>
  <si>
    <t>-549.5683400967 23.2195344808251 -831.599883518236</t>
  </si>
  <si>
    <t>-500.022009470735 0.024784938740595 -917.565975267695</t>
  </si>
  <si>
    <t>-562.219812198117 73.0045357606734 -777.615485780656</t>
  </si>
  <si>
    <t>-534.466250095098 216.891319383875 -789.880186680718</t>
  </si>
  <si>
    <t>-507.751308549274 329.430724172675 -495.249110705815</t>
  </si>
  <si>
    <t>-329.994828038175 264.511983564529 -316.838768958</t>
  </si>
  <si>
    <t>-566.07977625683 12.0879841921362 -759.792035652371</t>
  </si>
  <si>
    <t>-390.111662958078 41.7906895328731 -423.886053850759</t>
  </si>
  <si>
    <t>-618.641484152318 262.475465551444 -255.32499099731</t>
  </si>
  <si>
    <t>-608.3819070057 276.539100712931 200.037091021523</t>
  </si>
  <si>
    <t>-620.530591266379 260.501125221899 669.417412484653</t>
  </si>
  <si>
    <t>-462.826135527187 272.352191241758 746.439245363544</t>
  </si>
  <si>
    <t>-567.774850960157 74.7914817271055 -230.574070901439</t>
  </si>
  <si>
    <t>-458.787316157189 79.7934139770389 211.867285158675</t>
  </si>
  <si>
    <t>-611.166314374739 12.6758577982089 651.556518802503</t>
  </si>
  <si>
    <t>-457.748890722889 -29.2240565411371 726.729706689479</t>
  </si>
  <si>
    <t>9763-20170724T170158.497535200.bin</t>
  </si>
  <si>
    <t>-593.121298144673 168.537317676272 -243.269661642785</t>
  </si>
  <si>
    <t>-612.129410001501 147.629879168069 -361.037943921704</t>
  </si>
  <si>
    <t>-610.298868194304 121.730400818794 -479.429008153673</t>
  </si>
  <si>
    <t>-600.336970692755 95.7084934960221 -585.346233436853</t>
  </si>
  <si>
    <t>-582.426937984555 66.6963374149166 -689.424952172168</t>
  </si>
  <si>
    <t>-549.540254922656 22.9274367164521 -831.561356126018</t>
  </si>
  <si>
    <t>-562.153537865748 72.7464736332486 -777.599405769617</t>
  </si>
  <si>
    <t>-534.36827829571 216.62453616004 -789.959325211226</t>
  </si>
  <si>
    <t>-508.083532433074 329.483271831401 -495.411793305328</t>
  </si>
  <si>
    <t>-330.512670709774 264.630992001528 -316.792667677004</t>
  </si>
  <si>
    <t>-566.029655755371 11.8411478209086 -759.741332326257</t>
  </si>
  <si>
    <t>-390.290216709265 41.7735637368828 -423.793136763555</t>
  </si>
  <si>
    <t>-618.51540139693 262.434168594328 -255.312260578444</t>
  </si>
  <si>
    <t>-608.357408107091 276.485072079757 200.052521119365</t>
  </si>
  <si>
    <t>-620.554917481605 260.461882311921 669.429369181397</t>
  </si>
  <si>
    <t>-462.847168197883 272.368167104629 746.436054673844</t>
  </si>
  <si>
    <t>-567.672291988956 74.6773237734726 -230.555074370863</t>
  </si>
  <si>
    <t>-458.676660857807 79.7374991646691 211.88359949067</t>
  </si>
  <si>
    <t>-611.144090407102 12.6441222581907 651.571759076105</t>
  </si>
  <si>
    <t>-457.647906633785 -28.9641539280994 726.746090753817</t>
  </si>
  <si>
    <t>9763-20170724T170158.563737000.bin</t>
  </si>
  <si>
    <t>-592.715434280231 168.635383198068 -243.217449535185</t>
  </si>
  <si>
    <t>-611.739875735438 147.667272311295 -360.972439404268</t>
  </si>
  <si>
    <t>-609.956422396108 121.676298156343 -479.344229808033</t>
  </si>
  <si>
    <t>-600.051199402895 95.5585426860762 -585.243206226645</t>
  </si>
  <si>
    <t>-582.212928320176 66.4372248884615 -689.303679170658</t>
  </si>
  <si>
    <t>-549.442486565021 22.5031153381965 -831.415860339754</t>
  </si>
  <si>
    <t>-561.981405580766 72.3849606783813 -777.494818264242</t>
  </si>
  <si>
    <t>-534.110694887836 216.217964084151 -790.051746898136</t>
  </si>
  <si>
    <t>-508.567327825141 329.973723859578 -495.784278911131</t>
  </si>
  <si>
    <t>-331.3656351342 265.128065898997 -316.79637935927</t>
  </si>
  <si>
    <t>-565.903380223674 11.5002017378733 -759.576631055222</t>
  </si>
  <si>
    <t>-390.400135254941 41.8928710789014 -423.441915109874</t>
  </si>
  <si>
    <t>-618.175046690963 262.476306424062 -255.294881165255</t>
  </si>
  <si>
    <t>-608.215104629028 276.573491602183 200.072758747238</t>
  </si>
  <si>
    <t>-620.583535057456 260.442677284948 669.425523107068</t>
  </si>
  <si>
    <t>-462.881645117849 272.371906948367 746.440633066335</t>
  </si>
  <si>
    <t>-567.117786741879 74.9086492896315 -230.45779398429</t>
  </si>
  <si>
    <t>-458.307940156917 79.821241569939 212.028300822983</t>
  </si>
  <si>
    <t>-611.097855437306 12.7806207580418 651.575745779489</t>
  </si>
  <si>
    <t>-457.700998396172 -29.1430398627001 726.777600593515</t>
  </si>
  <si>
    <t>9763-20170724T170158.592811300.bin</t>
  </si>
  <si>
    <t>-592.413917857178 168.788700474201 -243.172103673505</t>
  </si>
  <si>
    <t>-611.418217528554 147.79793648537 -360.926266884973</t>
  </si>
  <si>
    <t>-609.665003778715 121.759912141749 -479.288032449492</t>
  </si>
  <si>
    <t>-599.808546878911 95.5904134960429 -585.178787905081</t>
  </si>
  <si>
    <t>-582.040854842691 66.408449006555 -689.234336673524</t>
  </si>
  <si>
    <t>-549.391256130427 22.3812040454616 -831.345764160911</t>
  </si>
  <si>
    <t>-561.852173621664 72.2985064665172 -777.439187360655</t>
  </si>
  <si>
    <t>-533.881290447849 216.114190200211 -790.114899015386</t>
  </si>
  <si>
    <t>-509.015879517577 330.2090212796 -495.920600379676</t>
  </si>
  <si>
    <t>-331.880610485167 265.445825611163 -316.8372137842</t>
  </si>
  <si>
    <t>-565.823215338624 11.4253830773996 -759.492445458663</t>
  </si>
  <si>
    <t>-390.354171808423 42.0808411965404 -423.253597546732</t>
  </si>
  <si>
    <t>-617.856627483864 262.620951360928 -255.30355174658</t>
  </si>
  <si>
    <t>-608.059456659464 276.69678798735 200.068280972429</t>
  </si>
  <si>
    <t>-620.598516434468 260.502224391006 669.407594463573</t>
  </si>
  <si>
    <t>-462.904927021447 272.371784159268 746.448795733476</t>
  </si>
  <si>
    <t>-566.865477943629 75.0702565135637 -230.37164981957</t>
  </si>
  <si>
    <t>-457.994321605747 79.8792346255755 212.100475837208</t>
  </si>
  <si>
    <t>-611.059327096571 12.8628827548525 651.543251100601</t>
  </si>
  <si>
    <t>-457.719430995457 -29.2053846476542 726.780522643842</t>
  </si>
  <si>
    <t>9763-20170724T170158.663117500.bin</t>
  </si>
  <si>
    <t>-591.784324863689 168.908349583136 -243.172587879762</t>
  </si>
  <si>
    <t>-610.785672918835 147.864484904494 -360.917738328885</t>
  </si>
  <si>
    <t>-609.075600211818 121.741310168242 -479.261378171655</t>
  </si>
  <si>
    <t>-599.278212491724 95.4823987339119 -585.135546543292</t>
  </si>
  <si>
    <t>-581.590132502006 66.1994094239772 -689.176317100458</t>
  </si>
  <si>
    <t>-549.073120501265 22.0198505260255 -831.270718498152</t>
  </si>
  <si>
    <t>-561.438894692966 71.994904391629 -777.395878116821</t>
  </si>
  <si>
    <t>-533.535032322035 215.795844660824 -790.315816100336</t>
  </si>
  <si>
    <t>-510.175314410145 330.368918678949 -496.184067225852</t>
  </si>
  <si>
    <t>-333.119471226031 265.512642429587 -317.055801934319</t>
  </si>
  <si>
    <t>-565.482934281833 11.1408411108409 -759.400744128334</t>
  </si>
  <si>
    <t>-390.248294220259 42.0219774530538 -422.979608577877</t>
  </si>
  <si>
    <t>-617.192552709349 262.794913732075 -255.356538832243</t>
  </si>
  <si>
    <t>-607.602369511901 276.891148349447 200.019035149048</t>
  </si>
  <si>
    <t>-620.619265855614 260.657507906218 669.3482718993</t>
  </si>
  <si>
    <t>-462.951226121772 272.352065089915 746.468510011524</t>
  </si>
  <si>
    <t>-566.272349794665 75.0228765126683 -230.3373977361</t>
  </si>
  <si>
    <t>-457.570427118127 79.9445634376482 212.175155146947</t>
  </si>
  <si>
    <t>-610.983105900326 12.7893812802029 651.489050000355</t>
  </si>
  <si>
    <t>-457.646771704989 -29.1706647531939 726.794012431551</t>
  </si>
  <si>
    <t>9763-20170724T170158.702222700.bin</t>
  </si>
  <si>
    <t>-591.463777559842 168.967103172052 -243.178014213226</t>
  </si>
  <si>
    <t>-610.442036698202 147.919407503471 -360.926199365425</t>
  </si>
  <si>
    <t>-608.734540064138 121.781845151595 -479.266709974894</t>
  </si>
  <si>
    <t>-598.950202337934 95.5067444206602 -585.138072232425</t>
  </si>
  <si>
    <t>-581.285905079791 66.2047814292901 -689.177548572602</t>
  </si>
  <si>
    <t>-548.812723551335 21.9967618617172 -831.27302252855</t>
  </si>
  <si>
    <t>-561.1606736315 71.9826460192005 -777.404200965834</t>
  </si>
  <si>
    <t>-533.281295798693 215.777227485621 -790.423194535678</t>
  </si>
  <si>
    <t>-510.56850958359 330.479022264644 -496.290798520695</t>
  </si>
  <si>
    <t>-333.62042215617 265.458242385601 -317.115654108702</t>
  </si>
  <si>
    <t>-565.201511194741 11.1321906819574 -759.39619355791</t>
  </si>
  <si>
    <t>-390.084907168984 42.0747887270743 -422.936879234333</t>
  </si>
  <si>
    <t>-616.868005969331 262.858021184671 -255.376506398929</t>
  </si>
  <si>
    <t>-607.379264316553 276.948571185189 200.001468073183</t>
  </si>
  <si>
    <t>-620.620890880886 260.679728075819 669.325190360281</t>
  </si>
  <si>
    <t>-462.966370028993 272.348813686621 746.4769744178</t>
  </si>
  <si>
    <t>-565.957192883019 75.1491973566499 -230.348744793926</t>
  </si>
  <si>
    <t>-457.423939921094 80.0490237574584 212.205484754895</t>
  </si>
  <si>
    <t>-610.951433125659 12.9182958527038 651.472058800251</t>
  </si>
  <si>
    <t>-457.717062389994 -29.356264801035 726.808658700201</t>
  </si>
  <si>
    <t>9763-20170724T170158.763199400.bin</t>
  </si>
  <si>
    <t>-590.91633933169 168.979449667446 -243.260734307044</t>
  </si>
  <si>
    <t>-609.85043620491 147.956401874186 -361.020350075305</t>
  </si>
  <si>
    <t>-608.180132546289 121.821486250451 -479.362069305695</t>
  </si>
  <si>
    <t>-598.46275121691 95.5421847074106 -585.238442440401</t>
  </si>
  <si>
    <t>-580.898056237296 66.2309260755221 -689.292172133416</t>
  </si>
  <si>
    <t>-548.596373582646 22.0053443105726 -831.421300181877</t>
  </si>
  <si>
    <t>-560.885254382733 71.997943220191 -777.5451764377</t>
  </si>
  <si>
    <t>-533.088622573575 215.805298410339 -790.612051309834</t>
  </si>
  <si>
    <t>-510.787406834889 330.471341244021 -496.434222472389</t>
  </si>
  <si>
    <t>-334.182818133811 265.34022678083 -316.96043283975</t>
  </si>
  <si>
    <t>-564.892477163989 11.1497235842867 -759.522148097823</t>
  </si>
  <si>
    <t>-389.854419832062 42.259272728943 -422.988779027621</t>
  </si>
  <si>
    <t>-616.397491232815 262.819780473413 -255.411440613977</t>
  </si>
  <si>
    <t>-607.035243763989 276.930447693063 199.968568964736</t>
  </si>
  <si>
    <t>-620.629441180837 260.601443188955 669.312471225346</t>
  </si>
  <si>
    <t>-462.991162663292 272.363870336404 746.483215682321</t>
  </si>
  <si>
    <t>-565.39330896586 75.1842001384664 -230.414021094637</t>
  </si>
  <si>
    <t>-457.187996659395 80.2262354412333 212.218755499692</t>
  </si>
  <si>
    <t>-610.858322403777 13.0933621743284 651.40797692191</t>
  </si>
  <si>
    <t>-457.805411348522 -29.6314429132578 726.859386588325</t>
  </si>
  <si>
    <t>9763-20170724T170158.796286800.bin</t>
  </si>
  <si>
    <t>-590.753949932949 168.960756327628 -243.249335611785</t>
  </si>
  <si>
    <t>-609.671636417112 147.927813103729 -361.009894136214</t>
  </si>
  <si>
    <t>-608.018120036084 121.805934087457 -479.354521739998</t>
  </si>
  <si>
    <t>-598.32811723071 95.5482555881326 -585.238896567384</t>
  </si>
  <si>
    <t>-580.801853088309 66.2685216094114 -689.308058709845</t>
  </si>
  <si>
    <t>-548.56381503808 22.0974993531745 -831.468550602013</t>
  </si>
  <si>
    <t>-560.837364590427 72.0693989989416 -777.569609378219</t>
  </si>
  <si>
    <t>-533.028081080004 215.876117196631 -790.623104310797</t>
  </si>
  <si>
    <t>-510.778373472664 330.467306904743 -496.412324843564</t>
  </si>
  <si>
    <t>-334.331094163911 265.330425931651 -316.786035904661</t>
  </si>
  <si>
    <t>-564.818903267152 11.2142375292869 -759.564047857904</t>
  </si>
  <si>
    <t>-389.720775002528 42.4562531817689 -423.0103535712</t>
  </si>
  <si>
    <t>-616.247322492981 262.795431530176 -255.408640419779</t>
  </si>
  <si>
    <t>-606.983048550076 276.90678892292 199.973309574165</t>
  </si>
  <si>
    <t>-620.63898319151 260.607181163701 669.302966440735</t>
  </si>
  <si>
    <t>-463.005517800832 272.371267774483 746.483324790674</t>
  </si>
  <si>
    <t>-565.199485195025 75.2081346979423 -230.402562174418</t>
  </si>
  <si>
    <t>-457.034423807793 80.1742341319805 212.24098879009</t>
  </si>
  <si>
    <t>-610.817913772126 12.9727650512707 651.39530542622</t>
  </si>
  <si>
    <t>-457.704300810415 -29.4561062065709 726.890499333432</t>
  </si>
  <si>
    <t>9763-20170724T170158.864508700.bin</t>
  </si>
  <si>
    <t>-590.526521905995 168.987036438994 -243.208562877911</t>
  </si>
  <si>
    <t>-609.445224260237 147.897822349707 -360.958915165944</t>
  </si>
  <si>
    <t>-607.829467274679 121.78239436023 -479.305557556802</t>
  </si>
  <si>
    <t>-598.18507945629 95.5569506472355 -585.201954427424</t>
  </si>
  <si>
    <t>-580.713356484209 66.3359141427843 -689.296790469058</t>
  </si>
  <si>
    <t>-548.557862123765 22.2736351583239 -831.50983500392</t>
  </si>
  <si>
    <t>-560.822267538526 72.2042052116042 -777.570617656949</t>
  </si>
  <si>
    <t>-533.100639939122 216.025623085714 -790.614444200239</t>
  </si>
  <si>
    <t>-511.05507999554 330.618177262032 -496.38874502324</t>
  </si>
  <si>
    <t>-334.892860656476 265.566701147187 -316.451937572861</t>
  </si>
  <si>
    <t>-564.749087736058 11.3353985310421 -759.599257395637</t>
  </si>
  <si>
    <t>-389.764667824803 42.8638639301337 -423.149260002356</t>
  </si>
  <si>
    <t>-616.118129607059 262.789273454141 -255.414226218738</t>
  </si>
  <si>
    <t>-606.916136760173 276.959662994638 199.967114933363</t>
  </si>
  <si>
    <t>-620.669265500361 260.633897873213 669.290703706927</t>
  </si>
  <si>
    <t>-463.043102415874 272.386885761545 746.487700802168</t>
  </si>
  <si>
    <t>-564.853502531591 75.2868404387787 -230.341126181148</t>
  </si>
  <si>
    <t>-456.79260071 80.3823102296312 212.326364943469</t>
  </si>
  <si>
    <t>-610.748253919026 13.1680923733188 651.370921242107</t>
  </si>
  <si>
    <t>-457.696060236574 -29.3679397999001 726.930360459034</t>
  </si>
  <si>
    <t>9763-20170724T170158.896594000.bin</t>
  </si>
  <si>
    <t>-590.4523757076 169.082052443642 -243.220926330762</t>
  </si>
  <si>
    <t>-609.382115551348 147.967972276161 -360.965032115911</t>
  </si>
  <si>
    <t>-607.799226567198 121.863694118449 -479.314585825263</t>
  </si>
  <si>
    <t>-598.191371425012 95.6632391620453 -585.22057940166</t>
  </si>
  <si>
    <t>-580.76154323762 66.4819457277329 -689.333493287854</t>
  </si>
  <si>
    <t>-548.668218428162 22.4903890973694 -831.582501938554</t>
  </si>
  <si>
    <t>-560.920723763024 72.3941491857772 -777.615677339888</t>
  </si>
  <si>
    <t>-533.281817731705 216.238441427163 -790.671100452471</t>
  </si>
  <si>
    <t>-511.476867987407 330.789367419076 -496.411419110106</t>
  </si>
  <si>
    <t>-335.328090194798 265.757888489597 -316.454348081802</t>
  </si>
  <si>
    <t>-564.816302014557 11.5165352903148 -759.667675079293</t>
  </si>
  <si>
    <t>-389.825791291484 43.1318893126329 -423.169550838366</t>
  </si>
  <si>
    <t>-616.107237642192 262.852944184968 -255.424591653921</t>
  </si>
  <si>
    <t>-606.945624866743 277.006930124221 199.958194382553</t>
  </si>
  <si>
    <t>-620.685679974171 260.650455107326 669.286291277255</t>
  </si>
  <si>
    <t>-463.060760435087 272.407403990934 746.485300753642</t>
  </si>
  <si>
    <t>-564.720689426701 75.4312704597248 -230.353385924349</t>
  </si>
  <si>
    <t>-456.748868067388 80.5589633270106 212.335552607377</t>
  </si>
  <si>
    <t>-610.722470440097 13.3137389203357 651.365731663054</t>
  </si>
  <si>
    <t>-457.771572827193 -29.5390845245834 726.951201182434</t>
  </si>
  <si>
    <t>9763-20170724T170158.963592300.bin</t>
  </si>
  <si>
    <t>-590.548890674238 169.31011388899 -243.239860160321</t>
  </si>
  <si>
    <t>-609.503364947822 148.189372217881 -360.978662700638</t>
  </si>
  <si>
    <t>-607.964980135403 122.157164999728 -479.344793009834</t>
  </si>
  <si>
    <t>-598.400364066657 96.0561607955437 -585.279194278825</t>
  </si>
  <si>
    <t>-581.013150802108 67.009323328984 -689.436909228685</t>
  </si>
  <si>
    <t>-548.974825896644 23.2413414256623 -831.76716121573</t>
  </si>
  <si>
    <t>-561.269664207726 73.0600605710479 -777.731536622112</t>
  </si>
  <si>
    <t>-533.933120466207 216.965604122237 -790.741846284684</t>
  </si>
  <si>
    <t>-512.654599717546 331.254242608737 -496.341539453481</t>
  </si>
  <si>
    <t>-336.341097531364 266.106512266123 -316.587763450949</t>
  </si>
  <si>
    <t>-565.031905493997 12.1545877276415 -759.849337053564</t>
  </si>
  <si>
    <t>-390.188469582785 43.7291988119791 -423.338725608999</t>
  </si>
  <si>
    <t>-616.234775111547 262.998207957847 -255.440175844236</t>
  </si>
  <si>
    <t>-607.0588810133 277.098230124058 199.943917266787</t>
  </si>
  <si>
    <t>-620.716520488714 260.661848749304 669.280966446737</t>
  </si>
  <si>
    <t>-463.091681987498 272.416930776671 746.4803164182</t>
  </si>
  <si>
    <t>-564.784653946658 75.7213847818746 -230.362142973077</t>
  </si>
  <si>
    <t>-456.768354624543 80.5849517091119 212.318921354053</t>
  </si>
  <si>
    <t>-610.692424367243 13.1496834784828 651.37701032544</t>
  </si>
  <si>
    <t>-457.781199646964 -29.7899495598374 726.993544815308</t>
  </si>
  <si>
    <t>9763-20170724T170158.995682600.bin</t>
  </si>
  <si>
    <t>-590.555809022627 169.298004843737 -243.212565133774</t>
  </si>
  <si>
    <t>-609.528328804008 148.183830651555 -360.949797815545</t>
  </si>
  <si>
    <t>-608.044060735454 122.194515739306 -479.32595837054</t>
  </si>
  <si>
    <t>-598.540329406182 96.1486112894336 -585.279492811291</t>
  </si>
  <si>
    <t>-581.223622171893 67.1740577152948 -689.469008903253</t>
  </si>
  <si>
    <t>-549.291065768051 23.5246610095642 -831.859428401279</t>
  </si>
  <si>
    <t>-500.296771576696 0.290167550723481 -918.130384456963</t>
  </si>
  <si>
    <t>-561.570347142321 73.2981655379658 -777.778525312888</t>
  </si>
  <si>
    <t>-534.436901761427 217.248635531144 -790.758887461826</t>
  </si>
  <si>
    <t>-513.276835497098 331.457844504169 -496.319269212553</t>
  </si>
  <si>
    <t>-336.891387022006 266.236447206955 -316.662976296681</t>
  </si>
  <si>
    <t>-565.270142798719 12.3780766006914 -759.933461293239</t>
  </si>
  <si>
    <t>-390.31107536287 44.0142907757415 -423.338835378509</t>
  </si>
  <si>
    <t>-616.2764758452 263.004195772404 -255.424569697427</t>
  </si>
  <si>
    <t>-607.070594599691 277.1038811414 199.958850353798</t>
  </si>
  <si>
    <t>-620.732066876232 260.703349880067 669.271829315944</t>
  </si>
  <si>
    <t>-463.11272023169 272.431707093859 746.486503974546</t>
  </si>
  <si>
    <t>-564.705506334103 75.641746180791 -230.3644306068</t>
  </si>
  <si>
    <t>-456.731711514749 80.5769636158507 212.326266459932</t>
  </si>
  <si>
    <t>-610.679177072866 13.0091330426962 651.368951728688</t>
  </si>
  <si>
    <t>-457.607103129031 -29.3656900493031 726.978662150916</t>
  </si>
  <si>
    <t>9763-20170724T170159.063444600.bin</t>
  </si>
  <si>
    <t>-590.642706338648 169.387589962462 -243.234197029793</t>
  </si>
  <si>
    <t>-609.702112985957 148.251815690614 -360.953448986812</t>
  </si>
  <si>
    <t>-608.324585114958 122.338440806659 -479.347526986121</t>
  </si>
  <si>
    <t>-598.918651101354 96.4037808857013 -585.337136399463</t>
  </si>
  <si>
    <t>-581.696260923608 67.5841074489338 -689.58529601715</t>
  </si>
  <si>
    <t>-549.886373658951 24.1962712803456 -832.083012398918</t>
  </si>
  <si>
    <t>-500.903627251473 1.23911154486564 -918.434865781243</t>
  </si>
  <si>
    <t>-562.178315166833 73.8702306454052 -777.913465643519</t>
  </si>
  <si>
    <t>-535.399459167345 217.889558633593 -790.781830355533</t>
  </si>
  <si>
    <t>-514.620161293493 332.201166258502 -496.354743493409</t>
  </si>
  <si>
    <t>-338.161421544348 266.706150464007 -316.869906250655</t>
  </si>
  <si>
    <t>-565.744181723224 12.9180029777917 -760.150859346419</t>
  </si>
  <si>
    <t>-390.545985439022 44.4731527798483 -423.502497095902</t>
  </si>
  <si>
    <t>-616.432249057899 263.177179535461 -255.432390916303</t>
  </si>
  <si>
    <t>-607.135549861515 277.173336642081 199.952337982432</t>
  </si>
  <si>
    <t>-620.76728170387 260.804879844223 669.261746013873</t>
  </si>
  <si>
    <t>-463.153064952822 272.436661367666 746.501385428262</t>
  </si>
  <si>
    <t>-564.775393750501 75.661407978645 -230.373525950018</t>
  </si>
  <si>
    <t>-456.773390140359 80.807229163348 212.307806328911</t>
  </si>
  <si>
    <t>-610.64733265846 13.1092378440258 651.337217197163</t>
  </si>
  <si>
    <t>-457.623270901664 -29.3941400848255 726.971956936776</t>
  </si>
  <si>
    <t>9763-20170724T170159.098540300.bin</t>
  </si>
  <si>
    <t>-590.748852930166 169.432761619706 -243.235378360553</t>
  </si>
  <si>
    <t>-609.830323984333 148.285924968702 -360.948946391405</t>
  </si>
  <si>
    <t>-608.471485992279 122.414024966725 -479.352425219135</t>
  </si>
  <si>
    <t>-599.078022613784 96.5391850824833 -585.357598774531</t>
  </si>
  <si>
    <t>-581.861471461755 67.8020540981381 -689.629562014118</t>
  </si>
  <si>
    <t>-550.050713155175 24.5529565789841 -832.169304994908</t>
  </si>
  <si>
    <t>-501.038432993542 1.73244052873588 -918.540676597238</t>
  </si>
  <si>
    <t>-562.373334537557 74.1738357619975 -777.958292433489</t>
  </si>
  <si>
    <t>-535.78596789526 218.229926932041 -790.819275148118</t>
  </si>
  <si>
    <t>-515.228349512051 332.712657213136 -496.443112533595</t>
  </si>
  <si>
    <t>-338.848234528267 266.919726433393 -316.990041141182</t>
  </si>
  <si>
    <t>-565.878646241118 13.2048158148168 -760.241377353643</t>
  </si>
  <si>
    <t>-390.575561163775 44.6534597180057 -423.628046495768</t>
  </si>
  <si>
    <t>-616.554976646756 263.250616488084 -255.434171608764</t>
  </si>
  <si>
    <t>-607.177258058876 277.230403034103 199.949530996475</t>
  </si>
  <si>
    <t>-620.776914465738 260.826805182283 669.254239400014</t>
  </si>
  <si>
    <t>-463.166580959175 272.440382051058 746.504538865974</t>
  </si>
  <si>
    <t>-564.840956696106 75.6826193068259 -230.383848768265</t>
  </si>
  <si>
    <t>-456.852719666299 80.8755611441848 212.300357483644</t>
  </si>
  <si>
    <t>-610.633306259374 13.0596131899213 651.318756085326</t>
  </si>
  <si>
    <t>-457.594246900064 -29.3673982172982 726.965990688737</t>
  </si>
  <si>
    <t>9763-20170724T170159.162445800.bin</t>
  </si>
  <si>
    <t>-591.167536087102 169.620671165374 -243.314894609468</t>
  </si>
  <si>
    <t>-610.352957748804 148.503495592999 -361.017001759716</t>
  </si>
  <si>
    <t>-609.015325630228 122.731880701649 -479.442592035958</t>
  </si>
  <si>
    <t>-599.603068084597 96.9767449583399 -585.47516987422</t>
  </si>
  <si>
    <t>-582.327462959748 68.3882281069486 -689.778116104629</t>
  </si>
  <si>
    <t>-550.390836054118 25.3756589781945 -832.361386882273</t>
  </si>
  <si>
    <t>-501.276517769519 2.79312865681391 -918.737368640826</t>
  </si>
  <si>
    <t>-562.817009921579 74.9061826375898 -778.091279177495</t>
  </si>
  <si>
    <t>-536.530926020717 219.026034590715 -790.869371266715</t>
  </si>
  <si>
    <t>-516.821210352113 334.173220330294 -496.694473949661</t>
  </si>
  <si>
    <t>-340.509398911929 267.770844300822 -317.398734835549</t>
  </si>
  <si>
    <t>-566.226612332136 13.9085954223567 -760.454107338792</t>
  </si>
  <si>
    <t>-390.913408644671 45.0202173028747 -423.767780041607</t>
  </si>
  <si>
    <t>-616.984474649541 263.474452836819 -255.45089717234</t>
  </si>
  <si>
    <t>-607.374328992047 277.310833134943 199.932338877319</t>
  </si>
  <si>
    <t>-620.800564566339 260.864130999501 669.238996487582</t>
  </si>
  <si>
    <t>-463.194790603241 272.418005727233 746.507630555119</t>
  </si>
  <si>
    <t>-565.327231423113 75.8408724690637 -230.476773678949</t>
  </si>
  <si>
    <t>-457.159920978892 80.9414928477365 212.164636556565</t>
  </si>
  <si>
    <t>-610.618701425195 12.8757162982668 651.310379515259</t>
  </si>
  <si>
    <t>-457.507814920176 -29.2913589672226 726.957639728658</t>
  </si>
  <si>
    <t>9763-20170724T170159.195535300.bin</t>
  </si>
  <si>
    <t>-591.508646893803 169.815132075429 -243.349508528644</t>
  </si>
  <si>
    <t>-610.690133369745 148.73791321671 -361.059448579285</t>
  </si>
  <si>
    <t>-609.339114728593 123.010679870557 -479.494531840537</t>
  </si>
  <si>
    <t>-599.910281055617 97.2988075959738 -585.536075915995</t>
  </si>
  <si>
    <t>-582.613113621409 68.7572303793033 -689.848374537635</t>
  </si>
  <si>
    <t>-550.640695214436 25.8145285320843 -832.444742609666</t>
  </si>
  <si>
    <t>-501.476440980427 3.30744459296466 -918.811848588422</t>
  </si>
  <si>
    <t>-563.098440131746 75.3182599594513 -778.157360669507</t>
  </si>
  <si>
    <t>-536.91016141381 219.46365418681 -790.901991275621</t>
  </si>
  <si>
    <t>-517.822468269602 334.724542409035 -496.73061601175</t>
  </si>
  <si>
    <t>-341.479637699527 268.21255904386 -317.506227177975</t>
  </si>
  <si>
    <t>-566.476590353678 14.312334436469 -760.542954719183</t>
  </si>
  <si>
    <t>-391.204336741182 45.2743401813093 -423.882822441722</t>
  </si>
  <si>
    <t>-617.253966233324 263.633091119535 -255.445719722423</t>
  </si>
  <si>
    <t>-607.567973241918 277.375148127026 199.938634846902</t>
  </si>
  <si>
    <t>-620.822161037464 260.830603668354 669.258621864136</t>
  </si>
  <si>
    <t>-463.207508551866 272.395035380098 746.507518896442</t>
  </si>
  <si>
    <t>-565.68432038944 76.066395142999 -230.544026665496</t>
  </si>
  <si>
    <t>-457.430544550616 80.9309602606791 212.079048634508</t>
  </si>
  <si>
    <t>-610.62058787692 12.8225773075264 651.316171739536</t>
  </si>
  <si>
    <t>-457.48025636571 -29.257732671321 726.952140801558</t>
  </si>
  <si>
    <t>9763-20170724T170159.260616800.bin</t>
  </si>
  <si>
    <t>-592.106721520281 170.240316904348 -243.341067098263</t>
  </si>
  <si>
    <t>-611.28506227325 149.242448998004 -361.065761040553</t>
  </si>
  <si>
    <t>-609.892510353652 123.584210924058 -479.515220570871</t>
  </si>
  <si>
    <t>-600.41052469669 97.9320615331442 -585.566677658264</t>
  </si>
  <si>
    <t>-583.044510035105 69.4488387083836 -689.883417437848</t>
  </si>
  <si>
    <t>-550.9600423098 26.5868143887644 -832.478705981064</t>
  </si>
  <si>
    <t>-501.721513987537 4.1612729720589 -918.824862051128</t>
  </si>
  <si>
    <t>-563.486624390391 76.0596949063747 -778.17924633648</t>
  </si>
  <si>
    <t>-537.488949233556 220.246216984323 -790.799827260367</t>
  </si>
  <si>
    <t>-519.417944433191 335.504125712151 -496.563163628642</t>
  </si>
  <si>
    <t>-342.919650737255 268.844206057317 -317.546715225745</t>
  </si>
  <si>
    <t>-566.826213456468 15.0442603004442 -760.59026972144</t>
  </si>
  <si>
    <t>-391.4035134438 45.7631210521306 -423.811798252405</t>
  </si>
  <si>
    <t>-617.757363235542 264.006106214037 -255.422207622321</t>
  </si>
  <si>
    <t>-608.023057421197 277.578048764495 199.966261091992</t>
  </si>
  <si>
    <t>-620.880085053686 260.848791356429 669.277375960377</t>
  </si>
  <si>
    <t>-463.248182589277 272.36832138695 746.497801813759</t>
  </si>
  <si>
    <t>-566.332795709678 76.5492065537803 -230.618558452335</t>
  </si>
  <si>
    <t>-457.864066899249 80.9798268370996 211.956405503087</t>
  </si>
  <si>
    <t>-610.628741297382 12.9623962135231 651.344123184676</t>
  </si>
  <si>
    <t>-457.514724155291 -29.2609452578577 726.953587798797</t>
  </si>
  <si>
    <t>9763-20170724T170159.298717100.bin</t>
  </si>
  <si>
    <t>-592.402908979917 170.391538819335 -243.331476887103</t>
  </si>
  <si>
    <t>-611.621564710201 149.415943308404 -361.053473125093</t>
  </si>
  <si>
    <t>-610.215334790769 123.79119139477 -479.509970584121</t>
  </si>
  <si>
    <t>-600.698492662068 98.1731926676619 -585.566656046173</t>
  </si>
  <si>
    <t>-583.275157913809 69.7279426126813 -689.884126469834</t>
  </si>
  <si>
    <t>-551.08791210272 26.9220923733883 -832.473137000639</t>
  </si>
  <si>
    <t>-501.810713381232 4.53052827933789 -918.806078945642</t>
  </si>
  <si>
    <t>-563.668739963962 76.3733507654513 -778.166488965079</t>
  </si>
  <si>
    <t>-537.754229256114 220.575263124862 -790.73554498301</t>
  </si>
  <si>
    <t>-519.920066699084 335.822927761281 -496.480214379323</t>
  </si>
  <si>
    <t>-343.356157414304 269.111570947661 -317.547886241283</t>
  </si>
  <si>
    <t>-566.990839845128 15.351258924245 -760.597387751975</t>
  </si>
  <si>
    <t>-391.609392059472 46.0447481015924 -423.901771357271</t>
  </si>
  <si>
    <t>-618.039150770757 264.205386109648 -255.40268657141</t>
  </si>
  <si>
    <t>-608.232929553919 277.69207420245 199.986816663781</t>
  </si>
  <si>
    <t>-620.900599009459 260.873685017212 669.279775956392</t>
  </si>
  <si>
    <t>-463.26638686389 272.364051993243 746.499888043373</t>
  </si>
  <si>
    <t>-566.703391937969 76.6155930780499 -230.612361151894</t>
  </si>
  <si>
    <t>-458.001248759849 80.9986960004419 211.905695727253</t>
  </si>
  <si>
    <t>-610.632849780856 12.8094957439255 651.342195777921</t>
  </si>
  <si>
    <t>-457.425876760947 -29.1179812942223 726.928062741678</t>
  </si>
  <si>
    <t>9763-20170724T170159.361455400.bin</t>
  </si>
  <si>
    <t>-592.778796773341 170.746577282019 -243.365374591962</t>
  </si>
  <si>
    <t>-612.010847508646 149.791871512496 -361.088878913851</t>
  </si>
  <si>
    <t>-610.57591957356 124.23145676737 -479.558946069153</t>
  </si>
  <si>
    <t>-601.013435744288 98.6909398515752 -585.6302363527</t>
  </si>
  <si>
    <t>-583.52310451255 70.3432159467714 -689.963058388775</t>
  </si>
  <si>
    <t>-551.219017943436 27.6947966129248 -832.57282388253</t>
  </si>
  <si>
    <t>-501.870178258758 5.40656201946126 -918.891609199383</t>
  </si>
  <si>
    <t>-563.873666659389 77.0856466400721 -778.228521843239</t>
  </si>
  <si>
    <t>-538.063752718299 221.304153600643 -790.765737710561</t>
  </si>
  <si>
    <t>-520.723200951601 336.613559248201 -496.505173936564</t>
  </si>
  <si>
    <t>-344.078373366525 269.893714693074 -317.65573910139</t>
  </si>
  <si>
    <t>-567.151495541156 16.0450558524553 -760.716352758113</t>
  </si>
  <si>
    <t>-391.795400851834 46.5735436778532 -423.728452330651</t>
  </si>
  <si>
    <t>-618.341073406088 264.671130459827 -255.436251043762</t>
  </si>
  <si>
    <t>-608.499127925084 277.996633756861 199.957282766233</t>
  </si>
  <si>
    <t>-620.945294637849 261.057442873102 669.244275246349</t>
  </si>
  <si>
    <t>-463.317064497555 272.386077483393 746.500447249229</t>
  </si>
  <si>
    <t>-567.072836602408 76.8553208616077 -230.634566511298</t>
  </si>
  <si>
    <t>-458.192922577714 81.2080368147929 211.840266448761</t>
  </si>
  <si>
    <t>-610.61799616208 12.7585549672779 651.291833335305</t>
  </si>
  <si>
    <t>-457.341128072333 -28.9338146522766 726.866036338443</t>
  </si>
  <si>
    <t>9763-20170724T170159.398555600.bin</t>
  </si>
  <si>
    <t>-592.860919094749 171.002672061379 -243.400523974274</t>
  </si>
  <si>
    <t>-612.092837207199 150.061284645793 -361.126312959273</t>
  </si>
  <si>
    <t>-610.626804193973 124.51825034067 -479.599846196503</t>
  </si>
  <si>
    <t>-601.02301941165 98.9968185598998 -585.671945917509</t>
  </si>
  <si>
    <t>-583.477936546769 70.6723144751693 -690.001871987355</t>
  </si>
  <si>
    <t>-551.08342777364 28.0612855705751 -832.602392093518</t>
  </si>
  <si>
    <t>-501.70227045365 5.82360625007823 -918.915599059022</t>
  </si>
  <si>
    <t>-563.783221133261 77.4379745738904 -778.255555980883</t>
  </si>
  <si>
    <t>-538.012812928596 221.67835005385 -790.74329717741</t>
  </si>
  <si>
    <t>-521.09699728427 337.04153607294 -496.479101642114</t>
  </si>
  <si>
    <t>-344.391351240573 270.150461513762 -317.753824989715</t>
  </si>
  <si>
    <t>-567.050778002588 16.3926977716026 -760.75658263222</t>
  </si>
  <si>
    <t>-391.786085273386 46.8800547552687 -423.694841038609</t>
  </si>
  <si>
    <t>-618.387698422163 265.002152757188 -255.472270675003</t>
  </si>
  <si>
    <t>-608.508840611777 278.205634415822 199.923929593326</t>
  </si>
  <si>
    <t>-620.966501790068 261.157687217782 669.213520520711</t>
  </si>
  <si>
    <t>-463.344061138245 272.371925820472 746.498146980517</t>
  </si>
  <si>
    <t>-567.195013159723 77.060581123716 -230.68680757383</t>
  </si>
  <si>
    <t>-458.301638057852 81.3653707490864 211.785059575435</t>
  </si>
  <si>
    <t>-610.60982255051 12.8198755164913 651.272242855292</t>
  </si>
  <si>
    <t>-457.364164471902 -28.9746363872471 726.853294459843</t>
  </si>
  <si>
    <t>9763-20170724T170159.462271100.bin</t>
  </si>
  <si>
    <t>-593.004970962747 171.65343576925 -243.420296247067</t>
  </si>
  <si>
    <t>-612.26922792635 150.737994808414 -361.145588642655</t>
  </si>
  <si>
    <t>-610.783616814571 125.220413193105 -479.624337140549</t>
  </si>
  <si>
    <t>-601.139499324033 99.7262500620329 -585.699244961165</t>
  </si>
  <si>
    <t>-583.530386894662 71.4361621331304 -690.027727854059</t>
  </si>
  <si>
    <t>-551.021106848612 28.8825171153094 -832.619241843401</t>
  </si>
  <si>
    <t>-501.60344261157 6.72271289523474 -918.931593575773</t>
  </si>
  <si>
    <t>-563.795882833832 78.236958573224 -778.269731264995</t>
  </si>
  <si>
    <t>-538.248635789317 222.512255949046 -790.767510359162</t>
  </si>
  <si>
    <t>-522.232020114013 338.266841959601 -496.60680735476</t>
  </si>
  <si>
    <t>-345.353538201736 270.909731721998 -318.227830432534</t>
  </si>
  <si>
    <t>-567.015017016396 17.1854301659259 -760.784148881955</t>
  </si>
  <si>
    <t>-391.760912121524 47.4863926987632 -423.573557618291</t>
  </si>
  <si>
    <t>-618.375459072478 265.674862017104 -255.501583143187</t>
  </si>
  <si>
    <t>-608.442999351589 278.648394928099 199.900190415048</t>
  </si>
  <si>
    <t>-620.991251117539 261.24510334736 669.182904915905</t>
  </si>
  <si>
    <t>-463.383424991966 272.323891669586 746.516771438484</t>
  </si>
  <si>
    <t>-567.58540729944 77.729255799803 -230.686313348689</t>
  </si>
  <si>
    <t>-458.255500069073 81.5461654497251 211.68244959623</t>
  </si>
  <si>
    <t>-610.557470954546 12.9425802164799 651.177721825128</t>
  </si>
  <si>
    <t>-457.460450761835 -29.2764495801996 726.824039264719</t>
  </si>
  <si>
    <t>9763-20170724T170159.495358200.bin</t>
  </si>
  <si>
    <t>-593.046062776318 171.91245495081 -243.475277901949</t>
  </si>
  <si>
    <t>-612.318344121686 151.015387058003 -361.202571150251</t>
  </si>
  <si>
    <t>-610.82532329838 125.496781796527 -479.680942666573</t>
  </si>
  <si>
    <t>-601.16843855064 99.9958855437339 -585.753077707469</t>
  </si>
  <si>
    <t>-583.540478582842 71.6947112282526 -690.07535075433</t>
  </si>
  <si>
    <t>-550.998545575329 29.1227117186984 -832.653995536796</t>
  </si>
  <si>
    <t>-501.564994487065 6.9760679374881 -918.960625887877</t>
  </si>
  <si>
    <t>-563.789584277099 78.4840924246114 -778.31471586195</t>
  </si>
  <si>
    <t>-538.242103207844 222.768441205529 -790.760674924577</t>
  </si>
  <si>
    <t>-522.849217125984 338.586411075182 -496.591576174725</t>
  </si>
  <si>
    <t>-345.778423952469 271.006269445325 -318.487926735823</t>
  </si>
  <si>
    <t>-567.005115189781 17.4349186094078 -760.820031098796</t>
  </si>
  <si>
    <t>-391.607987456497 47.5829947208063 -423.617425076521</t>
  </si>
  <si>
    <t>-618.323016171851 265.961229438222 -255.53410963329</t>
  </si>
  <si>
    <t>-608.39954627314 278.797859991757 199.871625593004</t>
  </si>
  <si>
    <t>-621.00002550892 261.314520082007 669.148001080125</t>
  </si>
  <si>
    <t>-463.402346901578 272.299067953268 746.516022629441</t>
  </si>
  <si>
    <t>-567.68057908253 77.8913322482736 -230.730379856326</t>
  </si>
  <si>
    <t>-458.291493053218 81.5598685621117 211.624970163123</t>
  </si>
  <si>
    <t>-610.539498333725 12.7892848724066 651.146411553146</t>
  </si>
  <si>
    <t>-457.363293274064 -29.1229582108037 726.803041171406</t>
  </si>
  <si>
    <t>9763-20170724T170159.564058200.bin</t>
  </si>
  <si>
    <t>-593.053324724116 172.031506731056 -243.521426960615</t>
  </si>
  <si>
    <t>-612.329297805202 151.165331443398 -361.253499526555</t>
  </si>
  <si>
    <t>-610.808673832569 125.65639211085 -479.733560256598</t>
  </si>
  <si>
    <t>-601.114704593753 100.157246749903 -585.80275752408</t>
  </si>
  <si>
    <t>-583.437906241957 71.8518720972877 -690.115760442467</t>
  </si>
  <si>
    <t>-550.816365957557 29.2687219186489 -832.672722818568</t>
  </si>
  <si>
    <t>-501.359496288798 7.11060627315737 -918.963026925194</t>
  </si>
  <si>
    <t>-563.642410174693 78.6341857874056 -778.345393027284</t>
  </si>
  <si>
    <t>-538.122994676635 222.93819779154 -790.605869157323</t>
  </si>
  <si>
    <t>-523.031279309493 338.610833690959 -496.364051877312</t>
  </si>
  <si>
    <t>-345.58261153151 270.531697852362 -318.827490073636</t>
  </si>
  <si>
    <t>-566.858418412312 17.5864505140771 -760.845839456836</t>
  </si>
  <si>
    <t>-391.045003587354 47.6200060784856 -423.843020641614</t>
  </si>
  <si>
    <t>-618.313667139079 266.229609924376 -255.559315245111</t>
  </si>
  <si>
    <t>-608.207539058714 278.855580932013 199.848295735368</t>
  </si>
  <si>
    <t>-621.008079832179 261.174277685063 669.139640754922</t>
  </si>
  <si>
    <t>-463.416423388596 272.202144095551 746.513909376019</t>
  </si>
  <si>
    <t>-567.666480578059 77.8876874738921 -230.841846189501</t>
  </si>
  <si>
    <t>-458.532159227567 81.7846674452621 211.574437542063</t>
  </si>
  <si>
    <t>-610.516548956853 12.8854913963203 651.132585452842</t>
  </si>
  <si>
    <t>-457.311016396685 -28.907150845683 726.795961426639</t>
  </si>
  <si>
    <t>9763-20170724T170159.597143500.bin</t>
  </si>
  <si>
    <t>-593.164017328745 172.169707059544 -243.525697926732</t>
  </si>
  <si>
    <t>-612.442398747327 151.313655394755 -361.259155290944</t>
  </si>
  <si>
    <t>-610.911859314839 125.797466973849 -479.737552808107</t>
  </si>
  <si>
    <t>-601.204564280802 100.285278939328 -585.802376608588</t>
  </si>
  <si>
    <t>-583.51064813987 71.9606196395218 -690.107198565367</t>
  </si>
  <si>
    <t>-550.861776194782 29.3445991024287 -832.648185626495</t>
  </si>
  <si>
    <t>-501.399065246506 7.15911477631175 -918.92812903817</t>
  </si>
  <si>
    <t>-563.705574719371 78.7225555263221 -778.336423977197</t>
  </si>
  <si>
    <t>-538.201390595089 223.030183609552 -790.551249132952</t>
  </si>
  <si>
    <t>-522.619205428085 338.550909284574 -496.275210967572</t>
  </si>
  <si>
    <t>-345.170819270302 270.461977063901 -318.742065606863</t>
  </si>
  <si>
    <t>-566.91022619244 17.6790951842802 -760.820021876179</t>
  </si>
  <si>
    <t>-390.927626116108 47.6150996084166 -423.807415628082</t>
  </si>
  <si>
    <t>-618.38325607759 266.350289649742 -255.546878490571</t>
  </si>
  <si>
    <t>-608.225387594346 278.929002058269 199.860933506764</t>
  </si>
  <si>
    <t>-621.018977093027 261.15064065808 669.138468030225</t>
  </si>
  <si>
    <t>-463.427593927271 272.199027561147 746.510252169686</t>
  </si>
  <si>
    <t>-567.941863180036 78.1650201846096 -230.792931645194</t>
  </si>
  <si>
    <t>-458.486677453702 81.6968906991322 211.547133815912</t>
  </si>
  <si>
    <t>-610.496018438743 12.7936652769752 651.114820393301</t>
  </si>
  <si>
    <t>-457.260551982792 -28.8846319493871 726.780666590898</t>
  </si>
  <si>
    <t>9763-20170724T170159.646310000.bin</t>
  </si>
  <si>
    <t>-593.37017030619 172.423587953105 -243.547051375487</t>
  </si>
  <si>
    <t>-612.636037087654 151.582917162476 -361.28535349144</t>
  </si>
  <si>
    <t>-611.101873677697 126.072902402708 -479.765127982471</t>
  </si>
  <si>
    <t>-601.395487044406 100.562342779054 -585.830448518916</t>
  </si>
  <si>
    <t>-583.706880743059 72.2353467416433 -690.135394435299</t>
  </si>
  <si>
    <t>-551.070345930846 29.6115717555119 -832.676860733658</t>
  </si>
  <si>
    <t>-501.603979751356 7.40881989783475 -918.950401271693</t>
  </si>
  <si>
    <t>-563.90854356397 78.9924938968754 -778.366466823522</t>
  </si>
  <si>
    <t>-538.390423101097 223.295756693434 -790.603664991817</t>
  </si>
  <si>
    <t>-522.428884774556 338.853894735731 -496.36281084365</t>
  </si>
  <si>
    <t>-345.013023991221 270.858664190689 -318.761295350892</t>
  </si>
  <si>
    <t>-567.113510558188 17.9499849000019 -760.847022392874</t>
  </si>
  <si>
    <t>-390.994932268722 47.9947290815467 -423.946042666401</t>
  </si>
  <si>
    <t>-618.541044578825 266.535033125496 -255.534634298412</t>
  </si>
  <si>
    <t>-608.352412833891 279.016210436926 199.875094706963</t>
  </si>
  <si>
    <t>-621.038551298425 261.093997251848 669.150675828139</t>
  </si>
  <si>
    <t>-463.443334846046 272.182176410109 746.508974218606</t>
  </si>
  <si>
    <t>-568.176250907171 78.5013427966205 -230.818365614981</t>
  </si>
  <si>
    <t>-458.577168616141 81.6772364038402 211.488829758492</t>
  </si>
  <si>
    <t>-610.49220441111 12.7999286681038 651.117619292795</t>
  </si>
  <si>
    <t>-457.249147808348 -28.85921636496 726.778647292071</t>
  </si>
  <si>
    <t>9763-20170724T170159.709459500.bin</t>
  </si>
  <si>
    <t>-593.424651377274 172.510913488369 -243.580024031369</t>
  </si>
  <si>
    <t>-612.695302366488 151.683174398482 -361.319818659333</t>
  </si>
  <si>
    <t>-611.175730646166 126.162442423348 -479.797477656955</t>
  </si>
  <si>
    <t>-601.487225014841 100.633232132317 -585.859885365569</t>
  </si>
  <si>
    <t>-583.82152553405 72.2793619377017 -690.161419904883</t>
  </si>
  <si>
    <t>-551.22232435527 29.6102009990336 -832.69790789803</t>
  </si>
  <si>
    <t>-501.77215262266 7.37628225278081 -918.972565332646</t>
  </si>
  <si>
    <t>-564.036505443631 79.0085885950662 -778.397698780357</t>
  </si>
  <si>
    <t>-538.548908994823 223.312862730759 -790.741496653998</t>
  </si>
  <si>
    <t>-522.548896138694 338.963471266196 -496.538943759068</t>
  </si>
  <si>
    <t>-345.101228512423 271.006759808758 -318.954508294659</t>
  </si>
  <si>
    <t>-567.256468219833 17.9712782647741 -760.862340263657</t>
  </si>
  <si>
    <t>-391.022043440714 47.9476122549677 -424.065026637714</t>
  </si>
  <si>
    <t>-618.581801742845 266.616828735707 -255.547791612724</t>
  </si>
  <si>
    <t>-608.414242294076 279.061437199622 199.863505346543</t>
  </si>
  <si>
    <t>-621.059484415752 261.085434968777 669.149661408805</t>
  </si>
  <si>
    <t>-463.459905620138 272.170224082349 746.499682989122</t>
  </si>
  <si>
    <t>-568.111087542891 78.3875814811838 -230.886836684008</t>
  </si>
  <si>
    <t>-458.772468764831 81.8221880173935 211.482829672992</t>
  </si>
  <si>
    <t>-610.490572958294 12.9379814613701 651.139727974835</t>
  </si>
  <si>
    <t>-457.321086129112 -28.989720675457 726.801349165228</t>
  </si>
  <si>
    <t>9763-20170724T170159.730719100.bin</t>
  </si>
  <si>
    <t>-593.488356349565 172.467832396031 -243.524452781261</t>
  </si>
  <si>
    <t>-612.751469995187 151.668210414104 -361.270450973143</t>
  </si>
  <si>
    <t>-611.220783613818 126.138393574624 -479.745955120969</t>
  </si>
  <si>
    <t>-601.521280793727 100.589856350737 -585.802777133401</t>
  </si>
  <si>
    <t>-583.843684125022 72.2078015057837 -690.094753572385</t>
  </si>
  <si>
    <t>-551.226759532195 29.4925296874871 -832.613263291537</t>
  </si>
  <si>
    <t>-501.824643415338 7.22613686432283 -918.9071970263</t>
  </si>
  <si>
    <t>-564.044623298317 78.9084677268327 -778.329970574623</t>
  </si>
  <si>
    <t>-538.608737239364 223.216500489849 -790.737908960148</t>
  </si>
  <si>
    <t>-523.057179266047 339.439023316012 -496.736834896852</t>
  </si>
  <si>
    <t>-345.364999581018 271.064510531968 -319.557729278232</t>
  </si>
  <si>
    <t>-567.272918796936 17.8768641862896 -760.776621758073</t>
  </si>
  <si>
    <t>-390.712180637953 47.7170237612838 -424.239812286803</t>
  </si>
  <si>
    <t>-618.534761290827 266.746593143529 -255.548937723325</t>
  </si>
  <si>
    <t>-608.385380590067 279.092673818338 199.865399727092</t>
  </si>
  <si>
    <t>-621.089177000595 261.112255942881 669.126654126553</t>
  </si>
  <si>
    <t>-463.493957259641 272.095256682987 746.499965335764</t>
  </si>
  <si>
    <t>-568.409774935658 78.3201832019361 -230.812564255775</t>
  </si>
  <si>
    <t>-458.75606083477 81.6296171191711 211.479993093556</t>
  </si>
  <si>
    <t>-610.503666465117 12.8632401949717 651.205254115967</t>
  </si>
  <si>
    <t>-457.232451556271 -28.7934277571833 726.810618927035</t>
  </si>
  <si>
    <t>9763-20170724T170159.814936000.bin</t>
  </si>
  <si>
    <t>-593.520645073893 172.644335289249 -243.497332430721</t>
  </si>
  <si>
    <t>-612.814086636961 151.835214811289 -361.236540858621</t>
  </si>
  <si>
    <t>-611.295899383476 126.278882689856 -479.706562437709</t>
  </si>
  <si>
    <t>-601.600245823849 100.701849892644 -585.756933974334</t>
  </si>
  <si>
    <t>-583.918890057748 72.2885270386985 -690.039725763307</t>
  </si>
  <si>
    <t>-551.288574318007 29.5282931683882 -832.541722228798</t>
  </si>
  <si>
    <t>-501.897137645062 7.24364932987874 -918.836914329488</t>
  </si>
  <si>
    <t>-564.117730286051 78.9613122107444 -778.276534730845</t>
  </si>
  <si>
    <t>-538.69363530231 223.261066390707 -790.725644964867</t>
  </si>
  <si>
    <t>-523.362413494858 339.769080273216 -496.825984725152</t>
  </si>
  <si>
    <t>-345.665073631044 271.352880264635 -319.668034347479</t>
  </si>
  <si>
    <t>-567.335205133602 17.9354384668338 -760.701466920705</t>
  </si>
  <si>
    <t>-390.761069302593 47.5923355811969 -424.231150285134</t>
  </si>
  <si>
    <t>-618.463292522771 266.867030352136 -255.543623215101</t>
  </si>
  <si>
    <t>-608.322844777724 279.182543499652 199.871772595686</t>
  </si>
  <si>
    <t>-621.099019709335 261.12035215482 669.116972461825</t>
  </si>
  <si>
    <t>-463.511840077602 272.047857661966 746.514557251268</t>
  </si>
  <si>
    <t>-568.548160994595 78.5839582818078 -230.766822836335</t>
  </si>
  <si>
    <t>-458.714661690196 81.6115568076989 211.483263737453</t>
  </si>
  <si>
    <t>-610.496290028746 13.0203533815577 651.189996582189</t>
  </si>
  <si>
    <t>-457.347572911826 -29.0865515020662 726.794165316883</t>
  </si>
  <si>
    <t>9763-20170724T170159.858701100.bin</t>
  </si>
  <si>
    <t>-593.399583284919 172.5366114455 -243.459101795198</t>
  </si>
  <si>
    <t>-612.709557567055 151.756815870754 -361.200892037669</t>
  </si>
  <si>
    <t>-611.147653127636 126.199693308915 -479.670100465156</t>
  </si>
  <si>
    <t>-601.388602832999 100.612624355868 -585.712179018757</t>
  </si>
  <si>
    <t>-583.620503042671 72.1816667747898 -689.975456566546</t>
  </si>
  <si>
    <t>-550.846012358871 29.3908363320334 -832.435192910492</t>
  </si>
  <si>
    <t>-501.390080775 7.02543127317244 -918.672631013186</t>
  </si>
  <si>
    <t>-563.738542478341 78.8353245410142 -778.195561711054</t>
  </si>
  <si>
    <t>-538.246421170322 223.116950526728 -790.639153353523</t>
  </si>
  <si>
    <t>-522.875654979602 339.716255661111 -496.777680781345</t>
  </si>
  <si>
    <t>-345.315980576119 271.45295692066 -319.422796290758</t>
  </si>
  <si>
    <t>-566.956923782787 17.8134647608726 -760.606753745813</t>
  </si>
  <si>
    <t>-390.210645005983 47.4567159249273 -424.061357337557</t>
  </si>
  <si>
    <t>-618.20630308736 266.647479357287 -255.474301186912</t>
  </si>
  <si>
    <t>-607.973444999701 278.911673238761 199.940401296144</t>
  </si>
  <si>
    <t>-621.117243086512 260.692271329788 669.199505061586</t>
  </si>
  <si>
    <t>-463.516463301968 271.858617529909 746.535376753387</t>
  </si>
  <si>
    <t>-568.51420337521 78.452150915323 -230.751779397749</t>
  </si>
  <si>
    <t>-458.684772530045 81.4116053405219 211.499746342405</t>
  </si>
  <si>
    <t>-610.452242153406 13.1344213097423 651.198532357531</t>
  </si>
  <si>
    <t>-457.358186950755 -29.129036844424 726.826030830645</t>
  </si>
  <si>
    <t>9763-20170724T170159.899814800.bin</t>
  </si>
  <si>
    <t>-593.297865822932 172.390060034583 -243.419491716717</t>
  </si>
  <si>
    <t>-612.61880428525 151.602511009791 -361.158021579249</t>
  </si>
  <si>
    <t>-611.038464355374 126.032404832516 -479.624258338477</t>
  </si>
  <si>
    <t>-601.250554840042 100.433107349954 -585.660693359124</t>
  </si>
  <si>
    <t>-583.441222785191 71.9909572011786 -689.913897762528</t>
  </si>
  <si>
    <t>-550.59651058534 29.1864591198253 -832.353272829814</t>
  </si>
  <si>
    <t>-501.132664779177 6.78210867522148 -918.575985899005</t>
  </si>
  <si>
    <t>-563.51754042668 78.6361612956518 -778.125113360952</t>
  </si>
  <si>
    <t>-537.995009883135 222.921659177272 -790.568884649715</t>
  </si>
  <si>
    <t>-522.680250659292 339.969208071149 -496.882808412609</t>
  </si>
  <si>
    <t>-345.168970177995 271.809106215037 -319.439926479467</t>
  </si>
  <si>
    <t>-566.741043356781 17.6160124904739 -760.531403136893</t>
  </si>
  <si>
    <t>-389.953924635361 47.193575759635 -423.971779357834</t>
  </si>
  <si>
    <t>-618.056498704271 266.576805909922 -255.465347950351</t>
  </si>
  <si>
    <t>-607.881297800436 278.87356725442 199.949718905873</t>
  </si>
  <si>
    <t>-621.130372427603 260.665803617468 669.201266692264</t>
  </si>
  <si>
    <t>-463.52976085192 271.829305385077 746.537834151768</t>
  </si>
  <si>
    <t>-568.404135097513 78.2548063019312 -230.70688371222</t>
  </si>
  <si>
    <t>-458.571835810309 81.2652623529011 211.543602188185</t>
  </si>
  <si>
    <t>-610.453492410341 13.0655390071884 651.223502579027</t>
  </si>
  <si>
    <t>-457.281664410476 -28.9562467432409 726.828203070708</t>
  </si>
  <si>
    <t>9763-20170724T170159.961578200.bin</t>
  </si>
  <si>
    <t>-592.806789975554 172.259024767714 -243.366496988794</t>
  </si>
  <si>
    <t>-612.059075400885 151.409636410002 -361.105305218264</t>
  </si>
  <si>
    <t>-610.449828770567 125.735747340368 -479.548636777119</t>
  </si>
  <si>
    <t>-600.654541312007 100.025596879007 -585.557698479253</t>
  </si>
  <si>
    <t>-582.858202220108 71.4556081553515 -689.778004576615</t>
  </si>
  <si>
    <t>-550.054038272939 28.4558004640353 -832.16806490001</t>
  </si>
  <si>
    <t>-500.629104941216 5.87220107120265 -918.36634869142</t>
  </si>
  <si>
    <t>-562.878648869636 77.9807979132604 -777.985676826956</t>
  </si>
  <si>
    <t>-536.929214229355 222.177212557294 -790.581232643332</t>
  </si>
  <si>
    <t>-523.387925164698 340.068498494732 -497.145675234883</t>
  </si>
  <si>
    <t>-345.606965638126 272.103640023015 -319.897933173904</t>
  </si>
  <si>
    <t>-566.259095098435 16.9830219736805 -760.344143199325</t>
  </si>
  <si>
    <t>-389.528074906456 46.4089917079091 -423.697974538871</t>
  </si>
  <si>
    <t>-617.465410987059 266.48058087753 -255.493916172048</t>
  </si>
  <si>
    <t>-607.577748555016 278.850974594875 199.925612846381</t>
  </si>
  <si>
    <t>-621.151838399783 260.73105639802 669.167961795568</t>
  </si>
  <si>
    <t>-463.566125857595 271.745078418405 746.556265646984</t>
  </si>
  <si>
    <t>-568.038016407527 78.1687217408112 -230.561427771407</t>
  </si>
  <si>
    <t>-458.278701851493 81.2343188053871 211.706756739064</t>
  </si>
  <si>
    <t>-610.46047561584 13.3267851328621 651.276535221614</t>
  </si>
  <si>
    <t>-457.382634325962 -29.1379250417317 726.824104806463</t>
  </si>
  <si>
    <t>9763-20170724T170159.995668500.bin</t>
  </si>
  <si>
    <t>-592.519626515408 172.18776639196 -243.412179052229</t>
  </si>
  <si>
    <t>-611.699852685942 151.378112613844 -361.169992226544</t>
  </si>
  <si>
    <t>-610.087384152352 125.690129503021 -479.610282133397</t>
  </si>
  <si>
    <t>-600.319552869708 99.9464617306915 -585.613534238974</t>
  </si>
  <si>
    <t>-582.5818341027 71.3233993102176 -689.829396720487</t>
  </si>
  <si>
    <t>-549.892061611338 28.2303566635508 -832.217582373764</t>
  </si>
  <si>
    <t>-500.556542906835 5.55349314871228 -918.442598658397</t>
  </si>
  <si>
    <t>-562.643257751697 77.7911610708761 -778.050607464142</t>
  </si>
  <si>
    <t>-536.639560160431 221.969809173344 -790.719468163484</t>
  </si>
  <si>
    <t>-523.703276761697 340.252553545512 -497.414056865953</t>
  </si>
  <si>
    <t>-345.835231771842 272.254610641326 -320.266417231208</t>
  </si>
  <si>
    <t>-566.069298951328 16.8042123484909 -760.379765466097</t>
  </si>
  <si>
    <t>-389.183342343791 46.1235713833883 -423.68142654412</t>
  </si>
  <si>
    <t>-617.140698404718 266.456542516809 -255.533632539613</t>
  </si>
  <si>
    <t>-607.375468508445 278.810351626031 199.888868905656</t>
  </si>
  <si>
    <t>-621.161494659533 260.75188839342 669.146775494921</t>
  </si>
  <si>
    <t>-463.585092655867 271.707192939551 746.562324328802</t>
  </si>
  <si>
    <t>-567.825706582473 78.0871932560367 -230.620066007406</t>
  </si>
  <si>
    <t>-458.22053125844 81.0009886163159 211.687389070479</t>
  </si>
  <si>
    <t>-610.466966330118 13.0534944493941 651.311016048239</t>
  </si>
  <si>
    <t>-457.273376602196 -29.0454586181902 726.828648067842</t>
  </si>
  <si>
    <t>9763-20170724T170200.060858600.bin</t>
  </si>
  <si>
    <t>-591.903221558732 171.939908005299 -243.371097122454</t>
  </si>
  <si>
    <t>-611.041369412604 151.133569471436 -361.136204064322</t>
  </si>
  <si>
    <t>-609.503873297994 125.436083021951 -479.575352787834</t>
  </si>
  <si>
    <t>-599.848279613577 99.6890569302129 -585.588163158249</t>
  </si>
  <si>
    <t>-582.263626588342 71.0735602484651 -689.831972933871</t>
  </si>
  <si>
    <t>-549.82444199461 28.0075801992389 -832.285616140392</t>
  </si>
  <si>
    <t>-500.762017219608 5.23996647081299 -918.642315114088</t>
  </si>
  <si>
    <t>-562.521627706945 77.557626230056 -778.096196164959</t>
  </si>
  <si>
    <t>-536.897258023974 221.787063913473 -790.922996084939</t>
  </si>
  <si>
    <t>-523.716809242352 340.574190686752 -497.832331117065</t>
  </si>
  <si>
    <t>-345.992731813899 272.591164508429 -320.534629470003</t>
  </si>
  <si>
    <t>-565.833940701445 16.5681629832422 -760.412405727212</t>
  </si>
  <si>
    <t>-388.651662701381 45.7771103671982 -423.655503428942</t>
  </si>
  <si>
    <t>-616.337447317476 266.116914252389 -255.522985939554</t>
  </si>
  <si>
    <t>-606.75093098709 278.580523343201 199.900330664778</t>
  </si>
  <si>
    <t>-621.15131063981 260.597946756344 669.144816996581</t>
  </si>
  <si>
    <t>-463.595266609613 271.602893574033 746.594868304119</t>
  </si>
  <si>
    <t>-567.374433392665 77.8139850975051 -230.529159718637</t>
  </si>
  <si>
    <t>-457.876326656744 80.7645107110122 211.804537626487</t>
  </si>
  <si>
    <t>-610.450920553626 13.2800672172739 651.347962541287</t>
  </si>
  <si>
    <t>-457.34548130849 -29.1947603534627 726.833892192769</t>
  </si>
  <si>
    <t>9763-20170724T170200.091931500.bin</t>
  </si>
  <si>
    <t>-591.364602300201 171.688319286158 -243.360805920688</t>
  </si>
  <si>
    <t>-610.512373023143 150.867675438854 -361.121806318961</t>
  </si>
  <si>
    <t>-609.056053596399 125.200626315103 -479.568636062803</t>
  </si>
  <si>
    <t>-599.497450818375 99.5081968834543 -585.603582024954</t>
  </si>
  <si>
    <t>-582.028322526855 70.9794572578489 -689.890680039995</t>
  </si>
  <si>
    <t>-549.763565175787 28.072062365603 -832.431536348205</t>
  </si>
  <si>
    <t>-500.885460956459 5.35221865987569 -918.905386397787</t>
  </si>
  <si>
    <t>-562.438340691045 77.5613294786506 -778.181424744119</t>
  </si>
  <si>
    <t>-537.192509430069 221.845240298442 -791.07770005483</t>
  </si>
  <si>
    <t>-523.664275080519 340.532406124522 -497.962536584853</t>
  </si>
  <si>
    <t>-345.920185184252 272.741203671129 -320.611325744615</t>
  </si>
  <si>
    <t>-565.641110208337 16.5532288073186 -760.541815553372</t>
  </si>
  <si>
    <t>-388.036229420316 45.7900996190765 -423.710192020937</t>
  </si>
  <si>
    <t>-615.673479104508 265.891761558943 -255.541301066254</t>
  </si>
  <si>
    <t>-606.282305702036 278.476610941099 199.882704851009</t>
  </si>
  <si>
    <t>-621.147237084419 260.604817037682 669.111754750824</t>
  </si>
  <si>
    <t>-463.606674259694 271.551906554714 746.601374049591</t>
  </si>
  <si>
    <t>-566.896901700274 77.5245075004073 -230.50536252576</t>
  </si>
  <si>
    <t>-457.620575343801 80.5836141032455 211.882489409295</t>
  </si>
  <si>
    <t>-610.436503963058 13.2720543172788 651.360040517435</t>
  </si>
  <si>
    <t>-457.287200304053 -29.0696597604542 726.83178371256</t>
  </si>
  <si>
    <t>9763-20170724T170200.162739500.bin</t>
  </si>
  <si>
    <t>-590.33710809422 171.253525035113 -243.343942328009</t>
  </si>
  <si>
    <t>-609.546079253931 150.387063493362 -361.08702398131</t>
  </si>
  <si>
    <t>-608.181360549508 124.835965588703 -479.559996905406</t>
  </si>
  <si>
    <t>-598.705602420563 99.3271604828676 -585.646625020179</t>
  </si>
  <si>
    <t>-581.310046945166 71.067293042265 -690.019088633614</t>
  </si>
  <si>
    <t>-549.12818584408 28.6276755801864 -832.718872826875</t>
  </si>
  <si>
    <t>-500.538306540432 6.20147065961169 -919.431494286419</t>
  </si>
  <si>
    <t>-561.885007341232 77.9372413480335 -778.32442016635</t>
  </si>
  <si>
    <t>-537.319649298592 222.358037619048 -791.08919705883</t>
  </si>
  <si>
    <t>-523.758753892387 340.905111518476 -497.918850452375</t>
  </si>
  <si>
    <t>-345.847475999544 273.053030039781 -320.75856601346</t>
  </si>
  <si>
    <t>-564.850323103001 16.8746101985698 -760.832896227586</t>
  </si>
  <si>
    <t>-386.084232799648 46.2608367237033 -424.198098603118</t>
  </si>
  <si>
    <t>-614.444950800168 265.472760046898 -255.592938218216</t>
  </si>
  <si>
    <t>-605.163578408494 278.232624763495 199.828493737855</t>
  </si>
  <si>
    <t>-621.117304448596 260.549081705738 669.054293037203</t>
  </si>
  <si>
    <t>-463.616522096056 271.416160904225 746.636027840884</t>
  </si>
  <si>
    <t>-566.217470743889 77.1445208289658 -230.401128218428</t>
  </si>
  <si>
    <t>-457.058009934887 80.1140414993042 212.016086517704</t>
  </si>
  <si>
    <t>-610.39418995862 13.3906343103001 651.39021388478</t>
  </si>
  <si>
    <t>-457.334180231388 -29.2479037065054 726.875977338474</t>
  </si>
  <si>
    <t>9763-20170724T170200.200837600.bin</t>
  </si>
  <si>
    <t>-589.80452901581 171.025004234391 -243.386296742172</t>
  </si>
  <si>
    <t>-608.992512323369 150.198382872635 -361.139759211988</t>
  </si>
  <si>
    <t>-607.624150950943 124.750576034267 -479.634929968107</t>
  </si>
  <si>
    <t>-598.14768596607 99.3664015736492 -585.751260783762</t>
  </si>
  <si>
    <t>-580.750246544963 71.265246617005 -690.166396176102</t>
  </si>
  <si>
    <t>-548.560791354485 29.0836869080197 -832.940800390117</t>
  </si>
  <si>
    <t>-500.084989884636 6.86312286652264 -919.770039211224</t>
  </si>
  <si>
    <t>-561.399992908714 78.2936357789451 -778.475548196893</t>
  </si>
  <si>
    <t>-537.177249124784 222.785965925407 -791.101320656293</t>
  </si>
  <si>
    <t>-523.728065973883 341.20208159776 -497.872679662044</t>
  </si>
  <si>
    <t>-345.758853906308 273.223748275379 -320.819345645294</t>
  </si>
  <si>
    <t>-564.207237043842 17.2018027228096 -761.059455499398</t>
  </si>
  <si>
    <t>-384.922613894586 46.5443178512189 -424.776852524905</t>
  </si>
  <si>
    <t>-613.88525934158 265.242602075052 -255.608220553776</t>
  </si>
  <si>
    <t>-604.579213312463 278.066909256506 199.810959333295</t>
  </si>
  <si>
    <t>-621.102956771103 260.504012192959 669.027080453706</t>
  </si>
  <si>
    <t>-463.627684582541 271.361583610667 746.661884834986</t>
  </si>
  <si>
    <t>-565.625700709976 76.9546092678709 -230.50330768686</t>
  </si>
  <si>
    <t>-456.923889890579 79.9477697154284 212.026455396269</t>
  </si>
  <si>
    <t>-610.379421555496 13.5154543392457 651.428177029361</t>
  </si>
  <si>
    <t>-457.411993959361 -29.4331355229835 726.925870939101</t>
  </si>
  <si>
    <t>9763-20170724T170200.261009300.bin</t>
  </si>
  <si>
    <t>-588.702468685152 170.627766915664 -243.353895261431</t>
  </si>
  <si>
    <t>-607.871068010763 149.832237718953 -361.116002772315</t>
  </si>
  <si>
    <t>-606.597222026567 124.565731534406 -479.651028302769</t>
  </si>
  <si>
    <t>-597.244604028837 99.4086375401159 -585.832475878942</t>
  </si>
  <si>
    <t>-580.002981526138 71.5983654078618 -690.351166819888</t>
  </si>
  <si>
    <t>-548.056745303167 29.8876165060246 -833.318435411664</t>
  </si>
  <si>
    <t>-499.915990874219 8.04767658311516 -920.430429558073</t>
  </si>
  <si>
    <t>-560.890996279539 78.9162690821422 -778.688873043269</t>
  </si>
  <si>
    <t>-537.24994477212 223.53922454951 -790.888323883945</t>
  </si>
  <si>
    <t>-524.289238609085 340.976665518046 -497.24460397649</t>
  </si>
  <si>
    <t>-346.036426201942 272.820225953644 -320.545292357483</t>
  </si>
  <si>
    <t>-563.492916742476 17.7704670693506 -761.430997267622</t>
  </si>
  <si>
    <t>-383.193174449534 46.7307007970207 -425.885016178647</t>
  </si>
  <si>
    <t>-612.893076572212 264.725748504475 -255.560262538778</t>
  </si>
  <si>
    <t>-603.666230970708 277.735828936866 199.855255864741</t>
  </si>
  <si>
    <t>-621.095021351666 260.376161949245 669.021325777861</t>
  </si>
  <si>
    <t>-463.651539216341 271.320474159402 746.708424978908</t>
  </si>
  <si>
    <t>-564.485932244801 76.6580721225403 -230.504494337902</t>
  </si>
  <si>
    <t>-456.431626887948 79.4721419415691 212.185016017109</t>
  </si>
  <si>
    <t>-610.343169281142 13.3587292510622 651.46323647841</t>
  </si>
  <si>
    <t>-457.245584941317 -29.1400730809705 726.951629504263</t>
  </si>
  <si>
    <t>9763-20170724T170200.295093900.bin</t>
  </si>
  <si>
    <t>-588.206453262875 170.489504920674 -243.350135721174</t>
  </si>
  <si>
    <t>-607.362515289712 149.697514570409 -361.114844787095</t>
  </si>
  <si>
    <t>-606.14221172877 124.543329528236 -479.674322383092</t>
  </si>
  <si>
    <t>-596.859557462664 99.5325802504203 -585.896484545906</t>
  </si>
  <si>
    <t>-579.70544891314 71.9132330717596 -690.480190453168</t>
  </si>
  <si>
    <t>-547.894907352123 30.5139516039067 -833.568225962598</t>
  </si>
  <si>
    <t>-499.873652128998 8.89783611285998 -920.801857000224</t>
  </si>
  <si>
    <t>-560.724420594822 79.4224499547629 -778.830087029069</t>
  </si>
  <si>
    <t>-537.35471551206 224.103671244236 -790.74583805591</t>
  </si>
  <si>
    <t>-524.525700791917 341.238317461224 -496.975396527124</t>
  </si>
  <si>
    <t>-346.142787287024 273.141667982402 -320.384356200769</t>
  </si>
  <si>
    <t>-563.215737879862 18.2411448274224 -761.682484350758</t>
  </si>
  <si>
    <t>-382.444939217557 47.0749297539373 -426.59486002537</t>
  </si>
  <si>
    <t>-612.49745554418 264.539325926635 -255.523961959309</t>
  </si>
  <si>
    <t>-603.223557044554 277.578524726753 199.889751270982</t>
  </si>
  <si>
    <t>-621.089746034049 260.247717671633 669.039755878877</t>
  </si>
  <si>
    <t>-463.658099578353 271.302923804731 746.735139698304</t>
  </si>
  <si>
    <t>-563.828033416604 76.5550163897071 -230.525700222522</t>
  </si>
  <si>
    <t>-456.156295553052 79.3826916104083 212.25687450999</t>
  </si>
  <si>
    <t>-610.318981993157 13.4279454561556 651.466963378795</t>
  </si>
  <si>
    <t>-457.20123223415 -28.9964416869018 726.95627148113</t>
  </si>
  <si>
    <t>9763-20170724T170200.363833400.bin</t>
  </si>
  <si>
    <t>-586.852433028529 170.335329586535 -243.272481073958</t>
  </si>
  <si>
    <t>-605.94200262846 149.444440076665 -361.030623602009</t>
  </si>
  <si>
    <t>-604.807296516993 124.440447229844 -479.622543835078</t>
  </si>
  <si>
    <t>-595.651813695116 99.6706684974702 -585.912244941968</t>
  </si>
  <si>
    <t>-578.665135583634 72.3987681062902 -690.614410095896</t>
  </si>
  <si>
    <t>-547.119589785682 31.5935773841397 -833.931524945276</t>
  </si>
  <si>
    <t>-499.264651415557 10.4363824202173 -921.368847743121</t>
  </si>
  <si>
    <t>-559.926571581591 80.2729644438446 -778.984171125489</t>
  </si>
  <si>
    <t>-536.884995442017 225.063198936923 -790.35791918906</t>
  </si>
  <si>
    <t>-524.963773773786 342.45119955872 -496.650401220316</t>
  </si>
  <si>
    <t>-346.265606855407 274.23112619832 -320.425965281763</t>
  </si>
  <si>
    <t>-562.228453325754 19.024289791256 -762.052183473721</t>
  </si>
  <si>
    <t>-380.635047091238 47.6224714291047 -427.685939003972</t>
  </si>
  <si>
    <t>-611.257754741616 264.326809265028 -255.505766662764</t>
  </si>
  <si>
    <t>-602.452876753795 277.451160875052 199.914803487898</t>
  </si>
  <si>
    <t>-621.079035046398 260.220333586626 669.011116090639</t>
  </si>
  <si>
    <t>-463.678899256889 271.280200822554 746.769629665911</t>
  </si>
  <si>
    <t>-562.288883343431 76.3059521664975 -230.371986092737</t>
  </si>
  <si>
    <t>-455.202302408488 79.4433816125559 212.550419913244</t>
  </si>
  <si>
    <t>-610.242598714926 13.4037702008402 651.40752047495</t>
  </si>
  <si>
    <t>-457.192539012911 -29.1738906363073 726.94779516069</t>
  </si>
  <si>
    <t>9763-20170724T170200.397924500.bin</t>
  </si>
  <si>
    <t>-586.140371411345 170.301652922978 -243.272348280328</t>
  </si>
  <si>
    <t>-605.201501018665 149.401778794223 -361.033464498695</t>
  </si>
  <si>
    <t>-604.076343771189 124.47967137488 -479.642811444187</t>
  </si>
  <si>
    <t>-594.940686585187 99.8222776317557 -585.960221403071</t>
  </si>
  <si>
    <t>-577.981881263959 72.7011922785302 -690.706147209752</t>
  </si>
  <si>
    <t>-546.480054061745 32.1460004776666 -834.103956310141</t>
  </si>
  <si>
    <t>-498.738383991329 11.1978026242434 -921.653241624489</t>
  </si>
  <si>
    <t>-559.304875325593 80.7288035379297 -779.075181002647</t>
  </si>
  <si>
    <t>-536.497370988148 225.583173757569 -790.251835285159</t>
  </si>
  <si>
    <t>-524.93378021521 343.032153816591 -496.554324608578</t>
  </si>
  <si>
    <t>-346.048090355025 274.775270549164 -320.534453502044</t>
  </si>
  <si>
    <t>-561.532353101158 19.4521189323843 -762.234546033534</t>
  </si>
  <si>
    <t>-379.441914859774 47.9438374016233 -428.053634990919</t>
  </si>
  <si>
    <t>-610.718228561765 264.360767995706 -255.520560805653</t>
  </si>
  <si>
    <t>-602.052114892404 277.470647320715 199.903012153706</t>
  </si>
  <si>
    <t>-621.06857805418 260.219656326497 668.986903723226</t>
  </si>
  <si>
    <t>-463.685243492872 271.252892504037 746.783222936973</t>
  </si>
  <si>
    <t>-561.445682198121 76.3104807859968 -230.387387169456</t>
  </si>
  <si>
    <t>-454.781152248293 79.6131131235941 212.635719800437</t>
  </si>
  <si>
    <t>-610.188266489042 13.5753793551776 651.358485937011</t>
  </si>
  <si>
    <t>-457.250160749606 -29.2863738656354 726.964791777384</t>
  </si>
  <si>
    <t>9763-20170724T170200.462654000.bin</t>
  </si>
  <si>
    <t>-585.139938804898 170.554151136555 -243.272661406003</t>
  </si>
  <si>
    <t>-604.099427771513 149.66821848349 -361.052575643794</t>
  </si>
  <si>
    <t>-603.059510016921 124.86864877472 -479.688571018604</t>
  </si>
  <si>
    <t>-594.07017255711 100.372720384086 -586.055637291158</t>
  </si>
  <si>
    <t>-577.320787662436 73.4667277896083 -690.890643462383</t>
  </si>
  <si>
    <t>-546.168778479834 33.2685560570869 -834.465284092179</t>
  </si>
  <si>
    <t>-498.509308343434 12.6115529172671 -922.128524523075</t>
  </si>
  <si>
    <t>-558.93038243637 81.7125636474464 -779.299708364096</t>
  </si>
  <si>
    <t>-536.653956017822 226.654788790599 -790.284253693957</t>
  </si>
  <si>
    <t>-525.367203842731 343.866143894147 -496.481098946167</t>
  </si>
  <si>
    <t>-346.01517260662 275.698250023522 -320.901953475687</t>
  </si>
  <si>
    <t>-560.974728834336 20.3974346418279 -762.576207525805</t>
  </si>
  <si>
    <t>-378.078155738105 48.5240470180784 -428.755559402292</t>
  </si>
  <si>
    <t>-609.719609781032 264.596696911 -255.519795152851</t>
  </si>
  <si>
    <t>-601.471433815218 277.568918673447 199.915571961761</t>
  </si>
  <si>
    <t>-621.050667565658 260.148244147188 668.966784602489</t>
  </si>
  <si>
    <t>-463.698698952957 271.191512241258 746.825108498128</t>
  </si>
  <si>
    <t>-560.538107819747 76.6571276369998 -230.349855264424</t>
  </si>
  <si>
    <t>-454.127704429358 79.5517109450495 212.737116651083</t>
  </si>
  <si>
    <t>-610.119164487092 13.6274039654534 651.289373295728</t>
  </si>
  <si>
    <t>-457.21346846942 -29.2363655112931 726.960093401259</t>
  </si>
  <si>
    <t>9763-20170724T170200.496743600.bin</t>
  </si>
  <si>
    <t>-584.66302345618 170.797431414112 -243.302107163192</t>
  </si>
  <si>
    <t>-603.625622668194 149.941715104955 -361.087048890624</t>
  </si>
  <si>
    <t>-602.644884276412 125.190985096987 -479.733531524442</t>
  </si>
  <si>
    <t>-593.729555107008 100.750365010739 -586.119766215169</t>
  </si>
  <si>
    <t>-577.072571889492 73.9126913380453 -690.986933458244</t>
  </si>
  <si>
    <t>-546.065682485783 33.8249175452793 -834.623709952463</t>
  </si>
  <si>
    <t>-498.386581318873 13.2598131966536 -922.297943748888</t>
  </si>
  <si>
    <t>-558.794038375669 82.225914024511 -779.41279460701</t>
  </si>
  <si>
    <t>-536.697078946002 227.192773009489 -790.339621108245</t>
  </si>
  <si>
    <t>-525.545512003527 344.447082802206 -496.54843046047</t>
  </si>
  <si>
    <t>-346.04087193671 276.143420198131 -321.178033627399</t>
  </si>
  <si>
    <t>-560.776436154394 20.8991424999008 -762.725018368448</t>
  </si>
  <si>
    <t>-377.437974717358 48.9259580140736 -428.888173360112</t>
  </si>
  <si>
    <t>-609.189633150493 264.817895145188 -255.532106576337</t>
  </si>
  <si>
    <t>-601.08170204541 277.690595359375 199.908635683206</t>
  </si>
  <si>
    <t>-621.043287139575 260.146009910988 668.946276273395</t>
  </si>
  <si>
    <t>-463.708865497861 271.157603961227 746.844551874324</t>
  </si>
  <si>
    <t>-560.030827605119 76.8682360043099 -230.385135900721</t>
  </si>
  <si>
    <t>-453.855822803861 79.5351642989813 212.759726384204</t>
  </si>
  <si>
    <t>-610.081111672189 13.4543322888171 651.24240351194</t>
  </si>
  <si>
    <t>-457.0574646946 -28.9300424199444 726.944655688565</t>
  </si>
  <si>
    <t>9763-20170724T170200.565064900.bin</t>
  </si>
  <si>
    <t>-583.779376099043 171.393906216675 -243.204471120033</t>
  </si>
  <si>
    <t>-602.78460693838 150.489817097806 -360.973791102937</t>
  </si>
  <si>
    <t>-601.916251943931 125.731552092262 -479.619706090052</t>
  </si>
  <si>
    <t>-593.127022751441 101.305458621094 -586.019727611014</t>
  </si>
  <si>
    <t>-576.617214787813 74.5068664580385 -690.920215867643</t>
  </si>
  <si>
    <t>-545.83325625325 34.5011755336307 -834.627814015357</t>
  </si>
  <si>
    <t>-498.292966315609 13.9795456130644 -922.387695318458</t>
  </si>
  <si>
    <t>-558.474023808925 82.8708125943342 -779.369343757937</t>
  </si>
  <si>
    <t>-536.445762928196 227.87201645187 -790.147379899202</t>
  </si>
  <si>
    <t>-525.895733467998 345.316160890294 -496.409936308749</t>
  </si>
  <si>
    <t>-346.23701840529 276.334854384788 -321.463101019095</t>
  </si>
  <si>
    <t>-560.434324961861 21.5342789893655 -762.714234961126</t>
  </si>
  <si>
    <t>-376.736636002748 49.3704538700638 -429.126473902015</t>
  </si>
  <si>
    <t>-608.201273938266 265.44532375929 -255.520379908704</t>
  </si>
  <si>
    <t>-600.196100561105 278.195199128616 199.925607393116</t>
  </si>
  <si>
    <t>-621.019509920125 260.219928639128 668.876426009176</t>
  </si>
  <si>
    <t>-463.730052210906 271.105222623895 746.88320237327</t>
  </si>
  <si>
    <t>-559.20790346663 77.3827530229382 -230.236642974258</t>
  </si>
  <si>
    <t>-453.04803970108 79.905121192671 212.912705041524</t>
  </si>
  <si>
    <t>-609.98005370851 13.5982128531093 651.078906880321</t>
  </si>
  <si>
    <t>-457.138662862682 -29.2182249060788 726.906125294135</t>
  </si>
  <si>
    <t>9763-20170724T170200.595147000.bin</t>
  </si>
  <si>
    <t>-583.332813522536 171.566877377814 -243.118977571636</t>
  </si>
  <si>
    <t>-602.380496768203 150.631363728069 -360.87590598396</t>
  </si>
  <si>
    <t>-601.526821709948 125.855989982491 -479.51832455131</t>
  </si>
  <si>
    <t>-592.738385911581 101.421434097868 -585.916523407871</t>
  </si>
  <si>
    <t>-576.216347705354 74.6219391923037 -690.814851177211</t>
  </si>
  <si>
    <t>-545.40140555536 34.6235416891095 -834.517967503258</t>
  </si>
  <si>
    <t>-497.885139473441 14.0889615989822 -922.287689515408</t>
  </si>
  <si>
    <t>-558.043025370825 82.9905738557159 -779.257326794856</t>
  </si>
  <si>
    <t>-536.0088444326 227.985961564973 -789.953444254948</t>
  </si>
  <si>
    <t>-525.579450893162 345.331286874065 -496.172107700095</t>
  </si>
  <si>
    <t>-345.955410331484 276.138066455058 -321.273380308307</t>
  </si>
  <si>
    <t>-560.029066414702 21.6526490949614 -762.610326027049</t>
  </si>
  <si>
    <t>-376.31583574095 49.4196299175701 -429.179032549416</t>
  </si>
  <si>
    <t>-607.710440081177 265.719371191229 -255.493393600149</t>
  </si>
  <si>
    <t>-599.788123627841 278.40117138201 199.955928981584</t>
  </si>
  <si>
    <t>-621.004346354825 260.214302761839 668.864212469574</t>
  </si>
  <si>
    <t>-463.735918420268 271.0701225106 746.917463136125</t>
  </si>
  <si>
    <t>-558.845960267916 77.3921711767948 -230.081887534406</t>
  </si>
  <si>
    <t>-452.504216158585 80.0963771405511 213.022944069964</t>
  </si>
  <si>
    <t>-609.934171448205 13.5886096818208 650.976295712214</t>
  </si>
  <si>
    <t>-457.105385230434 -29.1900500489066 726.850316426477</t>
  </si>
  <si>
    <t>9763-20170724T170200.665336500.bin</t>
  </si>
  <si>
    <t>-582.839238536171 171.928127752831 -243.061837853988</t>
  </si>
  <si>
    <t>-601.830987330921 150.941021300039 -360.81872817357</t>
  </si>
  <si>
    <t>-600.842588075072 126.17295958935 -479.461634319423</t>
  </si>
  <si>
    <t>-591.899711183504 101.766481138625 -585.853208322063</t>
  </si>
  <si>
    <t>-575.190666808282 75.015306991862 -690.734325210246</t>
  </si>
  <si>
    <t>-544.082272066452 35.1039387201879 -834.398381804642</t>
  </si>
  <si>
    <t>-496.37588739224 14.5129896224662 -922.05167850544</t>
  </si>
  <si>
    <t>-556.807746600753 83.4381038658328 -779.128266133619</t>
  </si>
  <si>
    <t>-534.382274022849 228.418488711681 -789.478599614169</t>
  </si>
  <si>
    <t>-523.446015124138 344.523894640406 -495.223348968056</t>
  </si>
  <si>
    <t>-343.932409163245 275.341795029281 -320.207039179808</t>
  </si>
  <si>
    <t>-558.88579363682 22.0888398438412 -762.534710052131</t>
  </si>
  <si>
    <t>-375.355569274716 49.9121696487166 -428.920990440625</t>
  </si>
  <si>
    <t>-607.20790739312 266.037292434099 -255.430133156121</t>
  </si>
  <si>
    <t>-599.576041924424 278.494686992817 200.030357126913</t>
  </si>
  <si>
    <t>-621.072810452515 259.630515955682 669.071733813896</t>
  </si>
  <si>
    <t>-463.723983468502 270.969448353029 746.893790370853</t>
  </si>
  <si>
    <t>-558.401640593307 77.8552856033252 -230.001443751964</t>
  </si>
  <si>
    <t>-451.998076606786 80.4531887882399 213.089038877762</t>
  </si>
  <si>
    <t>-609.849812146671 13.6186548182179 650.828624025314</t>
  </si>
  <si>
    <t>-457.158125823738 -29.4483447690538 726.815441816728</t>
  </si>
  <si>
    <t>9763-20170724T170200.695415800.bin</t>
  </si>
  <si>
    <t>-582.910136738588 171.499948490436 -242.866979949259</t>
  </si>
  <si>
    <t>-601.92502119656 150.544780866213 -360.625674266068</t>
  </si>
  <si>
    <t>-600.828147964785 125.797910152692 -479.272032812318</t>
  </si>
  <si>
    <t>-591.735433149678 101.403527667247 -585.653865167647</t>
  </si>
  <si>
    <t>-574.82710448078 74.6555540405179 -690.503780971907</t>
  </si>
  <si>
    <t>-543.393000808367 34.7380190695826 -834.095251825721</t>
  </si>
  <si>
    <t>-495.52928789471 14.0681910989358 -921.64411221332</t>
  </si>
  <si>
    <t>-556.244064008402 83.074447289004 -778.856235558208</t>
  </si>
  <si>
    <t>-533.664618619172 228.025462332529 -789.063637408701</t>
  </si>
  <si>
    <t>-521.646676153543 342.973219489571 -494.396519889952</t>
  </si>
  <si>
    <t>-342.22304750955 273.988074763789 -319.21020964613</t>
  </si>
  <si>
    <t>-558.359167821405 21.7259945304986 -762.264581135966</t>
  </si>
  <si>
    <t>-375.074439661806 49.3559804524245 -428.318914865651</t>
  </si>
  <si>
    <t>-607.316629938066 265.322480874881 -255.151326111187</t>
  </si>
  <si>
    <t>-599.47123468305 277.732116911019 200.306839690499</t>
  </si>
  <si>
    <t>-621.115794894303 258.368135559298 669.445870351364</t>
  </si>
  <si>
    <t>-463.648261482672 270.611651994161 746.889864018426</t>
  </si>
  <si>
    <t>-558.447194545231 77.5666174719158 -229.85406825225</t>
  </si>
  <si>
    <t>-451.827320458947 80.2853568751273 213.183753588111</t>
  </si>
  <si>
    <t>-609.771266292945 13.4828010183519 650.800636083532</t>
  </si>
  <si>
    <t>-457.070214541543 -29.2463832206113 726.959139015132</t>
  </si>
  <si>
    <t>9763-20170724T170200.762334400.bin</t>
  </si>
  <si>
    <t>-583.19980577508 171.102450004831 -242.373091483864</t>
  </si>
  <si>
    <t>-602.173287629907 150.092708706444 -360.12896789866</t>
  </si>
  <si>
    <t>-600.879287091527 125.273251016719 -478.758083401234</t>
  </si>
  <si>
    <t>-591.548830780014 100.800965590229 -585.101358584495</t>
  </si>
  <si>
    <t>-574.346969536049 73.9605137247806 -689.879977974408</t>
  </si>
  <si>
    <t>-542.450978165441 33.8972255601134 -833.328737919068</t>
  </si>
  <si>
    <t>-494.283373342071 12.9791674921944 -920.651723533148</t>
  </si>
  <si>
    <t>-555.456341961326 82.2902799860001 -778.175515528774</t>
  </si>
  <si>
    <t>-532.227815216138 227.171144007074 -788.250181451217</t>
  </si>
  <si>
    <t>-517.31145352821 340.027295268088 -492.907525085458</t>
  </si>
  <si>
    <t>-337.558567531206 271.067095047662 -318.049289336887</t>
  </si>
  <si>
    <t>-557.671608683865 20.9575217497975 -761.53871398549</t>
  </si>
  <si>
    <t>-375.352768322463 48.8803135179853 -427.40883154342</t>
  </si>
  <si>
    <t>-607.577977702952 264.916966858967 -254.744491482641</t>
  </si>
  <si>
    <t>-599.257664864663 277.2784609844 200.706563090817</t>
  </si>
  <si>
    <t>-621.139572660361 257.819859827064 669.593125834772</t>
  </si>
  <si>
    <t>-463.598626921649 270.670773166127 746.789117093926</t>
  </si>
  <si>
    <t>-558.683901993094 77.4582370443961 -229.322659565089</t>
  </si>
  <si>
    <t>-451.55987527816 80.1736172313329 213.593590682125</t>
  </si>
  <si>
    <t>-609.819055063514 13.4451914870065 651.015834562406</t>
  </si>
  <si>
    <t>-457.115511397057 -29.2025731742979 727.214972740219</t>
  </si>
  <si>
    <t>9763-20170724T170200.795412700.bin</t>
  </si>
  <si>
    <t>-583.263544461115 171.26115869281 -242.2719232801</t>
  </si>
  <si>
    <t>-602.171093521251 150.163527602297 -360.022520904883</t>
  </si>
  <si>
    <t>-600.785695123667 125.247520600166 -478.630480484878</t>
  </si>
  <si>
    <t>-591.364193777506 100.682616275886 -584.94425286712</t>
  </si>
  <si>
    <t>-574.064509857698 73.743010692282 -689.681350819479</t>
  </si>
  <si>
    <t>-542.027257378974 33.5339840093804 -833.057935920967</t>
  </si>
  <si>
    <t>-493.709894473575 12.4790798504623 -920.265153282586</t>
  </si>
  <si>
    <t>-555.058554973015 81.9837624022166 -777.96054016164</t>
  </si>
  <si>
    <t>-531.566438321096 226.765076363237 -788.079862491366</t>
  </si>
  <si>
    <t>-514.69912219069 339.024097946116 -492.614859187173</t>
  </si>
  <si>
    <t>-334.486148257616 269.917570644633 -318.288642172243</t>
  </si>
  <si>
    <t>-557.346984505546 20.6666705216833 -761.275868825323</t>
  </si>
  <si>
    <t>-375.305828310885 48.835768727997 -427.178339735628</t>
  </si>
  <si>
    <t>-607.689456513356 265.111766319652 -254.700755498222</t>
  </si>
  <si>
    <t>-599.525970448003 277.399598661222 200.75513361475</t>
  </si>
  <si>
    <t>-621.157792818919 257.837558213374 669.62612844047</t>
  </si>
  <si>
    <t>-463.599538274619 270.729008120251 746.779991700558</t>
  </si>
  <si>
    <t>-558.771080803087 77.626748980804 -229.157621783894</t>
  </si>
  <si>
    <t>-451.566592001693 80.2322855001339 213.739682546346</t>
  </si>
  <si>
    <t>-609.861709006983 13.5782662059014 651.127261920603</t>
  </si>
  <si>
    <t>-457.124436895244 -29.1457032803128 727.215996288369</t>
  </si>
  <si>
    <t>9763-20170724T170200.860627400.bin</t>
  </si>
  <si>
    <t>-583.707671303208 171.616219473806 -242.2568249762</t>
  </si>
  <si>
    <t>-602.337083755215 150.529266871526 -360.053628782399</t>
  </si>
  <si>
    <t>-600.710185561086 125.505623560389 -478.63575440388</t>
  </si>
  <si>
    <t>-591.093103786973 100.795068350612 -584.898556757014</t>
  </si>
  <si>
    <t>-573.625177995831 73.661656480961 -689.557506686229</t>
  </si>
  <si>
    <t>-541.386624563516 33.1337554486827 -832.799186403193</t>
  </si>
  <si>
    <t>-492.955598336081 11.8176505903293 -919.879862900298</t>
  </si>
  <si>
    <t>-554.477020314286 81.7064779280561 -777.824052834959</t>
  </si>
  <si>
    <t>-530.494783816746 226.429977512391 -788.151769477854</t>
  </si>
  <si>
    <t>-509.462696039354 337.564650972847 -492.528960741374</t>
  </si>
  <si>
    <t>-328.013125592047 268.024972149517 -319.663799218183</t>
  </si>
  <si>
    <t>-556.825346464933 20.4258144790206 -761.014163984414</t>
  </si>
  <si>
    <t>-374.889031696656 49.2206590541409 -426.775765238132</t>
  </si>
  <si>
    <t>-608.246433933245 265.474534840838 -254.747330089025</t>
  </si>
  <si>
    <t>-600.440685803448 277.494303868137 200.721860776203</t>
  </si>
  <si>
    <t>-621.224589362569 257.750430733203 669.713962819523</t>
  </si>
  <si>
    <t>-463.609399329864 270.607024058701 746.757251401791</t>
  </si>
  <si>
    <t>-559.155065266537 77.9639730184651 -229.114377366718</t>
  </si>
  <si>
    <t>-452.038089875797 80.5132277672994 213.804464223363</t>
  </si>
  <si>
    <t>-609.910395370261 13.6026922558608 651.303666266815</t>
  </si>
  <si>
    <t>-457.161458903869 -29.3951685984048 727.214567611643</t>
  </si>
  <si>
    <t>9763-20170724T170200.893717700.bin</t>
  </si>
  <si>
    <t>-583.943969478602 171.500780114589 -242.252714329065</t>
  </si>
  <si>
    <t>-602.5004093142 150.454836248471 -360.068341737882</t>
  </si>
  <si>
    <t>-600.790497267655 125.413833113016 -478.645735589106</t>
  </si>
  <si>
    <t>-591.097632063262 100.663727508422 -584.892259860361</t>
  </si>
  <si>
    <t>-573.555417586161 73.4666438264601 -689.522316867047</t>
  </si>
  <si>
    <t>-541.217303012105 32.8252351382355 -832.709356459795</t>
  </si>
  <si>
    <t>-492.812598652811 11.3982260750104 -919.777486564745</t>
  </si>
  <si>
    <t>-554.358426501012 81.4410683296801 -777.784696671841</t>
  </si>
  <si>
    <t>-530.283097206923 226.146640278893 -788.284205097436</t>
  </si>
  <si>
    <t>-507.282114163672 335.892528053957 -492.289305678587</t>
  </si>
  <si>
    <t>-324.845732943214 266.457716794453 -320.423606806702</t>
  </si>
  <si>
    <t>-556.693420180811 20.1743444804436 -760.922343001948</t>
  </si>
  <si>
    <t>-374.920250588281 49.0913374239028 -426.532775361909</t>
  </si>
  <si>
    <t>-608.472038729894 265.158114135013 -254.723169689903</t>
  </si>
  <si>
    <t>-600.617610897499 277.179212329593 200.74520409667</t>
  </si>
  <si>
    <t>-621.183722190307 257.342462229518 669.788059694655</t>
  </si>
  <si>
    <t>-463.547918418839 270.497001885996 746.738849001588</t>
  </si>
  <si>
    <t>-559.359511297295 77.9661635444847 -229.181756407705</t>
  </si>
  <si>
    <t>-452.445498918314 80.3631688351149 213.786991928908</t>
  </si>
  <si>
    <t>-609.946646750876 13.4832829637871 651.432243716519</t>
  </si>
  <si>
    <t>-457.079414527147 -29.2461218129858 727.256514682875</t>
  </si>
  <si>
    <t>9763-20170724T170200.963766900.bin</t>
  </si>
  <si>
    <t>-584.398061163777 171.249935424447 -242.311974038837</t>
  </si>
  <si>
    <t>-603.023537890739 150.307991488423 -360.135303227118</t>
  </si>
  <si>
    <t>-601.320342697988 125.275501847592 -478.71450292539</t>
  </si>
  <si>
    <t>-591.611747937621 100.494974614393 -584.95252584845</t>
  </si>
  <si>
    <t>-574.034390209043 73.2306697807023 -689.559199772975</t>
  </si>
  <si>
    <t>-541.629968305316 32.4580101931351 -832.693913916287</t>
  </si>
  <si>
    <t>-493.315731337524 10.8984268596876 -919.779471762039</t>
  </si>
  <si>
    <t>-554.856079387752 81.1229411550664 -777.832972137264</t>
  </si>
  <si>
    <t>-531.34628672585 225.858131131426 -788.704788604904</t>
  </si>
  <si>
    <t>-502.810233185931 331.833274120811 -491.819012877045</t>
  </si>
  <si>
    <t>-318.450277590583 262.680484406892 -321.903382742903</t>
  </si>
  <si>
    <t>-557.079742121092 19.8744335010092 -760.889426532778</t>
  </si>
  <si>
    <t>-375.490260041456 49.2833926661708 -426.220768276074</t>
  </si>
  <si>
    <t>-608.961344869623 264.595687099684 -254.606204319352</t>
  </si>
  <si>
    <t>-600.559160148728 276.498700442782 200.855503416782</t>
  </si>
  <si>
    <t>-621.151147591665 256.712687757396 669.920192823402</t>
  </si>
  <si>
    <t>-463.481529227405 270.329381535532 746.721213467714</t>
  </si>
  <si>
    <t>-559.921855014894 77.993796638948 -229.307504892203</t>
  </si>
  <si>
    <t>-453.203904649037 79.9525082058931 213.710683335991</t>
  </si>
  <si>
    <t>-609.991970740565 13.633423375519 651.691797869652</t>
  </si>
  <si>
    <t>-457.150106110936 -29.3691277084306 727.412679035945</t>
  </si>
  <si>
    <t>9763-20170724T170200.993841600.bin</t>
  </si>
  <si>
    <t>-584.690096900424 171.166279498503 -242.277734752228</t>
  </si>
  <si>
    <t>-603.314513806575 150.28953849658 -360.112833756899</t>
  </si>
  <si>
    <t>-601.620904425908 125.312394090253 -478.703923725532</t>
  </si>
  <si>
    <t>-591.925290240199 100.578768153549 -584.95400088702</t>
  </si>
  <si>
    <t>-574.365136432332 73.358144826831 -689.57506867797</t>
  </si>
  <si>
    <t>-541.988707963333 32.643651211418 -832.732583773058</t>
  </si>
  <si>
    <t>-493.72567432922 11.0876052786514 -919.847472817567</t>
  </si>
  <si>
    <t>-555.222813373157 81.2856929618636 -777.853331970561</t>
  </si>
  <si>
    <t>-531.700203744717 226.025382619953 -788.608045685875</t>
  </si>
  <si>
    <t>-500.338954649192 330.796688411338 -491.580105384576</t>
  </si>
  <si>
    <t>-315.188831815554 261.3822417157 -322.632846371897</t>
  </si>
  <si>
    <t>-557.405793054262 20.0313243225171 -760.926215316867</t>
  </si>
  <si>
    <t>-375.648243265924 49.6955280807611 -426.290553824059</t>
  </si>
  <si>
    <t>-609.210922134784 264.417791110456 -254.519709761241</t>
  </si>
  <si>
    <t>-600.586087993871 276.192889273228 200.941128360016</t>
  </si>
  <si>
    <t>-621.156852877667 256.414820853052 670.013358578693</t>
  </si>
  <si>
    <t>-463.462515784641 270.185481197376 746.736045314526</t>
  </si>
  <si>
    <t>-560.126035774273 78.0879776746385 -229.365653864726</t>
  </si>
  <si>
    <t>-453.583944118695 79.594638124428 213.696594722385</t>
  </si>
  <si>
    <t>-610.0277656008 13.5242188745049 651.855787144353</t>
  </si>
  <si>
    <t>-457.074351483779 -29.1945861518259 727.51206482729</t>
  </si>
  <si>
    <t>9763-20170724T170201.063064900.bin</t>
  </si>
  <si>
    <t>-584.78556077066 170.452979018053 -242.040297484675</t>
  </si>
  <si>
    <t>-603.486156512948 149.632115304098 -359.873182341182</t>
  </si>
  <si>
    <t>-601.835466334531 124.731670719267 -478.48089511248</t>
  </si>
  <si>
    <t>-592.163683617695 100.074920223001 -584.75107650324</t>
  </si>
  <si>
    <t>-574.611884856461 72.9381960223398 -689.395160032526</t>
  </si>
  <si>
    <t>-542.23051265521 32.3472642434863 -832.586776124039</t>
  </si>
  <si>
    <t>-493.995357468724 10.8494909018202 -919.73155924828</t>
  </si>
  <si>
    <t>-555.464971494823 80.9420366421343 -777.665793877928</t>
  </si>
  <si>
    <t>-531.592906746874 225.665980097752 -788.224259507908</t>
  </si>
  <si>
    <t>-494.920330331733 328.401872297398 -491.093479225581</t>
  </si>
  <si>
    <t>-308.820845954824 257.913061190933 -323.640843444156</t>
  </si>
  <si>
    <t>-557.651591366083 19.6729115445962 -760.792193861527</t>
  </si>
  <si>
    <t>-375.37186338037 49.485033299894 -426.370702717673</t>
  </si>
  <si>
    <t>-609.221655313081 263.663958424609 -254.270498333125</t>
  </si>
  <si>
    <t>-600.587666920164 275.586182011688 201.186489350354</t>
  </si>
  <si>
    <t>-621.179454865067 255.848834527135 670.223126815131</t>
  </si>
  <si>
    <t>-463.437312879595 270.087513275286 746.761921871429</t>
  </si>
  <si>
    <t>-560.186568666543 77.1223485846867 -229.153761473365</t>
  </si>
  <si>
    <t>-453.680262611437 78.9824610574078 213.915831837504</t>
  </si>
  <si>
    <t>-610.06669282093 13.2344266751488 652.090913692403</t>
  </si>
  <si>
    <t>-456.998578375378 -29.2105776120395 727.669204290238</t>
  </si>
  <si>
    <t>9763-20170724T170201.096123100.bin</t>
  </si>
  <si>
    <t>-584.711354096449 170.062517950869 -241.932925521267</t>
  </si>
  <si>
    <t>-603.480337516835 149.234132394112 -359.753462625342</t>
  </si>
  <si>
    <t>-601.876033266746 124.376729351998 -478.370990694854</t>
  </si>
  <si>
    <t>-592.234995256179 99.7776098252957 -584.657388239128</t>
  </si>
  <si>
    <t>-574.701593245869 72.7161771481974 -689.323926494156</t>
  </si>
  <si>
    <t>-542.332060873449 32.2472648087632 -832.55268490433</t>
  </si>
  <si>
    <t>-494.094017858067 10.8169909196974 -919.712534493308</t>
  </si>
  <si>
    <t>-555.552682678517 80.7954983378183 -777.587187005985</t>
  </si>
  <si>
    <t>-531.483527797578 225.485298485237 -788.060436614439</t>
  </si>
  <si>
    <t>-492.192048645447 327.119625952471 -490.885656608655</t>
  </si>
  <si>
    <t>-305.781745474592 256.206271820342 -323.958896557927</t>
  </si>
  <si>
    <t>-557.756489666968 19.5115981150836 -760.769806518106</t>
  </si>
  <si>
    <t>-375.235044855425 49.2261301626663 -426.516757939363</t>
  </si>
  <si>
    <t>-609.198193859746 263.216027344457 -254.145655040579</t>
  </si>
  <si>
    <t>-600.453510158472 275.166702644494 201.308419551089</t>
  </si>
  <si>
    <t>-621.184371640108 255.502401967233 670.344131923246</t>
  </si>
  <si>
    <t>-463.416465561755 269.987184135046 746.783548653585</t>
  </si>
  <si>
    <t>-560.150464070389 76.9352333442671 -229.044829549806</t>
  </si>
  <si>
    <t>-453.548495118715 78.8107931561665 214.001617154502</t>
  </si>
  <si>
    <t>-610.060612292628 13.3423934262605 652.169926893637</t>
  </si>
  <si>
    <t>-456.984220405516 -29.128135076382 727.717208074118</t>
  </si>
  <si>
    <t>9763-20170724T170201.160988400.bin</t>
  </si>
  <si>
    <t>-584.490059325871 169.557360959501 -241.743404928561</t>
  </si>
  <si>
    <t>-603.307966849255 148.745590714729 -359.55915595662</t>
  </si>
  <si>
    <t>-601.750922331334 123.983192402459 -478.197145276721</t>
  </si>
  <si>
    <t>-592.148493314702 99.499923251944 -584.513734462622</t>
  </si>
  <si>
    <t>-574.64740190605 72.5832146615526 -689.223118702926</t>
  </si>
  <si>
    <t>-542.314246301891 32.3446630198071 -832.524895442709</t>
  </si>
  <si>
    <t>-494.067824797747 11.0711038759362 -919.718431389889</t>
  </si>
  <si>
    <t>-555.485335399093 80.8051743972794 -777.470405508495</t>
  </si>
  <si>
    <t>-531.271968404321 225.483321314418 -787.761716953674</t>
  </si>
  <si>
    <t>-486.219986312856 324.840544997205 -490.634400418222</t>
  </si>
  <si>
    <t>-299.121002887567 253.356645595939 -324.724549043424</t>
  </si>
  <si>
    <t>-557.755998894256 19.4926994405005 -760.766307779617</t>
  </si>
  <si>
    <t>-375.359382447819 48.4191791169637 -426.443108270396</t>
  </si>
  <si>
    <t>-608.889339719447 262.809204889011 -253.970452686165</t>
  </si>
  <si>
    <t>-599.956482123456 274.768506545927 201.479707312143</t>
  </si>
  <si>
    <t>-621.190359017635 255.137139804845 670.480295852065</t>
  </si>
  <si>
    <t>-463.396935449756 269.876896370085 746.818337504713</t>
  </si>
  <si>
    <t>-559.910560086359 76.3483625039228 -228.904303031333</t>
  </si>
  <si>
    <t>-453.421550287415 78.3872418425017 214.168617067322</t>
  </si>
  <si>
    <t>-610.053238973694 13.1614432428419 652.308287375128</t>
  </si>
  <si>
    <t>-456.836146624667 -28.8348316017996 727.83543202919</t>
  </si>
  <si>
    <t>9763-20170724T170201.193066000.bin</t>
  </si>
  <si>
    <t>-584.197782665528 169.323339499549 -241.674596124011</t>
  </si>
  <si>
    <t>-603.101418716548 148.50827500926 -359.476152679608</t>
  </si>
  <si>
    <t>-601.634809161881 123.791826746897 -478.12481056058</t>
  </si>
  <si>
    <t>-592.11315882444 99.3689630312622 -584.46265528355</t>
  </si>
  <si>
    <t>-574.690150831339 72.5312773242015 -689.205206580874</t>
  </si>
  <si>
    <t>-542.461249978557 32.4208002311373 -832.56645793254</t>
  </si>
  <si>
    <t>-494.231027542468 11.2112072397999 -919.784570362682</t>
  </si>
  <si>
    <t>-555.558595540967 80.8328011468623 -777.451659047549</t>
  </si>
  <si>
    <t>-531.155806622665 225.490820305211 -787.56533753812</t>
  </si>
  <si>
    <t>-483.47707780565 323.945012397442 -490.547347745276</t>
  </si>
  <si>
    <t>-295.908356719361 252.276599181472 -325.248582182654</t>
  </si>
  <si>
    <t>-557.884467431271 19.5040098028376 -760.815610229079</t>
  </si>
  <si>
    <t>-375.488859854842 47.9479757236409 -426.078742410691</t>
  </si>
  <si>
    <t>-608.571746459151 262.64024245285 -253.902894929031</t>
  </si>
  <si>
    <t>-599.592645401185 274.648386749481 201.545006666772</t>
  </si>
  <si>
    <t>-621.182735151355 255.088451742692 670.504264459372</t>
  </si>
  <si>
    <t>-463.385767804416 269.788210529284 746.842725356296</t>
  </si>
  <si>
    <t>-559.685328891338 76.0509577172445 -228.822684940673</t>
  </si>
  <si>
    <t>-453.270990498497 78.3423432663967 214.266962200811</t>
  </si>
  <si>
    <t>-610.034282313054 13.2362145548464 652.354458296333</t>
  </si>
  <si>
    <t>-456.904837763878 -29.0336462261691 727.906655244331</t>
  </si>
  <si>
    <t>9763-20170724T170201.262101300.bin</t>
  </si>
  <si>
    <t>-583.629037456035 169.276436343658 -241.552877239365</t>
  </si>
  <si>
    <t>-602.602302753761 148.436945547337 -359.338758726577</t>
  </si>
  <si>
    <t>-601.235244875285 123.767434312491 -477.998523789132</t>
  </si>
  <si>
    <t>-591.811622727724 99.416085936429 -584.361324504044</t>
  </si>
  <si>
    <t>-574.492134383298 72.6785752239246 -689.146811459249</t>
  </si>
  <si>
    <t>-542.410175888525 32.7365591572197 -832.588046894373</t>
  </si>
  <si>
    <t>-494.213961036582 11.616485973085 -919.846498724365</t>
  </si>
  <si>
    <t>-555.380514308817 81.0851625842963 -777.387556940909</t>
  </si>
  <si>
    <t>-530.477694944235 225.677750469381 -787.369271210398</t>
  </si>
  <si>
    <t>-477.947294262824 322.324072296038 -490.576010037078</t>
  </si>
  <si>
    <t>-289.873816696217 250.31493642623 -326.000590818062</t>
  </si>
  <si>
    <t>-557.830426237547 19.7340457746357 -760.851949001256</t>
  </si>
  <si>
    <t>-375.38214212578 47.6500888928369 -424.999027670141</t>
  </si>
  <si>
    <t>-607.900738817733 262.775080232199 -253.846550098371</t>
  </si>
  <si>
    <t>-599.068277660191 274.826267905142 201.60310323317</t>
  </si>
  <si>
    <t>-621.232416653401 255.300088285171 670.517496394931</t>
  </si>
  <si>
    <t>-463.437472914545 269.784109559077 746.901257414628</t>
  </si>
  <si>
    <t>-559.276104842486 75.9164703042818 -228.602228903064</t>
  </si>
  <si>
    <t>-452.762783211836 78.4668915004142 214.462118880141</t>
  </si>
  <si>
    <t>-609.999905311171 13.5180817777493 652.396455080617</t>
  </si>
  <si>
    <t>-457.13498184609 -29.6046363587823 728.002448870043</t>
  </si>
  <si>
    <t>9763-20170724T170201.295188800.bin</t>
  </si>
  <si>
    <t>-583.355185487842 169.255306150617 -241.51861725031</t>
  </si>
  <si>
    <t>-602.338198184749 148.413504893755 -359.302696652475</t>
  </si>
  <si>
    <t>-601.045079782321 123.756739558016 -477.965687394167</t>
  </si>
  <si>
    <t>-591.713205527844 99.4228797738235 -584.340859609142</t>
  </si>
  <si>
    <t>-574.508820427434 72.7097754345727 -689.151388595196</t>
  </si>
  <si>
    <t>-542.609839852145 32.8088781421193 -832.644903635361</t>
  </si>
  <si>
    <t>-494.466734292903 11.7306680698694 -919.9428414484</t>
  </si>
  <si>
    <t>-555.471282185162 81.1424820415821 -777.405700109659</t>
  </si>
  <si>
    <t>-530.323275046024 225.682730378574 -787.311743116868</t>
  </si>
  <si>
    <t>-475.517569145677 321.461094097024 -490.648640496024</t>
  </si>
  <si>
    <t>-287.46163932805 249.143683293007 -326.188241052304</t>
  </si>
  <si>
    <t>-557.977009704199 19.7850924373918 -760.901221977444</t>
  </si>
  <si>
    <t>-375.580056944469 47.5935538410608 -424.527787479407</t>
  </si>
  <si>
    <t>-607.560219660573 262.811428721415 -253.830379093692</t>
  </si>
  <si>
    <t>-598.83856021403 274.859009716968 201.621523434936</t>
  </si>
  <si>
    <t>-621.246710791361 255.316695983442 670.539216502121</t>
  </si>
  <si>
    <t>-463.447034576418 269.728948736907 746.926708082775</t>
  </si>
  <si>
    <t>-559.088451726081 75.8954486147213 -228.543272405615</t>
  </si>
  <si>
    <t>-452.56009142049 78.3096931089397 214.518315019934</t>
  </si>
  <si>
    <t>-609.991280516056 13.3763467912909 652.416505317756</t>
  </si>
  <si>
    <t>-456.982012292226 -29.2417206610205 728.016574918353</t>
  </si>
  <si>
    <t>9763-20170724T170201.368389600.bin</t>
  </si>
  <si>
    <t>-582.982085638406 169.418942116603 -241.489159067504</t>
  </si>
  <si>
    <t>-601.974676945539 148.616613430719 -359.278571356428</t>
  </si>
  <si>
    <t>-600.72164488219 124.026842023212 -477.955969866081</t>
  </si>
  <si>
    <t>-591.43789152805 99.7601288676306 -584.350526619123</t>
  </si>
  <si>
    <t>-574.293538719264 73.1181877625122 -689.189041208517</t>
  </si>
  <si>
    <t>-542.490215952448 33.3181175310433 -832.731769413909</t>
  </si>
  <si>
    <t>-494.39320368154 12.3054972672289 -920.070872855679</t>
  </si>
  <si>
    <t>-555.230139717436 81.6142132371265 -777.431751281942</t>
  </si>
  <si>
    <t>-529.538853320801 226.081287916209 -787.171108838136</t>
  </si>
  <si>
    <t>-470.851680832914 320.475988665978 -490.80705640422</t>
  </si>
  <si>
    <t>-282.974688775357 247.827371237869 -326.288211549155</t>
  </si>
  <si>
    <t>-557.894257154136 20.2426072947903 -761.005452198673</t>
  </si>
  <si>
    <t>-376.914577810622 47.4530179689973 -424.60919214966</t>
  </si>
  <si>
    <t>-607.086450318185 263.109010738604 -253.8240196557</t>
  </si>
  <si>
    <t>-598.442819179083 275.13250587634 201.629975552677</t>
  </si>
  <si>
    <t>-621.262175745504 255.578462174045 670.497743151726</t>
  </si>
  <si>
    <t>-463.477779991055 269.701954552654 746.970788617384</t>
  </si>
  <si>
    <t>-558.816631682963 75.868871133516 -228.510580062549</t>
  </si>
  <si>
    <t>-452.226013749535 78.33532180563 214.535766977416</t>
  </si>
  <si>
    <t>-609.959877992307 13.4439419044377 652.390344925376</t>
  </si>
  <si>
    <t>-457.048631911509 -29.4526678951588 728.031219148796</t>
  </si>
  <si>
    <t>9763-20170724T170201.395460000.bin</t>
  </si>
  <si>
    <t>-582.860856540508 169.62067251028 -241.524222202145</t>
  </si>
  <si>
    <t>-601.869379305769 148.826341910573 -359.312417789253</t>
  </si>
  <si>
    <t>-600.636087673286 124.291561483341 -478.001587455913</t>
  </si>
  <si>
    <t>-591.370074667965 100.091289721133 -584.412663305345</t>
  </si>
  <si>
    <t>-574.242559420034 73.5307623379988 -689.274691826924</t>
  </si>
  <si>
    <t>-542.461008206187 33.8580242404917 -832.85739953549</t>
  </si>
  <si>
    <t>-494.375581923458 12.9100842397913 -920.218447919022</t>
  </si>
  <si>
    <t>-555.164079966387 82.1054879680369 -777.506410165599</t>
  </si>
  <si>
    <t>-529.21724591412 226.519288415104 -787.128283141902</t>
  </si>
  <si>
    <t>-468.772792052157 320.31397303378 -490.926936676612</t>
  </si>
  <si>
    <t>-280.965350391492 247.550488888835 -326.379398625902</t>
  </si>
  <si>
    <t>-557.882616654707 20.7185401915988 -761.146623003294</t>
  </si>
  <si>
    <t>-377.188901557282 47.2501317205847 -425.062729717218</t>
  </si>
  <si>
    <t>-606.89421287194 263.349043370102 -253.839406801065</t>
  </si>
  <si>
    <t>-598.322814052485 275.384200450378 201.615728059391</t>
  </si>
  <si>
    <t>-621.291699150799 255.804387189276 670.461767251031</t>
  </si>
  <si>
    <t>-463.517862931974 269.723089789954 746.994061045206</t>
  </si>
  <si>
    <t>-558.77990670353 76.0654341348609 -228.520693838987</t>
  </si>
  <si>
    <t>-452.143928461726 78.4197551141951 214.51532050357</t>
  </si>
  <si>
    <t>-609.941335574633 13.4520838885101 652.355898424856</t>
  </si>
  <si>
    <t>-457.119865996625 -29.7058534809523 728.029572391225</t>
  </si>
  <si>
    <t>9763-20170724T170201.460643000.bin</t>
  </si>
  <si>
    <t>-582.723754445652 169.876117844093 -241.624257847388</t>
  </si>
  <si>
    <t>-601.730811835025 149.121055635428 -359.419633414923</t>
  </si>
  <si>
    <t>-600.448887809833 124.627170325443 -478.116632366586</t>
  </si>
  <si>
    <t>-591.121290879263 100.45908332198 -584.529790543813</t>
  </si>
  <si>
    <t>-573.91628675081 73.923082817269 -689.385350981388</t>
  </si>
  <si>
    <t>-542.012510729813 34.2742476334199 -832.947621550546</t>
  </si>
  <si>
    <t>-493.890228715595 13.3735709516382 -920.299626537588</t>
  </si>
  <si>
    <t>-554.705779347552 82.5131219944394 -777.586868367491</t>
  </si>
  <si>
    <t>-528.394044778594 226.882446700272 -787.083074498529</t>
  </si>
  <si>
    <t>-464.539808336261 319.42385629635 -491.203156367828</t>
  </si>
  <si>
    <t>-276.882995767093 246.984471178331 -326.34108464687</t>
  </si>
  <si>
    <t>-557.552126954672 21.1219921658376 -761.264543400509</t>
  </si>
  <si>
    <t>-377.318301098609 46.1390157119813 -428.91656641943</t>
  </si>
  <si>
    <t>-606.733150929615 263.678248242765 -253.912084821262</t>
  </si>
  <si>
    <t>-598.265827919615 275.692232271563 201.545554141128</t>
  </si>
  <si>
    <t>-621.311994744896 256.086309536978 670.403583090973</t>
  </si>
  <si>
    <t>-463.56612880722 269.811877319756 747.028418887085</t>
  </si>
  <si>
    <t>-558.638552156437 76.1321602348182 -228.635270192925</t>
  </si>
  <si>
    <t>-452.159627107445 78.5926671270406 214.437911560128</t>
  </si>
  <si>
    <t>-609.906243731648 13.4068453078976 652.283918808333</t>
  </si>
  <si>
    <t>-457.088891790254 -29.6718418473583 728.011054593573</t>
  </si>
  <si>
    <t>9763-20170724T170201.495736500.bin</t>
  </si>
  <si>
    <t>-582.773912880881 169.89095412732 -241.651946489586</t>
  </si>
  <si>
    <t>-601.74709612259 149.151581502861 -359.455608684881</t>
  </si>
  <si>
    <t>-600.445157121462 124.717893361166 -478.164795410085</t>
  </si>
  <si>
    <t>-591.10423400933 100.619125688491 -584.592451771927</t>
  </si>
  <si>
    <t>-573.890143726295 74.165619261029 -689.467326745727</t>
  </si>
  <si>
    <t>-541.977817445302 34.6430622644009 -833.062546651689</t>
  </si>
  <si>
    <t>-493.839757547406 13.7851073681054 -920.416145890097</t>
  </si>
  <si>
    <t>-554.647860177967 82.8336587055255 -777.654386721918</t>
  </si>
  <si>
    <t>-528.104382579782 227.14967248973 -786.974606077736</t>
  </si>
  <si>
    <t>-462.740347164365 319.19761813117 -491.270652064031</t>
  </si>
  <si>
    <t>-275.1783155683 247.091544813904 -326.154870004897</t>
  </si>
  <si>
    <t>-557.548177378327 21.4275936333893 -761.397866226897</t>
  </si>
  <si>
    <t>-376.727593953729 45.8908535808121 -428.758384847208</t>
  </si>
  <si>
    <t>-606.759984164916 263.715952928706 -253.938336605241</t>
  </si>
  <si>
    <t>-598.392988714735 275.681008356176 201.522414150721</t>
  </si>
  <si>
    <t>-621.320614727764 256.1329379002 670.396614026432</t>
  </si>
  <si>
    <t>-463.575934238236 269.806894255453 747.033134683248</t>
  </si>
  <si>
    <t>-558.722518824617 76.0917012818732 -228.693294344762</t>
  </si>
  <si>
    <t>-452.258698201991 78.5904653405571 214.383268868492</t>
  </si>
  <si>
    <t>-609.90157153052 13.3056450668516 652.271365787683</t>
  </si>
  <si>
    <t>-457.074914425959 -29.7245010634861 728.007269923978</t>
  </si>
  <si>
    <t>9763-20170724T170201.560957600.bin</t>
  </si>
  <si>
    <t>-583.09963346999 169.98310213593 -241.715390149569</t>
  </si>
  <si>
    <t>-602.027190151487 149.300088387701 -359.536317690016</t>
  </si>
  <si>
    <t>-600.643703591863 124.888825905628 -478.249145711129</t>
  </si>
  <si>
    <t>-591.217770631957 100.791866026651 -584.669797804915</t>
  </si>
  <si>
    <t>-573.91012056763 74.3191189059264 -689.524380042526</t>
  </si>
  <si>
    <t>-541.861653583637 34.7458301373231 -833.075223553273</t>
  </si>
  <si>
    <t>-493.584239585091 13.855118616784 -920.344066805301</t>
  </si>
  <si>
    <t>-554.576403199711 82.9559743570539 -777.694446868629</t>
  </si>
  <si>
    <t>-527.938103649698 227.28683146335 -786.939657230299</t>
  </si>
  <si>
    <t>-459.172154110916 318.381899770349 -491.712273542553</t>
  </si>
  <si>
    <t>-271.875337733652 246.075531842377 -326.383179284158</t>
  </si>
  <si>
    <t>-557.507866444974 21.5555113278879 -761.422313072768</t>
  </si>
  <si>
    <t>-376.438209218391 45.1755197677548 -428.891786485964</t>
  </si>
  <si>
    <t>-607.177525505518 263.770243009065 -253.935701777517</t>
  </si>
  <si>
    <t>-598.782787860142 275.690389869088 201.525786820373</t>
  </si>
  <si>
    <t>-621.35093892606 256.088444790621 670.436361055669</t>
  </si>
  <si>
    <t>-463.587599028216 269.847662669036 747.01913955991</t>
  </si>
  <si>
    <t>-558.905907994511 76.3319768577103 -228.810045842044</t>
  </si>
  <si>
    <t>-452.451514785071 78.5886366888406 214.270069101074</t>
  </si>
  <si>
    <t>-609.888233700202 13.2056567985267 652.245742995729</t>
  </si>
  <si>
    <t>-457.048215035242 -29.7028146615387 728.02373001695</t>
  </si>
  <si>
    <t>9763-20170724T170201.594034900.bin</t>
  </si>
  <si>
    <t>-583.369669724363 170.053499757444 -241.660022322887</t>
  </si>
  <si>
    <t>-602.306332047857 149.358430383608 -359.477282856252</t>
  </si>
  <si>
    <t>-600.849496235638 124.93660348936 -478.187162191583</t>
  </si>
  <si>
    <t>-591.326198931769 100.823140418521 -584.595296550329</t>
  </si>
  <si>
    <t>-573.893104501887 74.3220841587715 -689.421926116252</t>
  </si>
  <si>
    <t>-541.644396366029 34.693530533398 -832.912806129671</t>
  </si>
  <si>
    <t>-493.28146924973 13.7925132028852 -920.13184793605</t>
  </si>
  <si>
    <t>-554.410304521729 82.9254080705414 -777.562539498412</t>
  </si>
  <si>
    <t>-527.61893267569 227.209633246942 -786.903473885218</t>
  </si>
  <si>
    <t>-457.412922488969 317.480296839551 -491.761876375072</t>
  </si>
  <si>
    <t>-269.900776576067 244.519345261573 -326.965222424223</t>
  </si>
  <si>
    <t>-557.416563139426 21.5305750483892 -761.282553636783</t>
  </si>
  <si>
    <t>-375.66880910249 44.6582517806812 -426.842281624645</t>
  </si>
  <si>
    <t>-607.568486209144 263.857944990616 -253.908175908672</t>
  </si>
  <si>
    <t>-599.02694989814 275.768052279718 201.550749710147</t>
  </si>
  <si>
    <t>-621.365552608569 256.127908851001 670.438237367536</t>
  </si>
  <si>
    <t>-463.604279997118 269.955851661451 747.01283168894</t>
  </si>
  <si>
    <t>-559.094915929508 76.3550829344852 -228.759348293118</t>
  </si>
  <si>
    <t>-452.38486155136 78.8004348152203 214.258354362523</t>
  </si>
  <si>
    <t>-609.851872068782 13.3314013752502 652.181243779628</t>
  </si>
  <si>
    <t>-457.111186609765 -29.8364609583989 728.012167819827</t>
  </si>
  <si>
    <t>9763-20170724T170201.663260700.bin</t>
  </si>
  <si>
    <t>-584.160142971544 170.123147459896 -241.702400750625</t>
  </si>
  <si>
    <t>-603.082670020185 149.37384809242 -359.512477911504</t>
  </si>
  <si>
    <t>-601.401571775001 124.882830718869 -478.204923476108</t>
  </si>
  <si>
    <t>-591.596596779767 100.686221549618 -584.568699216905</t>
  </si>
  <si>
    <t>-573.809616994117 74.0731304283008 -689.307458831221</t>
  </si>
  <si>
    <t>-541.001852598876 34.2518009106441 -832.61804426021</t>
  </si>
  <si>
    <t>-492.377051922477 13.3176484715225 -919.683415459899</t>
  </si>
  <si>
    <t>-553.976314212171 82.5580421754298 -777.381432266894</t>
  </si>
  <si>
    <t>-527.107877942924 226.807751991711 -786.73386919111</t>
  </si>
  <si>
    <t>-453.552713980348 314.612693219106 -491.664133974686</t>
  </si>
  <si>
    <t>-265.14097875316 240.757184714435 -328.298164855722</t>
  </si>
  <si>
    <t>-557.060232539352 21.1849766204987 -761.033775073262</t>
  </si>
  <si>
    <t>-375.197647984242 42.4721396614284 -420.145404550773</t>
  </si>
  <si>
    <t>-608.716256751602 263.97587295505 -253.884266589651</t>
  </si>
  <si>
    <t>-599.884603047 275.808877355794 201.571107834674</t>
  </si>
  <si>
    <t>-621.417199188204 256.145998944175 670.486502700327</t>
  </si>
  <si>
    <t>-463.627574564123 270.064294812892 746.986313910062</t>
  </si>
  <si>
    <t>-559.486048362126 76.2932808857968 -228.821513105938</t>
  </si>
  <si>
    <t>-452.605242439347 79.2131354862768 214.152187188728</t>
  </si>
  <si>
    <t>-609.794220828038 13.0243984407296 652.067093293926</t>
  </si>
  <si>
    <t>-456.884343375286 -29.424807251984 727.962699786437</t>
  </si>
  <si>
    <t>9763-20170724T170201.698321700.bin</t>
  </si>
  <si>
    <t>-584.744376646156 170.262194059362 -241.692894753685</t>
  </si>
  <si>
    <t>-603.559705793536 149.495301033099 -359.516979026274</t>
  </si>
  <si>
    <t>-601.682611394608 124.986390352601 -478.202885164256</t>
  </si>
  <si>
    <t>-591.667325589945 100.76991763898 -584.542612939769</t>
  </si>
  <si>
    <t>-573.639515435736 74.131101908303 -689.233567342199</t>
  </si>
  <si>
    <t>-540.468241049461 34.2659337679208 -832.448265093759</t>
  </si>
  <si>
    <t>-491.674133471729 13.3665724239604 -919.427299580402</t>
  </si>
  <si>
    <t>-553.623761971584 82.5886426213365 -777.268896108836</t>
  </si>
  <si>
    <t>-526.642955958131 226.845794977391 -786.632161162932</t>
  </si>
  <si>
    <t>-451.381812307943 313.502422089881 -491.653262086219</t>
  </si>
  <si>
    <t>-262.679877017106 238.845873432007 -328.987872834284</t>
  </si>
  <si>
    <t>-556.667214580008 21.2216095306762 -760.891643957925</t>
  </si>
  <si>
    <t>-374.843808697163 41.131733581949 -417.009426750663</t>
  </si>
  <si>
    <t>-609.49350566126 264.145932118859 -253.881174634814</t>
  </si>
  <si>
    <t>-600.534687336534 275.893942671454 201.574091581291</t>
  </si>
  <si>
    <t>-621.452953766929 256.148493161572 670.514807745525</t>
  </si>
  <si>
    <t>-463.642694537283 270.139520756066 746.958792222368</t>
  </si>
  <si>
    <t>-559.894649163284 76.4869680976842 -228.842997927796</t>
  </si>
  <si>
    <t>-452.887468391478 79.4951132147341 214.099633827865</t>
  </si>
  <si>
    <t>-609.77534642757 12.9813417829869 652.03901667355</t>
  </si>
  <si>
    <t>-456.808190120069 -29.2376760240115 727.94762037751</t>
  </si>
  <si>
    <t>9763-20170724T170201.761494100.bin</t>
  </si>
  <si>
    <t>-586.090877249691 170.781763286814 -241.741672795277</t>
  </si>
  <si>
    <t>-604.747667088962 150.005428004753 -359.589332401141</t>
  </si>
  <si>
    <t>-602.573744360521 125.323896714494 -478.234478841682</t>
  </si>
  <si>
    <t>-592.247118536428 100.874453935141 -584.490816955638</t>
  </si>
  <si>
    <t>-573.875579573796 73.9192409450454 -689.041151284987</t>
  </si>
  <si>
    <t>-540.203897056499 33.5228260931215 -831.989856546882</t>
  </si>
  <si>
    <t>-491.106090846258 12.5482844643141 -918.779734222298</t>
  </si>
  <si>
    <t>-553.562568645771 82.04983033852 -777.039054303402</t>
  </si>
  <si>
    <t>-526.334354096786 226.221704062794 -786.814035308373</t>
  </si>
  <si>
    <t>-447.97351858794 311.04199160328 -492.108525278452</t>
  </si>
  <si>
    <t>-259.450766548564 233.66171799372 -330.511554810606</t>
  </si>
  <si>
    <t>-556.64254925749 20.7441835422612 -760.44002118259</t>
  </si>
  <si>
    <t>-374.6473479505 38.2153000554536 -415.298215159838</t>
  </si>
  <si>
    <t>-611.26148419586 264.456205968679 -253.873644755292</t>
  </si>
  <si>
    <t>-602.088542583999 275.937723746616 201.583944030237</t>
  </si>
  <si>
    <t>-621.464974348908 255.88688004858 670.609057855736</t>
  </si>
  <si>
    <t>-463.606178813414 270.214772991614 746.890195825493</t>
  </si>
  <si>
    <t>-560.866883365049 77.2061025759333 -228.914124114595</t>
  </si>
  <si>
    <t>-453.545450012469 80.1475213874555 213.952750353548</t>
  </si>
  <si>
    <t>-609.783266189386 12.9757757229866 652.056809559313</t>
  </si>
  <si>
    <t>-456.775706718293 -29.1332061684898 727.945038435954</t>
  </si>
  <si>
    <t>9763-20170724T170201.794581900.bin</t>
  </si>
  <si>
    <t>-586.879529367755 171.111437548532 -241.739940770387</t>
  </si>
  <si>
    <t>-605.449136918002 150.323757575064 -359.599350107719</t>
  </si>
  <si>
    <t>-603.181394469645 125.555100844907 -478.224632758281</t>
  </si>
  <si>
    <t>-592.773588104191 100.989835869512 -584.446402778285</t>
  </si>
  <si>
    <t>-574.329213545364 73.8781595292942 -688.943291193522</t>
  </si>
  <si>
    <t>-540.569674235776 33.2196386952769 -831.797031935133</t>
  </si>
  <si>
    <t>-491.342061333588 12.1557794536745 -918.491642192125</t>
  </si>
  <si>
    <t>-553.912488696378 81.8479368330682 -776.93197323095</t>
  </si>
  <si>
    <t>-526.22855147214 225.929177932906 -786.900760801536</t>
  </si>
  <si>
    <t>-446.582939104696 309.740939200711 -492.251200606562</t>
  </si>
  <si>
    <t>-258.461459343505 231.2987318326 -330.698711726492</t>
  </si>
  <si>
    <t>-557.10197114761 20.5716403482679 -760.24552535068</t>
  </si>
  <si>
    <t>-374.854906139603 38.9311574665658 -415.254800691888</t>
  </si>
  <si>
    <t>-612.177090503177 264.646331514426 -253.85105765105</t>
  </si>
  <si>
    <t>-602.959401706835 275.978573062261 201.609344805939</t>
  </si>
  <si>
    <t>-621.491621974925 255.815310691615 670.657607544539</t>
  </si>
  <si>
    <t>-463.604592514841 270.296774565676 746.851314301149</t>
  </si>
  <si>
    <t>-561.555734768077 77.5818687288431 -228.917493303366</t>
  </si>
  <si>
    <t>-453.99103775713 80.4328239507402 213.891040171762</t>
  </si>
  <si>
    <t>-609.79168329429 13.0215709935051 652.075381969239</t>
  </si>
  <si>
    <t>-456.84694770434 -29.3485735278148 727.944919952699</t>
  </si>
  <si>
    <t>9763-20170724T170201.895859200.bin</t>
  </si>
  <si>
    <t>-587.853716234831 171.437747077308 -241.766709553652</t>
  </si>
  <si>
    <t>-606.360778963487 150.706344685568 -359.645989406657</t>
  </si>
  <si>
    <t>-604.014342015783 125.799981994547 -478.240847929031</t>
  </si>
  <si>
    <t>-593.538861456677 101.029908399512 -584.408300192704</t>
  </si>
  <si>
    <t>-575.03703146058 73.6336359011934 -688.820830870066</t>
  </si>
  <si>
    <t>-541.214987117859 32.496395094623 -831.522605850715</t>
  </si>
  <si>
    <t>-491.864167378159 11.1395637114704 -918.075327004906</t>
  </si>
  <si>
    <t>-554.505693459826 81.3091363626095 -776.809143994918</t>
  </si>
  <si>
    <t>-526.18137160442 225.248086941398 -787.114627760398</t>
  </si>
  <si>
    <t>-444.722473841111 307.563950161783 -492.539194188497</t>
  </si>
  <si>
    <t>-257.333031305121 227.561037254203 -330.901277602901</t>
  </si>
  <si>
    <t>-557.8546968735 20.087540688942 -759.954123765589</t>
  </si>
  <si>
    <t>-377.4812649586 41.6938452478303 -419.02554148616</t>
  </si>
  <si>
    <t>-613.171157672078 265.009868718713 -253.86906026179</t>
  </si>
  <si>
    <t>-604.081503870148 276.040410903253 201.601409575271</t>
  </si>
  <si>
    <t>-621.555393706879 255.853529988882 670.703514265201</t>
  </si>
  <si>
    <t>-463.610521410782 270.248170418727 746.793738414982</t>
  </si>
  <si>
    <t>-562.395075677429 77.8130392686035 -229.027229860314</t>
  </si>
  <si>
    <t>-454.707576497029 80.6514285537044 213.751478049813</t>
  </si>
  <si>
    <t>-609.832635498805 12.8696905768727 652.157494806836</t>
  </si>
  <si>
    <t>-456.758506474993 -29.1455780169506 727.963368249513</t>
  </si>
  <si>
    <t>9763-20170724T170201.912922000.bin</t>
  </si>
  <si>
    <t>-588.924933310975 171.658210935263 -241.678579431491</t>
  </si>
  <si>
    <t>-607.452789771843 150.997643674648 -359.566925898238</t>
  </si>
  <si>
    <t>-605.055830826437 125.946076464428 -478.130192819054</t>
  </si>
  <si>
    <t>-594.515938545483 100.956245822072 -584.239916055642</t>
  </si>
  <si>
    <t>-575.938566152127 73.2523487770668 -688.557773426067</t>
  </si>
  <si>
    <t>-542.007174400995 31.5977625139824 -831.083473725907</t>
  </si>
  <si>
    <t>-492.595872614957 9.87805569405896 -917.511300502217</t>
  </si>
  <si>
    <t>-555.21903031889 80.6098519103762 -776.529016082745</t>
  </si>
  <si>
    <t>-526.335789327899 224.409577159636 -787.158894134512</t>
  </si>
  <si>
    <t>-443.435498080447 305.826546127186 -492.735774126728</t>
  </si>
  <si>
    <t>-256.558653420257 225.171845512135 -330.828469251125</t>
  </si>
  <si>
    <t>-558.822474436501 19.4474712072051 -759.511502742033</t>
  </si>
  <si>
    <t>-379.806319017805 41.5679024786941 -424.270521585252</t>
  </si>
  <si>
    <t>-613.906353127127 265.467282860658 -253.842319082878</t>
  </si>
  <si>
    <t>-604.876979193338 276.253942735743 201.635172247387</t>
  </si>
  <si>
    <t>-621.588984931396 255.999321242262 670.707612177522</t>
  </si>
  <si>
    <t>-463.620404417789 270.200802412378 746.784950164769</t>
  </si>
  <si>
    <t>-563.949209024394 77.8600221709864 -228.814136409079</t>
  </si>
  <si>
    <t>-455.075702105499 80.6482828721535 213.674798183775</t>
  </si>
  <si>
    <t>-609.852796710503 12.8432645468979 652.144289576653</t>
  </si>
  <si>
    <t>-456.750929713326 -29.1014313618009 727.933278845661</t>
  </si>
  <si>
    <t>9763-20170724T170201.964064100.bin</t>
  </si>
  <si>
    <t>-589.769364908371 172.561365635939 -241.719321364324</t>
  </si>
  <si>
    <t>-608.287480157252 151.924895202402 -359.613544806792</t>
  </si>
  <si>
    <t>-605.899493919332 126.756009163714 -478.152130303638</t>
  </si>
  <si>
    <t>-595.382729580136 101.598713672805 -584.224579199196</t>
  </si>
  <si>
    <t>-576.848617637147 73.6658051017773 -688.488905425427</t>
  </si>
  <si>
    <t>-543.003537271677 31.627647464466 -830.922563852685</t>
  </si>
  <si>
    <t>-493.648037614372 9.56045537613909 -917.294139947917</t>
  </si>
  <si>
    <t>-555.940472903721 80.7872121669577 -776.434950331862</t>
  </si>
  <si>
    <t>-526.152063830657 224.370763080032 -787.460533550646</t>
  </si>
  <si>
    <t>-442.787027929847 305.371916274407 -493.054009472261</t>
  </si>
  <si>
    <t>-255.825977813736 225.133197577688 -331.037376458823</t>
  </si>
  <si>
    <t>-560.017371056721 19.6692865257428 -759.365324232312</t>
  </si>
  <si>
    <t>-383.331984399924 42.2336085680461 -427.572920512659</t>
  </si>
  <si>
    <t>-614.256777731869 266.509800418231 -253.952292009633</t>
  </si>
  <si>
    <t>-605.62068514854 277.003422655212 201.539680729839</t>
  </si>
  <si>
    <t>-621.651881775166 256.560970342116 670.613443301787</t>
  </si>
  <si>
    <t>-463.683993091371 270.191294803932 746.796586890022</t>
  </si>
  <si>
    <t>-565.139376129571 78.7254162396112 -228.873031861714</t>
  </si>
  <si>
    <t>-455.589896069358 80.9416400281068 213.45229897691</t>
  </si>
  <si>
    <t>-609.879254092711 12.9785705746478 652.136626609459</t>
  </si>
  <si>
    <t>-456.96078195865 -29.6210719483211 727.930571480426</t>
  </si>
  <si>
    <t>9763-20170724T170201.998153000.bin</t>
  </si>
  <si>
    <t>-589.89137615688 172.731947343735 -241.783795007164</t>
  </si>
  <si>
    <t>-608.446872375093 152.124733085799 -359.677121020806</t>
  </si>
  <si>
    <t>-606.155250913789 126.919601286707 -478.209866099533</t>
  </si>
  <si>
    <t>-595.751297019944 101.703768072352 -584.27950988797</t>
  </si>
  <si>
    <t>-577.356602185828 73.6874415747725 -688.54633606859</t>
  </si>
  <si>
    <t>-543.733566068959 31.5083560578951 -830.990787967788</t>
  </si>
  <si>
    <t>-494.460549535365 9.29385454599924 -917.371769301001</t>
  </si>
  <si>
    <t>-556.469809486275 80.7214612499208 -776.504285483346</t>
  </si>
  <si>
    <t>-526.454673896258 224.252670153242 -787.778920723911</t>
  </si>
  <si>
    <t>-442.989015810042 305.532621964323 -493.477531302525</t>
  </si>
  <si>
    <t>-256.038021720427 225.686778673888 -331.255465565546</t>
  </si>
  <si>
    <t>-560.751683689898 19.6208702508623 -759.422666399649</t>
  </si>
  <si>
    <t>-385.051306945635 43.2540546007506 -428.006930110904</t>
  </si>
  <si>
    <t>-614.146071423062 266.905958615568 -254.045860116873</t>
  </si>
  <si>
    <t>-605.705639245293 277.321731460842 201.451551066104</t>
  </si>
  <si>
    <t>-621.690906876295 256.963651855753 670.521878130905</t>
  </si>
  <si>
    <t>-463.733114223617 270.174960083563 746.799732974192</t>
  </si>
  <si>
    <t>-565.517845663929 78.6050756259854 -228.861878846007</t>
  </si>
  <si>
    <t>-455.648701111393 80.9408649084135 213.383446530424</t>
  </si>
  <si>
    <t>-609.880930024797 12.8081836458261 652.098722736875</t>
  </si>
  <si>
    <t>-456.873730841763 -29.4630419468963 727.897479251847</t>
  </si>
  <si>
    <t>9763-20170724T170202.063331800.bin</t>
  </si>
  <si>
    <t>-589.847149419467 172.947846999312 -241.849807757254</t>
  </si>
  <si>
    <t>-608.564251624761 152.384057049221 -359.725290284616</t>
  </si>
  <si>
    <t>-606.550698549547 127.1210286914 -478.250693198079</t>
  </si>
  <si>
    <t>-596.445461750025 101.817388510776 -584.328281943973</t>
  </si>
  <si>
    <t>-578.39580387701 73.6822916542828 -688.623404361973</t>
  </si>
  <si>
    <t>-545.298872005728 31.3097008545235 -831.133696868039</t>
  </si>
  <si>
    <t>-496.32011288836 8.94301757787298 -917.642533350919</t>
  </si>
  <si>
    <t>-557.692859117197 80.596064417555 -776.634550935158</t>
  </si>
  <si>
    <t>-527.570985090244 224.025837317768 -788.226644443981</t>
  </si>
  <si>
    <t>-444.74807321636 307.918605294612 -494.477542089246</t>
  </si>
  <si>
    <t>-258.034293067669 229.004396204408 -331.528046757915</t>
  </si>
  <si>
    <t>-562.19361514946 19.5204070615582 -759.520112038639</t>
  </si>
  <si>
    <t>-387.710729110564 45.2397158631031 -428.400497135888</t>
  </si>
  <si>
    <t>-613.704599661903 267.540747057604 -254.194198913923</t>
  </si>
  <si>
    <t>-605.374470995903 277.883758528595 201.306887914185</t>
  </si>
  <si>
    <t>-621.737956056062 257.726948819164 670.334079123241</t>
  </si>
  <si>
    <t>-463.833571832553 270.169539657285 746.851339277758</t>
  </si>
  <si>
    <t>-565.958268850238 78.5089195979249 -228.911830349782</t>
  </si>
  <si>
    <t>-455.62531184092 81.1040960530079 213.216632202342</t>
  </si>
  <si>
    <t>-609.872353956234 12.9782260573313 651.963156301293</t>
  </si>
  <si>
    <t>-456.976705219065 -29.6164792317506 727.805906071675</t>
  </si>
  <si>
    <t>9763-20170724T170202.097427400.bin</t>
  </si>
  <si>
    <t>-589.793375026438 173.185288123103 -241.975937862925</t>
  </si>
  <si>
    <t>-608.563782017283 152.671974710603 -359.851706391291</t>
  </si>
  <si>
    <t>-606.631400848957 127.434591583929 -478.38406260075</t>
  </si>
  <si>
    <t>-596.609827171425 102.147612930549 -584.473552071218</t>
  </si>
  <si>
    <t>-578.653008190609 74.0252505526073 -688.788100497053</t>
  </si>
  <si>
    <t>-545.693394499397 31.6678730069129 -831.334774661788</t>
  </si>
  <si>
    <t>-496.854655084919 9.34395942454944 -917.933719923056</t>
  </si>
  <si>
    <t>-558.013489369791 80.9482347711164 -776.813383595672</t>
  </si>
  <si>
    <t>-527.953349832872 224.429482209311 -788.511851612977</t>
  </si>
  <si>
    <t>-446.478208283551 309.912515385666 -494.844402037164</t>
  </si>
  <si>
    <t>-260.077638034695 231.165836148344 -331.455775208663</t>
  </si>
  <si>
    <t>-562.540508050339 19.8711941109316 -759.71106663164</t>
  </si>
  <si>
    <t>-387.876925002447 46.0584879723365 -428.511689712841</t>
  </si>
  <si>
    <t>-613.515640044571 267.899152789089 -254.284203793732</t>
  </si>
  <si>
    <t>-605.11493744366 278.18943550565 201.216926042984</t>
  </si>
  <si>
    <t>-621.747407438468 258.024839512502 670.248696905074</t>
  </si>
  <si>
    <t>-463.874735203636 270.154586479028 746.881545969305</t>
  </si>
  <si>
    <t>-566.025402961405 78.6636919484249 -229.020660090718</t>
  </si>
  <si>
    <t>-455.630855103946 81.2423200506059 213.092553288273</t>
  </si>
  <si>
    <t>-609.868945971645 13.2414971923522 651.88481348527</t>
  </si>
  <si>
    <t>-457.162707810608 -29.9532638908215 727.769746303126</t>
  </si>
  <si>
    <t>9763-20170724T170202.161597000.bin</t>
  </si>
  <si>
    <t>-589.503026549699 173.332682861122 -242.128112841942</t>
  </si>
  <si>
    <t>-608.399671040561 152.836763721741 -359.986699386633</t>
  </si>
  <si>
    <t>-606.642853702985 127.630661990118 -478.528346347699</t>
  </si>
  <si>
    <t>-596.793349602767 102.390868974738 -584.645231012182</t>
  </si>
  <si>
    <t>-579.016073132642 74.3423132233843 -689.01041126299</t>
  </si>
  <si>
    <t>-546.307404904302 32.121989244077 -831.655394355158</t>
  </si>
  <si>
    <t>-497.824010849906 9.95928453670172 -918.495230178547</t>
  </si>
  <si>
    <t>-558.583660331356 81.3503366739355 -777.077206761984</t>
  </si>
  <si>
    <t>-529.547528529973 224.973779371589 -789.448105636052</t>
  </si>
  <si>
    <t>-452.224981204748 314.961672004277 -496.003818652697</t>
  </si>
  <si>
    <t>-267.083440675706 236.968073456298 -330.832128776264</t>
  </si>
  <si>
    <t>-562.976317773796 20.2559930513532 -760.001521461184</t>
  </si>
  <si>
    <t>-386.841826532148 44.6606006157872 -428.837757538423</t>
  </si>
  <si>
    <t>-612.913141009687 268.185651202937 -254.390813146451</t>
  </si>
  <si>
    <t>-604.580232585683 278.415699040381 201.112750969734</t>
  </si>
  <si>
    <t>-621.721556362609 258.235427708425 670.145365934283</t>
  </si>
  <si>
    <t>-463.899798265646 270.081347720405 746.927442693891</t>
  </si>
  <si>
    <t>-566.065324675987 78.587320308329 -229.090648331682</t>
  </si>
  <si>
    <t>-455.538880616928 81.2394499657016 212.989098805391</t>
  </si>
  <si>
    <t>-609.876265366404 13.1379816094309 651.740429080817</t>
  </si>
  <si>
    <t>-457.096356196518 -29.7670225233323 727.64154008728</t>
  </si>
  <si>
    <t>9763-20170724T170202.194684500.bin</t>
  </si>
  <si>
    <t>-589.338730419097 173.491179045989 -242.174804979079</t>
  </si>
  <si>
    <t>-608.251812316831 152.995465086168 -360.030683998644</t>
  </si>
  <si>
    <t>-606.498007751565 127.781255621133 -478.570683765576</t>
  </si>
  <si>
    <t>-596.643170177074 102.539761735353 -584.686735823598</t>
  </si>
  <si>
    <t>-578.850212115935 74.5003068010869 -689.051708749804</t>
  </si>
  <si>
    <t>-546.106363404451 32.3081280094793 -831.697019866276</t>
  </si>
  <si>
    <t>-497.673375415707 10.2379573809098 -918.588425062212</t>
  </si>
  <si>
    <t>-558.448593585348 81.5260342654369 -777.124213834957</t>
  </si>
  <si>
    <t>-530.009495391624 225.256063535282 -789.567755670819</t>
  </si>
  <si>
    <t>-455.066508452167 317.950462398454 -496.348555794337</t>
  </si>
  <si>
    <t>-270.906998172849 239.839089188263 -330.138035067177</t>
  </si>
  <si>
    <t>-562.740432071401 20.4276125316464 -760.03753446589</t>
  </si>
  <si>
    <t>-384.978167765286 43.1960128694893 -428.993459895249</t>
  </si>
  <si>
    <t>-612.527729882168 268.362909241229 -254.464077872171</t>
  </si>
  <si>
    <t>-604.385085372228 278.52209075214 201.044504558129</t>
  </si>
  <si>
    <t>-621.720616624869 258.352909871312 670.09372245271</t>
  </si>
  <si>
    <t>-463.911638662435 269.988160502173 746.934136583344</t>
  </si>
  <si>
    <t>-566.092449886016 78.699237167601 -229.116991059949</t>
  </si>
  <si>
    <t>-455.435041030453 81.2980561436045 212.930341067496</t>
  </si>
  <si>
    <t>-609.86367469682 13.2141618774028 651.653549495983</t>
  </si>
  <si>
    <t>-457.203139099599 -30.0636299375494 727.583132380244</t>
  </si>
  <si>
    <t>9763-20170724T170202.326048800.bin</t>
  </si>
  <si>
    <t>-589.251732149918 173.563547741347 -242.223046995668</t>
  </si>
  <si>
    <t>-608.159002200142 153.086229924453 -360.083182530199</t>
  </si>
  <si>
    <t>-606.362288577745 127.904290106261 -478.62937921626</t>
  </si>
  <si>
    <t>-596.452517540555 102.700061452852 -584.749115780227</t>
  </si>
  <si>
    <t>-578.587630587699 74.7072224186577 -689.114441185803</t>
  </si>
  <si>
    <t>-545.72529719624 32.5912859390403 -831.754757389304</t>
  </si>
  <si>
    <t>-497.310391242512 10.6742368140758 -918.695208903515</t>
  </si>
  <si>
    <t>-558.160447568059 81.7803219705297 -777.17714444228</t>
  </si>
  <si>
    <t>-529.984018797402 225.573230527222 -789.636868305645</t>
  </si>
  <si>
    <t>-458.402945789864 320.599616932672 -496.324134871611</t>
  </si>
  <si>
    <t>-274.949159134801 242.444116055222 -329.35564547297</t>
  </si>
  <si>
    <t>-562.371257902366 20.6723056568205 -760.104547201713</t>
  </si>
  <si>
    <t>-382.687050312559 41.9881606896242 -428.605278339207</t>
  </si>
  <si>
    <t>-612.415681979214 268.443788946262 -254.512853142342</t>
  </si>
  <si>
    <t>-604.118079339692 278.509381327333 200.995104097745</t>
  </si>
  <si>
    <t>-621.704800906795 258.294221340439 670.06924993833</t>
  </si>
  <si>
    <t>-463.905766363654 269.926476197767 746.930668357235</t>
  </si>
  <si>
    <t>-566.026176492045 78.8319359643597 -229.247720884206</t>
  </si>
  <si>
    <t>-455.538356391114 81.1571687575886 212.843555403997</t>
  </si>
  <si>
    <t>-609.865447770707 13.1567418237512 651.631325329545</t>
  </si>
  <si>
    <t>-457.090944167634 -29.7265922442509 727.555478625124</t>
  </si>
  <si>
    <t>9763-20170724T170202.365156500.bin</t>
  </si>
  <si>
    <t>-589.665211933359 173.419099241895 -242.329697463031</t>
  </si>
  <si>
    <t>-608.531233096695 153.018278133706 -360.209514064567</t>
  </si>
  <si>
    <t>-607.059143317534 128.299565130266 -478.857819426203</t>
  </si>
  <si>
    <t>-597.569991273239 103.678319649458 -585.152542569521</t>
  </si>
  <si>
    <t>-580.23534376501 76.433490467726 -689.804848569876</t>
  </si>
  <si>
    <t>-548.20562345796 35.5292374493536 -832.986302702968</t>
  </si>
  <si>
    <t>-500.260729261025 14.5948839944763 -920.427810311337</t>
  </si>
  <si>
    <t>-560.639865687114 84.2537888885504 -777.993329302734</t>
  </si>
  <si>
    <t>-534.46737972051 228.485908193931 -789.715891471855</t>
  </si>
  <si>
    <t>-471.806764220703 325.406102342602 -494.984907936038</t>
  </si>
  <si>
    <t>-288.958947472515 248.566500056664 -326.745810258083</t>
  </si>
  <si>
    <t>-564.115714404433 23.0023951322623 -761.272558049584</t>
  </si>
  <si>
    <t>-382.305467990812 42.7420765876029 -431.147228431369</t>
  </si>
  <si>
    <t>-613.44890340169 267.766273357445 -254.346826060056</t>
  </si>
  <si>
    <t>-604.06309227837 277.853673655654 201.139496190059</t>
  </si>
  <si>
    <t>-621.673889019775 257.381010693822 670.233942148661</t>
  </si>
  <si>
    <t>-463.837964222895 270.006768703004 746.862394410292</t>
  </si>
  <si>
    <t>-565.846627128885 79.0947130547372 -229.568856087989</t>
  </si>
  <si>
    <t>-456.272782035873 80.7556015277758 212.752808060612</t>
  </si>
  <si>
    <t>-609.918534278699 12.8046381492927 651.745156464087</t>
  </si>
  <si>
    <t>-456.913677891628 -29.3895456796799 727.59160508847</t>
  </si>
  <si>
    <t>9763-20170724T170202.399245700.bin</t>
  </si>
  <si>
    <t>-589.873433075549 173.306984293372 -242.29011688669</t>
  </si>
  <si>
    <t>-608.693333660163 152.894355276574 -360.175410957851</t>
  </si>
  <si>
    <t>-607.300450196646 128.292253785381 -478.84884253633</t>
  </si>
  <si>
    <t>-597.927135787497 103.831339564215 -585.190960536117</t>
  </si>
  <si>
    <t>-580.74687333675 76.8024780119019 -689.924639019163</t>
  </si>
  <si>
    <t>-548.96602932768 36.2566196956454 -833.263393154365</t>
  </si>
  <si>
    <t>-501.164783359079 15.6063006083152 -920.851111191741</t>
  </si>
  <si>
    <t>-561.395762803147 84.8430765587279 -778.147224209898</t>
  </si>
  <si>
    <t>-535.514617943092 229.147070875657 -789.482965777117</t>
  </si>
  <si>
    <t>-473.297169331899 325.290715410071 -494.404144930481</t>
  </si>
  <si>
    <t>-290.204359892803 248.535995328771 -326.392795985526</t>
  </si>
  <si>
    <t>-564.660344555114 23.5508612612634 -761.533638060327</t>
  </si>
  <si>
    <t>-382.415809294928 43.4582671392923 -431.557823209144</t>
  </si>
  <si>
    <t>-613.840627348457 267.521760811136 -254.290270454068</t>
  </si>
  <si>
    <t>-604.228041626791 277.63405203279 201.190757887978</t>
  </si>
  <si>
    <t>-621.67739174305 257.133702489461 670.28907361699</t>
  </si>
  <si>
    <t>-463.818911136839 270.063679319256 746.820330732275</t>
  </si>
  <si>
    <t>-565.807296141084 79.1431459488886 -229.572329122631</t>
  </si>
  <si>
    <t>-456.311006411627 80.6609136064349 212.76897882482</t>
  </si>
  <si>
    <t>-609.906034621136 12.8865078384199 651.776137622361</t>
  </si>
  <si>
    <t>-456.905635973669 -29.3104999307195 727.629958547619</t>
  </si>
  <si>
    <t>9763-20170724T170202.464456200.bin</t>
  </si>
  <si>
    <t>-590.27353915843 173.037718242768 -242.187579252811</t>
  </si>
  <si>
    <t>-609.01622101653 152.578481848662 -360.077243915411</t>
  </si>
  <si>
    <t>-607.720256964762 128.162670253734 -478.790079339463</t>
  </si>
  <si>
    <t>-598.493838885977 103.968875304015 -585.206160996424</t>
  </si>
  <si>
    <t>-581.510426975553 77.3069997516227 -690.065933847776</t>
  </si>
  <si>
    <t>-550.045727100632 37.3751560145702 -833.646639471246</t>
  </si>
  <si>
    <t>-502.503821634287 17.2262944161998 -921.491796183864</t>
  </si>
  <si>
    <t>-562.509833102324 85.7237594986379 -778.329561440712</t>
  </si>
  <si>
    <t>-537.150217082116 230.179553219537 -788.947266142968</t>
  </si>
  <si>
    <t>-474.002144017269 323.147481981989 -493.049541933879</t>
  </si>
  <si>
    <t>-289.503900570418 247.174167254053 -326.22482449302</t>
  </si>
  <si>
    <t>-565.425995058155 24.36359239849 -761.90353158816</t>
  </si>
  <si>
    <t>-381.999670357977 45.1650695067669 -431.289639968185</t>
  </si>
  <si>
    <t>-614.49604009577 266.946310232623 -254.156431031617</t>
  </si>
  <si>
    <t>-604.247191002897 277.06797293701 201.31056641291</t>
  </si>
  <si>
    <t>-621.649345319809 256.401640483593 670.447068819586</t>
  </si>
  <si>
    <t>-463.739949977567 270.126724377217 746.73444991406</t>
  </si>
  <si>
    <t>-565.93919879931 79.1678921398213 -229.526721541367</t>
  </si>
  <si>
    <t>-456.456368473074 80.3752560000275 212.819030008119</t>
  </si>
  <si>
    <t>-609.902985587604 12.8629981555223 651.914242080327</t>
  </si>
  <si>
    <t>-456.888496044422 -29.2720602051074 727.774064997144</t>
  </si>
  <si>
    <t>9763-20170724T170202.496511600.bin</t>
  </si>
  <si>
    <t>-590.371538056911 172.801613799381 -242.109847468067</t>
  </si>
  <si>
    <t>-609.173729802348 152.300239650457 -359.982597561238</t>
  </si>
  <si>
    <t>-607.951738704444 127.938203499756 -478.707234348175</t>
  </si>
  <si>
    <t>-598.792886069552 103.833435113113 -585.149397385025</t>
  </si>
  <si>
    <t>-581.874239886333 77.3011708526133 -690.052468121027</t>
  </si>
  <si>
    <t>-550.493165178689 37.5919907939706 -833.713272421342</t>
  </si>
  <si>
    <t>-503.051649939914 17.6437751551191 -921.658419656308</t>
  </si>
  <si>
    <t>-562.984271558048 85.85424157292 -778.326920682567</t>
  </si>
  <si>
    <t>-537.878121730094 230.384052904765 -788.681972596593</t>
  </si>
  <si>
    <t>-473.555985085052 322.043813460732 -492.62912632963</t>
  </si>
  <si>
    <t>-288.416556682763 246.392518831341 -326.369217271239</t>
  </si>
  <si>
    <t>-565.772403403323 24.4698974828627 -761.968675051827</t>
  </si>
  <si>
    <t>-381.824434407477 46.0421378110186 -431.343076724015</t>
  </si>
  <si>
    <t>-614.627894586492 266.654612077495 -254.084711764586</t>
  </si>
  <si>
    <t>-604.067362503221 276.841935666444 201.373701573942</t>
  </si>
  <si>
    <t>-621.634847036605 256.262216665017 670.445040428598</t>
  </si>
  <si>
    <t>-463.728569622875 270.200851615021 746.700210183367</t>
  </si>
  <si>
    <t>-565.985776425135 78.9267509149151 -229.424700088098</t>
  </si>
  <si>
    <t>-456.403234422664 80.1615668951945 212.896309596244</t>
  </si>
  <si>
    <t>-609.89895205962 12.7960271632146 651.989854194037</t>
  </si>
  <si>
    <t>-456.845177817148 -29.2112979099197 727.841234357972</t>
  </si>
  <si>
    <t>9763-20170724T170202.562464400.bin</t>
  </si>
  <si>
    <t>-590.489667719082 172.486726994439 -242.075368038526</t>
  </si>
  <si>
    <t>-609.443483089637 151.915006315225 -359.91159596265</t>
  </si>
  <si>
    <t>-608.340176302214 127.615620945182 -478.65023170702</t>
  </si>
  <si>
    <t>-599.267649378342 103.623844061207 -585.125369956627</t>
  </si>
  <si>
    <t>-582.409606638522 77.2614188436039 -690.08093002241</t>
  </si>
  <si>
    <t>-551.081610335406 37.8477537850958 -833.834575514476</t>
  </si>
  <si>
    <t>-503.91318484564 18.275797246466 -922.01102110872</t>
  </si>
  <si>
    <t>-563.615917219891 85.9952613775331 -778.358141935163</t>
  </si>
  <si>
    <t>-538.832650053619 230.588565340833 -788.393365742645</t>
  </si>
  <si>
    <t>-472.221640180532 320.728465986592 -492.379851992133</t>
  </si>
  <si>
    <t>-286.316076679077 245.388386478405 -326.835104457789</t>
  </si>
  <si>
    <t>-566.270657138484 24.5788974762315 -762.098099529383</t>
  </si>
  <si>
    <t>-381.549457706408 48.0183008635026 -432.936622576775</t>
  </si>
  <si>
    <t>-614.807319402578 266.337244248689 -254.033184952396</t>
  </si>
  <si>
    <t>-603.98241567937 276.409470238706 201.421549448216</t>
  </si>
  <si>
    <t>-621.641757257029 256.060881747265 670.497710116412</t>
  </si>
  <si>
    <t>-463.72779597384 270.17594183606 746.704391778826</t>
  </si>
  <si>
    <t>-566.187272346054 78.8336113117118 -229.327781687191</t>
  </si>
  <si>
    <t>-456.484528333579 79.7468883288643 212.964132765729</t>
  </si>
  <si>
    <t>-609.913694902449 12.8532869604639 652.15959749601</t>
  </si>
  <si>
    <t>-456.901077015667 -29.3507355947065 727.984885395193</t>
  </si>
  <si>
    <t>9763-20170724T170202.595568400.bin</t>
  </si>
  <si>
    <t>-590.467147203135 172.338620744422 -242.058793980555</t>
  </si>
  <si>
    <t>-609.382599971225 151.768488428081 -359.901349501454</t>
  </si>
  <si>
    <t>-608.307657880703 127.483556652513 -478.643256754229</t>
  </si>
  <si>
    <t>-599.286727700868 103.512087858182 -585.127351068347</t>
  </si>
  <si>
    <t>-582.504995391286 77.1779778250786 -690.102195416352</t>
  </si>
  <si>
    <t>-551.307008655813 37.813307054746 -833.897701139389</t>
  </si>
  <si>
    <t>-504.256599289962 18.3569140299762 -922.162525088725</t>
  </si>
  <si>
    <t>-563.797191813778 85.9417753664295 -778.394853800827</t>
  </si>
  <si>
    <t>-539.083354020363 230.564496711635 -788.353717029033</t>
  </si>
  <si>
    <t>-471.230983361654 320.27953150229 -492.49318948607</t>
  </si>
  <si>
    <t>-285.330385215447 245.286386005485 -326.785439889499</t>
  </si>
  <si>
    <t>-566.425104628183 24.5202405943794 -762.150528669579</t>
  </si>
  <si>
    <t>-381.374385258246 48.3407190119019 -433.745399418966</t>
  </si>
  <si>
    <t>-614.748129486397 266.200850569888 -254.025936647429</t>
  </si>
  <si>
    <t>-604.156892154122 276.272913770825 201.434400805636</t>
  </si>
  <si>
    <t>-621.664105315376 256.047008313075 670.522723746974</t>
  </si>
  <si>
    <t>-463.73969564047 270.164631781646 746.707250492531</t>
  </si>
  <si>
    <t>-566.072854677674 78.6065883286137 -229.307788237325</t>
  </si>
  <si>
    <t>-456.350035086983 79.3856505753129 212.979431424757</t>
  </si>
  <si>
    <t>-609.906568246659 12.6634590115573 652.210228160571</t>
  </si>
  <si>
    <t>-456.775615261635 -29.030073621906 728.07899390183</t>
  </si>
  <si>
    <t>9763-20170724T170202.664741600.bin</t>
  </si>
  <si>
    <t>-590.17673559141 172.113323473013 -241.894159682925</t>
  </si>
  <si>
    <t>-609.055495993953 151.529241562128 -359.740283680551</t>
  </si>
  <si>
    <t>-608.012260536881 127.297440242601 -478.493254179743</t>
  </si>
  <si>
    <t>-599.046204174326 103.396221877137 -584.997672469316</t>
  </si>
  <si>
    <t>-582.344276425796 77.1519289199784 -690.007842141845</t>
  </si>
  <si>
    <t>-551.28218619419 37.9293694048476 -833.871467451725</t>
  </si>
  <si>
    <t>-504.373207828387 18.6436119538039 -922.249021338797</t>
  </si>
  <si>
    <t>-563.678838206321 86.0034786027124 -778.300673674406</t>
  </si>
  <si>
    <t>-538.755376359912 230.603746459097 -787.945221461627</t>
  </si>
  <si>
    <t>-468.797536300106 319.580951947282 -492.352358688411</t>
  </si>
  <si>
    <t>-282.957451083889 245.026988699759 -326.378797144506</t>
  </si>
  <si>
    <t>-566.373563560307 24.5647762915987 -762.132035153998</t>
  </si>
  <si>
    <t>-380.482648577057 47.8983011468001 -434.656581342344</t>
  </si>
  <si>
    <t>-614.564171980203 266.083167831458 -253.973777074882</t>
  </si>
  <si>
    <t>-604.369544470027 276.245442415511 201.49351267476</t>
  </si>
  <si>
    <t>-621.723285519725 256.128338674528 670.562003439515</t>
  </si>
  <si>
    <t>-463.783901067074 270.177322462556 746.728150771518</t>
  </si>
  <si>
    <t>-565.682013183025 78.2883593501863 -229.206523660061</t>
  </si>
  <si>
    <t>-456.074806376282 79.1764189300804 213.109199151169</t>
  </si>
  <si>
    <t>-609.895460165738 12.850446903218 652.283807169745</t>
  </si>
  <si>
    <t>-456.921175270337 -29.3562264702441 728.184884647786</t>
  </si>
  <si>
    <t>9763-20170724T170202.700837300.bin</t>
  </si>
  <si>
    <t>-589.843373738529 172.051388103513 -241.908450352603</t>
  </si>
  <si>
    <t>-608.713489757275 151.451909836507 -359.753156554661</t>
  </si>
  <si>
    <t>-607.714777727042 127.264168995326 -478.515543582315</t>
  </si>
  <si>
    <t>-598.808188062113 103.425139722111 -585.038951116444</t>
  </si>
  <si>
    <t>-582.183436745937 77.2636821417657 -690.082046066131</t>
  </si>
  <si>
    <t>-551.245283230078 38.1767832135456 -834.00928632725</t>
  </si>
  <si>
    <t>-504.365954241129 18.9873190469348 -922.42358745917</t>
  </si>
  <si>
    <t>-563.579502693716 86.1986268625415 -778.379407231528</t>
  </si>
  <si>
    <t>-538.541735552048 230.790134153194 -787.840065004172</t>
  </si>
  <si>
    <t>-467.445852458595 319.023462877808 -492.29581063838</t>
  </si>
  <si>
    <t>-281.462512200108 244.695227362917 -326.381637756047</t>
  </si>
  <si>
    <t>-566.289399222756 24.7445290652283 -762.272541689428</t>
  </si>
  <si>
    <t>-379.724262787493 47.856571527891 -434.962834812395</t>
  </si>
  <si>
    <t>-614.27431757646 265.997034066377 -253.973005547415</t>
  </si>
  <si>
    <t>-604.1749411983 276.214972470679 201.495276186927</t>
  </si>
  <si>
    <t>-621.736002078053 256.132584359652 670.564741946282</t>
  </si>
  <si>
    <t>-463.800067794699 270.190948035151 746.736406912561</t>
  </si>
  <si>
    <t>-565.264219275467 78.238750245742 -229.185028625998</t>
  </si>
  <si>
    <t>-455.933698721791 79.1693260281443 213.198948779857</t>
  </si>
  <si>
    <t>-609.906399357113 12.7642359372924 652.324032717492</t>
  </si>
  <si>
    <t>-456.871262892913 -29.3322375486518 728.163620701671</t>
  </si>
  <si>
    <t>9763-20170724T170202.764041400.bin</t>
  </si>
  <si>
    <t>-589.247659577284 172.093200023499 -241.775788727358</t>
  </si>
  <si>
    <t>-608.145751837272 151.449289755205 -359.608230560297</t>
  </si>
  <si>
    <t>-607.29576968184 127.269527540474 -478.373557148755</t>
  </si>
  <si>
    <t>-598.568690134667 103.462067003457 -584.918709215445</t>
  </si>
  <si>
    <t>-582.164857663618 77.3584156952315 -690.010966137978</t>
  </si>
  <si>
    <t>-551.573162641859 38.3796990187845 -834.04163663898</t>
  </si>
  <si>
    <t>-504.826383931188 19.2612575648066 -922.541376934675</t>
  </si>
  <si>
    <t>-563.772999698443 86.3597593715322 -778.345912095721</t>
  </si>
  <si>
    <t>-538.654805759787 230.947573456457 -787.637503311198</t>
  </si>
  <si>
    <t>-464.832876803618 317.381769615637 -492.229987579302</t>
  </si>
  <si>
    <t>-278.423681462806 243.476724992109 -326.604815274054</t>
  </si>
  <si>
    <t>-566.445082529017 24.8934549779322 -762.279045657715</t>
  </si>
  <si>
    <t>-379.376655515918 48.1272230764471 -435.205546337452</t>
  </si>
  <si>
    <t>-613.78057157302 265.994915295456 -253.912132771903</t>
  </si>
  <si>
    <t>-603.5981211042 276.244269081802 201.55351776893</t>
  </si>
  <si>
    <t>-621.742453192127 256.131974031115 670.576261111894</t>
  </si>
  <si>
    <t>-463.818881034056 270.136799586556 746.783379388604</t>
  </si>
  <si>
    <t>-564.632210371724 78.2534152306075 -229.029941363978</t>
  </si>
  <si>
    <t>-455.486883075157 79.4135560207735 213.399193635157</t>
  </si>
  <si>
    <t>-609.907044197647 12.9230416078376 652.326776235721</t>
  </si>
  <si>
    <t>-456.882139985373 -29.4334828559452 728.042091975698</t>
  </si>
  <si>
    <t>9763-20170724T170202.792107300.bin</t>
  </si>
  <si>
    <t>-589.071168944785 172.096040839091 -241.78031456177</t>
  </si>
  <si>
    <t>-607.96470688297 151.462693413142 -359.615372657139</t>
  </si>
  <si>
    <t>-607.175861239298 127.313311165937 -478.387246401718</t>
  </si>
  <si>
    <t>-598.529305056812 103.542204570537 -584.947088900011</t>
  </si>
  <si>
    <t>-582.229896314138 77.4838714591808 -690.066859880939</t>
  </si>
  <si>
    <t>-551.806510174893 38.5783556385561 -834.152816290082</t>
  </si>
  <si>
    <t>-505.128875609224 19.5240926257129 -922.702901160898</t>
  </si>
  <si>
    <t>-563.942890352594 86.5301153965015 -778.419031511992</t>
  </si>
  <si>
    <t>-538.715879033528 231.101347768813 -787.637168331253</t>
  </si>
  <si>
    <t>-463.666531808634 316.960195703292 -492.371147144733</t>
  </si>
  <si>
    <t>-277.052567412427 243.045990075234 -326.980896379969</t>
  </si>
  <si>
    <t>-566.592948425918 25.0556447665895 -762.37949299155</t>
  </si>
  <si>
    <t>-379.456978585396 48.7172493997377 -435.638546311438</t>
  </si>
  <si>
    <t>-613.61574523563 266.011957161351 -253.884708423416</t>
  </si>
  <si>
    <t>-603.460863528658 276.304533616669 201.580483734115</t>
  </si>
  <si>
    <t>-621.76082542836 256.159652009888 670.584787720296</t>
  </si>
  <si>
    <t>-463.841887901384 270.168342188081 746.80074200577</t>
  </si>
  <si>
    <t>-564.494534303683 78.296220331106 -229.035919255045</t>
  </si>
  <si>
    <t>-455.485610624635 79.4017342137322 213.427050710886</t>
  </si>
  <si>
    <t>-609.918132773749 12.9432174342764 652.341638353595</t>
  </si>
  <si>
    <t>-456.866694055438 -29.4267890398687 727.995788546403</t>
  </si>
  <si>
    <t>9763-20170724T170202.863332400.bin</t>
  </si>
  <si>
    <t>-588.748664547449 172.218688656127 -241.865809384001</t>
  </si>
  <si>
    <t>-607.492712629142 151.645451217351 -359.735293565853</t>
  </si>
  <si>
    <t>-606.645637529482 127.495309162304 -478.506617639</t>
  </si>
  <si>
    <t>-597.986511039637 103.700661030447 -585.060215616208</t>
  </si>
  <si>
    <t>-581.715510736085 77.5976999966838 -690.173261585817</t>
  </si>
  <si>
    <t>-551.374820427509 38.6091688430747 -834.254179629171</t>
  </si>
  <si>
    <t>-504.67680605191 19.5152021871065 -922.784947106756</t>
  </si>
  <si>
    <t>-563.474748456006 86.593001510176 -778.540167818004</t>
  </si>
  <si>
    <t>-537.979967437139 231.116319459495 -787.752440644118</t>
  </si>
  <si>
    <t>-460.539546678848 316.128248120375 -492.859023562671</t>
  </si>
  <si>
    <t>-273.776197636704 242.399922406557 -327.55440490601</t>
  </si>
  <si>
    <t>-566.12454960044 25.1277656468537 -762.465553361383</t>
  </si>
  <si>
    <t>-379.25005255039 49.0643145563972 -435.591937054792</t>
  </si>
  <si>
    <t>-613.278985014045 266.026635802138 -253.906486309641</t>
  </si>
  <si>
    <t>-603.394540571426 276.392420049778 201.563130631691</t>
  </si>
  <si>
    <t>-621.789733327559 256.223196603046 670.582238217458</t>
  </si>
  <si>
    <t>-463.875601910605 270.180654701586 746.817640485654</t>
  </si>
  <si>
    <t>-564.158665636942 78.5107309828434 -229.121130193981</t>
  </si>
  <si>
    <t>-455.533312747705 79.4260312661172 213.436615987185</t>
  </si>
  <si>
    <t>-609.921435593731 13.0280610365407 652.376199436724</t>
  </si>
  <si>
    <t>-456.886920329048 -29.5305550877804 727.958647587594</t>
  </si>
  <si>
    <t>9763-20170724T170202.897423000.bin</t>
  </si>
  <si>
    <t>-588.662057209015 172.303189001578 -241.881039535027</t>
  </si>
  <si>
    <t>-607.354593733476 151.745235630872 -359.761371638436</t>
  </si>
  <si>
    <t>-606.434688061341 127.605428226642 -478.5342710723</t>
  </si>
  <si>
    <t>-597.701847139272 103.818405851498 -585.083666649924</t>
  </si>
  <si>
    <t>-581.349796951091 77.721279256969 -690.185514120446</t>
  </si>
  <si>
    <t>-550.889383320077 38.7390688631504 -834.243034773983</t>
  </si>
  <si>
    <t>-504.139652414485 19.5977305534577 -922.736210205989</t>
  </si>
  <si>
    <t>-563.051217209271 86.7203907840285 -778.540116272105</t>
  </si>
  <si>
    <t>-537.407495240279 231.226009247682 -787.77267838781</t>
  </si>
  <si>
    <t>-459.089275513525 316.022963624818 -493.049226092213</t>
  </si>
  <si>
    <t>-272.189943682298 242.308117737912 -327.892273495968</t>
  </si>
  <si>
    <t>-565.683106918829 25.2546881572628 -762.463917029819</t>
  </si>
  <si>
    <t>-379.297227394839 49.4765316163541 -435.700418145611</t>
  </si>
  <si>
    <t>-613.232964733854 266.118435971122 -253.932938931277</t>
  </si>
  <si>
    <t>-603.420291252331 276.468150841111 201.538478523813</t>
  </si>
  <si>
    <t>-621.814335296028 256.269610180666 670.584225164843</t>
  </si>
  <si>
    <t>-463.888806612789 270.1318239164 746.813329990018</t>
  </si>
  <si>
    <t>-564.008116191188 78.5705568838962 -229.15900744242</t>
  </si>
  <si>
    <t>-455.553725746824 79.419529394331 213.440786884282</t>
  </si>
  <si>
    <t>-609.922525456922 12.9124148912244 652.387537014622</t>
  </si>
  <si>
    <t>-456.783406208659 -29.3096949207343 727.946912696792</t>
  </si>
  <si>
    <t>9763-20170724T170202.965509900.bin</t>
  </si>
  <si>
    <t>-588.262058585222 172.23030466868 -241.757371762129</t>
  </si>
  <si>
    <t>-606.931747340628 151.603841458181 -359.629254515059</t>
  </si>
  <si>
    <t>-605.893811550354 127.458312847441 -478.400029488526</t>
  </si>
  <si>
    <t>-597.014522525409 103.689085151614 -584.941292443349</t>
  </si>
  <si>
    <t>-580.476385231447 77.6308554764712 -690.023589781961</t>
  </si>
  <si>
    <t>-549.716545943789 38.7228963859191 -834.0375489584</t>
  </si>
  <si>
    <t>-502.896764697383 19.5316186173395 -922.482836164676</t>
  </si>
  <si>
    <t>-562.051903033415 86.674622043291 -778.347393601248</t>
  </si>
  <si>
    <t>-536.127075487668 231.123942399924 -787.574230867016</t>
  </si>
  <si>
    <t>-456.296571963537 315.526432263111 -493.143363511481</t>
  </si>
  <si>
    <t>-268.858090671473 241.791143177241 -328.60771508924</t>
  </si>
  <si>
    <t>-564.601761590219 25.20225345165 -762.284161217168</t>
  </si>
  <si>
    <t>-378.984615880487 49.0266472757819 -434.791208893952</t>
  </si>
  <si>
    <t>-612.969338558713 265.968246880358 -253.886557243622</t>
  </si>
  <si>
    <t>-603.118237021926 276.477241014527 201.580362168797</t>
  </si>
  <si>
    <t>-621.800824090222 256.209035193818 670.578649308926</t>
  </si>
  <si>
    <t>-463.897685109305 270.265114057721 746.818591548808</t>
  </si>
  <si>
    <t>-563.43770957321 78.5270678564077 -229.009145019614</t>
  </si>
  <si>
    <t>-455.035486728159 79.7804343046218 213.602515553238</t>
  </si>
  <si>
    <t>-609.870034105975 13.2758403782505 652.314762790291</t>
  </si>
  <si>
    <t>-456.937184773365 -29.6295458133184 727.906983744151</t>
  </si>
  <si>
    <t>9763-20170724T170202.997579700.bin</t>
  </si>
  <si>
    <t>-588.137080983317 172.309432680077 -241.815780742817</t>
  </si>
  <si>
    <t>-606.806697367492 151.659769822912 -359.683617507003</t>
  </si>
  <si>
    <t>-605.773241976441 127.513206093643 -478.454210654692</t>
  </si>
  <si>
    <t>-596.899346963581 103.75035190304 -584.99727343807</t>
  </si>
  <si>
    <t>-580.367818757299 77.7045785970172 -690.083798085628</t>
  </si>
  <si>
    <t>-549.618473194468 38.8188847796987 -834.105998086234</t>
  </si>
  <si>
    <t>-502.791672231445 19.5738505073364 -922.535923068387</t>
  </si>
  <si>
    <t>-561.946303506512 86.762117530287 -778.406856996996</t>
  </si>
  <si>
    <t>-535.689884431969 231.165121661577 -787.598210095527</t>
  </si>
  <si>
    <t>-455.025639937991 315.054602942196 -493.248097153029</t>
  </si>
  <si>
    <t>-267.401317930078 241.492178234936 -328.846809799529</t>
  </si>
  <si>
    <t>-564.501908851846 25.2870407741718 -762.354476179078</t>
  </si>
  <si>
    <t>-379.110962555184 48.8509370188042 -434.372586764889</t>
  </si>
  <si>
    <t>-612.973254546407 266.053993239026 -253.889979840952</t>
  </si>
  <si>
    <t>-603.070807804114 276.523178320926 201.57685035647</t>
  </si>
  <si>
    <t>-621.808536775085 256.204065729842 670.582163380699</t>
  </si>
  <si>
    <t>-463.907091293694 270.285539702044 746.820977848106</t>
  </si>
  <si>
    <t>-563.232783841717 78.6640287744981 -229.052943516404</t>
  </si>
  <si>
    <t>-454.950344606726 79.8684115790272 213.588168079712</t>
  </si>
  <si>
    <t>-609.851831911028 13.1805981880093 652.285692725661</t>
  </si>
  <si>
    <t>-456.887022254796 -29.5793077419169 727.895684746024</t>
  </si>
  <si>
    <t>9763-20170724T170203.063768300.bin</t>
  </si>
  <si>
    <t>-588.058560294599 172.68166063001 -241.876300547345</t>
  </si>
  <si>
    <t>-606.824182215778 151.959903329837 -359.716358050808</t>
  </si>
  <si>
    <t>-606.026461430979 127.795498762485 -478.48512065787</t>
  </si>
  <si>
    <t>-597.417946675229 104.040394862747 -585.051599787393</t>
  </si>
  <si>
    <t>-581.200362762355 78.0269610585967 -690.195021378174</t>
  </si>
  <si>
    <t>-550.93384691532 39.2129372039972 -834.338820450718</t>
  </si>
  <si>
    <t>-504.217290531554 19.910542212906 -922.814686818007</t>
  </si>
  <si>
    <t>-563.037074458437 87.1289374697933 -778.567078437014</t>
  </si>
  <si>
    <t>-536.173618615359 231.408982674961 -787.780062278408</t>
  </si>
  <si>
    <t>-453.692616723894 314.442430882649 -493.69074923599</t>
  </si>
  <si>
    <t>-266.247302568109 241.266261932837 -328.913508123324</t>
  </si>
  <si>
    <t>-565.614618480632 25.6449625636353 -762.552323050115</t>
  </si>
  <si>
    <t>-380.222687913906 48.3430894713431 -433.725220772684</t>
  </si>
  <si>
    <t>-612.905901994629 266.544618319718 -253.965767669307</t>
  </si>
  <si>
    <t>-603.011104152897 277.016429547514 201.501143508483</t>
  </si>
  <si>
    <t>-621.876030831248 256.583336888784 670.509582935518</t>
  </si>
  <si>
    <t>-463.973937874304 270.276424880348 746.817688632284</t>
  </si>
  <si>
    <t>-563.128714218479 78.9062714303391 -229.04257811555</t>
  </si>
  <si>
    <t>-454.962063786303 80.2526279516042 213.626421025733</t>
  </si>
  <si>
    <t>-609.800967197218 13.2339261375787 652.248051538309</t>
  </si>
  <si>
    <t>-456.770831259071 -29.2492430794509 727.881791693331</t>
  </si>
  <si>
    <t>9763-20170724T170203.098866100.bin</t>
  </si>
  <si>
    <t>-588.011252735706 172.992254338499 -241.875517013124</t>
  </si>
  <si>
    <t>-606.856712392234 152.221968709749 -359.694250380163</t>
  </si>
  <si>
    <t>-606.164608984413 128.079014325841 -478.468032238279</t>
  </si>
  <si>
    <t>-597.658264916864 104.370928520986 -585.053348607819</t>
  </si>
  <si>
    <t>-581.54718514478 78.4316554572442 -690.231513454915</t>
  </si>
  <si>
    <t>-551.431019048595 39.7479617580489 -834.441662030134</t>
  </si>
  <si>
    <t>-504.79901286471 20.491309765561 -922.972016205671</t>
  </si>
  <si>
    <t>-563.45378523567 87.6137253660338 -778.609437119245</t>
  </si>
  <si>
    <t>-536.291616057549 231.835221643645 -787.817867327711</t>
  </si>
  <si>
    <t>-453.354576828527 314.904786196969 -493.867063473935</t>
  </si>
  <si>
    <t>-266.033865180413 241.756944915352 -328.935632793924</t>
  </si>
  <si>
    <t>-566.059211560314 26.1148205481379 -762.656755005015</t>
  </si>
  <si>
    <t>-380.682052037141 48.1563427967183 -433.638388365503</t>
  </si>
  <si>
    <t>-612.907106474666 266.972034862148 -254.028453298326</t>
  </si>
  <si>
    <t>-602.990789724421 277.399642142491 201.439090524225</t>
  </si>
  <si>
    <t>-621.89533820866 256.891191734996 670.424599679868</t>
  </si>
  <si>
    <t>-464.012310387478 270.298246400601 746.822927727639</t>
  </si>
  <si>
    <t>-563.015996592694 79.1922261972129 -229.051481546161</t>
  </si>
  <si>
    <t>-454.866291241782 80.6385730452193 213.621350137729</t>
  </si>
  <si>
    <t>-609.78306998775 13.3721870199447 652.222409574595</t>
  </si>
  <si>
    <t>-456.888330161975 -29.5480682741675 727.88325370462</t>
  </si>
  <si>
    <t>9763-20170724T170203.164051200.bin</t>
  </si>
  <si>
    <t>-587.932285809959 173.272058734816 -241.874110651345</t>
  </si>
  <si>
    <t>-606.976080640272 152.342383759589 -359.632661462209</t>
  </si>
  <si>
    <t>-606.524612044881 128.217565852873 -478.411306716756</t>
  </si>
  <si>
    <t>-598.244622425895 104.592673845068 -585.032897144843</t>
  </si>
  <si>
    <t>-582.363742111154 78.8002163517649 -690.282110300552</t>
  </si>
  <si>
    <t>-552.56709920484 40.3837376828035 -834.630080483279</t>
  </si>
  <si>
    <t>-506.126615665611 21.1581786399659 -923.26764118365</t>
  </si>
  <si>
    <t>-564.381103720253 88.1468260963525 -778.665434253091</t>
  </si>
  <si>
    <t>-536.350026182118 232.21959934563 -787.804439043683</t>
  </si>
  <si>
    <t>-453.658111862733 315.700702134756 -493.901056589902</t>
  </si>
  <si>
    <t>-266.870419886938 242.449171879526 -328.412094317388</t>
  </si>
  <si>
    <t>-567.121289934139 26.6168515630277 -762.855612741048</t>
  </si>
  <si>
    <t>-381.594147637975 47.5892224825452 -433.421741385871</t>
  </si>
  <si>
    <t>-612.859450862288 267.375036135069 -254.157983652982</t>
  </si>
  <si>
    <t>-602.728399953285 277.90670435246 201.302204454432</t>
  </si>
  <si>
    <t>-621.917565297104 257.339793003175 670.292259116736</t>
  </si>
  <si>
    <t>-464.073584124302 270.340542260145 746.841403154922</t>
  </si>
  <si>
    <t>-562.95035753004 79.2190696390799 -228.935670358808</t>
  </si>
  <si>
    <t>-454.686776874024 81.1002653384398 213.70766051877</t>
  </si>
  <si>
    <t>-609.736372360807 13.3875300251389 652.140741171564</t>
  </si>
  <si>
    <t>-456.860891717302 -29.5345996742631 727.839351641797</t>
  </si>
  <si>
    <t>9763-20170724T170203.196125600.bin</t>
  </si>
  <si>
    <t>-587.999724383764 173.41956319041 -241.956972103722</t>
  </si>
  <si>
    <t>-607.222157448919 152.463166616149 -359.681748663839</t>
  </si>
  <si>
    <t>-606.97964811064 128.37259260672 -478.467979166457</t>
  </si>
  <si>
    <t>-598.896488913588 104.80275359482 -585.116902548642</t>
  </si>
  <si>
    <t>-583.217733898251 79.0886212780517 -690.415457832699</t>
  </si>
  <si>
    <t>-553.704990162964 40.8046611263571 -834.857053675632</t>
  </si>
  <si>
    <t>-507.353841557652 21.6024355910422 -923.546433030139</t>
  </si>
  <si>
    <t>-565.394644830483 88.5165862564811 -778.822561376804</t>
  </si>
  <si>
    <t>-537.153833908237 232.541076994047 -788.054709074138</t>
  </si>
  <si>
    <t>-454.433391114791 316.026890795803 -494.160746800954</t>
  </si>
  <si>
    <t>-268.125806598321 242.614102897493 -328.202544694861</t>
  </si>
  <si>
    <t>-568.132243407339 26.9717946896733 -763.069527167966</t>
  </si>
  <si>
    <t>-382.025681360111 47.72155204923 -432.85665669716</t>
  </si>
  <si>
    <t>-613.019423989143 267.582986181787 -254.211352205885</t>
  </si>
  <si>
    <t>-602.521082078908 278.071834002785 201.241690068118</t>
  </si>
  <si>
    <t>-621.904981229412 257.46138745345 670.232716403298</t>
  </si>
  <si>
    <t>-464.080595795837 270.287201051281 746.851707289409</t>
  </si>
  <si>
    <t>-562.972929241385 79.4427087543465 -229.023179997099</t>
  </si>
  <si>
    <t>-454.737310156049 81.3135019083786 213.627063300016</t>
  </si>
  <si>
    <t>-609.716306201841 13.4183996261906 652.105075690694</t>
  </si>
  <si>
    <t>-456.889235558296 -29.6183526548948 727.836418854842</t>
  </si>
  <si>
    <t>9763-20170724T170203.262172500.bin</t>
  </si>
  <si>
    <t>-588.357792228447 173.336960073427 -242.022655732462</t>
  </si>
  <si>
    <t>-607.842952669453 152.379214838713 -359.703947208141</t>
  </si>
  <si>
    <t>-607.970095549961 128.36316211338 -478.505349324274</t>
  </si>
  <si>
    <t>-600.255801137154 104.901252227237 -585.205353386603</t>
  </si>
  <si>
    <t>-584.973555074247 79.3415939197484 -690.599877962499</t>
  </si>
  <si>
    <t>-556.033554880453 41.3249593731114 -835.227752929261</t>
  </si>
  <si>
    <t>-509.823207197916 22.252392365303 -924.018620680538</t>
  </si>
  <si>
    <t>-567.563909391063 88.9325691058066 -779.071777802795</t>
  </si>
  <si>
    <t>-539.532766308062 232.986828970051 -788.604733712168</t>
  </si>
  <si>
    <t>-456.895684823729 317.452736474728 -494.967472292836</t>
  </si>
  <si>
    <t>-271.238247627576 243.347722660618 -328.589059356769</t>
  </si>
  <si>
    <t>-570.113271888796 27.3598915575205 -763.396971516808</t>
  </si>
  <si>
    <t>-383.643839724447 47.9079321081649 -432.088804772047</t>
  </si>
  <si>
    <t>-613.207955542968 267.553915028431 -254.241320008694</t>
  </si>
  <si>
    <t>-602.415735612857 278.174006160391 201.20179275395</t>
  </si>
  <si>
    <t>-621.912329159006 257.665361022747 670.171454382158</t>
  </si>
  <si>
    <t>-464.118886033242 270.342695969386 746.878879617865</t>
  </si>
  <si>
    <t>-563.40740982799 79.1332148160843 -229.089818256819</t>
  </si>
  <si>
    <t>-454.914395620871 81.2742747348098 213.496144017224</t>
  </si>
  <si>
    <t>-609.70357642674 13.289677797015 652.034586750363</t>
  </si>
  <si>
    <t>-456.826986785291 -29.5192577188277 727.795086255273</t>
  </si>
  <si>
    <t>9763-20170724T170203.297268500.bin</t>
  </si>
  <si>
    <t>-588.623884736149 173.236228555809 -242.070584218457</t>
  </si>
  <si>
    <t>-608.25163457669 152.286755701335 -359.729806580221</t>
  </si>
  <si>
    <t>-608.539544841906 128.295007626269 -478.535836727208</t>
  </si>
  <si>
    <t>-600.974997736499 104.864807472846 -585.253497141808</t>
  </si>
  <si>
    <t>-585.844841712784 79.3481610246192 -690.680289495711</t>
  </si>
  <si>
    <t>-557.11637588593 41.4053248007649 -835.369651963571</t>
  </si>
  <si>
    <t>-510.987543852768 22.4022742665229 -924.217893181629</t>
  </si>
  <si>
    <t>-568.580567221536 88.9841315772012 -779.175821084372</t>
  </si>
  <si>
    <t>-540.737555387815 233.051985420666 -788.859415688774</t>
  </si>
  <si>
    <t>-458.841225774223 317.968442746652 -495.14446836259</t>
  </si>
  <si>
    <t>-273.274603606453 243.491348478227 -328.830772949959</t>
  </si>
  <si>
    <t>-571.075065309556 27.4036539918975 -763.522412647302</t>
  </si>
  <si>
    <t>-384.89516987089 47.7587644749249 -431.930253830229</t>
  </si>
  <si>
    <t>-613.457240810641 267.398514916662 -254.250930493972</t>
  </si>
  <si>
    <t>-602.458483409065 278.006665023585 201.187517195793</t>
  </si>
  <si>
    <t>-621.899157294941 257.527938445602 670.198785144581</t>
  </si>
  <si>
    <t>-464.096139682099 270.234229295023 746.881664346081</t>
  </si>
  <si>
    <t>-563.750473542242 79.1207094127865 -229.185594711094</t>
  </si>
  <si>
    <t>-455.195791852524 81.1331987372712 213.385834432885</t>
  </si>
  <si>
    <t>-609.717606278094 13.3414179536044 652.044443657624</t>
  </si>
  <si>
    <t>-456.869763309465 -29.5723948801169 727.803597773842</t>
  </si>
  <si>
    <t>9763-20170724T170203.364451600.bin</t>
  </si>
  <si>
    <t>-589.270737662365 173.019247465985 -242.095161395026</t>
  </si>
  <si>
    <t>-609.102417882359 152.120853825934 -359.729139166562</t>
  </si>
  <si>
    <t>-609.782509807411 128.236179864539 -478.55523562529</t>
  </si>
  <si>
    <t>-602.642340036051 104.930355891268 -585.329280627751</t>
  </si>
  <si>
    <t>-588.000926234285 79.5683831464908 -690.862508579267</t>
  </si>
  <si>
    <t>-560.012956207495 41.8741047166905 -835.76188689277</t>
  </si>
  <si>
    <t>-514.138225777244 23.0360591922658 -924.776575292183</t>
  </si>
  <si>
    <t>-571.14310130824 89.3566708912285 -779.419520914117</t>
  </si>
  <si>
    <t>-543.928983772256 233.524033661756 -789.441316059034</t>
  </si>
  <si>
    <t>-465.326431293787 319.217071342877 -495.052928060722</t>
  </si>
  <si>
    <t>-279.769451646411 244.422610288693 -328.87092333713</t>
  </si>
  <si>
    <t>-573.650464738445 27.7485961542961 -763.877151526673</t>
  </si>
  <si>
    <t>-387.325289536336 48.3933007187034 -431.710791393079</t>
  </si>
  <si>
    <t>-613.87568171349 267.223221660357 -254.224576786174</t>
  </si>
  <si>
    <t>-602.759590883802 277.850499315379 201.21064802996</t>
  </si>
  <si>
    <t>-621.916461861619 257.495867735301 670.21047412476</t>
  </si>
  <si>
    <t>-464.099500316726 270.16584550292 746.87066224318</t>
  </si>
  <si>
    <t>-564.565063843854 78.880953488318 -229.217500124529</t>
  </si>
  <si>
    <t>-455.647429536886 80.8874240992641 213.264724808406</t>
  </si>
  <si>
    <t>-609.745655036158 13.2684783557531 652.067440621647</t>
  </si>
  <si>
    <t>-456.876276659828 -29.5769393845351 727.821881665539</t>
  </si>
  <si>
    <t>9763-20170724T170203.392523100.bin</t>
  </si>
  <si>
    <t>-589.510819053708 172.930905595326 -242.055475529947</t>
  </si>
  <si>
    <t>-609.41371563331 152.040031618351 -359.67890116873</t>
  </si>
  <si>
    <t>-610.22343413368 128.192148723292 -478.511385159796</t>
  </si>
  <si>
    <t>-603.221029180368 104.935419010686 -585.305517962136</t>
  </si>
  <si>
    <t>-588.735216559755 79.6412020103212 -690.876260121668</t>
  </si>
  <si>
    <t>-560.979261535935 42.0620585550605 -835.850248432622</t>
  </si>
  <si>
    <t>-515.22646950149 23.269611958523 -924.937174947774</t>
  </si>
  <si>
    <t>-572.022660162738 89.4998038293625 -779.453127355958</t>
  </si>
  <si>
    <t>-544.940044255728 233.669139313297 -789.58485941229</t>
  </si>
  <si>
    <t>-468.521020695221 320.198875859782 -494.86654682779</t>
  </si>
  <si>
    <t>-283.340246056551 245.443683181039 -328.247897850428</t>
  </si>
  <si>
    <t>-574.4981367265 27.8795239041096 -763.954215443548</t>
  </si>
  <si>
    <t>-388.373857682143 48.1582128011753 -431.609032765773</t>
  </si>
  <si>
    <t>-614.006164678783 267.139605120437 -254.216143406467</t>
  </si>
  <si>
    <t>-602.924199284217 277.786981805578 201.219416631804</t>
  </si>
  <si>
    <t>-621.926781858113 257.474712876313 670.223607465284</t>
  </si>
  <si>
    <t>-464.100746963566 270.145969819947 746.864852865749</t>
  </si>
  <si>
    <t>-564.930315693858 78.7281614419926 -229.222022488241</t>
  </si>
  <si>
    <t>-455.844100957655 80.7596911962221 213.218695175741</t>
  </si>
  <si>
    <t>-609.766000030229 13.2310529661872 652.086964702246</t>
  </si>
  <si>
    <t>-456.840040381852 -29.4721355704544 727.807511226651</t>
  </si>
  <si>
    <t>9763-20170724T170203.464732700.bin</t>
  </si>
  <si>
    <t>-589.794979945849 172.661865217831 -242.060970983791</t>
  </si>
  <si>
    <t>-609.868193599961 151.826501131532 -359.665260882876</t>
  </si>
  <si>
    <t>-610.910648399677 128.043895358195 -478.509166679775</t>
  </si>
  <si>
    <t>-604.139319542233 104.859828776175 -585.333653325657</t>
  </si>
  <si>
    <t>-589.901387323172 79.6570124879588 -690.960155432559</t>
  </si>
  <si>
    <t>-562.502996219794 42.229675953108 -836.041305435631</t>
  </si>
  <si>
    <t>-516.899108016345 23.5004625744625 -925.218041130829</t>
  </si>
  <si>
    <t>-573.460183350495 89.6079455348906 -779.577567782763</t>
  </si>
  <si>
    <t>-546.742095307293 233.847618618046 -789.920893499706</t>
  </si>
  <si>
    <t>-474.369754325576 322.499120963277 -494.811800223908</t>
  </si>
  <si>
    <t>-290.605779463274 247.19888823087 -326.875049894615</t>
  </si>
  <si>
    <t>-575.791646831131 27.9723480701384 -764.117402652778</t>
  </si>
  <si>
    <t>-389.729959945103 48.3690355903836 -431.528795500977</t>
  </si>
  <si>
    <t>-614.173883295975 267.048459844356 -254.202926236462</t>
  </si>
  <si>
    <t>-602.874554473503 277.634035866416 201.228685445762</t>
  </si>
  <si>
    <t>-621.924586502683 257.476099844898 670.222633990728</t>
  </si>
  <si>
    <t>-464.091536275493 270.017284730243 746.870984763206</t>
  </si>
  <si>
    <t>-565.279905674497 78.4007678496023 -229.284531192903</t>
  </si>
  <si>
    <t>-456.059163602305 80.4740237395363 213.122732002504</t>
  </si>
  <si>
    <t>-609.82474257133 13.1806496284157 652.150177627305</t>
  </si>
  <si>
    <t>-456.78568528505 -29.2365427756101 727.802907477776</t>
  </si>
  <si>
    <t>9763-20170724T170203.524899400.bin</t>
  </si>
  <si>
    <t>-589.809307614149 172.853050937658 -242.00380266287</t>
  </si>
  <si>
    <t>-610.045849194535 151.955989368352 -359.568990025343</t>
  </si>
  <si>
    <t>-611.347663943169 128.167842185217 -478.40931819818</t>
  </si>
  <si>
    <t>-604.844396422622 105.007273933695 -585.255679233632</t>
  </si>
  <si>
    <t>-590.903716580625 79.8595688231881 -690.934841476518</t>
  </si>
  <si>
    <t>-563.944406452116 42.5441142852324 -836.12702752139</t>
  </si>
  <si>
    <t>-518.508738350771 23.9160937478246 -925.410807297475</t>
  </si>
  <si>
    <t>-574.774712063545 89.8783425667605 -779.601892263719</t>
  </si>
  <si>
    <t>-548.685471577198 234.206998535766 -789.941178126677</t>
  </si>
  <si>
    <t>-479.764023458049 324.753226138679 -494.581449112764</t>
  </si>
  <si>
    <t>-297.07605008505 248.631176707518 -325.843199371165</t>
  </si>
  <si>
    <t>-576.971424989074 28.2317482651599 -764.166082723921</t>
  </si>
  <si>
    <t>-390.646176994439 48.9858982740184 -431.844294518908</t>
  </si>
  <si>
    <t>-614.22558713928 267.219633058718 -254.166322502051</t>
  </si>
  <si>
    <t>-602.798211096712 277.809584028186 201.26199099304</t>
  </si>
  <si>
    <t>-621.934391831985 257.543431792357 670.222302704837</t>
  </si>
  <si>
    <t>-464.106174640768 269.972353926563 746.898818164299</t>
  </si>
  <si>
    <t>-565.328301110481 78.6639507586387 -229.202272026565</t>
  </si>
  <si>
    <t>-455.854463123435 80.6993915378691 213.142638814328</t>
  </si>
  <si>
    <t>-609.801509411416 13.361344222591 652.052020605524</t>
  </si>
  <si>
    <t>-456.901256489222 -29.4775060621114 727.747854617916</t>
  </si>
  <si>
    <t>9763-20170724T170203.562765900.bin</t>
  </si>
  <si>
    <t>-589.886749133686 173.006448158561 -242.035875443133</t>
  </si>
  <si>
    <t>-610.111170838913 152.09312687054 -359.600478462688</t>
  </si>
  <si>
    <t>-611.465610528285 128.326516057818 -478.444380786345</t>
  </si>
  <si>
    <t>-605.034319625245 105.201547919924 -585.30278014751</t>
  </si>
  <si>
    <t>-591.188369660619 80.1060740664757 -691.006787228881</t>
  </si>
  <si>
    <t>-564.382575604628 42.8808900174784 -836.250549902688</t>
  </si>
  <si>
    <t>-519.015666213942 24.3370194341867 -925.586763625672</t>
  </si>
  <si>
    <t>-575.159710174643 90.1799613974488 -779.685727989533</t>
  </si>
  <si>
    <t>-549.380798252935 234.580943351509 -789.961320862187</t>
  </si>
  <si>
    <t>-482.734941891221 325.775687932645 -494.27900688712</t>
  </si>
  <si>
    <t>-299.901462590687 249.657741862118 -325.69659102426</t>
  </si>
  <si>
    <t>-577.326917520134 28.5238020157713 -764.283582674872</t>
  </si>
  <si>
    <t>-390.608001507776 49.39936192598 -431.717779496258</t>
  </si>
  <si>
    <t>-614.360964338564 267.326241867753 -254.178734201306</t>
  </si>
  <si>
    <t>-602.824641359101 277.854195858052 201.24832444068</t>
  </si>
  <si>
    <t>-621.937667587139 257.504104729928 670.227936112666</t>
  </si>
  <si>
    <t>-464.10983189262 269.977767773788 746.897834435438</t>
  </si>
  <si>
    <t>-565.377481506978 78.7915213568519 -229.227248784984</t>
  </si>
  <si>
    <t>-455.914991807604 80.7426414297568 213.120789043996</t>
  </si>
  <si>
    <t>-609.79655675956 13.3182908359706 652.026278355718</t>
  </si>
  <si>
    <t>-456.908336234227 -29.549788070068 727.729855582053</t>
  </si>
  <si>
    <t>9763-20170724T170203.593843100.bin</t>
  </si>
  <si>
    <t>-589.935763269495 173.077646685697 -242.04029940257</t>
  </si>
  <si>
    <t>-610.069206042571 152.18097400702 -359.623393982135</t>
  </si>
  <si>
    <t>-611.401139564138 128.459394689944 -478.476635095893</t>
  </si>
  <si>
    <t>-604.976169685872 105.38911435212 -585.347144938911</t>
  </si>
  <si>
    <t>-591.161774640829 80.3633755793285 -691.072033872706</t>
  </si>
  <si>
    <t>-564.424387526829 43.2518883475611 -836.357356879079</t>
  </si>
  <si>
    <t>-519.112624768596 24.8066612535158 -925.741946761509</t>
  </si>
  <si>
    <t>-575.203176754059 90.5062910414597 -779.755709788544</t>
  </si>
  <si>
    <t>-549.75154716313 234.971890710706 -790.004216523056</t>
  </si>
  <si>
    <t>-485.42231665601 326.288054821293 -493.846707070585</t>
  </si>
  <si>
    <t>-302.229473382196 250.320606791634 -325.586830430064</t>
  </si>
  <si>
    <t>-577.306526513555 28.8388079857314 -764.39046319178</t>
  </si>
  <si>
    <t>-390.115502676458 49.5658027803975 -431.056792222756</t>
  </si>
  <si>
    <t>-614.356422053291 267.383221798663 -254.180406106957</t>
  </si>
  <si>
    <t>-602.914091941082 277.862028516743 201.250159222778</t>
  </si>
  <si>
    <t>-621.921829136391 257.42232301393 670.2325405875</t>
  </si>
  <si>
    <t>-464.097988589761 270.021879527854 746.890206041722</t>
  </si>
  <si>
    <t>-565.36439125454 78.8389943725763 -229.245115206002</t>
  </si>
  <si>
    <t>-455.97564453349 80.7409439511619 213.121422575253</t>
  </si>
  <si>
    <t>-609.797726470232 13.2091977548062 652.024736635761</t>
  </si>
  <si>
    <t>-456.75715333057 -29.1457412188331 727.709279776695</t>
  </si>
  <si>
    <t>9763-20170724T170203.662547700.bin</t>
  </si>
  <si>
    <t>-589.841605524225 173.387645689385 -242.111636940611</t>
  </si>
  <si>
    <t>-609.862992495779 152.540375472505 -359.722578746185</t>
  </si>
  <si>
    <t>-611.062543221882 128.827299882139 -478.578942701376</t>
  </si>
  <si>
    <t>-604.511520569925 105.752211832367 -585.440910752139</t>
  </si>
  <si>
    <t>-590.565420090528 80.7116567678715 -691.144748601932</t>
  </si>
  <si>
    <t>-563.639659624447 43.5710214054438 -836.388047255576</t>
  </si>
  <si>
    <t>-518.323852962492 25.2030298519267 -925.786393323177</t>
  </si>
  <si>
    <t>-574.575021209779 90.8357540730972 -779.824922171187</t>
  </si>
  <si>
    <t>-549.832170076901 235.436224521103 -789.937104633723</t>
  </si>
  <si>
    <t>-489.286462784334 327.215710207112 -493.125868171578</t>
  </si>
  <si>
    <t>-305.557631012851 250.834328896701 -325.639591509145</t>
  </si>
  <si>
    <t>-576.531901866631 29.1734541482119 -764.419835251845</t>
  </si>
  <si>
    <t>-389.103824061877 51.0338213464795 -430.561426317685</t>
  </si>
  <si>
    <t>-614.368107122567 267.629963745628 -254.208136106587</t>
  </si>
  <si>
    <t>-603.029810900831 277.942491432521 201.228840760817</t>
  </si>
  <si>
    <t>-621.932501356806 257.451902253049 670.221790735707</t>
  </si>
  <si>
    <t>-464.104238964148 270.018175491688 746.875792039333</t>
  </si>
  <si>
    <t>-565.2526144688 79.2538521184947 -229.372532671973</t>
  </si>
  <si>
    <t>-456.13850648162 80.9070640614304 213.062883796249</t>
  </si>
  <si>
    <t>-609.797731343275 13.303861173205 652.028397467348</t>
  </si>
  <si>
    <t>-456.832170484673 -29.3012591820448 727.724147189226</t>
  </si>
  <si>
    <t>9763-20170724T170203.696637600.bin</t>
  </si>
  <si>
    <t>-589.853447346892 173.493887243592 -242.158107418761</t>
  </si>
  <si>
    <t>-609.758687865462 152.697017483111 -359.797613566307</t>
  </si>
  <si>
    <t>-610.823908853953 128.988642020685 -478.656220271567</t>
  </si>
  <si>
    <t>-604.146742750092 105.900810573665 -585.507501072472</t>
  </si>
  <si>
    <t>-590.071341924509 80.831122424587 -691.187410670853</t>
  </si>
  <si>
    <t>-562.963790130489 43.6339736882787 -836.382410962596</t>
  </si>
  <si>
    <t>-517.572078588701 25.2767571032323 -925.744452223527</t>
  </si>
  <si>
    <t>-574.018616553245 90.9200984415636 -779.860352012903</t>
  </si>
  <si>
    <t>-549.595626972696 235.582174046384 -789.880633717938</t>
  </si>
  <si>
    <t>-490.318013545936 327.485773410436 -492.851809389924</t>
  </si>
  <si>
    <t>-306.395119988585 250.815248873713 -325.711027783094</t>
  </si>
  <si>
    <t>-575.897459515339 29.2650464072683 -764.415894180006</t>
  </si>
  <si>
    <t>-388.525269704598 51.7485714862219 -431.106509421076</t>
  </si>
  <si>
    <t>-614.429105308184 267.712454408543 -254.212783523043</t>
  </si>
  <si>
    <t>-603.112485974096 277.926902490875 201.226856403369</t>
  </si>
  <si>
    <t>-621.936876449342 257.389617171215 670.23276516923</t>
  </si>
  <si>
    <t>-464.107794357803 270.065368656557 746.867020953406</t>
  </si>
  <si>
    <t>-565.194556798064 79.4048023713303 -229.454609603804</t>
  </si>
  <si>
    <t>-456.270036775198 80.861932986696 213.028200666701</t>
  </si>
  <si>
    <t>-609.808247232056 13.2888754571588 652.053628075309</t>
  </si>
  <si>
    <t>-456.79371960399 -29.1586897709851 727.738952353209</t>
  </si>
  <si>
    <t>9763-20170724T170203.766350400.bin</t>
  </si>
  <si>
    <t>-589.877560461705 173.715977114872 -242.121389318654</t>
  </si>
  <si>
    <t>-609.705487983548 152.934429803172 -359.776800050355</t>
  </si>
  <si>
    <t>-610.658190137191 129.198627700299 -478.630727122422</t>
  </si>
  <si>
    <t>-603.867887520678 106.067630887238 -585.465602808542</t>
  </si>
  <si>
    <t>-589.669985967126 80.9357094204145 -691.114307271196</t>
  </si>
  <si>
    <t>-562.384411448757 43.6320645027217 -836.248538840654</t>
  </si>
  <si>
    <t>-516.868906040372 25.2332713186331 -925.539115920306</t>
  </si>
  <si>
    <t>-573.542062731278 90.9591051283248 -779.780944383459</t>
  </si>
  <si>
    <t>-549.655713758611 235.722525929235 -789.611695712192</t>
  </si>
  <si>
    <t>-491.188723805621 327.342104995329 -492.334528688096</t>
  </si>
  <si>
    <t>-307.065283538118 250.772986074137 -325.368174779594</t>
  </si>
  <si>
    <t>-575.372774103195 29.3164404415329 -764.281290007691</t>
  </si>
  <si>
    <t>-388.37481440291 52.8305643013368 -432.900277207391</t>
  </si>
  <si>
    <t>-614.501695950461 267.789241385459 -254.174001043995</t>
  </si>
  <si>
    <t>-603.334807138949 277.96113432255 201.270321347815</t>
  </si>
  <si>
    <t>-621.946873596313 257.288655280372 670.264276496462</t>
  </si>
  <si>
    <t>-464.106968860197 270.098655667131 746.853904110816</t>
  </si>
  <si>
    <t>-565.181670635697 79.6146819839364 -229.393961314362</t>
  </si>
  <si>
    <t>-456.245400012361 81.0573116021803 213.08598219571</t>
  </si>
  <si>
    <t>-609.80433782384 13.370487271208 652.048200255223</t>
  </si>
  <si>
    <t>-456.844765982385 -29.2884699578485 727.725703086254</t>
  </si>
  <si>
    <t>9763-20170724T170203.794455000.bin</t>
  </si>
  <si>
    <t>-589.932685170621 173.848255011548 -242.156903044431</t>
  </si>
  <si>
    <t>-609.736347623978 153.04288890655 -359.812213645001</t>
  </si>
  <si>
    <t>-610.649795456812 129.261045656508 -478.657224807442</t>
  </si>
  <si>
    <t>-603.819647831632 106.077421692629 -585.478279379961</t>
  </si>
  <si>
    <t>-589.578831546642 80.8808703739533 -691.105768291952</t>
  </si>
  <si>
    <t>-562.232075923137 43.4733955750055 -836.201848986318</t>
  </si>
  <si>
    <t>-516.688267212713 25.0212618038261 -925.466821392203</t>
  </si>
  <si>
    <t>-573.397215460961 90.8410884160635 -779.769806911464</t>
  </si>
  <si>
    <t>-549.571001888348 235.615893607847 -789.531657422132</t>
  </si>
  <si>
    <t>-491.099445525644 326.852809680149 -492.137911073321</t>
  </si>
  <si>
    <t>-306.939838812673 250.604277311006 -325.064697215041</t>
  </si>
  <si>
    <t>-575.267120241183 29.2090184240537 -764.232876037706</t>
  </si>
  <si>
    <t>-389.211411472055 53.066520493948 -433.80293782843</t>
  </si>
  <si>
    <t>-614.622233938427 267.923799336334 -254.197754598456</t>
  </si>
  <si>
    <t>-603.446846230785 278.00304802618 201.248410290115</t>
  </si>
  <si>
    <t>-621.949025969176 257.299015886493 670.253331565825</t>
  </si>
  <si>
    <t>-464.110421946112 270.147268210258 746.839272103995</t>
  </si>
  <si>
    <t>-565.175366126683 79.7867486139326 -229.443955707762</t>
  </si>
  <si>
    <t>-456.290888484194 80.9348352444754 213.049569814845</t>
  </si>
  <si>
    <t>-609.816633059088 13.1762574576076 652.068552468353</t>
  </si>
  <si>
    <t>-456.744280008788 -29.1202462551851 727.721517672638</t>
  </si>
  <si>
    <t>9763-20170724T170203.862613000.bin</t>
  </si>
  <si>
    <t>-590.122165484762 174.119063294375 -242.148584841373</t>
  </si>
  <si>
    <t>-609.89140686174 153.352154981452 -359.816422437687</t>
  </si>
  <si>
    <t>-610.781584024421 129.60644824161 -478.668993602557</t>
  </si>
  <si>
    <t>-603.936106671285 106.450102170809 -585.494793000903</t>
  </si>
  <si>
    <t>-589.686914617956 81.2727815731564 -691.125854213966</t>
  </si>
  <si>
    <t>-562.336731811283 43.8821087714036 -836.225397184229</t>
  </si>
  <si>
    <t>-516.734729506164 25.3615009248715 -925.446746198101</t>
  </si>
  <si>
    <t>-573.414191474807 91.2445214905688 -779.771853730256</t>
  </si>
  <si>
    <t>-549.113451446984 235.966713275775 -789.470682839023</t>
  </si>
  <si>
    <t>-490.381856194351 326.52303077196 -491.920224786</t>
  </si>
  <si>
    <t>-306.452602508018 250.803281925168 -324.353615828056</t>
  </si>
  <si>
    <t>-575.462507660808 29.608118917504 -764.274889611234</t>
  </si>
  <si>
    <t>-390.039220907115 54.864934695074 -433.041087564089</t>
  </si>
  <si>
    <t>-614.652152818406 268.258259732607 -254.205484980401</t>
  </si>
  <si>
    <t>-603.603789478784 278.191653309743 201.246968563143</t>
  </si>
  <si>
    <t>-621.974664379812 257.350150498782 670.251566407109</t>
  </si>
  <si>
    <t>-464.127620018605 270.092668913569 746.837790591315</t>
  </si>
  <si>
    <t>-565.489427676287 80.0022445096356 -229.396578573854</t>
  </si>
  <si>
    <t>-456.432326300555 80.9635067175625 213.054850608602</t>
  </si>
  <si>
    <t>-609.826979637441 13.3076747256946 652.092463491879</t>
  </si>
  <si>
    <t>-456.81347878075 -29.2315187008185 727.728385500226</t>
  </si>
  <si>
    <t>9763-20170724T170203.897709700.bin</t>
  </si>
  <si>
    <t>-590.170330056311 174.151446828443 -242.143477155395</t>
  </si>
  <si>
    <t>-609.972282447744 153.384905473745 -359.805843274919</t>
  </si>
  <si>
    <t>-610.867470445129 129.604580536412 -478.651407365464</t>
  </si>
  <si>
    <t>-604.016460798557 106.402824078713 -585.467005740072</t>
  </si>
  <si>
    <t>-589.752785389983 81.1660317289111 -691.081970737111</t>
  </si>
  <si>
    <t>-562.374126985235 43.6782847060463 -836.151181984824</t>
  </si>
  <si>
    <t>-516.764888421062 25.0590538539825 -925.348139275505</t>
  </si>
  <si>
    <t>-573.436747451955 91.0788184901251 -779.726578429195</t>
  </si>
  <si>
    <t>-549.024251791365 235.773673781146 -789.439152792266</t>
  </si>
  <si>
    <t>-489.799613580481 326.241588563479 -491.959479385268</t>
  </si>
  <si>
    <t>-306.084329328598 250.778510219715 -324.042588127058</t>
  </si>
  <si>
    <t>-575.539899003683 29.4521867999961 -764.198491096105</t>
  </si>
  <si>
    <t>-390.172689455968 54.7795219111663 -431.770985544408</t>
  </si>
  <si>
    <t>-614.670629688553 268.346903580629 -254.204926264912</t>
  </si>
  <si>
    <t>-603.613417681313 278.259604801793 201.247662139727</t>
  </si>
  <si>
    <t>-621.987432254461 257.442899688659 670.22929826452</t>
  </si>
  <si>
    <t>-464.141784472233 270.04955335406 746.840930251556</t>
  </si>
  <si>
    <t>-565.553651291796 79.9740688748188 -229.413562141091</t>
  </si>
  <si>
    <t>-456.460453134923 81.0795065407881 213.028626477155</t>
  </si>
  <si>
    <t>-609.828998612864 13.3939611593823 652.094261031585</t>
  </si>
  <si>
    <t>-456.840687779576 -29.2578057254811 727.717813312686</t>
  </si>
  <si>
    <t>9763-20170724T170203.963889600.bin</t>
  </si>
  <si>
    <t>-590.432866952038 174.420266090794 -242.180574813418</t>
  </si>
  <si>
    <t>-610.252299695294 153.713176144871 -359.850501429888</t>
  </si>
  <si>
    <t>-611.131957319174 129.905922076881 -478.690819182019</t>
  </si>
  <si>
    <t>-604.25715965364 106.643841373363 -585.491847468949</t>
  </si>
  <si>
    <t>-589.962388911538 81.311046845711 -691.079530802241</t>
  </si>
  <si>
    <t>-562.535628641884 43.652512792579 -836.095426198102</t>
  </si>
  <si>
    <t>-516.935749452743 24.8805442693238 -925.265235546554</t>
  </si>
  <si>
    <t>-573.580671886411 91.1198832821378 -779.72365146537</t>
  </si>
  <si>
    <t>-548.974992481386 235.759386570151 -789.488175904279</t>
  </si>
  <si>
    <t>-488.97642612423 326.180072921981 -492.149120622679</t>
  </si>
  <si>
    <t>-305.310421379667 251.790059589237 -323.700412483404</t>
  </si>
  <si>
    <t>-575.761587385302 29.5105533289802 -764.137065907709</t>
  </si>
  <si>
    <t>-390.513231452907 54.0060704493792 -432.588752655831</t>
  </si>
  <si>
    <t>-614.864035576515 268.668812142797 -254.205293594956</t>
  </si>
  <si>
    <t>-603.842871086107 278.428663844376 201.251552706196</t>
  </si>
  <si>
    <t>-622.003917750033 257.419245587189 670.252902545331</t>
  </si>
  <si>
    <t>-464.152504846532 270.020383605607 746.853616519674</t>
  </si>
  <si>
    <t>-565.94645164517 80.3140618222601 -229.435016556043</t>
  </si>
  <si>
    <t>-456.593105027639 81.009282260997 212.943889938583</t>
  </si>
  <si>
    <t>-609.848365942054 13.3764371116965 652.088416521302</t>
  </si>
  <si>
    <t>-456.872800689652 -29.3391906507409 727.701705397468</t>
  </si>
  <si>
    <t>9763-20170724T170203.995972800.bin</t>
  </si>
  <si>
    <t>-590.514776099084 174.576417846874 -242.20156242368</t>
  </si>
  <si>
    <t>-610.266183335571 153.898346772355 -359.888136543228</t>
  </si>
  <si>
    <t>-611.072141221586 130.112988469806 -478.73327460699</t>
  </si>
  <si>
    <t>-604.129888791254 106.865105783804 -585.533096738399</t>
  </si>
  <si>
    <t>-589.76825389471 81.5387775974684 -691.113255473565</t>
  </si>
  <si>
    <t>-562.250355899789 43.879952095667 -836.111679716632</t>
  </si>
  <si>
    <t>-516.596286393357 25.0786832806655 -925.247601331699</t>
  </si>
  <si>
    <t>-573.30700918604 91.34765661705 -779.742561983698</t>
  </si>
  <si>
    <t>-548.556709247119 235.951937997977 -789.511402159169</t>
  </si>
  <si>
    <t>-488.3338621908 326.478243113378 -492.249839644217</t>
  </si>
  <si>
    <t>-304.466555693181 252.95679796495 -323.639499631153</t>
  </si>
  <si>
    <t>-575.545385272386 29.7379153574029 -764.166054504553</t>
  </si>
  <si>
    <t>-391.076316436363 52.9369575476858 -434.317536819529</t>
  </si>
  <si>
    <t>-614.907871554529 268.779369014295 -254.217579279794</t>
  </si>
  <si>
    <t>-604.014883865143 278.503344981635 201.243094377735</t>
  </si>
  <si>
    <t>-622.018131266081 257.444521583314 670.254462148926</t>
  </si>
  <si>
    <t>-464.158281714544 269.993349641866 746.846401016385</t>
  </si>
  <si>
    <t>-565.986436308912 80.4500140634932 -229.488926369997</t>
  </si>
  <si>
    <t>-456.694844818454 81.1245688273098 212.9051660653</t>
  </si>
  <si>
    <t>-609.842424592434 13.4152899460234 652.068200171649</t>
  </si>
  <si>
    <t>-456.910532614231 -29.4254048281621 727.699069100791</t>
  </si>
  <si>
    <t>9763-20170724T170204.060159700.bin</t>
  </si>
  <si>
    <t>-590.56340822289 174.72446990443 -242.216062033398</t>
  </si>
  <si>
    <t>-610.296460655717 154.073627416276 -359.910295645384</t>
  </si>
  <si>
    <t>-611.063122278524 130.378779670999 -478.773922481687</t>
  </si>
  <si>
    <t>-604.075380816877 107.234616741954 -585.593138785475</t>
  </si>
  <si>
    <t>-589.657406283595 82.0322353687907 -691.195275163345</t>
  </si>
  <si>
    <t>-562.049599170797 44.5643787813947 -836.226183620301</t>
  </si>
  <si>
    <t>-516.303054684365 25.8102738902357 -925.324579778225</t>
  </si>
  <si>
    <t>-573.12709571573 91.9579671051963 -779.798935805088</t>
  </si>
  <si>
    <t>-548.080734309263 236.553907528227 -789.446450553716</t>
  </si>
  <si>
    <t>-487.305501353499 327.489283190854 -492.422372780097</t>
  </si>
  <si>
    <t>-302.869526061839 255.186821165295 -323.905891110078</t>
  </si>
  <si>
    <t>-575.403339091805 30.3274500444627 -764.310278936531</t>
  </si>
  <si>
    <t>-390.8084734047 51.7054496582009 -437.675507683041</t>
  </si>
  <si>
    <t>-615.017213548484 268.981573310813 -254.225536997325</t>
  </si>
  <si>
    <t>-604.103988869197 278.565197910039 201.237611453765</t>
  </si>
  <si>
    <t>-622.044146538736 257.493926211434 670.239778279617</t>
  </si>
  <si>
    <t>-464.179873516773 269.969640371027 746.834364991556</t>
  </si>
  <si>
    <t>-566.056831785175 80.5299899845452 -229.535825255904</t>
  </si>
  <si>
    <t>-456.77933941219 81.2529181199645 212.861733096208</t>
  </si>
  <si>
    <t>-609.825961953647 13.4450538926822 652.04148464161</t>
  </si>
  <si>
    <t>-456.896373150015 -29.3613613449543 727.696422894516</t>
  </si>
  <si>
    <t>9763-20170724T170204.126341300.bin</t>
  </si>
  <si>
    <t>-590.5813972849 174.733531236466 -242.159451324983</t>
  </si>
  <si>
    <t>-610.302763457806 154.067435770847 -359.853110019234</t>
  </si>
  <si>
    <t>-611.010289460403 130.346634774424 -478.711816204284</t>
  </si>
  <si>
    <t>-603.950282849478 107.176115749872 -585.520573923994</t>
  </si>
  <si>
    <t>-589.441678701681 81.9452543578282 -691.103555799977</t>
  </si>
  <si>
    <t>-561.689198634217 44.4366367566024 -836.096371922403</t>
  </si>
  <si>
    <t>-515.86872901277 25.6692945648649 -925.15402028809</t>
  </si>
  <si>
    <t>-572.846576072322 91.8458995192113 -779.69787171398</t>
  </si>
  <si>
    <t>-547.891101248559 236.444336388181 -789.310993227245</t>
  </si>
  <si>
    <t>-486.4924917382 327.699567748208 -492.513217824175</t>
  </si>
  <si>
    <t>-301.824836893841 255.711515015864 -324.116116658943</t>
  </si>
  <si>
    <t>-575.091054150332 30.2202081017313 -764.18527328951</t>
  </si>
  <si>
    <t>-390.256680922334 50.5802036406465 -438.424964309203</t>
  </si>
  <si>
    <t>-614.976873057099 268.986647831779 -254.202756423683</t>
  </si>
  <si>
    <t>-604.128389959616 278.615457641528 201.261123554007</t>
  </si>
  <si>
    <t>-622.048268663541 257.469885602171 670.248305886373</t>
  </si>
  <si>
    <t>-464.182103363245 269.957925819203 746.836933874067</t>
  </si>
  <si>
    <t>-566.070516937543 80.5383737130001 -229.471589891367</t>
  </si>
  <si>
    <t>-456.692153443554 81.3937283618623 212.900822686114</t>
  </si>
  <si>
    <t>-609.818672745933 13.5743163613392 652.022648985352</t>
  </si>
  <si>
    <t>-456.978294463569 -29.5269594468173 727.690399749252</t>
  </si>
  <si>
    <t>9763-20170724T170204.129347000.bin</t>
  </si>
  <si>
    <t>-590.483693292857 174.69425816702 -242.176446160254</t>
  </si>
  <si>
    <t>-610.223068902789 154.017346422481 -359.865179532676</t>
  </si>
  <si>
    <t>-610.876516371256 130.279028832931 -478.720704853009</t>
  </si>
  <si>
    <t>-603.738972415146 107.089397487184 -585.520220316852</t>
  </si>
  <si>
    <t>-589.12493117674 81.8362465788928 -691.083372231933</t>
  </si>
  <si>
    <t>-561.197927238554 44.2928256710409 -836.033664192271</t>
  </si>
  <si>
    <t>-515.290961440684 25.5368261018505 -925.04903827486</t>
  </si>
  <si>
    <t>-572.439973169072 91.7154410323928 -779.663076713024</t>
  </si>
  <si>
    <t>-547.483303481048 236.311955546854 -789.200196368036</t>
  </si>
  <si>
    <t>-485.500899282828 327.68051041738 -492.558764138147</t>
  </si>
  <si>
    <t>-300.526336464619 255.992251363151 -324.370552693239</t>
  </si>
  <si>
    <t>-574.669537007061 30.093850572031 -764.132161462833</t>
  </si>
  <si>
    <t>-389.363827559199 49.293759267063 -439.342949283158</t>
  </si>
  <si>
    <t>-614.9348375611 268.96390422854 -254.201592946862</t>
  </si>
  <si>
    <t>-604.104334988061 278.568442742278 201.263080196722</t>
  </si>
  <si>
    <t>-622.043698280526 257.435135791216 670.251155584643</t>
  </si>
  <si>
    <t>-464.179562839409 269.987146002527 746.833682422325</t>
  </si>
  <si>
    <t>-565.926431223734 80.5291570509378 -229.486907183887</t>
  </si>
  <si>
    <t>-456.619449120158 81.4072700926336 212.903083242045</t>
  </si>
  <si>
    <t>-609.817862461372 13.5169107097145 652.01438503166</t>
  </si>
  <si>
    <t>-456.981975573118 -29.601391622984 727.681524761041</t>
  </si>
  <si>
    <t>9763-20170724T170204.226567700.bin</t>
  </si>
  <si>
    <t>-590.370672749333 174.663423527683 -242.219351513221</t>
  </si>
  <si>
    <t>-610.0928582253 154.001337518706 -359.913568183308</t>
  </si>
  <si>
    <t>-610.684533132938 130.280895950475 -478.773032375852</t>
  </si>
  <si>
    <t>-603.473680673397 107.10689277759 -585.57109241692</t>
  </si>
  <si>
    <t>-588.769751541124 81.8674594054173 -691.124891091388</t>
  </si>
  <si>
    <t>-560.701381237328 44.3404513367066 -836.052177387593</t>
  </si>
  <si>
    <t>-514.680835588999 25.6225454630844 -925.016979936593</t>
  </si>
  <si>
    <t>-572.004619913297 91.756578337677 -779.688334692752</t>
  </si>
  <si>
    <t>-546.93024253181 236.336067432009 -789.167205870629</t>
  </si>
  <si>
    <t>-484.394818050784 327.584767552413 -492.6048505556</t>
  </si>
  <si>
    <t>-299.158224847226 255.781438257618 -324.754585648676</t>
  </si>
  <si>
    <t>-574.236934501389 30.133361964045 -764.164247958466</t>
  </si>
  <si>
    <t>-388.692702381036 48.1231231252643 -440.604107781034</t>
  </si>
  <si>
    <t>-614.892341175049 268.965454968552 -254.212645863282</t>
  </si>
  <si>
    <t>-604.058429286882 278.557269072915 201.252157690701</t>
  </si>
  <si>
    <t>-622.050991219072 257.443501915761 670.247785109986</t>
  </si>
  <si>
    <t>-464.186851536643 270.011260471354 746.827636450918</t>
  </si>
  <si>
    <t>-565.733978323768 80.4726416428673 -229.545462194087</t>
  </si>
  <si>
    <t>-456.630747126819 81.3836273042775 212.894769426926</t>
  </si>
  <si>
    <t>-609.815498880693 13.4223868940664 652.004223862129</t>
  </si>
  <si>
    <t>-456.873365622446 -29.3135045959204 727.673656959704</t>
  </si>
  <si>
    <t>9763-20170724T170204.261665800.bin</t>
  </si>
  <si>
    <t>-590.565057608309 174.760277542787 -242.164157373133</t>
  </si>
  <si>
    <t>-610.235594508258 154.092516366718 -359.865843834161</t>
  </si>
  <si>
    <t>-610.666232576511 130.471034282962 -478.745691169274</t>
  </si>
  <si>
    <t>-603.263419569051 107.423504001655 -585.558066972699</t>
  </si>
  <si>
    <t>-588.320692759712 82.3440443643303 -691.116417728465</t>
  </si>
  <si>
    <t>-559.871917986172 45.0712145366945 -836.034977503296</t>
  </si>
  <si>
    <t>-513.576513490896 26.4916168425711 -924.886181028597</t>
  </si>
  <si>
    <t>-571.353392256167 92.3879701236565 -779.623993874656</t>
  </si>
  <si>
    <t>-545.89804218989 236.920517354617 -788.70340290336</t>
  </si>
  <si>
    <t>-480.571422730771 327.255628532688 -492.463204258876</t>
  </si>
  <si>
    <t>-295.101265763564 254.049720448251 -325.478783067093</t>
  </si>
  <si>
    <t>-573.565905345336 30.7384303568776 -764.202099890597</t>
  </si>
  <si>
    <t>-388.428465367825 48.2069187791033 -443.540892183363</t>
  </si>
  <si>
    <t>-615.12445943046 268.913440624799 -254.169054566867</t>
  </si>
  <si>
    <t>-604.205818903285 278.496956340449 201.293968389745</t>
  </si>
  <si>
    <t>-622.051074992651 257.233844034091 670.293867482089</t>
  </si>
  <si>
    <t>-464.172373138242 270.010047025007 746.809186168772</t>
  </si>
  <si>
    <t>-565.973680245269 80.700398075473 -229.490230734618</t>
  </si>
  <si>
    <t>-456.515563791854 81.4502657019357 212.862604534012</t>
  </si>
  <si>
    <t>-609.787305555548 13.5080082520017 651.941768468046</t>
  </si>
  <si>
    <t>-456.877011767001 -29.2834697690489 727.644078941349</t>
  </si>
  <si>
    <t>9763-20170724T170204.296756500.bin</t>
  </si>
  <si>
    <t>-590.693673293515 174.709879547379 -242.128926146259</t>
  </si>
  <si>
    <t>-610.33880311973 154.042035895953 -359.834980543029</t>
  </si>
  <si>
    <t>-610.696611708594 130.478945663186 -478.726739969834</t>
  </si>
  <si>
    <t>-603.206684601667 107.508340065042 -585.549413627948</t>
  </si>
  <si>
    <t>-588.154594305042 82.5293687311826 -691.116116035802</t>
  </si>
  <si>
    <t>-559.52965770437 45.4209409767846 -836.042278954297</t>
  </si>
  <si>
    <t>-513.174376206995 26.9432269422273 -924.883400196206</t>
  </si>
  <si>
    <t>-571.119809946972 92.673177088388 -779.599409473791</t>
  </si>
  <si>
    <t>-545.701151385426 237.238092983999 -788.491755971197</t>
  </si>
  <si>
    <t>-478.940879369496 327.018650203503 -492.402720741628</t>
  </si>
  <si>
    <t>-293.391789573996 253.348553598142 -325.710535806158</t>
  </si>
  <si>
    <t>-573.27078409215 31.0073244429873 -764.234615644587</t>
  </si>
  <si>
    <t>-388.333263524504 48.8179277927734 -443.651015080876</t>
  </si>
  <si>
    <t>-615.283316067163 268.8633575331 -254.147008438717</t>
  </si>
  <si>
    <t>-604.242569122619 278.434919746927 201.313383621171</t>
  </si>
  <si>
    <t>-622.045466651516 257.148561750928 670.30977372937</t>
  </si>
  <si>
    <t>-464.165943885689 270.048470715362 746.802649445814</t>
  </si>
  <si>
    <t>-565.996536371339 80.6365899799662 -229.49551071102</t>
  </si>
  <si>
    <t>-456.559843254247 81.4731570975314 212.862432217692</t>
  </si>
  <si>
    <t>-609.791169640277 13.4259888751162 651.939323969174</t>
  </si>
  <si>
    <t>-456.874662268059 -29.3529461487608 727.636223875882</t>
  </si>
  <si>
    <t>9763-20170724T170204.362761500.bin</t>
  </si>
  <si>
    <t>-590.845592177757 174.56832445582 -242.191149305314</t>
  </si>
  <si>
    <t>-610.407934834842 153.92536344617 -359.915365670168</t>
  </si>
  <si>
    <t>-610.60948904076 130.44569751391 -478.823907351585</t>
  </si>
  <si>
    <t>-602.948226513327 107.570092629658 -585.65488707084</t>
  </si>
  <si>
    <t>-587.694976592805 82.7034502283534 -691.219264756711</t>
  </si>
  <si>
    <t>-558.760199969128 45.7665120802244 -836.127696142361</t>
  </si>
  <si>
    <t>-512.297072285603 27.4862004744807 -924.953212956478</t>
  </si>
  <si>
    <t>-570.515407019696 92.9515072090121 -779.662511635753</t>
  </si>
  <si>
    <t>-545.092619947103 237.544952526395 -788.264296795614</t>
  </si>
  <si>
    <t>-475.751136454806 324.971934382988 -492.064314482996</t>
  </si>
  <si>
    <t>-289.563304755714 251.074648392909 -326.18674554639</t>
  </si>
  <si>
    <t>-572.610451784902 31.2685077591868 -764.357900482658</t>
  </si>
  <si>
    <t>-387.658285607534 49.0459587943501 -441.634854621083</t>
  </si>
  <si>
    <t>-615.608484019025 268.696026310124 -254.137426036085</t>
  </si>
  <si>
    <t>-604.489755497494 278.298514449905 201.320402542884</t>
  </si>
  <si>
    <t>-622.053207548774 257.064559519886 670.332942055482</t>
  </si>
  <si>
    <t>-464.159455493707 270.046372171848 746.782598517181</t>
  </si>
  <si>
    <t>-565.990918774314 80.5855332964293 -229.561049329145</t>
  </si>
  <si>
    <t>-456.709385538595 81.4102029299409 212.835289174168</t>
  </si>
  <si>
    <t>-609.795428926431 13.4175022052275 651.960634046274</t>
  </si>
  <si>
    <t>-456.869460651525 -29.3493896868497 727.645229611026</t>
  </si>
  <si>
    <t>9763-20170724T170204.396848300.bin</t>
  </si>
  <si>
    <t>-590.980940418157 174.512002808539 -242.165007256687</t>
  </si>
  <si>
    <t>-610.477724231225 153.874196082656 -359.901048186687</t>
  </si>
  <si>
    <t>-610.589150934455 130.421618435459 -478.814988786245</t>
  </si>
  <si>
    <t>-602.836984589375 107.576492254977 -585.645979165454</t>
  </si>
  <si>
    <t>-587.48396751543 82.7446806128924 -691.204063497728</t>
  </si>
  <si>
    <t>-558.402067058615 45.8589626913699 -836.09603827668</t>
  </si>
  <si>
    <t>-511.888781163431 27.6690702803 -924.914030046041</t>
  </si>
  <si>
    <t>-570.222986859757 93.0237238164393 -779.627697103587</t>
  </si>
  <si>
    <t>-544.759855677822 237.601893685852 -788.101007050759</t>
  </si>
  <si>
    <t>-474.413885643104 323.812302107178 -491.781189058423</t>
  </si>
  <si>
    <t>-287.787491568635 249.778307110114 -326.458335917625</t>
  </si>
  <si>
    <t>-572.316906187302 31.3356485641073 -764.343894342717</t>
  </si>
  <si>
    <t>-387.379417623814 48.6070121466032 -439.845762042669</t>
  </si>
  <si>
    <t>-615.821162265105 268.628362228855 -254.120034382855</t>
  </si>
  <si>
    <t>-604.746596013181 278.248542756713 201.338477790982</t>
  </si>
  <si>
    <t>-622.079195844186 257.073543888783 670.352095450309</t>
  </si>
  <si>
    <t>-464.174306008063 270.09901284841 746.771313321783</t>
  </si>
  <si>
    <t>-566.080724287852 80.4892613011077 -229.541632438091</t>
  </si>
  <si>
    <t>-456.756399545705 81.3899294161347 212.844085754431</t>
  </si>
  <si>
    <t>-609.801077359328 13.4184824751489 651.965847458772</t>
  </si>
  <si>
    <t>-456.750981749268 -28.9541505567602 727.621265606028</t>
  </si>
  <si>
    <t>9763-20170724T170204.463887100.bin</t>
  </si>
  <si>
    <t>-591.196133966023 174.466488519517 -242.194863821734</t>
  </si>
  <si>
    <t>-610.617547682224 153.813958057821 -359.940631981523</t>
  </si>
  <si>
    <t>-610.531152173597 130.387315054786 -478.859796659234</t>
  </si>
  <si>
    <t>-602.551462943398 107.576498356236 -585.681369829324</t>
  </si>
  <si>
    <t>-586.924068361595 82.7860148177917 -691.208875451263</t>
  </si>
  <si>
    <t>-557.414337464648 45.9619959919546 -836.030068549534</t>
  </si>
  <si>
    <t>-510.716995784165 27.9153346194555 -924.780647596102</t>
  </si>
  <si>
    <t>-569.422987777807 93.1023921648184 -779.580963935242</t>
  </si>
  <si>
    <t>-543.819930585662 237.66830999369 -787.839182420864</t>
  </si>
  <si>
    <t>-471.565176650307 322.172961328701 -491.487484355436</t>
  </si>
  <si>
    <t>-284.51084831682 247.28206337955 -327.036537034021</t>
  </si>
  <si>
    <t>-571.520005654877 31.4085206190514 -764.321347634852</t>
  </si>
  <si>
    <t>-387.297719105513 47.175594888613 -437.544157711726</t>
  </si>
  <si>
    <t>-616.165406310585 268.469124770082 -254.124522558789</t>
  </si>
  <si>
    <t>-605.060640156088 278.17286906243 201.331566376188</t>
  </si>
  <si>
    <t>-622.083146128704 256.954839372393 670.38061373006</t>
  </si>
  <si>
    <t>-464.16383184767 270.123494123933 746.745483911807</t>
  </si>
  <si>
    <t>-566.101160303033 80.5854737132697 -229.565442990612</t>
  </si>
  <si>
    <t>-456.818778487042 81.5179917821674 212.830493394465</t>
  </si>
  <si>
    <t>-609.817124462754 13.569876282432 651.983024945255</t>
  </si>
  <si>
    <t>-456.861247187733 -29.2000623056158 727.605391213432</t>
  </si>
  <si>
    <t>9763-20170724T170204.493981600.bin</t>
  </si>
  <si>
    <t>-591.216324569985 174.42426000659 -242.155129080428</t>
  </si>
  <si>
    <t>-610.64637456274 153.74253306949 -359.8943845648</t>
  </si>
  <si>
    <t>-610.499851314659 130.348966636553 -478.819878799212</t>
  </si>
  <si>
    <t>-602.436515650468 107.58923377487 -585.646110576754</t>
  </si>
  <si>
    <t>-586.695852952466 82.8693021419792 -691.17343169936</t>
  </si>
  <si>
    <t>-556.998118366535 46.1613549103693 -835.985578321043</t>
  </si>
  <si>
    <t>-510.188820862772 28.1833339870698 -924.691162046474</t>
  </si>
  <si>
    <t>-569.071114499544 93.2566224356895 -779.512719360984</t>
  </si>
  <si>
    <t>-543.330075575869 237.801389108782 -787.646830525835</t>
  </si>
  <si>
    <t>-470.394408576933 321.829780432044 -491.326481134854</t>
  </si>
  <si>
    <t>-283.213559273731 246.705753261853 -327.126078939744</t>
  </si>
  <si>
    <t>-571.205789263862 31.5502407387935 -764.308662617636</t>
  </si>
  <si>
    <t>-387.163037130749 46.5891407277209 -436.018401192901</t>
  </si>
  <si>
    <t>-616.205131591667 268.433793594784 -254.119095236977</t>
  </si>
  <si>
    <t>-605.109675687829 278.170129932091 201.336462286948</t>
  </si>
  <si>
    <t>-622.094033779925 256.996221644059 670.376066505642</t>
  </si>
  <si>
    <t>-464.175083388375 270.159836320954 746.742550070319</t>
  </si>
  <si>
    <t>-566.137886176622 80.4565891490847 -229.49191989572</t>
  </si>
  <si>
    <t>-456.702509053751 81.476006712054 212.866064846724</t>
  </si>
  <si>
    <t>-609.815488929171 13.4516821226216 651.967755091622</t>
  </si>
  <si>
    <t>-456.794929858307 -29.094647293557 727.58546077162</t>
  </si>
  <si>
    <t>9763-20170724T170204.565890800.bin</t>
  </si>
  <si>
    <t>-591.26746847493 174.258217928098 -242.177145836527</t>
  </si>
  <si>
    <t>-610.70088036979 153.582223558924 -359.916790335812</t>
  </si>
  <si>
    <t>-610.415662244977 130.227457425153 -478.849666468866</t>
  </si>
  <si>
    <t>-602.170217248417 107.508754461796 -585.670678568712</t>
  </si>
  <si>
    <t>-586.19295449618 82.8311849076938 -691.172357423856</t>
  </si>
  <si>
    <t>-556.112296524984 46.1801682972487 -835.919978567427</t>
  </si>
  <si>
    <t>-509.048343335702 28.2088474370971 -924.492038744418</t>
  </si>
  <si>
    <t>-568.27259335258 93.2541962597213 -779.447949121905</t>
  </si>
  <si>
    <t>-541.988614327668 237.720792698605 -787.456904782531</t>
  </si>
  <si>
    <t>-468.095349958132 321.187284233621 -491.214945959844</t>
  </si>
  <si>
    <t>-280.917103952419 245.389734051763 -327.321301963372</t>
  </si>
  <si>
    <t>-570.571540209461 31.540057211367 -764.299297872285</t>
  </si>
  <si>
    <t>-386.886449385801 45.1952954158078 -437.483427343215</t>
  </si>
  <si>
    <t>-616.202347862217 268.29969561541 -254.145486720401</t>
  </si>
  <si>
    <t>-605.058524366481 278.115817403935 201.307104977538</t>
  </si>
  <si>
    <t>-622.118095301704 257.039084579254 670.371218012014</t>
  </si>
  <si>
    <t>-464.195962712276 270.146670022551 746.74074317035</t>
  </si>
  <si>
    <t>-566.21859456229 80.3015534982671 -229.550009906193</t>
  </si>
  <si>
    <t>-456.829144782017 81.350917582472 212.819233989291</t>
  </si>
  <si>
    <t>-609.823073828575 13.5562081962535 651.98359704426</t>
  </si>
  <si>
    <t>-456.855050444061 -29.1797647928297 727.600555562683</t>
  </si>
  <si>
    <t>9763-20170724T170204.595970000.bin</t>
  </si>
  <si>
    <t>-591.348364428312 173.972793440348 -242.165762935101</t>
  </si>
  <si>
    <t>-610.835437151764 153.317268248169 -359.900366655047</t>
  </si>
  <si>
    <t>-610.589004670463 129.990537063934 -478.8386809745</t>
  </si>
  <si>
    <t>-602.372388032414 107.297286779641 -585.667493233743</t>
  </si>
  <si>
    <t>-586.417840171603 82.6441988508823 -691.178139611682</t>
  </si>
  <si>
    <t>-556.362779303132 46.0250252453498 -835.939205795677</t>
  </si>
  <si>
    <t>-509.231447835557 28.0143850454767 -924.467209073752</t>
  </si>
  <si>
    <t>-568.466261802484 93.0871281067948 -779.445045139565</t>
  </si>
  <si>
    <t>-541.90797155988 237.507887387044 -787.427034391679</t>
  </si>
  <si>
    <t>-467.307681724486 320.578674104883 -491.25107030678</t>
  </si>
  <si>
    <t>-280.154792691457 244.622767927739 -327.40191346278</t>
  </si>
  <si>
    <t>-570.856191043274 31.3685513140645 -764.328661122109</t>
  </si>
  <si>
    <t>-386.855518681865 44.8151091550353 -437.901883560497</t>
  </si>
  <si>
    <t>-616.195667634665 268.08203697335 -254.130509942711</t>
  </si>
  <si>
    <t>-604.985703890423 278.021139645824 201.317868046848</t>
  </si>
  <si>
    <t>-622.127559896692 257.063242145714 670.367362281072</t>
  </si>
  <si>
    <t>-464.206466443391 270.113609445019 746.748856786372</t>
  </si>
  <si>
    <t>-566.469212268917 79.8958432526963 -229.511738344525</t>
  </si>
  <si>
    <t>-456.836654507431 81.0532924591985 212.797010971208</t>
  </si>
  <si>
    <t>-609.828857102479 13.3311723310462 651.993263635657</t>
  </si>
  <si>
    <t>-456.725668600678 -28.9427389441785 727.596429919711</t>
  </si>
  <si>
    <t>9763-20170724T170204.660144200.bin</t>
  </si>
  <si>
    <t>-591.459180680489 173.501335300207 -242.233708957979</t>
  </si>
  <si>
    <t>-611.077190302168 152.91254768719 -359.958157941351</t>
  </si>
  <si>
    <t>-610.962041806956 129.609426069062 -478.901502640336</t>
  </si>
  <si>
    <t>-602.86419306558 106.921455707563 -585.740222401629</t>
  </si>
  <si>
    <t>-587.028587688276 82.2587918769971 -691.26676093794</t>
  </si>
  <si>
    <t>-557.139088431781 45.6115113614992 -836.054955655974</t>
  </si>
  <si>
    <t>-510.048960881822 27.4498605719002 -924.574045049569</t>
  </si>
  <si>
    <t>-569.124621778333 92.6852302995871 -779.545162299539</t>
  </si>
  <si>
    <t>-542.326173511189 237.061652080024 -787.528962739856</t>
  </si>
  <si>
    <t>-466.686697655169 320.092151210335 -491.605320619137</t>
  </si>
  <si>
    <t>-279.571391352233 244.038984258402 -327.758218705853</t>
  </si>
  <si>
    <t>-571.603889433309 30.9684450646819 -764.435963529729</t>
  </si>
  <si>
    <t>-387.927822246718 44.5951250781004 -437.928931943047</t>
  </si>
  <si>
    <t>-616.112138950848 267.706184149962 -254.147223303396</t>
  </si>
  <si>
    <t>-604.92471076849 277.756765578982 201.299220692216</t>
  </si>
  <si>
    <t>-622.148525489251 257.109375034171 670.360890152616</t>
  </si>
  <si>
    <t>-464.224598302533 269.988415912798 746.765585629267</t>
  </si>
  <si>
    <t>-566.682033922438 79.3919603038546 -229.622795865049</t>
  </si>
  <si>
    <t>-457.086390312234 80.7728139904643 212.694496367036</t>
  </si>
  <si>
    <t>-609.848948894952 13.4516806284953 652.030702150706</t>
  </si>
  <si>
    <t>-456.790259264309 -28.997365651757 727.62581975132</t>
  </si>
  <si>
    <t>9763-20170724T170204.699248400.bin</t>
  </si>
  <si>
    <t>-591.422464230347 173.300860437002 -242.214336518653</t>
  </si>
  <si>
    <t>-611.095910536698 152.701314012533 -359.927422173647</t>
  </si>
  <si>
    <t>-611.045439760522 129.373542457887 -478.866072396148</t>
  </si>
  <si>
    <t>-603.009445608685 106.658869717463 -585.703933839378</t>
  </si>
  <si>
    <t>-587.238963400385 81.9657279281912 -691.233073109899</t>
  </si>
  <si>
    <t>-557.442954766476 45.2730913212647 -836.028867545245</t>
  </si>
  <si>
    <t>-510.445913108803 27.0693945503656 -924.589007061911</t>
  </si>
  <si>
    <t>-569.37003970563 92.36475622174 -779.521921165007</t>
  </si>
  <si>
    <t>-542.586887834442 236.727460572341 -787.604796426634</t>
  </si>
  <si>
    <t>-466.940754053922 320.116454963405 -491.783607196895</t>
  </si>
  <si>
    <t>-279.909759219037 244.014862022083 -327.862978148499</t>
  </si>
  <si>
    <t>-571.883481654353 30.6521406644226 -764.400511566249</t>
  </si>
  <si>
    <t>-388.284863597275 44.5605310512169 -437.161387222864</t>
  </si>
  <si>
    <t>-616.003842685847 267.543608758353 -254.152536771532</t>
  </si>
  <si>
    <t>-604.791688424694 277.681548840616 201.291460431424</t>
  </si>
  <si>
    <t>-622.156146245237 257.1530450793 670.353316940596</t>
  </si>
  <si>
    <t>-464.230219236204 269.903376545598 746.775534450262</t>
  </si>
  <si>
    <t>-566.726798798435 79.1228814400361 -229.593281157988</t>
  </si>
  <si>
    <t>-457.059711067868 80.694211000708 212.705624036662</t>
  </si>
  <si>
    <t>-609.855627168715 13.5440957907981 652.040637929128</t>
  </si>
  <si>
    <t>-456.944181845377 -29.4056946126459 727.650959981808</t>
  </si>
  <si>
    <t>9763-20170724T170204.761100900.bin</t>
  </si>
  <si>
    <t>-591.202939224916 172.975183601576 -242.201716479432</t>
  </si>
  <si>
    <t>-611.018812207497 152.353006753529 -359.887158145088</t>
  </si>
  <si>
    <t>-611.185423667388 128.951345957761 -478.811165387126</t>
  </si>
  <si>
    <t>-603.375844340787 106.150981086853 -585.647453901339</t>
  </si>
  <si>
    <t>-587.861516391716 81.3545106884421 -691.190289346753</t>
  </si>
  <si>
    <t>-558.45202439939 44.5008937923208 -836.024240476209</t>
  </si>
  <si>
    <t>-511.700918430676 26.226977499364 -924.700040951898</t>
  </si>
  <si>
    <t>-570.16403450252 91.6558341649122 -779.525010044807</t>
  </si>
  <si>
    <t>-543.608454910062 236.036183790346 -788.06770706007</t>
  </si>
  <si>
    <t>-469.286234915586 321.052761496509 -492.374389175192</t>
  </si>
  <si>
    <t>-282.718812811302 245.149848605043 -327.834316337007</t>
  </si>
  <si>
    <t>-572.765569907681 29.9591304037831 -764.35448184402</t>
  </si>
  <si>
    <t>-390.582180946352 45.6904636969266 -436.558271288735</t>
  </si>
  <si>
    <t>-615.653708492092 267.31495554763 -254.181548550827</t>
  </si>
  <si>
    <t>-604.440594588765 277.602302644405 201.259012127414</t>
  </si>
  <si>
    <t>-622.164973130048 257.298860357736 670.310051371717</t>
  </si>
  <si>
    <t>-464.258633801727 269.879275636797 746.800727190901</t>
  </si>
  <si>
    <t>-566.668696501555 78.7643831362163 -229.541474814277</t>
  </si>
  <si>
    <t>-456.835305558297 80.4833043680412 212.715699379244</t>
  </si>
  <si>
    <t>-609.854550571744 13.5386893666503 652.032042157971</t>
  </si>
  <si>
    <t>-456.91567424691 -29.3287621626323 727.633576752262</t>
  </si>
  <si>
    <t>9763-20170724T170204.798199100.bin</t>
  </si>
  <si>
    <t>-591.038279622286 172.851616898541 -242.177695884426</t>
  </si>
  <si>
    <t>-610.877916040994 152.183709603722 -359.851049779475</t>
  </si>
  <si>
    <t>-611.128528890594 128.729613013727 -478.764610492296</t>
  </si>
  <si>
    <t>-603.418711333765 105.881048783727 -585.597824785454</t>
  </si>
  <si>
    <t>-588.027100960595 81.0368156072275 -691.147546476952</t>
  </si>
  <si>
    <t>-558.810866625353 44.1185564404636 -836.004078477764</t>
  </si>
  <si>
    <t>-512.178014644011 25.8248191733762 -924.737941926925</t>
  </si>
  <si>
    <t>-570.429968606429 91.2987899338866 -779.506879229866</t>
  </si>
  <si>
    <t>-543.813938615436 235.656400158976 -788.207403115219</t>
  </si>
  <si>
    <t>-470.67184783969 321.454272798806 -492.445492883105</t>
  </si>
  <si>
    <t>-284.551944207343 245.490493737211 -327.427429431546</t>
  </si>
  <si>
    <t>-573.046317142798 29.6085300057973 -764.31216540375</t>
  </si>
  <si>
    <t>-390.829864894864 46.212658034468 -435.915537457914</t>
  </si>
  <si>
    <t>-615.450329410324 267.232875693651 -254.191294253709</t>
  </si>
  <si>
    <t>-604.228823949917 277.603494294978 201.247123633381</t>
  </si>
  <si>
    <t>-622.167331162527 257.378560864966 670.283179146076</t>
  </si>
  <si>
    <t>-464.276744569281 269.896993813211 746.816606765271</t>
  </si>
  <si>
    <t>-566.533122603074 78.5420298445742 -229.476699950124</t>
  </si>
  <si>
    <t>-456.616592735401 80.414886636911 212.759088427146</t>
  </si>
  <si>
    <t>-609.848585720238 13.4625207546337 652.005912234082</t>
  </si>
  <si>
    <t>-456.844442810431 -29.171571694525 727.607300490968</t>
  </si>
  <si>
    <t>9763-20170724T170204.862373600.bin</t>
  </si>
  <si>
    <t>-590.733574579596 172.753422096516 -242.120212418508</t>
  </si>
  <si>
    <t>-610.640593422884 151.995969986023 -359.766544484966</t>
  </si>
  <si>
    <t>-611.081903070879 128.399582241994 -478.651152239699</t>
  </si>
  <si>
    <t>-603.594480538541 105.406131384492 -585.469148700356</t>
  </si>
  <si>
    <t>-588.47426222014 80.4037526922402 -691.020799244941</t>
  </si>
  <si>
    <t>-559.684670323532 43.2545291429876 -835.903824697876</t>
  </si>
  <si>
    <t>-513.301056193977 24.9000245334153 -924.755663729721</t>
  </si>
  <si>
    <t>-571.134885606751 90.5249048473986 -779.447227528186</t>
  </si>
  <si>
    <t>-544.751206832255 234.893919211438 -788.383295755026</t>
  </si>
  <si>
    <t>-473.833946909723 321.659306767106 -492.361754883238</t>
  </si>
  <si>
    <t>-288.327420552668 245.724319534014 -326.641312695998</t>
  </si>
  <si>
    <t>-573.71146126807 28.8588969975706 -764.147586997539</t>
  </si>
  <si>
    <t>-391.301666724053 46.8694124781648 -434.386109334416</t>
  </si>
  <si>
    <t>-615.193268100861 267.196296396766 -254.203782153294</t>
  </si>
  <si>
    <t>-603.867499241843 277.665897023427 201.229920135467</t>
  </si>
  <si>
    <t>-622.16443331579 257.446893897956 670.255469140773</t>
  </si>
  <si>
    <t>-464.291346255482 269.864245407995 746.841510772411</t>
  </si>
  <si>
    <t>-566.185721911372 78.4100885560745 -229.400885379606</t>
  </si>
  <si>
    <t>-456.24058359011 80.4687742184406 212.826923231639</t>
  </si>
  <si>
    <t>-609.830035800885 13.552196718852 651.946947895969</t>
  </si>
  <si>
    <t>-456.918415586757 -29.358114774541 727.579254855496</t>
  </si>
  <si>
    <t>9763-20170724T170204.896475600.bin</t>
  </si>
  <si>
    <t>-590.612983669764 172.721928743125 -242.154446993569</t>
  </si>
  <si>
    <t>-610.517952175068 151.931021701389 -359.795268930059</t>
  </si>
  <si>
    <t>-611.028944799153 128.295511180962 -478.671966012783</t>
  </si>
  <si>
    <t>-603.633165261024 105.266383797054 -585.48857728292</t>
  </si>
  <si>
    <t>-588.63228775835 80.2294404245547 -691.048898253383</t>
  </si>
  <si>
    <t>-560.036350045293 43.0341772275644 -835.958488106721</t>
  </si>
  <si>
    <t>-513.742469087844 24.6847466399349 -924.858265050507</t>
  </si>
  <si>
    <t>-571.427199524651 90.3222358450848 -779.505007910039</t>
  </si>
  <si>
    <t>-545.141893637881 234.720958409657 -788.490779704285</t>
  </si>
  <si>
    <t>-474.805169962711 321.38682104829 -492.301739161303</t>
  </si>
  <si>
    <t>-289.423101287466 245.705841244695 -326.326079837434</t>
  </si>
  <si>
    <t>-573.951109818456 28.6615404012057 -764.175936767543</t>
  </si>
  <si>
    <t>-391.346691056547 46.9993740434004 -434.333215924229</t>
  </si>
  <si>
    <t>-615.116894763843 267.107726613423 -254.226647795275</t>
  </si>
  <si>
    <t>-603.726082154477 277.630956875227 201.204144482357</t>
  </si>
  <si>
    <t>-622.145851653644 257.388497167512 670.239705170049</t>
  </si>
  <si>
    <t>-464.28297147176 269.875281107617 746.835448669713</t>
  </si>
  <si>
    <t>-566.021158988715 78.4534766397665 -229.424311452364</t>
  </si>
  <si>
    <t>-456.198499994781 80.5192105682606 212.833934866124</t>
  </si>
  <si>
    <t>-609.823696047284 13.607294095679 651.945534047225</t>
  </si>
  <si>
    <t>-456.915378438916 -29.3061160682421 727.582812391207</t>
  </si>
  <si>
    <t>9763-20170724T170204.961221700.bin</t>
  </si>
  <si>
    <t>-590.678613628385 172.61459223789 -242.12210372916</t>
  </si>
  <si>
    <t>-610.644553157829 151.7286944177 -359.735811647577</t>
  </si>
  <si>
    <t>-611.33877123641 128.046783747096 -478.602163482206</t>
  </si>
  <si>
    <t>-604.154813759946 104.997351424356 -585.42896028777</t>
  </si>
  <si>
    <t>-589.409168153609 79.9617422991682 -691.025602424008</t>
  </si>
  <si>
    <t>-561.210059412648 42.7914249806834 -836.01931345726</t>
  </si>
  <si>
    <t>-515.066220523828 24.5099046379701 -925.011051064495</t>
  </si>
  <si>
    <t>-572.472789381106 90.069653539063 -779.531705216453</t>
  </si>
  <si>
    <t>-546.244060298511 234.472249573285 -788.599166549607</t>
  </si>
  <si>
    <t>-475.999541432071 320.587544147266 -492.227541547487</t>
  </si>
  <si>
    <t>-290.633128728774 244.924054852813 -326.226470647166</t>
  </si>
  <si>
    <t>-574.901791477117 28.4066080067466 -764.196362900342</t>
  </si>
  <si>
    <t>-391.650554245139 47.099808010491 -434.269824122227</t>
  </si>
  <si>
    <t>-615.39260498551 266.868832379006 -254.219734542847</t>
  </si>
  <si>
    <t>-603.675912061871 277.468319884672 201.201046862233</t>
  </si>
  <si>
    <t>-622.122970342487 257.218627473346 670.252750663725</t>
  </si>
  <si>
    <t>-464.263249698425 269.919599796132 746.819771881993</t>
  </si>
  <si>
    <t>-565.901223703484 78.448329273918 -229.330387340424</t>
  </si>
  <si>
    <t>-456.108994091791 80.7106417712989 212.934447647577</t>
  </si>
  <si>
    <t>-609.812102608244 13.7206049037859 651.939796972652</t>
  </si>
  <si>
    <t>-456.931013196653 -29.2722468339982 727.586999134301</t>
  </si>
  <si>
    <t>9763-20170724T170204.994309500.bin</t>
  </si>
  <si>
    <t>-590.792917709227 172.462141722121 -242.139129692667</t>
  </si>
  <si>
    <t>-610.789953476444 151.528553830744 -359.738796329815</t>
  </si>
  <si>
    <t>-611.606274137505 127.831004861451 -478.601477281537</t>
  </si>
  <si>
    <t>-604.567700602737 104.780293750937 -585.437702351783</t>
  </si>
  <si>
    <t>-590.000602447356 79.756400973625 -691.061869257065</t>
  </si>
  <si>
    <t>-562.082512390095 42.6152296902246 -836.117337392297</t>
  </si>
  <si>
    <t>-516.046190297053 24.3655237823941 -925.171217314487</t>
  </si>
  <si>
    <t>-573.231009511262 89.8822052148946 -779.597646939314</t>
  </si>
  <si>
    <t>-546.942126279621 234.293855352573 -788.654724397611</t>
  </si>
  <si>
    <t>-476.34635716415 320.091117310194 -492.274413506846</t>
  </si>
  <si>
    <t>-290.881840829181 244.380812625004 -326.404284483943</t>
  </si>
  <si>
    <t>-575.639812996952 28.2159065554092 -764.271850221296</t>
  </si>
  <si>
    <t>-391.833703257095 47.5592417986038 -434.286491806399</t>
  </si>
  <si>
    <t>-615.609074848485 266.661448621598 -254.223968854406</t>
  </si>
  <si>
    <t>-603.775327874822 277.354583562162 201.191474791508</t>
  </si>
  <si>
    <t>-622.123256916114 257.151803733851 670.260424686908</t>
  </si>
  <si>
    <t>-464.254837153933 269.890983129257 746.803235341478</t>
  </si>
  <si>
    <t>-565.863948040231 78.3424924994986 -229.363011406979</t>
  </si>
  <si>
    <t>-456.210391802435 80.6978105623825 212.935738168634</t>
  </si>
  <si>
    <t>-609.814119126998 13.7430546629796 651.968612319532</t>
  </si>
  <si>
    <t>-456.894842996769 -29.1314460265087 727.605760600298</t>
  </si>
  <si>
    <t>9763-20170724T170205.060990100.bin</t>
  </si>
  <si>
    <t>-591.249409002226 172.085028796359 -242.122647459657</t>
  </si>
  <si>
    <t>-611.333734058193 151.096218041242 -359.697633808458</t>
  </si>
  <si>
    <t>-612.390899950839 127.322944332025 -478.543330459284</t>
  </si>
  <si>
    <t>-605.631575501999 104.196739758363 -585.381272658837</t>
  </si>
  <si>
    <t>-591.404021493079 79.0907556967165 -691.032135165668</t>
  </si>
  <si>
    <t>-564.019001563266 41.8290573977586 -836.158403135508</t>
  </si>
  <si>
    <t>-518.246501520833 23.5660757781329 -925.3454479657</t>
  </si>
  <si>
    <t>-574.948628772972 89.1430464774112 -779.635412309453</t>
  </si>
  <si>
    <t>-548.61668448631 233.507747957619 -788.961891219419</t>
  </si>
  <si>
    <t>-477.328176034925 318.791605584263 -492.599117721282</t>
  </si>
  <si>
    <t>-291.773649420311 243.306234621824 -326.727117429224</t>
  </si>
  <si>
    <t>-577.323448431264 27.4893998254036 -764.253686789288</t>
  </si>
  <si>
    <t>-392.888642464253 47.5860936657527 -434.645541178699</t>
  </si>
  <si>
    <t>-616.205832969587 266.126089803041 -254.192613161608</t>
  </si>
  <si>
    <t>-604.084390795658 276.992041060804 201.211246859097</t>
  </si>
  <si>
    <t>-622.138498546287 256.982116947607 670.307687466162</t>
  </si>
  <si>
    <t>-464.250015356207 269.9575554328 746.76922976205</t>
  </si>
  <si>
    <t>-566.271031892542 78.1482791483227 -229.327367983925</t>
  </si>
  <si>
    <t>-456.463436397751 80.4600617320875 212.933462056682</t>
  </si>
  <si>
    <t>-609.841900808117 13.7927727353022 652.071490250655</t>
  </si>
  <si>
    <t>-456.895729088322 -29.0480443378071 727.673410258438</t>
  </si>
  <si>
    <t>9763-20170724T170205.094078200.bin</t>
  </si>
  <si>
    <t>-591.592002573249 171.820760809349 -242.131593606468</t>
  </si>
  <si>
    <t>-611.740398850844 150.833942481598 -359.696081468748</t>
  </si>
  <si>
    <t>-612.92872408629 127.063534451855 -478.540930479434</t>
  </si>
  <si>
    <t>-606.314201267808 103.940570192606 -585.388553793481</t>
  </si>
  <si>
    <t>-592.256779402491 78.8385235363216 -691.063257603978</t>
  </si>
  <si>
    <t>-565.133629423561 41.582803811991 -836.240145544545</t>
  </si>
  <si>
    <t>-519.496812973056 23.3226622143052 -925.497293454263</t>
  </si>
  <si>
    <t>-575.950431052186 88.8945111038329 -779.693550659654</t>
  </si>
  <si>
    <t>-549.501728531523 233.24542074568 -789.07912076746</t>
  </si>
  <si>
    <t>-477.966125667851 318.477249431323 -492.761098653845</t>
  </si>
  <si>
    <t>-292.33503638285 243.045273704672 -326.950380110236</t>
  </si>
  <si>
    <t>-578.319129483107 27.2401028780075 -764.314219699506</t>
  </si>
  <si>
    <t>-393.775731764913 47.830636617671 -435.029454252003</t>
  </si>
  <si>
    <t>-616.580928543772 265.800123285712 -254.178635338295</t>
  </si>
  <si>
    <t>-604.310961486152 276.75149637821 201.21917133111</t>
  </si>
  <si>
    <t>-622.139283675001 256.854536516717 670.343161609398</t>
  </si>
  <si>
    <t>-464.238225734707 269.976828275272 746.753708480761</t>
  </si>
  <si>
    <t>-566.543098158611 77.9347366174131 -229.383635523549</t>
  </si>
  <si>
    <t>-456.76752917959 80.2056027612134 212.885360430796</t>
  </si>
  <si>
    <t>-609.869186295407 13.6445322366058 652.144545090313</t>
  </si>
  <si>
    <t>-456.820272536687 -28.8924106247573 727.710127115403</t>
  </si>
  <si>
    <t>9763-20170724T170205.162282500.bin</t>
  </si>
  <si>
    <t>-592.36767944598 171.228866740866 -242.132925681412</t>
  </si>
  <si>
    <t>-612.642449969567 150.251468491733 -359.677344128601</t>
  </si>
  <si>
    <t>-614.075124855609 126.48851749877 -478.521045688061</t>
  </si>
  <si>
    <t>-607.727655841242 103.372060297434 -585.386376187004</t>
  </si>
  <si>
    <t>-593.981673399808 78.2770569647171 -691.103640460607</t>
  </si>
  <si>
    <t>-567.335732156785 41.0322920530502 -836.371762577525</t>
  </si>
  <si>
    <t>-521.928939830183 22.7477026109866 -925.741113214712</t>
  </si>
  <si>
    <t>-577.948768298984 88.3398682571817 -779.783070088829</t>
  </si>
  <si>
    <t>-551.365103638308 232.638021102919 -789.353140676047</t>
  </si>
  <si>
    <t>-479.231214797149 317.976098911525 -493.210733475416</t>
  </si>
  <si>
    <t>-293.54404693367 242.689524529961 -327.396971342714</t>
  </si>
  <si>
    <t>-580.302714557958 26.6840496738666 -764.407152524005</t>
  </si>
  <si>
    <t>-395.261599101106 47.9042202605201 -435.8018542661</t>
  </si>
  <si>
    <t>-617.340826408486 265.094767025765 -254.131197886979</t>
  </si>
  <si>
    <t>-604.712724312399 276.206870493914 201.252919949781</t>
  </si>
  <si>
    <t>-622.138799421816 256.599498030344 670.400915916783</t>
  </si>
  <si>
    <t>-464.216432966304 269.983908971292 746.721948207437</t>
  </si>
  <si>
    <t>-567.322823615197 77.4135662305639 -229.44355016264</t>
  </si>
  <si>
    <t>-457.454751720595 79.7030383719978 212.802393583472</t>
  </si>
  <si>
    <t>-609.924816714327 13.5871451612161 652.321860597771</t>
  </si>
  <si>
    <t>-456.814599867806 -28.8427267222075 727.823333386216</t>
  </si>
  <si>
    <t>9763-20170724T170205.201385600.bin</t>
  </si>
  <si>
    <t>-592.739175587953 170.918580688284 -242.101862339022</t>
  </si>
  <si>
    <t>-613.066197333153 149.964928045888 -359.641491428068</t>
  </si>
  <si>
    <t>-614.617652307938 126.226237313492 -478.488599089405</t>
  </si>
  <si>
    <t>-608.403316875285 103.133632806492 -585.366843049054</t>
  </si>
  <si>
    <t>-594.81525248504 78.0648169683216 -691.110751308116</t>
  </si>
  <si>
    <t>-568.413248913466 40.859583288325 -836.433504892741</t>
  </si>
  <si>
    <t>-523.11407771192 22.5633262007111 -925.855135662428</t>
  </si>
  <si>
    <t>-578.922485984481 88.1518227874149 -779.812754643089</t>
  </si>
  <si>
    <t>-552.225541910576 232.443543715854 -789.432688773356</t>
  </si>
  <si>
    <t>-479.828127030488 317.793204233501 -493.3579308167</t>
  </si>
  <si>
    <t>-294.130333940635 242.567593024466 -327.528311933195</t>
  </si>
  <si>
    <t>-581.268110086316 26.4917639008295 -764.452785729406</t>
  </si>
  <si>
    <t>-395.926733330864 48.0216237447933 -435.912945832845</t>
  </si>
  <si>
    <t>-617.675960816301 264.800888061696 -254.09691840055</t>
  </si>
  <si>
    <t>-604.910812407936 276.001847551935 201.281280066813</t>
  </si>
  <si>
    <t>-622.144051039445 256.539729322385 670.426551832391</t>
  </si>
  <si>
    <t>-464.206986372547 269.957739639793 746.711249212355</t>
  </si>
  <si>
    <t>-567.703364338473 77.1156372613113 -229.461711450875</t>
  </si>
  <si>
    <t>-457.781376536616 79.360718468256 212.770969542235</t>
  </si>
  <si>
    <t>-609.961897501239 13.4081978974064 652.425788986826</t>
  </si>
  <si>
    <t>-456.783303988807 -28.8597398542913 727.879415943375</t>
  </si>
  <si>
    <t>9763-20170724T170205.264562900.bin</t>
  </si>
  <si>
    <t>-593.280753481884 170.576869919033 -242.042340525802</t>
  </si>
  <si>
    <t>-613.751972446372 149.610444208301 -359.55462657929</t>
  </si>
  <si>
    <t>-615.540956262021 125.901527854907 -478.404302288758</t>
  </si>
  <si>
    <t>-609.575579944812 102.854185288732 -585.306474682774</t>
  </si>
  <si>
    <t>-596.267715596204 77.8501412682613 -691.10130896187</t>
  </si>
  <si>
    <t>-570.284801051669 40.7553075841415 -836.52781920225</t>
  </si>
  <si>
    <t>-525.202323061463 22.4719801887554 -926.061442627569</t>
  </si>
  <si>
    <t>-580.615427191919 88.0046530164509 -779.838221140045</t>
  </si>
  <si>
    <t>-553.800301239583 232.263602620078 -789.489953027725</t>
  </si>
  <si>
    <t>-480.944277617087 317.369972638504 -493.457780927602</t>
  </si>
  <si>
    <t>-295.250476784885 242.288130759715 -327.558345756968</t>
  </si>
  <si>
    <t>-582.947459328165 26.3325615160154 -764.523884811802</t>
  </si>
  <si>
    <t>-396.948370726906 48.0340885160201 -436.033332560695</t>
  </si>
  <si>
    <t>-618.221327598276 264.435657233774 -254.029481329307</t>
  </si>
  <si>
    <t>-605.161136295925 275.777734584334 201.336795327354</t>
  </si>
  <si>
    <t>-622.164135625805 256.451225124558 670.477691050708</t>
  </si>
  <si>
    <t>-464.207220227631 269.912141594432 746.713748888889</t>
  </si>
  <si>
    <t>-568.203757343365 76.8154561958381 -229.396089890281</t>
  </si>
  <si>
    <t>-458.073183350358 79.1262443085413 212.784324222495</t>
  </si>
  <si>
    <t>-610.025334304941 13.5702813530709 652.594964980012</t>
  </si>
  <si>
    <t>-456.953171816095 -29.2206278908432 727.96978793838</t>
  </si>
  <si>
    <t>9763-20170724T170205.298654300.bin</t>
  </si>
  <si>
    <t>-593.387575138326 170.327328347451 -241.98058905971</t>
  </si>
  <si>
    <t>-613.910780031325 149.33268163122 -359.478762448942</t>
  </si>
  <si>
    <t>-615.808629448895 125.632972030327 -478.328646497559</t>
  </si>
  <si>
    <t>-609.962282163027 102.610304867963 -585.24265692931</t>
  </si>
  <si>
    <t>-596.792271893881 77.6472881224597 -691.064465463575</t>
  </si>
  <si>
    <t>-571.018601607414 40.6271886081458 -836.547312283387</t>
  </si>
  <si>
    <t>-526.058064962398 22.3657335985326 -926.146607627374</t>
  </si>
  <si>
    <t>-581.262746737247 87.847376674124 -779.817749605382</t>
  </si>
  <si>
    <t>-554.429468860311 232.105437704864 -789.441137139599</t>
  </si>
  <si>
    <t>-481.389387704681 317.108894302493 -493.424613513469</t>
  </si>
  <si>
    <t>-295.707182749976 242.099354288442 -327.479742818254</t>
  </si>
  <si>
    <t>-583.582540698749 26.1675797612754 -764.533465005961</t>
  </si>
  <si>
    <t>-397.558323657586 47.9643195233655 -436.224377469226</t>
  </si>
  <si>
    <t>-618.352490164187 264.235393841833 -253.994839994379</t>
  </si>
  <si>
    <t>-605.272292512535 275.659541529526 201.368856254075</t>
  </si>
  <si>
    <t>-622.175596181506 256.435240706741 670.503131774635</t>
  </si>
  <si>
    <t>-464.211399849974 269.920217973585 746.719717104181</t>
  </si>
  <si>
    <t>-568.311231073987 76.4711669597405 -229.316057998394</t>
  </si>
  <si>
    <t>-458.096368109479 79.0112010487615 212.842191249712</t>
  </si>
  <si>
    <t>-610.033484048401 13.4796987251898 652.629961262258</t>
  </si>
  <si>
    <t>-456.837310903353 -28.9175648440737 727.975259305916</t>
  </si>
  <si>
    <t>9763-20170724T170205.363860600.bin</t>
  </si>
  <si>
    <t>-593.480567033537 170.214829052286 -241.983512561125</t>
  </si>
  <si>
    <t>-614.067473051527 149.172200814634 -359.462038646287</t>
  </si>
  <si>
    <t>-616.135797684989 125.515918730215 -478.317655790692</t>
  </si>
  <si>
    <t>-610.482173666879 102.569613386245 -585.258563255612</t>
  </si>
  <si>
    <t>-597.539942664263 77.719845016527 -691.135046028353</t>
  </si>
  <si>
    <t>-572.116014927139 40.8948807914605 -836.7288292026</t>
  </si>
  <si>
    <t>-527.368557946547 22.7260021557634 -926.453550667452</t>
  </si>
  <si>
    <t>-582.217747168095 88.0390183629036 -779.910628173178</t>
  </si>
  <si>
    <t>-555.313620941546 232.286354259153 -789.474283652532</t>
  </si>
  <si>
    <t>-482.110283442486 316.865573936618 -493.376744824355</t>
  </si>
  <si>
    <t>-296.471657217904 241.999319293051 -327.318388097047</t>
  </si>
  <si>
    <t>-584.512837127922 26.3385317121347 -764.705630739331</t>
  </si>
  <si>
    <t>-398.613442997477 48.6850341879033 -436.208157748329</t>
  </si>
  <si>
    <t>-618.541407752763 264.125606763581 -253.994233463232</t>
  </si>
  <si>
    <t>-605.343190850046 275.613239020482 201.364461098142</t>
  </si>
  <si>
    <t>-622.189075397987 256.436613312289 670.519490995806</t>
  </si>
  <si>
    <t>-464.220206679059 269.963186999328 746.719128594371</t>
  </si>
  <si>
    <t>-568.367817582551 76.4353017036954 -229.303308501679</t>
  </si>
  <si>
    <t>-458.081010322282 79.1030599669859 212.836235421638</t>
  </si>
  <si>
    <t>-610.023316998882 13.5671623297455 652.657405204794</t>
  </si>
  <si>
    <t>-456.903347262272 -29.0823143766634 728.015272497658</t>
  </si>
  <si>
    <t>9763-20170724T170205.396948800.bin</t>
  </si>
  <si>
    <t>-593.492013926765 170.250465640099 -241.986426169197</t>
  </si>
  <si>
    <t>-614.061002252819 149.221574779403 -359.470434405468</t>
  </si>
  <si>
    <t>-616.18469156899 125.58582543099 -478.329261104072</t>
  </si>
  <si>
    <t>-610.610289779759 102.6617717473 -585.279062045562</t>
  </si>
  <si>
    <t>-597.775638380102 77.8383273427403 -691.174787498516</t>
  </si>
  <si>
    <t>-572.529691234048 41.0546083482154 -836.810031679616</t>
  </si>
  <si>
    <t>-527.886532879384 22.9054586220673 -926.590725999135</t>
  </si>
  <si>
    <t>-582.556649872922 88.1826378576172 -779.965215438318</t>
  </si>
  <si>
    <t>-555.678057005955 232.444071393806 -789.497288858928</t>
  </si>
  <si>
    <t>-482.373447905579 316.835806457145 -493.371221037756</t>
  </si>
  <si>
    <t>-296.734792052929 241.993224489436 -327.302202581334</t>
  </si>
  <si>
    <t>-584.843834686859 26.477883430038 -764.776640138151</t>
  </si>
  <si>
    <t>-399.204527725804 49.1252196243699 -436.29403970913</t>
  </si>
  <si>
    <t>-618.569046130089 264.114031064599 -253.985654251958</t>
  </si>
  <si>
    <t>-605.343342528049 275.597964800001 201.372414507412</t>
  </si>
  <si>
    <t>-622.181238859031 256.383753431117 670.526891559557</t>
  </si>
  <si>
    <t>-464.216570618066 269.996170459508 746.719924060329</t>
  </si>
  <si>
    <t>-568.288038950755 76.5136278607595 -229.343196452798</t>
  </si>
  <si>
    <t>-458.188285404564 79.1234788693325 212.843273024338</t>
  </si>
  <si>
    <t>-610.023743805199 13.4957560974606 652.681934815585</t>
  </si>
  <si>
    <t>-456.861014570073 -29.0109049022578 728.033603545785</t>
  </si>
  <si>
    <t>9763-20170724T170205.462154700.bin</t>
  </si>
  <si>
    <t>-593.336882720224 170.334312202819 -241.970190572681</t>
  </si>
  <si>
    <t>-613.927706864878 149.31193079619 -359.451639822927</t>
  </si>
  <si>
    <t>-616.138840449003 125.691334247517 -478.311812893619</t>
  </si>
  <si>
    <t>-610.669070276037 102.785648230197 -585.270990801765</t>
  </si>
  <si>
    <t>-597.963668252469 77.9857122181179 -691.187943171676</t>
  </si>
  <si>
    <t>-572.921681642333 41.2406792321206 -836.868076601443</t>
  </si>
  <si>
    <t>-528.431875603873 23.1260661547346 -926.731737236577</t>
  </si>
  <si>
    <t>-582.863203502846 88.3536067318068 -779.995820494438</t>
  </si>
  <si>
    <t>-555.961523578691 232.616070462575 -789.484984928462</t>
  </si>
  <si>
    <t>-482.64455208612 316.65025184312 -493.260328529437</t>
  </si>
  <si>
    <t>-296.9929091461 241.746759764023 -327.233284691814</t>
  </si>
  <si>
    <t>-585.140774502913 26.6447889593599 -764.822388030932</t>
  </si>
  <si>
    <t>-399.305468577095 49.6697517675602 -435.667364159386</t>
  </si>
  <si>
    <t>-618.458746496109 264.209375194244 -253.966300092783</t>
  </si>
  <si>
    <t>-605.306894255126 275.659986630533 201.394735052916</t>
  </si>
  <si>
    <t>-622.206658202274 256.439650818371 670.540229303174</t>
  </si>
  <si>
    <t>-464.235524405144 269.987106551973 746.731416383534</t>
  </si>
  <si>
    <t>-568.170528693125 76.5457212938147 -229.317785096473</t>
  </si>
  <si>
    <t>-458.138978142889 79.2245613085665 212.885328029793</t>
  </si>
  <si>
    <t>-610.020979435385 13.6407070298724 652.711135836153</t>
  </si>
  <si>
    <t>-456.932209169652 -29.1073446864891 728.076493545888</t>
  </si>
  <si>
    <t>9763-20170724T170205.496245000.bin</t>
  </si>
  <si>
    <t>-593.354816798323 170.426291764028 -241.952871255874</t>
  </si>
  <si>
    <t>-613.940995401067 149.415330052449 -359.437083054829</t>
  </si>
  <si>
    <t>-616.140672990135 125.789306704664 -478.296546496971</t>
  </si>
  <si>
    <t>-610.658463758416 102.872302065985 -585.252583852853</t>
  </si>
  <si>
    <t>-597.938845856455 78.0551967744364 -691.163749125173</t>
  </si>
  <si>
    <t>-572.875610658286 41.2805845807677 -836.8327844541</t>
  </si>
  <si>
    <t>-528.397334084591 23.1639083036264 -926.701856549537</t>
  </si>
  <si>
    <t>-582.828310866084 88.4050840693671 -779.972027455812</t>
  </si>
  <si>
    <t>-555.971449622555 232.664007260763 -789.456729215038</t>
  </si>
  <si>
    <t>-482.609493625034 316.691881091935 -493.241554661391</t>
  </si>
  <si>
    <t>-296.937447311387 241.853554937235 -327.207895387546</t>
  </si>
  <si>
    <t>-585.102360549521 26.699287424922 -764.785474041909</t>
  </si>
  <si>
    <t>-399.116560584774 49.5337958905545 -435.084909614014</t>
  </si>
  <si>
    <t>-618.420931885489 264.323238445094 -253.954884074892</t>
  </si>
  <si>
    <t>-605.283356871505 275.758692415304 201.406958889097</t>
  </si>
  <si>
    <t>-622.209034774431 256.470382083311 670.53395706787</t>
  </si>
  <si>
    <t>-464.239062208771 269.935857343371 746.742067332053</t>
  </si>
  <si>
    <t>-568.245889686062 76.6450403736906 -229.268765021431</t>
  </si>
  <si>
    <t>-458.049378641246 79.130756382697 212.8943227696</t>
  </si>
  <si>
    <t>-610.022050739157 13.4982126850432 652.70826790585</t>
  </si>
  <si>
    <t>-456.837580510183 -28.9190817972342 728.066139814165</t>
  </si>
  <si>
    <t>9763-20170724T170205.561968900.bin</t>
  </si>
  <si>
    <t>-593.127418326947 170.749845072047 -241.946539891515</t>
  </si>
  <si>
    <t>-613.664554331021 149.758987752339 -359.442913917402</t>
  </si>
  <si>
    <t>-615.778231756977 126.144395654055 -478.30615020501</t>
  </si>
  <si>
    <t>-610.204236194802 103.2336625204 -585.258827940264</t>
  </si>
  <si>
    <t>-597.37974144232 78.4181173475436 -691.157690223756</t>
  </si>
  <si>
    <t>-572.158108661223 41.6401735082475 -836.798579205232</t>
  </si>
  <si>
    <t>-527.595531727267 23.5084152254676 -926.622822489473</t>
  </si>
  <si>
    <t>-582.163653745737 88.7661414189877 -779.948229639312</t>
  </si>
  <si>
    <t>-555.27072220215 233.030327798524 -789.390945958818</t>
  </si>
  <si>
    <t>-481.916111283112 317.145129093013 -493.198407638052</t>
  </si>
  <si>
    <t>-296.065835643159 242.785840925412 -327.148826331349</t>
  </si>
  <si>
    <t>-584.472107397964 27.0606019588722 -764.765734133754</t>
  </si>
  <si>
    <t>-397.992621169681 48.6393947452045 -434.113169875035</t>
  </si>
  <si>
    <t>-618.163476338807 264.644024760868 -253.960470644571</t>
  </si>
  <si>
    <t>-605.147522653259 275.963809658305 201.407651629679</t>
  </si>
  <si>
    <t>-622.193807034016 256.498616189573 670.519257606982</t>
  </si>
  <si>
    <t>-464.244821237052 270.050321170802 746.755701437454</t>
  </si>
  <si>
    <t>-567.915516068739 76.894388338452 -229.29855325342</t>
  </si>
  <si>
    <t>-457.940787136291 79.4176206456834 212.919507675253</t>
  </si>
  <si>
    <t>-609.996312402681 13.6436944878585 652.656975811103</t>
  </si>
  <si>
    <t>-456.877469353632 -28.9433613035783 728.052426066582</t>
  </si>
  <si>
    <t>9763-20170724T170205.593046500.bin</t>
  </si>
  <si>
    <t>-593.01333979452 170.871889881626 -241.964562856005</t>
  </si>
  <si>
    <t>-613.538031226306 149.87816240497 -359.462706742554</t>
  </si>
  <si>
    <t>-615.581368661928 126.256658031302 -478.325788516668</t>
  </si>
  <si>
    <t>-609.921096899852 103.336470925162 -585.27184221459</t>
  </si>
  <si>
    <t>-596.988413765331 78.5080120459895 -691.15462063077</t>
  </si>
  <si>
    <t>-571.594440630374 41.7083043784785 -836.759947438838</t>
  </si>
  <si>
    <t>-526.935227295059 23.5553886646876 -926.531947236183</t>
  </si>
  <si>
    <t>-581.670801785278 88.8426853064252 -779.929077010525</t>
  </si>
  <si>
    <t>-554.79653582939 233.105741882217 -789.374290237272</t>
  </si>
  <si>
    <t>-481.3546879617 317.346268393815 -493.239063327119</t>
  </si>
  <si>
    <t>-295.424247905215 243.239691146052 -327.166440931078</t>
  </si>
  <si>
    <t>-583.990151733252 27.1395304897346 -764.739050287419</t>
  </si>
  <si>
    <t>-397.523780700377 47.888204154948 -434.1428590239</t>
  </si>
  <si>
    <t>-618.090798885308 264.785355293426 -253.979289386606</t>
  </si>
  <si>
    <t>-605.121781441789 276.057766515434 201.39138508984</t>
  </si>
  <si>
    <t>-622.197349724364 256.559894446007 670.503697172885</t>
  </si>
  <si>
    <t>-464.25191234745 270.042284209271 746.759778398779</t>
  </si>
  <si>
    <t>-567.873176231574 77.0240662261429 -229.284626899351</t>
  </si>
  <si>
    <t>-457.848766077391 79.48980445354 212.921494391517</t>
  </si>
  <si>
    <t>-609.98381160743 13.5719331540261 652.631029183687</t>
  </si>
  <si>
    <t>-456.906217073663 -29.1168692439339 728.052675957963</t>
  </si>
  <si>
    <t>9763-20170724T170205.664240200.bin</t>
  </si>
  <si>
    <t>-593.048192395303 171.362952059353 -242.009543655113</t>
  </si>
  <si>
    <t>-613.505099631591 150.410889272208 -359.527078948217</t>
  </si>
  <si>
    <t>-615.362526573519 126.781492175154 -478.391454789386</t>
  </si>
  <si>
    <t>-609.490255283065 103.829748635657 -585.319343138785</t>
  </si>
  <si>
    <t>-596.305060749842 78.9429601271459 -691.15722743806</t>
  </si>
  <si>
    <t>-570.521688540088 42.0324522810349 -836.66618088049</t>
  </si>
  <si>
    <t>-525.599506339042 23.8323570210421 -926.297278872145</t>
  </si>
  <si>
    <t>-580.730130899749 89.2100973589309 -779.894796858904</t>
  </si>
  <si>
    <t>-553.801162943531 233.469094559964 -789.323617418128</t>
  </si>
  <si>
    <t>-480.119605814518 318.375114183175 -493.438070393019</t>
  </si>
  <si>
    <t>-294.154043582941 244.514667266683 -327.295098801141</t>
  </si>
  <si>
    <t>-583.12993417373 27.5183177314016 -764.670958213985</t>
  </si>
  <si>
    <t>-396.406246898197 46.6914511005234 -433.401156734092</t>
  </si>
  <si>
    <t>-618.029432756657 265.221952560462 -253.997101400978</t>
  </si>
  <si>
    <t>-605.208322193648 276.322674812051 201.381894074998</t>
  </si>
  <si>
    <t>-622.198845722665 256.56324784079 670.504423578931</t>
  </si>
  <si>
    <t>-464.254453251247 270.066655299688 746.758907597788</t>
  </si>
  <si>
    <t>-567.976319912638 77.6357797745818 -229.31862068543</t>
  </si>
  <si>
    <t>-457.832476298298 79.6800046046862 212.859956466803</t>
  </si>
  <si>
    <t>-609.970505010395 13.7831257670314 652.581163688541</t>
  </si>
  <si>
    <t>-457.026164377838 -29.3023263589505 728.047626341889</t>
  </si>
  <si>
    <t>9763-20170724T170205.696324800.bin</t>
  </si>
  <si>
    <t>-593.021030287543 171.506891359721 -242.016450265443</t>
  </si>
  <si>
    <t>-613.413149466732 150.568626346263 -359.547582552206</t>
  </si>
  <si>
    <t>-615.170952558789 126.925514507469 -478.41082834991</t>
  </si>
  <si>
    <t>-609.196990851126 103.947288176626 -585.327328315545</t>
  </si>
  <si>
    <t>-595.900375655373 79.0185668484075 -691.141446763617</t>
  </si>
  <si>
    <t>-569.954240922585 42.0318476080347 -836.602055688855</t>
  </si>
  <si>
    <t>-524.895584127552 23.7863729563278 -926.155441978132</t>
  </si>
  <si>
    <t>-580.200428514886 89.23938311078 -779.862460453619</t>
  </si>
  <si>
    <t>-553.111124145338 233.472467299046 -789.300160767747</t>
  </si>
  <si>
    <t>-479.415017404968 318.454064533295 -493.440059397332</t>
  </si>
  <si>
    <t>-293.588419422936 244.489548991068 -327.187914600124</t>
  </si>
  <si>
    <t>-582.668758709997 27.5553527354432 -764.618089310755</t>
  </si>
  <si>
    <t>-395.846039565089 46.4413012009893 -432.808973050947</t>
  </si>
  <si>
    <t>-618.010881289881 265.33835693636 -254.000591322757</t>
  </si>
  <si>
    <t>-605.23274763164 276.418082743725 201.380174079968</t>
  </si>
  <si>
    <t>-622.203938500182 256.584557650985 670.497124623993</t>
  </si>
  <si>
    <t>-464.25797979449 270.05164593363 746.754668443012</t>
  </si>
  <si>
    <t>-567.897055594954 77.7194523731603 -229.36198116544</t>
  </si>
  <si>
    <t>-457.89919330778 79.8625729420719 212.852454857664</t>
  </si>
  <si>
    <t>-609.960124724399 13.9451368513448 652.562963093541</t>
  </si>
  <si>
    <t>-457.065962602835 -29.3012381767621 728.039028842953</t>
  </si>
  <si>
    <t>9763-20170724T170205.766516800.bin</t>
  </si>
  <si>
    <t>-593.008730262962 171.507247370372 -242.021409452668</t>
  </si>
  <si>
    <t>-613.349284533726 150.637128399122 -359.573601227195</t>
  </si>
  <si>
    <t>-614.937459945016 127.005469684923 -478.441465477389</t>
  </si>
  <si>
    <t>-608.76638621995 104.010205312984 -585.343299748719</t>
  </si>
  <si>
    <t>-595.232606810427 79.0342508546955 -691.116046317161</t>
  </si>
  <si>
    <t>-568.918967682099 41.9490728889527 -836.485560618974</t>
  </si>
  <si>
    <t>-523.639870117938 23.6139434602296 -925.909328622369</t>
  </si>
  <si>
    <t>-579.281467114527 89.1949672258065 -779.799040916665</t>
  </si>
  <si>
    <t>-551.987047428286 233.373398639439 -789.096934332035</t>
  </si>
  <si>
    <t>-477.713434208587 318.373587271895 -493.386733992324</t>
  </si>
  <si>
    <t>-292.327050908252 243.5855169078 -327.011620503802</t>
  </si>
  <si>
    <t>-581.84244288669 27.5211010605271 -764.528954942976</t>
  </si>
  <si>
    <t>-395.486899454275 46.0182147261753 -433.379458392606</t>
  </si>
  <si>
    <t>-617.970525562618 265.493413435719 -253.990636259308</t>
  </si>
  <si>
    <t>-605.405719383989 276.442134911605 201.399193083814</t>
  </si>
  <si>
    <t>-622.228453052341 256.61126549798 670.512838596606</t>
  </si>
  <si>
    <t>-464.267717076264 270.015938683821 746.750840407685</t>
  </si>
  <si>
    <t>-567.988587564085 77.5844548992102 -229.373631127624</t>
  </si>
  <si>
    <t>-457.891513762713 79.6722964843595 212.816328529149</t>
  </si>
  <si>
    <t>-609.978783606098 13.5626829222338 652.567758925802</t>
  </si>
  <si>
    <t>-456.872134798806 -28.9847992149 728.010254941366</t>
  </si>
  <si>
    <t>9763-20170724T170205.795595300.bin</t>
  </si>
  <si>
    <t>-593.037719709582 171.566076697112 -242.006804360635</t>
  </si>
  <si>
    <t>-613.34925211311 150.691463206312 -359.56307722012</t>
  </si>
  <si>
    <t>-614.878407509022 127.097427157038 -478.439298199134</t>
  </si>
  <si>
    <t>-608.640771605346 104.151192060817 -585.347709759666</t>
  </si>
  <si>
    <t>-595.027029958774 79.2378622118404 -691.125023573982</t>
  </si>
  <si>
    <t>-568.588157751555 42.2525236903116 -836.497196971548</t>
  </si>
  <si>
    <t>-523.2276157831 23.9248482952241 -925.881351589192</t>
  </si>
  <si>
    <t>-578.987081865088 89.4595689241978 -779.784997325813</t>
  </si>
  <si>
    <t>-551.51430691963 233.636386548552 -788.909232853816</t>
  </si>
  <si>
    <t>-476.85790142996 318.260743186454 -493.187471967195</t>
  </si>
  <si>
    <t>-291.616125912322 242.831078131996 -326.941070340273</t>
  </si>
  <si>
    <t>-581.585959069107 27.7752537038634 -764.564037078649</t>
  </si>
  <si>
    <t>-395.511780816025 46.4417499263423 -433.859814591091</t>
  </si>
  <si>
    <t>-617.950920653252 265.586071990792 -253.98698552054</t>
  </si>
  <si>
    <t>-605.452719752472 276.491859893963 201.405730554614</t>
  </si>
  <si>
    <t>-622.231087324423 256.61744419498 670.509137283178</t>
  </si>
  <si>
    <t>-464.271906056629 270.026307387391 746.749626391363</t>
  </si>
  <si>
    <t>-568.05142391976 77.5912549696388 -229.327310804244</t>
  </si>
  <si>
    <t>-457.857792991551 79.7335416391161 212.838335706635</t>
  </si>
  <si>
    <t>-609.977764932718 13.6003925299196 652.540961441019</t>
  </si>
  <si>
    <t>-456.904534491997 -29.057667257247 727.988870976745</t>
  </si>
  <si>
    <t>9763-20170724T170205.858766700.bin</t>
  </si>
  <si>
    <t>-592.909221110307 171.922826443388 -242.078528243413</t>
  </si>
  <si>
    <t>-613.195180801793 151.088262079264 -359.646446857058</t>
  </si>
  <si>
    <t>-614.644396866508 127.553539353775 -478.535339583424</t>
  </si>
  <si>
    <t>-608.313257053054 104.662818454824 -585.450328524818</t>
  </si>
  <si>
    <t>-594.585920272632 79.8040413235694 -691.225734698396</t>
  </si>
  <si>
    <t>-567.969869601244 42.8905448514943 -836.583860364843</t>
  </si>
  <si>
    <t>-522.510657715415 24.5145576908424 -925.907726603785</t>
  </si>
  <si>
    <t>-578.382675950659 90.069568970714 -779.850942596742</t>
  </si>
  <si>
    <t>-550.821647829381 234.227740377593 -788.772298004785</t>
  </si>
  <si>
    <t>-475.269526095193 317.623604052659 -492.929053375914</t>
  </si>
  <si>
    <t>-289.72341142909 243.057058768632 -326.632617574995</t>
  </si>
  <si>
    <t>-581.110641506783 28.3774459692718 -764.683805852632</t>
  </si>
  <si>
    <t>-395.160403691787 46.0430072921038 -436.705391778662</t>
  </si>
  <si>
    <t>-617.842254956122 265.930285307748 -254.014946945051</t>
  </si>
  <si>
    <t>-605.488536792385 276.685077222534 201.385220957925</t>
  </si>
  <si>
    <t>-622.237844177505 256.651727506803 670.493439443661</t>
  </si>
  <si>
    <t>-464.276894021329 270.011482319419 746.738929565518</t>
  </si>
  <si>
    <t>-567.888002615852 78.065540631791 -229.429759776456</t>
  </si>
  <si>
    <t>-457.832434452217 79.920420035324 212.771552560813</t>
  </si>
  <si>
    <t>-609.945387061543 13.7837442531873 652.479746358038</t>
  </si>
  <si>
    <t>-457.001767247415 -29.2439447383504 727.980562062042</t>
  </si>
  <si>
    <t>9763-20170724T170205.897872600.bin</t>
  </si>
  <si>
    <t>-592.914677964143 172.135995917041 -242.066558323344</t>
  </si>
  <si>
    <t>-613.161797426241 151.316852692556 -359.64378580674</t>
  </si>
  <si>
    <t>-614.597474518785 127.848388772491 -478.546009808548</t>
  </si>
  <si>
    <t>-608.262780469534 105.03633650669 -585.477582976509</t>
  </si>
  <si>
    <t>-594.539602219069 80.2737275089828 -691.276084495171</t>
  </si>
  <si>
    <t>-567.936321316282 43.51090671365 -836.674707533333</t>
  </si>
  <si>
    <t>-522.481628699315 25.1825186557603 -926.010696342369</t>
  </si>
  <si>
    <t>-578.30862238338 90.6312159355673 -779.885568426918</t>
  </si>
  <si>
    <t>-550.579272753626 234.774812886838 -788.633942937776</t>
  </si>
  <si>
    <t>-474.719847952239 317.547176653367 -492.694335000125</t>
  </si>
  <si>
    <t>-288.898922719812 243.572763713363 -326.440284191771</t>
  </si>
  <si>
    <t>-581.106271223988 28.9234447742856 -764.795154704537</t>
  </si>
  <si>
    <t>-394.836591671481 46.5218909453215 -437.928949246995</t>
  </si>
  <si>
    <t>-617.740448854911 266.132055495958 -254.020619791177</t>
  </si>
  <si>
    <t>-605.519068907601 276.83834218597 201.384317916698</t>
  </si>
  <si>
    <t>-622.248540243479 256.70304890383 670.484610910563</t>
  </si>
  <si>
    <t>-464.293599284443 270.064999461815 746.742021160381</t>
  </si>
  <si>
    <t>-568.038162448365 78.2372303762036 -229.396509409756</t>
  </si>
  <si>
    <t>-457.800834798438 80.0073370237926 212.759896055243</t>
  </si>
  <si>
    <t>-609.931560124063 13.7985910638267 652.440138794511</t>
  </si>
  <si>
    <t>-456.989378157033 -29.2019674234668 727.959356867868</t>
  </si>
  <si>
    <t>9763-20170724T170205.961045400.bin</t>
  </si>
  <si>
    <t>-592.696497945072 172.219250497044 -242.091242784359</t>
  </si>
  <si>
    <t>-612.906558885626 151.4412182031 -359.682131640602</t>
  </si>
  <si>
    <t>-614.30850782977 128.049699686251 -478.599875072713</t>
  </si>
  <si>
    <t>-607.943075144942 105.32312593733 -585.547682427909</t>
  </si>
  <si>
    <t>-594.187535791813 80.663163617206 -691.366070649629</t>
  </si>
  <si>
    <t>-567.536195413148 44.0615995877479 -836.79657858747</t>
  </si>
  <si>
    <t>-522.136430317773 25.8208572680967 -926.178361290849</t>
  </si>
  <si>
    <t>-577.931695888005 91.1188725450543 -779.959394228562</t>
  </si>
  <si>
    <t>-550.248055947305 235.278477015502 -788.53111016423</t>
  </si>
  <si>
    <t>-473.3092875452 317.712197471496 -492.775631483813</t>
  </si>
  <si>
    <t>-287.162104759237 243.906019065078 -326.811873325352</t>
  </si>
  <si>
    <t>-580.725511279257 29.394297777405 -764.936759148835</t>
  </si>
  <si>
    <t>-394.538687735908 46.9010655227585 -434.691876445065</t>
  </si>
  <si>
    <t>-617.410086160971 266.33838916647 -254.044653593062</t>
  </si>
  <si>
    <t>-605.454706908561 276.95473774011 201.369514074621</t>
  </si>
  <si>
    <t>-622.26193447257 256.82572017794 670.450256069852</t>
  </si>
  <si>
    <t>-464.316782554942 270.081578940258 746.74651765941</t>
  </si>
  <si>
    <t>-567.907576810389 78.1849078469061 -229.447629010933</t>
  </si>
  <si>
    <t>-457.611551464646 80.0129065693823 212.693888199519</t>
  </si>
  <si>
    <t>-609.910872515565 13.566039761125 652.380993717912</t>
  </si>
  <si>
    <t>-456.867769070922 -28.998834059262 727.942516107314</t>
  </si>
  <si>
    <t>9763-20170724T170205.995137100.bin</t>
  </si>
  <si>
    <t>-592.615015765922 172.296491068105 -242.078503680594</t>
  </si>
  <si>
    <t>-612.816530185649 151.535203013636 -359.673887553198</t>
  </si>
  <si>
    <t>-614.198205794259 128.167437182818 -478.596462494956</t>
  </si>
  <si>
    <t>-607.809155992754 105.467131382436 -585.548546515951</t>
  </si>
  <si>
    <t>-594.024074404326 80.8394223183718 -691.370587107084</t>
  </si>
  <si>
    <t>-567.324842522165 44.2901040656614 -836.805387920129</t>
  </si>
  <si>
    <t>-521.985168326162 26.1023401095852 -926.228638898268</t>
  </si>
  <si>
    <t>-577.769231383826 91.3269554908877 -779.960376411885</t>
  </si>
  <si>
    <t>-550.190054922095 235.539165635727 -788.49111710904</t>
  </si>
  <si>
    <t>-472.880994148633 317.94206478801 -492.823699445401</t>
  </si>
  <si>
    <t>-286.710921760775 243.718579616325 -327.071945987791</t>
  </si>
  <si>
    <t>-580.507613893895 29.5971531528753 -764.949691714065</t>
  </si>
  <si>
    <t>-394.855839718046 47.5733157488382 -430.295751410119</t>
  </si>
  <si>
    <t>-617.29330077211 266.48866080736 -254.049103934859</t>
  </si>
  <si>
    <t>-605.370648363594 277.06330716435 201.366797698882</t>
  </si>
  <si>
    <t>-622.285448943028 256.929132994801 670.437961609559</t>
  </si>
  <si>
    <t>-464.340756359165 270.052489544044 746.75807099133</t>
  </si>
  <si>
    <t>-567.845755024817 78.2181666980225 -229.442292820426</t>
  </si>
  <si>
    <t>-457.543105658808 80.0558090859899 212.697596786188</t>
  </si>
  <si>
    <t>-609.892178314715 13.5683524431902 652.332908294161</t>
  </si>
  <si>
    <t>-456.900767713218 -29.1237878202314 727.927380571991</t>
  </si>
  <si>
    <t>9763-20170724T170206.077273600.bin</t>
  </si>
  <si>
    <t>-592.278829886339 172.459765714083 -242.12881401054</t>
  </si>
  <si>
    <t>-612.489837205262 151.701775722773 -359.723091422605</t>
  </si>
  <si>
    <t>-613.72637626918 128.270646097137 -478.634895749316</t>
  </si>
  <si>
    <t>-607.146114714003 105.489015909099 -585.55807605645</t>
  </si>
  <si>
    <t>-593.112293776586 80.7571696731688 -691.322976158462</t>
  </si>
  <si>
    <t>-566.009847373942 44.0414476109984 -836.641346502557</t>
  </si>
  <si>
    <t>-520.66858084048 25.9581170749368 -926.084796657921</t>
  </si>
  <si>
    <t>-576.700224073742 91.1432304079849 -779.895744477092</t>
  </si>
  <si>
    <t>-549.558442342587 235.382047050682 -788.60159838157</t>
  </si>
  <si>
    <t>-472.55402280138 318.190605274703 -492.968016098983</t>
  </si>
  <si>
    <t>-286.252202380489 242.405083967228 -328.073189783149</t>
  </si>
  <si>
    <t>-579.303454452029 29.4308764217426 -764.78916446399</t>
  </si>
  <si>
    <t>-396.075219329937 47.4797273110025 -425.919292117955</t>
  </si>
  <si>
    <t>-617.100301481528 266.678132248269 -254.06939244872</t>
  </si>
  <si>
    <t>-605.24032493063 277.225716928172 201.348748964234</t>
  </si>
  <si>
    <t>-622.300911500079 256.988183744031 670.423872421747</t>
  </si>
  <si>
    <t>-464.357526780541 270.008805769694 746.764282293185</t>
  </si>
  <si>
    <t>-567.342095803189 78.3181283532138 -229.499780731448</t>
  </si>
  <si>
    <t>-457.330682754121 80.2407160754613 212.712234618115</t>
  </si>
  <si>
    <t>-609.859792282918 13.6268060906239 652.247297020708</t>
  </si>
  <si>
    <t>-456.894348203385 -29.0660043147891 727.893879262079</t>
  </si>
  <si>
    <t>9763-20170724T170206.096324100.bin</t>
  </si>
  <si>
    <t>-592.159722191919 172.577027536753 -242.105048896218</t>
  </si>
  <si>
    <t>-612.341760599159 151.778400779933 -359.69714725991</t>
  </si>
  <si>
    <t>-613.562624633713 128.335907077077 -478.606900446783</t>
  </si>
  <si>
    <t>-606.972815986491 105.554947254859 -585.529575449967</t>
  </si>
  <si>
    <t>-592.933591103922 80.8340860161729 -691.296398721132</t>
  </si>
  <si>
    <t>-565.827745146207 44.1430882903298 -836.620256494886</t>
  </si>
  <si>
    <t>-520.473925840228 26.1433615219728 -926.074372365244</t>
  </si>
  <si>
    <t>-576.527440449764 91.2349878900998 -779.86846725036</t>
  </si>
  <si>
    <t>-549.455974197298 235.501564900384 -788.576085103173</t>
  </si>
  <si>
    <t>-473.087179832656 318.693003645857 -492.885043336765</t>
  </si>
  <si>
    <t>-286.757512954012 241.27709346969 -328.781120907227</t>
  </si>
  <si>
    <t>-579.115079855606 29.5202160802676 -764.769459507283</t>
  </si>
  <si>
    <t>-396.090970551468 47.7836359096955 -425.295461668013</t>
  </si>
  <si>
    <t>-617.033517165348 266.789544992518 -254.069436461529</t>
  </si>
  <si>
    <t>-605.1874650901 277.340234198161 201.349054628211</t>
  </si>
  <si>
    <t>-622.30944441176 257.067851091248 670.401668747176</t>
  </si>
  <si>
    <t>-464.372166898206 270.026956469042 746.76525566078</t>
  </si>
  <si>
    <t>-567.22989030251 78.445036885402 -229.446075550889</t>
  </si>
  <si>
    <t>-457.122199343586 80.3780604855638 212.742038774735</t>
  </si>
  <si>
    <t>-609.83434992967 13.6689066895422 652.183235841396</t>
  </si>
  <si>
    <t>-456.923324164138 -29.1521582355319 727.867423302557</t>
  </si>
  <si>
    <t>9763-20170724T170206.165017000.bin</t>
  </si>
  <si>
    <t>-591.890938943884 172.938406352913 -242.169936105653</t>
  </si>
  <si>
    <t>-611.978216093129 152.130925993883 -359.77673673667</t>
  </si>
  <si>
    <t>-613.158709328665 128.601289165364 -478.669767491583</t>
  </si>
  <si>
    <t>-606.558854445364 105.708010840862 -585.567814621855</t>
  </si>
  <si>
    <t>-592.538714218917 80.840558361411 -691.302779470412</t>
  </si>
  <si>
    <t>-565.492200470708 43.9091526457989 -836.576909184104</t>
  </si>
  <si>
    <t>-520.046204317471 25.8488039071567 -925.971919808777</t>
  </si>
  <si>
    <t>-576.120738862965 91.0951133762117 -779.889771345933</t>
  </si>
  <si>
    <t>-549.022442545981 235.354162256287 -788.953690101927</t>
  </si>
  <si>
    <t>-474.525887608063 319.550149789623 -493.069513177841</t>
  </si>
  <si>
    <t>-288.558209573996 240.446667110601 -329.360271628567</t>
  </si>
  <si>
    <t>-578.798160561235 29.4050487208858 -764.705512898604</t>
  </si>
  <si>
    <t>-395.093992538906 47.6528305755458 -426.419527045727</t>
  </si>
  <si>
    <t>-616.736823779665 267.160259715405 -254.161795779584</t>
  </si>
  <si>
    <t>-605.22016806278 277.736466007549 201.264588868442</t>
  </si>
  <si>
    <t>-622.352756214536 257.556452781912 670.286461071211</t>
  </si>
  <si>
    <t>-464.452557928581 270.274704973512 746.766989790156</t>
  </si>
  <si>
    <t>-566.943076499689 78.8000841200587 -229.494577224788</t>
  </si>
  <si>
    <t>-456.914303918895 80.7865212338791 212.712768121484</t>
  </si>
  <si>
    <t>-609.799411162656 13.8023545012991 652.076644335297</t>
  </si>
  <si>
    <t>-456.960635186 -29.1894146943396 727.809931967508</t>
  </si>
  <si>
    <t>9763-20170724T170206.193090600.bin</t>
  </si>
  <si>
    <t>-591.811544085226 173.124898995121 -242.199744388733</t>
  </si>
  <si>
    <t>-611.88231749731 152.307872986234 -359.807621757812</t>
  </si>
  <si>
    <t>-613.069938733111 128.698508943078 -478.684650654616</t>
  </si>
  <si>
    <t>-606.48907041421 105.705234609147 -585.562365680725</t>
  </si>
  <si>
    <t>-592.502118841029 80.7107140850617 -691.271931483765</t>
  </si>
  <si>
    <t>-565.517875786339 43.5757650658848 -836.505683088905</t>
  </si>
  <si>
    <t>-520.05058555189 25.3964072839819 -925.865787957718</t>
  </si>
  <si>
    <t>-576.089127127692 90.8413078310305 -779.874050224321</t>
  </si>
  <si>
    <t>-549.0446758147 235.094311582216 -789.128619615154</t>
  </si>
  <si>
    <t>-475.796898176627 320.035355252622 -493.145564904682</t>
  </si>
  <si>
    <t>-290.264808578141 240.715524727247 -329.047078550258</t>
  </si>
  <si>
    <t>-578.825997862279 29.17241974115 -764.614311845855</t>
  </si>
  <si>
    <t>-395.246537834878 48.3710528900106 -428.407155103537</t>
  </si>
  <si>
    <t>-616.615668834813 267.371604851449 -254.223970895167</t>
  </si>
  <si>
    <t>-605.226057250416 277.971649314324 201.205049235764</t>
  </si>
  <si>
    <t>-622.366955487427 257.742396902813 670.24293049958</t>
  </si>
  <si>
    <t>-464.476359279636 270.321064066858 746.766441560146</t>
  </si>
  <si>
    <t>-566.909555322654 78.92439928422 -229.51252872551</t>
  </si>
  <si>
    <t>-456.807346448424 80.9185356377773 212.676606702657</t>
  </si>
  <si>
    <t>-609.781738365683 13.886566495338 652.021280378672</t>
  </si>
  <si>
    <t>-457.042841294654 -29.4065443148527 727.784348702281</t>
  </si>
  <si>
    <t>9763-20170724T170206.265790700.bin</t>
  </si>
  <si>
    <t>-591.631870234298 173.08704835777 -242.301499555196</t>
  </si>
  <si>
    <t>-611.701218348796 152.318497300723 -359.918185340048</t>
  </si>
  <si>
    <t>-612.82117789842 128.662569181826 -478.786667279336</t>
  </si>
  <si>
    <t>-606.156665346356 105.587618714007 -585.641608002824</t>
  </si>
  <si>
    <t>-592.066885252855 80.4719362282131 -691.308679109361</t>
  </si>
  <si>
    <t>-564.923195247979 43.1271678808043 -836.458941577299</t>
  </si>
  <si>
    <t>-519.387476807147 24.7270702645401 -925.738952439706</t>
  </si>
  <si>
    <t>-575.487091886532 90.4745610162017 -779.894442047719</t>
  </si>
  <si>
    <t>-548.514673497467 234.703308114738 -789.378413016746</t>
  </si>
  <si>
    <t>-479.268477414038 321.266057404923 -492.902432296581</t>
  </si>
  <si>
    <t>-294.3023968744 241.939698548503 -328.16955976376</t>
  </si>
  <si>
    <t>-578.379763649178 28.8276465231461 -764.574447954206</t>
  </si>
  <si>
    <t>-395.533555657731 47.9104257718056 -430.361306043295</t>
  </si>
  <si>
    <t>-616.230673552106 267.469642921467 -254.330841873336</t>
  </si>
  <si>
    <t>-604.925787777192 278.066086843207 201.100371416376</t>
  </si>
  <si>
    <t>-622.354722541389 257.902975151438 670.149390734887</t>
  </si>
  <si>
    <t>-464.49797454381 270.305925745043 746.771445662663</t>
  </si>
  <si>
    <t>-566.981487224676 78.7700630970226 -229.627573450687</t>
  </si>
  <si>
    <t>-456.929991883833 80.8340298943217 212.573847434754</t>
  </si>
  <si>
    <t>-609.785953422318 13.8701339075853 651.992001343482</t>
  </si>
  <si>
    <t>-456.973699203401 -29.179102714113 727.746151972799</t>
  </si>
  <si>
    <t>9763-20170724T170206.300894100.bin</t>
  </si>
  <si>
    <t>-591.606962165613 173.174125147882 -242.344204517998</t>
  </si>
  <si>
    <t>-611.670816635169 152.409320987226 -359.962517727173</t>
  </si>
  <si>
    <t>-612.758093032768 128.76844415102 -478.834219668016</t>
  </si>
  <si>
    <t>-606.052036712606 105.714495715539 -585.691246920803</t>
  </si>
  <si>
    <t>-591.907942337602 80.6287779883289 -691.358137242124</t>
  </si>
  <si>
    <t>-564.674499497641 43.33683805449 -836.505250322778</t>
  </si>
  <si>
    <t>-519.069192266519 24.8847225032575 -925.738894446617</t>
  </si>
  <si>
    <t>-575.290451816783 90.663541198179 -779.933050779393</t>
  </si>
  <si>
    <t>-548.405559786111 234.923417624757 -789.452232911907</t>
  </si>
  <si>
    <t>-481.23779356908 322.025301560353 -492.656053574269</t>
  </si>
  <si>
    <t>-296.406782763164 242.695810369079 -327.773111505056</t>
  </si>
  <si>
    <t>-578.158505393148 29.0110996180892 -764.631131702499</t>
  </si>
  <si>
    <t>-396.285794893175 48.3147454956966 -431.681308792938</t>
  </si>
  <si>
    <t>-616.069083689197 267.575035599583 -254.37363835929</t>
  </si>
  <si>
    <t>-604.716764146675 278.166175963524 201.056535673215</t>
  </si>
  <si>
    <t>-622.368678129901 258.021399414569 670.108569042111</t>
  </si>
  <si>
    <t>-464.52403630038 270.275266136611 746.779467759354</t>
  </si>
  <si>
    <t>-567.150625040326 78.9159485117657 -229.620581856965</t>
  </si>
  <si>
    <t>-457.032321989893 80.7559795069253 212.565155469913</t>
  </si>
  <si>
    <t>-609.789811040347 13.8415033554827 651.994423428206</t>
  </si>
  <si>
    <t>-456.965113868956 -29.1829120463688 727.737548837624</t>
  </si>
  <si>
    <t>9763-20170724T170206.365061600.bin</t>
  </si>
  <si>
    <t>-591.527455169825 172.940253008174 -242.336386108341</t>
  </si>
  <si>
    <t>-611.67020025637 152.175055047649 -359.941181128349</t>
  </si>
  <si>
    <t>-612.797170666259 128.521306030861 -478.810082193288</t>
  </si>
  <si>
    <t>-606.10992008464 105.45525726209 -585.665423844189</t>
  </si>
  <si>
    <t>-591.966737590142 80.3597213585317 -691.330332082581</t>
  </si>
  <si>
    <t>-564.715205388278 43.0586699190658 -836.471501398154</t>
  </si>
  <si>
    <t>-518.981104951045 24.5527567343618 -925.628181716628</t>
  </si>
  <si>
    <t>-575.371047190691 90.3889546302848 -779.909847023752</t>
  </si>
  <si>
    <t>-548.861651003661 234.720969661039 -789.375639144732</t>
  </si>
  <si>
    <t>-484.845613046739 323.60938111834 -492.412755138192</t>
  </si>
  <si>
    <t>-300.164016409489 244.584735267165 -327.216318000092</t>
  </si>
  <si>
    <t>-578.175325865889 28.7374008911543 -764.59209526258</t>
  </si>
  <si>
    <t>-395.637566846047 48.0022439130496 -433.293482744004</t>
  </si>
  <si>
    <t>-615.856675000232 267.258486743078 -254.374065876441</t>
  </si>
  <si>
    <t>-604.267366622825 278.019040846218 201.046135039034</t>
  </si>
  <si>
    <t>-622.337938804582 257.887339750705 670.090890278692</t>
  </si>
  <si>
    <t>-464.51246381578 270.211467590812 746.789990618907</t>
  </si>
  <si>
    <t>-567.093185039184 78.6981339125921 -229.640547128947</t>
  </si>
  <si>
    <t>-456.941668279902 80.5103226767965 212.53707299647</t>
  </si>
  <si>
    <t>-609.790417178439 13.828264714843 651.991484173944</t>
  </si>
  <si>
    <t>-456.984827543853 -29.2575226007996 727.738287463668</t>
  </si>
  <si>
    <t>9763-20170724T170206.399160400.bin</t>
  </si>
  <si>
    <t>-591.457834884289 172.544310434021 -242.319256308244</t>
  </si>
  <si>
    <t>-611.609882575869 151.77202476422 -359.921231803543</t>
  </si>
  <si>
    <t>-612.767386208566 128.068023284526 -478.779775232066</t>
  </si>
  <si>
    <t>-606.11778886674 104.940403898596 -585.624234154405</t>
  </si>
  <si>
    <t>-592.022940078223 79.768168744451 -691.277150595492</t>
  </si>
  <si>
    <t>-564.850175169878 42.3455136703567 -836.401847031718</t>
  </si>
  <si>
    <t>-519.115307524907 23.8212831198148 -925.554319375104</t>
  </si>
  <si>
    <t>-575.48637893379 89.7231250309198 -779.876122750285</t>
  </si>
  <si>
    <t>-549.21263141141 234.115317680468 -789.38903168245</t>
  </si>
  <si>
    <t>-486.636708089242 323.962338718627 -492.407658775951</t>
  </si>
  <si>
    <t>-302.248867453254 244.198777786699 -327.238144412171</t>
  </si>
  <si>
    <t>-578.260178451656 28.0846007644473 -764.501229309436</t>
  </si>
  <si>
    <t>-395.09708693541 46.8835579875265 -434.429407595222</t>
  </si>
  <si>
    <t>-615.819484864555 266.918328181563 -254.351788726334</t>
  </si>
  <si>
    <t>-604.146931687109 277.734555116602 201.06499958103</t>
  </si>
  <si>
    <t>-622.333142340044 257.836652547822 670.089020080616</t>
  </si>
  <si>
    <t>-464.513724131682 270.218323145561 746.791276199745</t>
  </si>
  <si>
    <t>-567.018592621531 78.1997211859034 -229.633613113826</t>
  </si>
  <si>
    <t>-456.951791807926 80.2571712415811 212.564072066633</t>
  </si>
  <si>
    <t>-609.793203952679 13.5642500825788 652.004716148678</t>
  </si>
  <si>
    <t>-456.76964140248 -28.7846944709295 727.727037506961</t>
  </si>
  <si>
    <t>9763-20170724T170206.463343400.bin</t>
  </si>
  <si>
    <t>-591.373393555713 172.116295020109 -242.40522668382</t>
  </si>
  <si>
    <t>-611.509217037081 151.352429859577 -360.011395728882</t>
  </si>
  <si>
    <t>-612.738517633841 127.638101579469 -478.867178293585</t>
  </si>
  <si>
    <t>-606.190140263892 104.493543265982 -585.714162424114</t>
  </si>
  <si>
    <t>-592.232870672084 79.2963510658294 -691.379500699797</t>
  </si>
  <si>
    <t>-565.288844776489 41.8308591005389 -836.535722829847</t>
  </si>
  <si>
    <t>-519.597208999403 23.3648193432136 -925.722438015905</t>
  </si>
  <si>
    <t>-575.84305310884 89.2251094932021 -780.008749164579</t>
  </si>
  <si>
    <t>-549.827115454336 233.620452124356 -789.477293942986</t>
  </si>
  <si>
    <t>-490.452767995154 325.918883844293 -492.590267411951</t>
  </si>
  <si>
    <t>-306.412356240326 246.283217721249 -326.972249587774</t>
  </si>
  <si>
    <t>-578.578461288345 27.591275367821 -764.608431853953</t>
  </si>
  <si>
    <t>-393.813316567643 45.1805483860969 -435.074386939396</t>
  </si>
  <si>
    <t>-615.887790824569 266.387928913805 -254.357591071341</t>
  </si>
  <si>
    <t>-604.15813190295 277.418136212607 201.052588992967</t>
  </si>
  <si>
    <t>-622.35285107574 257.740811186923 670.117561404939</t>
  </si>
  <si>
    <t>-464.526978796005 270.250568555343 746.785732742606</t>
  </si>
  <si>
    <t>-566.799181738622 77.9587860970382 -229.719703116539</t>
  </si>
  <si>
    <t>-456.986203022442 80.3032406214768 212.539530321044</t>
  </si>
  <si>
    <t>-609.782288426927 13.8872647141809 652.022428002478</t>
  </si>
  <si>
    <t>-456.973342382155 -29.1958287426974 727.763973911622</t>
  </si>
  <si>
    <t>9763-20170724T170206.497429800.bin</t>
  </si>
  <si>
    <t>-591.416921592244 171.9499815649 -242.399401265775</t>
  </si>
  <si>
    <t>-611.55359027799 151.179804278894 -360.004287053967</t>
  </si>
  <si>
    <t>-612.828827480311 127.464273593954 -478.859290394594</t>
  </si>
  <si>
    <t>-606.339789988009 104.321169236619 -585.71034559497</t>
  </si>
  <si>
    <t>-592.45912674013 79.1279497117598 -691.386543964406</t>
  </si>
  <si>
    <t>-565.638912654015 41.6707623329196 -836.568088195589</t>
  </si>
  <si>
    <t>-520.025089283299 23.2112945930335 -925.795863534521</t>
  </si>
  <si>
    <t>-576.14476214116 89.0617926330867 -780.029285771167</t>
  </si>
  <si>
    <t>-550.260004486093 233.521874479656 -789.466481193479</t>
  </si>
  <si>
    <t>-492.926366650471 326.618507005413 -492.427811046421</t>
  </si>
  <si>
    <t>-308.511070184308 247.587858505749 -326.936995719895</t>
  </si>
  <si>
    <t>-578.867313999047 27.4270228301784 -764.63012793728</t>
  </si>
  <si>
    <t>-393.92524596543 44.5748505050233 -435.435061926152</t>
  </si>
  <si>
    <t>-615.961621430114 266.175154141678 -254.362157242591</t>
  </si>
  <si>
    <t>-604.207801838785 277.28184864286 201.045494638472</t>
  </si>
  <si>
    <t>-622.364487318348 257.740647052885 670.114948027282</t>
  </si>
  <si>
    <t>-464.538750079126 270.290655981211 746.776920118779</t>
  </si>
  <si>
    <t>-566.786029203221 77.8378342328676 -229.740974232356</t>
  </si>
  <si>
    <t>-457.045455807027 80.1475614140688 212.536359827231</t>
  </si>
  <si>
    <t>-609.796239016544 13.882459641148 652.058205674209</t>
  </si>
  <si>
    <t>-456.947544055805 -29.0992357289565 727.777182134985</t>
  </si>
  <si>
    <t>9763-20170724T170206.570630600.bin</t>
  </si>
  <si>
    <t>-591.532242757215 171.535836827686 -242.372798993807</t>
  </si>
  <si>
    <t>-611.712331231851 150.740442288883 -359.965777485501</t>
  </si>
  <si>
    <t>-613.019472806699 127.003983615532 -478.816344943277</t>
  </si>
  <si>
    <t>-606.553730779595 103.845593851791 -585.665479904933</t>
  </si>
  <si>
    <t>-592.689995027057 78.6422349510769 -691.341572348159</t>
  </si>
  <si>
    <t>-565.886074861975 41.1769864767357 -836.523816614149</t>
  </si>
  <si>
    <t>-520.360220986727 22.7499821126046 -925.803314655764</t>
  </si>
  <si>
    <t>-576.415170643117 88.5711662753336 -779.992098386984</t>
  </si>
  <si>
    <t>-550.935954905478 233.090026059078 -789.450402249834</t>
  </si>
  <si>
    <t>-497.329673800123 328.143583412455 -492.335248749836</t>
  </si>
  <si>
    <t>-312.005799984693 250.959651314958 -326.98785251957</t>
  </si>
  <si>
    <t>-579.076780654046 26.9372613023318 -764.57847448704</t>
  </si>
  <si>
    <t>-393.942450920421 43.43333156888 -435.083180219718</t>
  </si>
  <si>
    <t>-616.093527355446 265.737092937922 -254.372512125886</t>
  </si>
  <si>
    <t>-604.217951603607 277.065788416431 201.026504299552</t>
  </si>
  <si>
    <t>-622.391284111645 257.781265191064 670.114984431174</t>
  </si>
  <si>
    <t>-464.560864281433 270.273450522046 746.77671351093</t>
  </si>
  <si>
    <t>-566.941765584371 77.3281032083835 -229.694009642868</t>
  </si>
  <si>
    <t>-457.1230333485 80.0059189082849 212.562016279599</t>
  </si>
  <si>
    <t>-609.810788913028 13.9568117709712 652.098914030198</t>
  </si>
  <si>
    <t>-456.969336924072 -29.0891427057918 727.795997685562</t>
  </si>
  <si>
    <t>9763-20170724T170206.595698500.bin</t>
  </si>
  <si>
    <t>-591.651548243714 171.229143046367 -242.40121851294</t>
  </si>
  <si>
    <t>-611.884694984783 150.41665218572 -359.982151165682</t>
  </si>
  <si>
    <t>-613.229873717726 126.644848357204 -478.825150686706</t>
  </si>
  <si>
    <t>-606.79260549555 103.447930754035 -585.66758508832</t>
  </si>
  <si>
    <t>-592.951754648224 78.1995914318406 -691.335915109321</t>
  </si>
  <si>
    <t>-566.17398698976 40.6658511211785 -836.505432468939</t>
  </si>
  <si>
    <t>-520.65975725666 22.2380677272683 -925.790614374332</t>
  </si>
  <si>
    <t>-576.704246033847 88.0867059075108 -779.996195217218</t>
  </si>
  <si>
    <t>-551.485829687807 232.652358237118 -789.518493114899</t>
  </si>
  <si>
    <t>-499.39425740059 328.618459324375 -492.427181937312</t>
  </si>
  <si>
    <t>-313.996490860257 251.762809034502 -327.009742220055</t>
  </si>
  <si>
    <t>-579.340365660586 26.460208224373 -764.548699031293</t>
  </si>
  <si>
    <t>-393.649709915874 42.6920439812932 -435.255530060293</t>
  </si>
  <si>
    <t>-616.239581463903 265.430263469276 -254.384110118794</t>
  </si>
  <si>
    <t>-604.170939450432 276.844060886615 201.0078541938</t>
  </si>
  <si>
    <t>-622.387408087458 257.725914336257 670.110098808107</t>
  </si>
  <si>
    <t>-464.559271755852 270.253544729063 746.770761751977</t>
  </si>
  <si>
    <t>-566.999443698898 77.072525649148 -229.748739402121</t>
  </si>
  <si>
    <t>-457.26300796219 79.8997412552258 212.526735964544</t>
  </si>
  <si>
    <t>-609.821278578424 13.9283970961108 652.139347108453</t>
  </si>
  <si>
    <t>-456.980715921125 -29.1542034464173 727.817398921881</t>
  </si>
  <si>
    <t>9763-20170724T170206.662908000.bin</t>
  </si>
  <si>
    <t>-592.032125679235 170.730046448647 -242.372925978814</t>
  </si>
  <si>
    <t>-612.281694294897 149.935013978293 -359.954199733011</t>
  </si>
  <si>
    <t>-613.677277341382 126.081803424228 -478.780255119526</t>
  </si>
  <si>
    <t>-607.302825162971 102.773074369059 -585.602125820407</t>
  </si>
  <si>
    <t>-593.544090177411 77.3758337472511 -691.245502145566</t>
  </si>
  <si>
    <t>-566.902195933296 39.598017855988 -836.376700386201</t>
  </si>
  <si>
    <t>-521.454509237271 21.1067070499739 -925.682686862837</t>
  </si>
  <si>
    <t>-577.38002609046 87.11375153636 -779.937466977448</t>
  </si>
  <si>
    <t>-552.22966021178 231.68052767668 -789.58142833418</t>
  </si>
  <si>
    <t>-502.758243354116 330.341825571672 -492.925592006434</t>
  </si>
  <si>
    <t>-317.993334581278 253.520535357374 -326.785679804586</t>
  </si>
  <si>
    <t>-580.000853601201 25.513251031713 -764.383864726874</t>
  </si>
  <si>
    <t>-393.194767773356 41.8059226787393 -434.772432902764</t>
  </si>
  <si>
    <t>-616.596706758728 264.875515019514 -254.340738918213</t>
  </si>
  <si>
    <t>-604.303829722778 276.451728846472 201.041013479296</t>
  </si>
  <si>
    <t>-622.406208182903 257.612630019689 670.151061411142</t>
  </si>
  <si>
    <t>-464.568954873761 270.290478825456 746.768182472235</t>
  </si>
  <si>
    <t>-567.380701633371 76.7096554561494 -229.729796644044</t>
  </si>
  <si>
    <t>-457.518267917978 79.4595179392054 212.514879463059</t>
  </si>
  <si>
    <t>-609.85785212969 13.7768047958532 652.235717288253</t>
  </si>
  <si>
    <t>-456.885764748864 -28.9391481572604 727.855847955911</t>
  </si>
  <si>
    <t>9763-20170724T170206.691976000.bin</t>
  </si>
  <si>
    <t>-592.275991437701 170.564587245852 -242.384557350278</t>
  </si>
  <si>
    <t>-612.593315912177 149.758231277948 -359.952068629848</t>
  </si>
  <si>
    <t>-614.029532098964 125.861072246848 -478.768911350749</t>
  </si>
  <si>
    <t>-607.682017416348 102.497926817721 -585.580448408573</t>
  </si>
  <si>
    <t>-593.94160564992 77.0307201178921 -691.209380514032</t>
  </si>
  <si>
    <t>-567.317513181631 39.1389773433425 -836.314083270967</t>
  </si>
  <si>
    <t>-521.878051138458 20.5880001902162 -925.611850169295</t>
  </si>
  <si>
    <t>-577.769009861757 86.6990372048231 -779.907275227582</t>
  </si>
  <si>
    <t>-552.501338729036 231.230685623941 -789.540304960997</t>
  </si>
  <si>
    <t>-504.665191933869 331.0382927388 -492.999730311103</t>
  </si>
  <si>
    <t>-320.084770741425 254.383728694447 -326.577891317912</t>
  </si>
  <si>
    <t>-580.426696002947 25.1106588162152 -764.312116827942</t>
  </si>
  <si>
    <t>-393.603852515838 41.5501747046319 -434.018930323523</t>
  </si>
  <si>
    <t>-616.855191649996 264.659900613165 -254.32522138075</t>
  </si>
  <si>
    <t>-604.473721660993 276.316122413996 201.052032003544</t>
  </si>
  <si>
    <t>-622.43149145173 257.602084213084 670.171797120973</t>
  </si>
  <si>
    <t>-464.580388885133 270.245412667599 746.766003370906</t>
  </si>
  <si>
    <t>-567.658093072573 76.5141398231563 -229.724250156522</t>
  </si>
  <si>
    <t>-457.646612528659 79.3368037195178 212.482956442813</t>
  </si>
  <si>
    <t>-609.873888543296 13.9181314063144 652.281089103792</t>
  </si>
  <si>
    <t>-456.940028356574 -28.9899347648925 727.869812179154</t>
  </si>
  <si>
    <t>9763-20170724T170206.761691900.bin</t>
  </si>
  <si>
    <t>-592.918856246763 170.117728297558 -242.387839595917</t>
  </si>
  <si>
    <t>-613.224333601203 149.341551609382 -359.962732825107</t>
  </si>
  <si>
    <t>-614.652045048823 125.435006951791 -478.777688700283</t>
  </si>
  <si>
    <t>-608.299793975485 102.047676253471 -585.583669234897</t>
  </si>
  <si>
    <t>-594.558508523594 76.5415191624252 -691.203128323007</t>
  </si>
  <si>
    <t>-567.938069978595 38.5804161588933 -836.290370978294</t>
  </si>
  <si>
    <t>-522.51616927936 19.9102676614893 -925.572274707334</t>
  </si>
  <si>
    <t>-578.368105995385 86.1674765695561 -779.902443872353</t>
  </si>
  <si>
    <t>-552.96951539618 230.689452785465 -789.42936036887</t>
  </si>
  <si>
    <t>-508.588566509444 332.375173492022 -492.989475762218</t>
  </si>
  <si>
    <t>-324.188322379541 255.50998778585 -326.465174233243</t>
  </si>
  <si>
    <t>-581.065480229808 24.5865286734036 -764.285064907757</t>
  </si>
  <si>
    <t>-394.247094745802 41.0332828818066 -432.521693447548</t>
  </si>
  <si>
    <t>-617.372928939485 264.259741142808 -254.318376740915</t>
  </si>
  <si>
    <t>-604.81084255856 275.950058409196 201.05301601571</t>
  </si>
  <si>
    <t>-622.449027667263 257.451512232947 670.210976031136</t>
  </si>
  <si>
    <t>-464.576677369478 270.19008954297 746.745722265953</t>
  </si>
  <si>
    <t>-568.340083319566 76.0155973827109 -229.76571206145</t>
  </si>
  <si>
    <t>-458.163782704529 78.7323534140405 212.401177688417</t>
  </si>
  <si>
    <t>-609.9331609609 13.7445061185958 652.431648935936</t>
  </si>
  <si>
    <t>-456.889737427181 -28.902270010524 727.946329092832</t>
  </si>
  <si>
    <t>9763-20170724T170206.793775100.bin</t>
  </si>
  <si>
    <t>-593.135240984411 169.799015455363 -242.333766666143</t>
  </si>
  <si>
    <t>-613.449544770934 149.018894326261 -359.906422468036</t>
  </si>
  <si>
    <t>-614.864975835802 125.084301180283 -478.715868934918</t>
  </si>
  <si>
    <t>-608.494035502349 101.662063383171 -585.513097678197</t>
  </si>
  <si>
    <t>-594.727155283494 76.111790091376 -691.118567666168</t>
  </si>
  <si>
    <t>-568.064733536829 38.0801471381253 -836.17965287711</t>
  </si>
  <si>
    <t>-522.658572783043 19.3227048648234 -925.451178166834</t>
  </si>
  <si>
    <t>-578.499908201424 85.6946748696109 -779.815797715639</t>
  </si>
  <si>
    <t>-552.99055467288 230.209479324288 -789.282264356439</t>
  </si>
  <si>
    <t>-510.423359076747 333.362108779499 -493.083489561599</t>
  </si>
  <si>
    <t>-326.10378604952 256.802330085685 -326.329237018006</t>
  </si>
  <si>
    <t>-581.224157339586 24.1212574058495 -764.173349459143</t>
  </si>
  <si>
    <t>-394.648589961127 40.1084790698078 -432.366816347124</t>
  </si>
  <si>
    <t>-617.511255930857 263.954780952443 -254.297912364531</t>
  </si>
  <si>
    <t>-604.949207273696 275.719310248124 201.071731121519</t>
  </si>
  <si>
    <t>-622.46370299306 257.386141517763 670.233702737296</t>
  </si>
  <si>
    <t>-464.581253416477 270.163821123534 746.740971828022</t>
  </si>
  <si>
    <t>-568.658058216384 75.6972267362323 -229.693497025022</t>
  </si>
  <si>
    <t>-458.198851562181 78.3303936585482 212.403174399642</t>
  </si>
  <si>
    <t>-609.929466239989 13.6134447905038 652.475726380788</t>
  </si>
  <si>
    <t>-456.84364148492 -28.8495566883325 728.008107370769</t>
  </si>
  <si>
    <t>9763-20170724T170206.862977300.bin</t>
  </si>
  <si>
    <t>-593.414180767593 169.374967439194 -242.290086907844</t>
  </si>
  <si>
    <t>-613.784902097733 148.564592802466 -359.847570307894</t>
  </si>
  <si>
    <t>-615.193079535969 124.568215412088 -478.644765640484</t>
  </si>
  <si>
    <t>-608.790808830401 101.077188867009 -585.424915403091</t>
  </si>
  <si>
    <t>-594.969051939462 75.4451050196835 -691.003425886907</t>
  </si>
  <si>
    <t>-568.207319743285 37.2859876144717 -836.012697963662</t>
  </si>
  <si>
    <t>-522.716891640224 18.444309824037 -925.223654265685</t>
  </si>
  <si>
    <t>-578.656839762052 84.9499768428966 -779.693534221416</t>
  </si>
  <si>
    <t>-553.020049914434 229.435146160973 -789.22543182922</t>
  </si>
  <si>
    <t>-514.439975938346 335.518837827616 -493.51615908368</t>
  </si>
  <si>
    <t>-330.457849113945 260.379132721313 -325.746486973286</t>
  </si>
  <si>
    <t>-581.440339955899 23.3902474037075 -764.007808147035</t>
  </si>
  <si>
    <t>-393.857196550738 37.1927112241624 -432.610414993406</t>
  </si>
  <si>
    <t>-617.706849806745 263.58487974617 -254.275572124079</t>
  </si>
  <si>
    <t>-605.038163173022 275.404655878888 201.089607375458</t>
  </si>
  <si>
    <t>-622.47262442494 257.251617740233 670.25967292108</t>
  </si>
  <si>
    <t>-464.578530908889 270.058549488116 746.738143183738</t>
  </si>
  <si>
    <t>-569.024267148063 75.2491012068754 -229.622110392899</t>
  </si>
  <si>
    <t>-458.260784243567 77.9303045344534 212.39812235787</t>
  </si>
  <si>
    <t>-609.947930965084 13.833673755682 652.611534187328</t>
  </si>
  <si>
    <t>-456.994761366747 -29.1414213752721 728.123034381508</t>
  </si>
  <si>
    <t>9763-20170724T170206.896065500.bin</t>
  </si>
  <si>
    <t>-593.488302846054 169.272916274548 -242.249695249794</t>
  </si>
  <si>
    <t>-613.871189119323 148.446181484921 -359.802200029765</t>
  </si>
  <si>
    <t>-615.291099141322 124.39388313545 -478.587845750138</t>
  </si>
  <si>
    <t>-608.900304632376 100.838434971735 -585.354658984415</t>
  </si>
  <si>
    <t>-595.091635947278 75.1288227714906 -690.915913394403</t>
  </si>
  <si>
    <t>-568.350127586482 36.8499000330758 -835.897484399496</t>
  </si>
  <si>
    <t>-522.815365354827 17.9599483478019 -925.075455917202</t>
  </si>
  <si>
    <t>-578.778733732014 84.56050259943 -779.613667011745</t>
  </si>
  <si>
    <t>-553.174576338528 229.050377200588 -789.265009849784</t>
  </si>
  <si>
    <t>-516.231228991515 336.613112437977 -493.881280483473</t>
  </si>
  <si>
    <t>-332.483469219485 262.571439035928 -325.368302676083</t>
  </si>
  <si>
    <t>-581.586118842312 23.0137769352907 -763.881605855424</t>
  </si>
  <si>
    <t>-393.699659566381 35.4112203959426 -433.01154869087</t>
  </si>
  <si>
    <t>-617.63825932127 263.461822253662 -254.261769175644</t>
  </si>
  <si>
    <t>-605.059668832233 275.366734516973 201.103747058779</t>
  </si>
  <si>
    <t>-622.493463524731 257.279491844796 670.26136243182</t>
  </si>
  <si>
    <t>-464.595083021437 270.020928813764 746.741829674663</t>
  </si>
  <si>
    <t>-569.248503013381 75.2390940900104 -229.535040621036</t>
  </si>
  <si>
    <t>-458.26848266303 77.6869897707063 212.43224960458</t>
  </si>
  <si>
    <t>-609.960838250871 13.9142661737471 652.666480729272</t>
  </si>
  <si>
    <t>-457.008869466381 -29.1278697822436 728.142115518025</t>
  </si>
  <si>
    <t>9763-20170724T170206.962267900.bin</t>
  </si>
  <si>
    <t>-593.397934755581 168.946262952569 -242.239746998085</t>
  </si>
  <si>
    <t>-613.815260440091 148.147969653626 -359.791376155724</t>
  </si>
  <si>
    <t>-615.186889051013 124.050040084343 -478.568309221448</t>
  </si>
  <si>
    <t>-608.722624143219 100.420228295246 -585.314248248285</t>
  </si>
  <si>
    <t>-594.813846905438 74.6021467629046 -690.83591075994</t>
  </si>
  <si>
    <t>-567.908905204076 36.1360025740496 -835.737615934043</t>
  </si>
  <si>
    <t>-522.212243330332 17.1399580289728 -924.810279977767</t>
  </si>
  <si>
    <t>-578.349515042246 83.9194708234766 -779.517836854095</t>
  </si>
  <si>
    <t>-552.639321761664 228.375106048787 -789.227397055113</t>
  </si>
  <si>
    <t>-518.603195012214 337.978635349815 -494.24470585599</t>
  </si>
  <si>
    <t>-335.054346254011 265.61274711915 -324.789459757109</t>
  </si>
  <si>
    <t>-581.277498653156 22.3927364846281 -763.728412190876</t>
  </si>
  <si>
    <t>-393.603391775682 31.6169364960579 -437.004113845073</t>
  </si>
  <si>
    <t>-617.526600771709 263.231004136222 -254.252827334351</t>
  </si>
  <si>
    <t>-604.812579729775 275.150888724462 201.10844638158</t>
  </si>
  <si>
    <t>-622.487951783161 257.150102357443 670.283724779659</t>
  </si>
  <si>
    <t>-464.594442877264 269.981300354584 746.759257726505</t>
  </si>
  <si>
    <t>-569.142042837398 74.7168576575532 -229.566820167328</t>
  </si>
  <si>
    <t>-458.447553454803 77.4485276127159 212.470474937043</t>
  </si>
  <si>
    <t>-609.989077873137 13.8282052462687 652.778874748024</t>
  </si>
  <si>
    <t>-456.949292384323 -29.00724019628 728.194105514334</t>
  </si>
  <si>
    <t>9763-20170724T170206.997361700.bin</t>
  </si>
  <si>
    <t>-593.332043672338 168.754046454159 -242.246887097537</t>
  </si>
  <si>
    <t>-613.768205845886 147.960290220636 -359.796013922801</t>
  </si>
  <si>
    <t>-615.122333602176 123.863709845031 -478.573469267389</t>
  </si>
  <si>
    <t>-608.62792677105 100.232347773822 -585.317246971784</t>
  </si>
  <si>
    <t>-594.675246336294 74.4095803333955 -690.831898676621</t>
  </si>
  <si>
    <t>-567.695761972863 35.9325081912175 -835.716759338666</t>
  </si>
  <si>
    <t>-521.898561019003 16.9173821245233 -924.733823688678</t>
  </si>
  <si>
    <t>-578.151826256803 83.7200304326407 -779.50350353503</t>
  </si>
  <si>
    <t>-552.451170857036 228.18491931571 -789.264394628964</t>
  </si>
  <si>
    <t>-519.408368251549 338.411410400705 -494.400999890384</t>
  </si>
  <si>
    <t>-335.902110084837 266.449734139369 -324.727609407728</t>
  </si>
  <si>
    <t>-581.114941314188 22.1945898847391 -763.715937405276</t>
  </si>
  <si>
    <t>-393.256912656665 29.8895326175132 -440.568254097866</t>
  </si>
  <si>
    <t>-617.42509553934 263.076122815936 -254.25112701017</t>
  </si>
  <si>
    <t>-604.665197063022 275.036459797794 201.107861555262</t>
  </si>
  <si>
    <t>-622.490093529183 257.120674501536 670.28040203865</t>
  </si>
  <si>
    <t>-464.599031335806 269.944397754238 746.762159286191</t>
  </si>
  <si>
    <t>-569.128866329792 74.5344021883998 -229.54449927289</t>
  </si>
  <si>
    <t>-458.435536837202 77.3567410207593 212.492577832184</t>
  </si>
  <si>
    <t>-609.986198379348 13.9033998913758 652.814768805574</t>
  </si>
  <si>
    <t>-456.894752660261 -28.7530707489532 728.226658341372</t>
  </si>
  <si>
    <t>9763-20170724T170207.060534900.bin</t>
  </si>
  <si>
    <t>-593.245136681398 168.604389606504 -242.240161331484</t>
  </si>
  <si>
    <t>-613.625389488233 147.811054623274 -359.798949465232</t>
  </si>
  <si>
    <t>-614.942884860022 123.736613520778 -478.581279833575</t>
  </si>
  <si>
    <t>-608.422676729146 100.134315033554 -585.3299674968</t>
  </si>
  <si>
    <t>-594.450962329408 74.3496410089604 -690.851468029676</t>
  </si>
  <si>
    <t>-567.451384764637 35.9351251361672 -835.749309876465</t>
  </si>
  <si>
    <t>-521.585969738052 16.8991851006813 -924.726585905138</t>
  </si>
  <si>
    <t>-577.915040741286 83.6985400712153 -779.516750932754</t>
  </si>
  <si>
    <t>-552.18032146904 228.164840151783 -789.238546970801</t>
  </si>
  <si>
    <t>-520.116546978827 338.939616997311 -494.472354427977</t>
  </si>
  <si>
    <t>-337.211824926973 265.499910147626 -324.782915665586</t>
  </si>
  <si>
    <t>-580.88066575545 22.1662843836937 -763.756177124743</t>
  </si>
  <si>
    <t>-392.909583382486 31.9339905546024 -433.814424419724</t>
  </si>
  <si>
    <t>-617.380713442101 262.903205064638 -254.227319186438</t>
  </si>
  <si>
    <t>-604.638588369256 274.872773851148 201.131820694724</t>
  </si>
  <si>
    <t>-622.500742567636 257.024471899477 670.297532400576</t>
  </si>
  <si>
    <t>-464.601963431317 269.870742322058 746.759846491525</t>
  </si>
  <si>
    <t>-569.016330702686 74.4876469423348 -229.523037187848</t>
  </si>
  <si>
    <t>-458.488558436096 77.3120910774599 212.555389309717</t>
  </si>
  <si>
    <t>-609.987038278584 13.8939558112722 652.910116191501</t>
  </si>
  <si>
    <t>-457.014943490016 -29.1926263301386 728.31962802514</t>
  </si>
  <si>
    <t>9763-20170724T170207.097630900.bin</t>
  </si>
  <si>
    <t>-593.229225124479 168.589367891338 -242.194777035231</t>
  </si>
  <si>
    <t>-613.603715796911 147.800958975478 -359.75559730463</t>
  </si>
  <si>
    <t>-614.845017289571 123.655968290746 -478.524328247106</t>
  </si>
  <si>
    <t>-608.229754975751 99.9642446006153 -585.247396598792</t>
  </si>
  <si>
    <t>-594.138215698246 74.0674267325414 -690.725383764784</t>
  </si>
  <si>
    <t>-566.947689660258 35.4762934406142 -835.540548117052</t>
  </si>
  <si>
    <t>-521.037507600471 16.3766198113074 -924.481300372684</t>
  </si>
  <si>
    <t>-577.570330025841 83.3079430745729 -779.396102036987</t>
  </si>
  <si>
    <t>-552.264368533561 227.851068928783 -789.27389042624</t>
  </si>
  <si>
    <t>-520.132225994963 338.498557300605 -494.467392744565</t>
  </si>
  <si>
    <t>-337.643211443674 264.085346301467 -324.754446668713</t>
  </si>
  <si>
    <t>-580.386993499581 21.795257229448 -763.532592007065</t>
  </si>
  <si>
    <t>-395.066068205156 33.3052398154662 -429.315378036933</t>
  </si>
  <si>
    <t>-617.413880631773 262.859084530615 -254.196004047264</t>
  </si>
  <si>
    <t>-604.745778756074 274.863243031429 201.164328161411</t>
  </si>
  <si>
    <t>-622.511064381309 256.98703713382 670.320074093498</t>
  </si>
  <si>
    <t>-464.611342130266 269.938943045646 746.762441982475</t>
  </si>
  <si>
    <t>-569.002188414549 74.4812391868243 -229.473525014151</t>
  </si>
  <si>
    <t>-458.374344819204 77.3593725942399 212.579506544364</t>
  </si>
  <si>
    <t>-609.990961565182 14.0441995756166 652.939925682936</t>
  </si>
  <si>
    <t>-457.1178156313 -29.408943231645 728.339740253821</t>
  </si>
  <si>
    <t>9763-20170724T170207.164824500.bin</t>
  </si>
  <si>
    <t>-593.156609037297 168.780840453234 -242.103755037033</t>
  </si>
  <si>
    <t>-613.411341246673 147.932596416755 -359.674507945015</t>
  </si>
  <si>
    <t>-614.35125345539 123.638111900536 -478.41566561498</t>
  </si>
  <si>
    <t>-607.395446080841 99.7767543993839 -585.079292682111</t>
  </si>
  <si>
    <t>-592.899823003933 73.6756489380618 -690.452173043086</t>
  </si>
  <si>
    <t>-565.086210652579 34.7655881056883 -835.063474844149</t>
  </si>
  <si>
    <t>-518.962071034695 15.7949510711942 -923.920896063735</t>
  </si>
  <si>
    <t>-576.134420553145 82.7197764484283 -779.105938495665</t>
  </si>
  <si>
    <t>-551.671423344243 227.352064031623 -789.206919634172</t>
  </si>
  <si>
    <t>-519.844480785594 337.632963608887 -494.230036717727</t>
  </si>
  <si>
    <t>-337.68132917801 260.608806319207 -325.333887685662</t>
  </si>
  <si>
    <t>-578.651404639074 21.2441786623745 -763.049029785139</t>
  </si>
  <si>
    <t>-395.370721447657 36.6535038330496 -428.325694385407</t>
  </si>
  <si>
    <t>-617.707184680485 262.993717822443 -254.129173204684</t>
  </si>
  <si>
    <t>-605.013470136714 274.997865739925 201.230569745157</t>
  </si>
  <si>
    <t>-622.527462888905 256.917659246025 670.374840481982</t>
  </si>
  <si>
    <t>-464.615451965487 269.993712085755 746.770667960956</t>
  </si>
  <si>
    <t>-568.507348821206 74.7469908584292 -229.38226995912</t>
  </si>
  <si>
    <t>-458.069356914247 77.5828459243924 212.718503015557</t>
  </si>
  <si>
    <t>-609.978922079322 14.0361624678062 652.913401702532</t>
  </si>
  <si>
    <t>-457.027493961894 -29.195641189506 728.281721830933</t>
  </si>
  <si>
    <t>9763-20170724T170207.198902800.bin</t>
  </si>
  <si>
    <t>-592.932658341329 169.069784934365 -242.129508324551</t>
  </si>
  <si>
    <t>-613.067278034716 148.182767337895 -359.714019293045</t>
  </si>
  <si>
    <t>-613.91829608875 123.854643903556 -478.449031444912</t>
  </si>
  <si>
    <t>-606.896999019755 99.9603613347997 -585.100825364414</t>
  </si>
  <si>
    <t>-592.351914318823 73.8220384649046 -690.457664478141</t>
  </si>
  <si>
    <t>-564.487735314157 34.8531133759022 -835.043271610193</t>
  </si>
  <si>
    <t>-518.202654735592 15.924627292123 -923.826217213917</t>
  </si>
  <si>
    <t>-575.56585958176 82.8301734934657 -779.111150735756</t>
  </si>
  <si>
    <t>-551.125128813076 227.482802532663 -789.208795880496</t>
  </si>
  <si>
    <t>-519.950820043409 337.279149387941 -493.981507394809</t>
  </si>
  <si>
    <t>-337.953039969576 259.334382541785 -325.329569746199</t>
  </si>
  <si>
    <t>-578.067631678653 21.3613326222774 -763.026225948669</t>
  </si>
  <si>
    <t>-394.897249089926 38.9884888354052 -431.28796995757</t>
  </si>
  <si>
    <t>-617.681975943633 263.09781110829 -254.116345112978</t>
  </si>
  <si>
    <t>-605.282104155662 275.102943244884 201.251442143107</t>
  </si>
  <si>
    <t>-622.555133729368 256.94732427307 670.392203815875</t>
  </si>
  <si>
    <t>-464.635166726024 270.125453544061 746.754059365411</t>
  </si>
  <si>
    <t>-568.026289233061 75.1513311107733 -229.419213427974</t>
  </si>
  <si>
    <t>-457.927291992939 77.9527135340538 212.766272206862</t>
  </si>
  <si>
    <t>-609.949526408243 14.2072549707759 652.877285966369</t>
  </si>
  <si>
    <t>-457.08942501196 -29.2986807807415 728.273102623463</t>
  </si>
  <si>
    <t>9763-20170724T170207.264791400.bin</t>
  </si>
  <si>
    <t>-592.754606077133 169.404202543315 -242.063742943061</t>
  </si>
  <si>
    <t>-612.746344199081 148.533737909944 -359.675765431844</t>
  </si>
  <si>
    <t>-613.418699467005 124.132825704503 -478.396916395918</t>
  </si>
  <si>
    <t>-606.228187742857 100.130837430863 -585.01314015245</t>
  </si>
  <si>
    <t>-591.511516103854 73.8390482440163 -690.308083379282</t>
  </si>
  <si>
    <t>-563.411446579646 34.6072077458582 -834.776999041458</t>
  </si>
  <si>
    <t>-516.838378995759 15.6139009883971 -923.395172325829</t>
  </si>
  <si>
    <t>-574.549123517459 82.6861942338874 -778.944252235396</t>
  </si>
  <si>
    <t>-549.885429894985 227.312308516435 -789.125159833101</t>
  </si>
  <si>
    <t>-519.673666894809 336.052728665137 -493.407404984343</t>
  </si>
  <si>
    <t>-338.298348269814 257.959274258836 -324.154736121466</t>
  </si>
  <si>
    <t>-577.140525783125 21.2461746963154 -762.763674916153</t>
  </si>
  <si>
    <t>-394.789619224899 40.099496650847 -439.613243118476</t>
  </si>
  <si>
    <t>-617.693284630901 263.470837347229 -254.10562954839</t>
  </si>
  <si>
    <t>-605.687877021198 275.285310243803 201.277724418943</t>
  </si>
  <si>
    <t>-622.608152462845 257.013276592409 670.424434934904</t>
  </si>
  <si>
    <t>-464.661701861456 270.16487782144 746.736063504871</t>
  </si>
  <si>
    <t>-567.783845500052 75.3821018367732 -229.298736088652</t>
  </si>
  <si>
    <t>-457.583924128183 78.2739327397276 212.861099431131</t>
  </si>
  <si>
    <t>-609.910968582656 14.0372884222004 652.780510274189</t>
  </si>
  <si>
    <t>-456.878123761782 -28.8641985267643 728.172342465183</t>
  </si>
  <si>
    <t>9763-20170724T170207.297878900.bin</t>
  </si>
  <si>
    <t>-592.525132754254 169.74155342892 -242.041020999103</t>
  </si>
  <si>
    <t>-612.484300682341 148.832845866699 -359.651781803022</t>
  </si>
  <si>
    <t>-613.062516742182 124.383524807197 -478.363433247317</t>
  </si>
  <si>
    <t>-605.763564942679 100.331507291432 -584.961087504169</t>
  </si>
  <si>
    <t>-590.916798845666 73.9821495630629 -690.223372099112</t>
  </si>
  <si>
    <t>-562.615095925183 34.661456356547 -834.628620611077</t>
  </si>
  <si>
    <t>-515.932437459113 15.6048935998531 -923.175648177471</t>
  </si>
  <si>
    <t>-573.805585220281 82.7749687078349 -778.836290675728</t>
  </si>
  <si>
    <t>-549.053933412364 227.339078482849 -789.051502634211</t>
  </si>
  <si>
    <t>-519.216262710086 336.122431770452 -493.311583129944</t>
  </si>
  <si>
    <t>-338.17433563352 257.953122650662 -323.737394257645</t>
  </si>
  <si>
    <t>-576.469793567379 21.3445220510916 -762.631288236946</t>
  </si>
  <si>
    <t>-395.436608320287 38.1591799709729 -442.200708513291</t>
  </si>
  <si>
    <t>-617.455541646711 263.764002924259 -254.118650072575</t>
  </si>
  <si>
    <t>-605.60487438298 275.505664979195 201.270544386399</t>
  </si>
  <si>
    <t>-622.604678500081 257.043121736939 670.409915943075</t>
  </si>
  <si>
    <t>-464.661049451699 270.153238178078 746.734484503718</t>
  </si>
  <si>
    <t>-567.464862528831 75.769893640218 -229.29283568589</t>
  </si>
  <si>
    <t>-457.475247778912 78.4404180431704 212.92074282703</t>
  </si>
  <si>
    <t>-609.901233438851 14.0954209132963 652.754421638542</t>
  </si>
  <si>
    <t>-456.91325703988 -28.9538543296965 728.153033109316</t>
  </si>
  <si>
    <t>9763-20170724T170207.366731600.bin</t>
  </si>
  <si>
    <t>-591.634447008889 170.153802589316 -242.056305271835</t>
  </si>
  <si>
    <t>-611.600167879791 149.196177819223 -359.657090241632</t>
  </si>
  <si>
    <t>-612.139815935357 124.777398692292 -478.375355646391</t>
  </si>
  <si>
    <t>-604.784287602909 100.785431870137 -584.982684036491</t>
  </si>
  <si>
    <t>-589.856998552103 74.5295935935485 -690.25690746397</t>
  </si>
  <si>
    <t>-561.41691893868 35.3730325621834 -834.679550710031</t>
  </si>
  <si>
    <t>-514.566370915127 16.3079520102799 -923.135958062203</t>
  </si>
  <si>
    <t>-572.63174798505 83.4232421070926 -778.837662994981</t>
  </si>
  <si>
    <t>-547.831309043172 228.027678559998 -788.953420711107</t>
  </si>
  <si>
    <t>-518.303739692971 337.157393348002 -493.309965502872</t>
  </si>
  <si>
    <t>-337.532784748233 260.751041442151 -322.646501016146</t>
  </si>
  <si>
    <t>-575.369768766435 21.9739964842852 -762.716371065449</t>
  </si>
  <si>
    <t>-395.394803143228 37.1821043626778 -445.308842373379</t>
  </si>
  <si>
    <t>-616.458231469263 264.200558932119 -254.202276378232</t>
  </si>
  <si>
    <t>-604.898586058147 275.826049599086 201.197479482087</t>
  </si>
  <si>
    <t>-622.589481664601 257.162998225652 670.336051585658</t>
  </si>
  <si>
    <t>-464.676065965776 270.168895619925 746.741049132409</t>
  </si>
  <si>
    <t>-566.735854716558 76.1864511632102 -229.259873392569</t>
  </si>
  <si>
    <t>-456.978181680626 78.552504763149 213.013044487937</t>
  </si>
  <si>
    <t>-609.875519973806 14.0576823347133 652.714811914862</t>
  </si>
  <si>
    <t>-456.910516081255 -29.0044270862622 728.152705752053</t>
  </si>
  <si>
    <t>9763-20170724T170207.394805900.bin</t>
  </si>
  <si>
    <t>-591.191526503377 170.190722398151 -242.013730896683</t>
  </si>
  <si>
    <t>-611.177888323314 149.20601606388 -359.606230264377</t>
  </si>
  <si>
    <t>-611.683134314346 124.792756689096 -478.325710330688</t>
  </si>
  <si>
    <t>-604.272763457952 100.819309623971 -584.933452264054</t>
  </si>
  <si>
    <t>-589.266314104452 74.5955379745792 -690.204382420874</t>
  </si>
  <si>
    <t>-560.690437996562 35.4978317677796 -834.616102146797</t>
  </si>
  <si>
    <t>-513.813119680426 16.490538180353 -923.070823648346</t>
  </si>
  <si>
    <t>-571.960882152857 83.5251907826396 -778.76584857452</t>
  </si>
  <si>
    <t>-547.299065759001 228.141390610465 -788.847603985919</t>
  </si>
  <si>
    <t>-517.924144049879 337.793389005509 -493.382374245816</t>
  </si>
  <si>
    <t>-337.075905454781 262.307738111595 -322.391471759066</t>
  </si>
  <si>
    <t>-574.707875159531 22.0694173990653 -762.67096363113</t>
  </si>
  <si>
    <t>-393.951815723328 36.3362399587634 -445.695627860385</t>
  </si>
  <si>
    <t>-615.981711001441 264.249671071642 -254.209618540228</t>
  </si>
  <si>
    <t>-604.391276370626 275.891691809635 201.18890229528</t>
  </si>
  <si>
    <t>-622.569371389228 257.193673066613 670.302466397477</t>
  </si>
  <si>
    <t>-464.671734008364 270.101443484434 746.75662770613</t>
  </si>
  <si>
    <t>-566.371634280372 76.2355939193715 -229.185279590608</t>
  </si>
  <si>
    <t>-456.684095048902 78.6577550544275 213.104786052542</t>
  </si>
  <si>
    <t>-609.85740738161 14.2092619948678 652.687569654877</t>
  </si>
  <si>
    <t>-456.990758215925 -29.1636438002283 728.14676596494</t>
  </si>
  <si>
    <t>9763-20170724T170207.461846900.bin</t>
  </si>
  <si>
    <t>-590.211728869986 169.961882404303 -242.04500785998</t>
  </si>
  <si>
    <t>-610.174216901412 149.00612067288 -359.646684361037</t>
  </si>
  <si>
    <t>-610.734378017875 124.658422159937 -478.379408150659</t>
  </si>
  <si>
    <t>-603.402253610109 100.765389055656 -585.010570910822</t>
  </si>
  <si>
    <t>-588.499298990562 74.6470476436834 -690.322488808471</t>
  </si>
  <si>
    <t>-560.089816373014 35.7246936643101 -834.814536444616</t>
  </si>
  <si>
    <t>-513.201962331681 16.9285724886606 -923.308747637029</t>
  </si>
  <si>
    <t>-571.340655100487 83.6838804760625 -778.901602215506</t>
  </si>
  <si>
    <t>-546.942320468809 228.352116771545 -788.866924377009</t>
  </si>
  <si>
    <t>-517.965680064822 339.03613171999 -493.747259152252</t>
  </si>
  <si>
    <t>-337.107884238344 264.717841946876 -322.255899698036</t>
  </si>
  <si>
    <t>-573.979592042732 22.2092882605011 -762.860860971703</t>
  </si>
  <si>
    <t>-391.388560431113 34.9096987894195 -446.670149100472</t>
  </si>
  <si>
    <t>-614.919211658626 264.036637991357 -254.195115452509</t>
  </si>
  <si>
    <t>-603.652710226532 275.791911616081 201.2085385865</t>
  </si>
  <si>
    <t>-622.534313738207 257.16459051147 670.280363482069</t>
  </si>
  <si>
    <t>-464.670269339202 270.111040512877 746.79726529425</t>
  </si>
  <si>
    <t>-565.457692475292 76.0389019426173 -229.209542039917</t>
  </si>
  <si>
    <t>-456.156731290699 78.5085499483675 213.175833345842</t>
  </si>
  <si>
    <t>-609.834728232816 14.3777811370817 652.632966078872</t>
  </si>
  <si>
    <t>-456.97264552206 -29.0103160512974 728.092730989214</t>
  </si>
  <si>
    <t>9763-20170724T170207.496946700.bin</t>
  </si>
  <si>
    <t>-589.740986252696 169.960064747007 -242.095134400425</t>
  </si>
  <si>
    <t>-609.629929722442 149.066790168429 -359.720332984212</t>
  </si>
  <si>
    <t>-610.168451445909 124.754925551868 -478.460430206766</t>
  </si>
  <si>
    <t>-602.838599685207 100.886529045292 -585.097368778531</t>
  </si>
  <si>
    <t>-587.959733249665 74.7861197429695 -690.417068875335</t>
  </si>
  <si>
    <t>-559.605795199452 35.883776644034 -834.925380424424</t>
  </si>
  <si>
    <t>-512.738909965369 17.1963387563135 -923.45364575832</t>
  </si>
  <si>
    <t>-570.858335130089 83.8350378309233 -779.00596202997</t>
  </si>
  <si>
    <t>-546.566521207801 228.514674654112 -788.928986797402</t>
  </si>
  <si>
    <t>-517.79574070001 339.694663883885 -493.975637454811</t>
  </si>
  <si>
    <t>-336.94273735881 265.857253211744 -322.271647432119</t>
  </si>
  <si>
    <t>-573.444730996909 22.3586270442402 -762.963835596081</t>
  </si>
  <si>
    <t>-389.906672855819 33.5247958317573 -446.54993449814</t>
  </si>
  <si>
    <t>-614.45477880408 264.003650231514 -254.199664460243</t>
  </si>
  <si>
    <t>-603.421927847076 275.756861504532 201.209760628753</t>
  </si>
  <si>
    <t>-622.542449176986 257.154377249147 670.290190487122</t>
  </si>
  <si>
    <t>-464.679840066267 270.084815739123 746.812737481879</t>
  </si>
  <si>
    <t>-564.953441933076 76.1097906004097 -229.293526185018</t>
  </si>
  <si>
    <t>-456.019201354621 78.3100766799989 213.183753564046</t>
  </si>
  <si>
    <t>-609.84531623113 14.2161541922746 652.631004662938</t>
  </si>
  <si>
    <t>-456.938784781874 -29.0084737072013 728.09448863743</t>
  </si>
  <si>
    <t>9763-20170724T170207.560751000.bin</t>
  </si>
  <si>
    <t>-588.859352774416 170.079907582082 -242.137052624522</t>
  </si>
  <si>
    <t>-608.646599529965 149.256584561689 -359.791826465968</t>
  </si>
  <si>
    <t>-609.136019801178 125.097592015828 -478.563395946217</t>
  </si>
  <si>
    <t>-601.780421526402 101.400279968995 -585.236566909522</t>
  </si>
  <si>
    <t>-586.892181708901 75.5030642170934 -690.60505143083</t>
  </si>
  <si>
    <t>-558.539912389655 36.9159878141202 -835.198341699332</t>
  </si>
  <si>
    <t>-511.749518482903 18.4519079058459 -923.813936259597</t>
  </si>
  <si>
    <t>-569.804973455779 84.745179676217 -779.177027789819</t>
  </si>
  <si>
    <t>-545.372201112935 229.433870365016 -788.876109345601</t>
  </si>
  <si>
    <t>-517.773439798439 340.71672674147 -493.849740693955</t>
  </si>
  <si>
    <t>-336.841892452529 267.311974671033 -322.042985243181</t>
  </si>
  <si>
    <t>-572.364856059563 23.2341077411593 -763.263638400322</t>
  </si>
  <si>
    <t>-388.585286813095 32.1521387132061 -446.875258998933</t>
  </si>
  <si>
    <t>-613.503949129549 264.04806619338 -254.219677901332</t>
  </si>
  <si>
    <t>-602.814100714229 275.875622272168 201.196130009858</t>
  </si>
  <si>
    <t>-622.548342832973 257.220712861828 670.255200117712</t>
  </si>
  <si>
    <t>-464.702751704559 270.060635672733 746.828228829424</t>
  </si>
  <si>
    <t>-564.088969411423 76.1989845431954 -229.3849850084</t>
  </si>
  <si>
    <t>-455.861558521155 78.4304384863819 213.265537621497</t>
  </si>
  <si>
    <t>-609.812361491701 14.405094967027 652.589731782321</t>
  </si>
  <si>
    <t>-457.014712626049 -29.1157839369637 728.103487949203</t>
  </si>
  <si>
    <t>9763-20170724T170207.593838500.bin</t>
  </si>
  <si>
    <t>-588.339498339181 170.047981465226 -242.199645268625</t>
  </si>
  <si>
    <t>-608.121712648339 149.254990516093 -359.860589218812</t>
  </si>
  <si>
    <t>-608.576435971225 125.151776065715 -478.643651987357</t>
  </si>
  <si>
    <t>-601.176133970968 101.516368615472 -585.327593650364</t>
  </si>
  <si>
    <t>-586.229063358864 75.6932739012973 -690.705930200225</t>
  </si>
  <si>
    <t>-557.77969871457 37.221882199485 -835.3108133097</t>
  </si>
  <si>
    <t>-510.976568398865 18.8276366726714 -923.934300237404</t>
  </si>
  <si>
    <t>-569.111004021158 85.0058810419257 -779.264455335845</t>
  </si>
  <si>
    <t>-544.71681795632 229.695920999511 -788.809617262569</t>
  </si>
  <si>
    <t>-517.375820399219 340.993327157218 -493.76470022485</t>
  </si>
  <si>
    <t>-336.60669923914 267.673401200978 -321.750786182386</t>
  </si>
  <si>
    <t>-571.624329127804 23.4825929379745 -763.391003803269</t>
  </si>
  <si>
    <t>-388.189582555057 31.8028612896985 -447.087778499588</t>
  </si>
  <si>
    <t>-613.025624462666 264.050858170528 -254.24403514071</t>
  </si>
  <si>
    <t>-602.43013081646 275.880013489408 201.173992179106</t>
  </si>
  <si>
    <t>-622.53284749188 257.266730939604 670.214170027174</t>
  </si>
  <si>
    <t>-464.710333575811 270.107553248459 746.834455904395</t>
  </si>
  <si>
    <t>-563.519425070957 76.1412197736852 -229.478800818106</t>
  </si>
  <si>
    <t>-455.743542068557 78.4891823005037 213.281300380351</t>
  </si>
  <si>
    <t>-609.787295015085 14.3272209334868 652.564533843192</t>
  </si>
  <si>
    <t>-456.938734385773 -28.9834673177143 728.096113857817</t>
  </si>
  <si>
    <t>9763-20170724T170207.663571000.bin</t>
  </si>
  <si>
    <t>-587.540472195733 170.317750011616 -242.201772860256</t>
  </si>
  <si>
    <t>-607.151429974746 149.548731207981 -359.895799462434</t>
  </si>
  <si>
    <t>-607.414554005996 125.531919851495 -478.696830062046</t>
  </si>
  <si>
    <t>-599.8321446174 101.999129103947 -585.390495376641</t>
  </si>
  <si>
    <t>-584.693272917031 76.3030359883292 -690.772647444179</t>
  </si>
  <si>
    <t>-555.966526201658 38.0332242062893 -835.376260430387</t>
  </si>
  <si>
    <t>-509.084819615214 19.7328066362311 -923.977537156641</t>
  </si>
  <si>
    <t>-567.427939276997 85.7389016535419 -779.289477808483</t>
  </si>
  <si>
    <t>-542.977817158003 230.454714478774 -788.486930069432</t>
  </si>
  <si>
    <t>-516.302453914353 341.42053107513 -493.256100120683</t>
  </si>
  <si>
    <t>-335.656291286642 268.209670693009 -321.066810525607</t>
  </si>
  <si>
    <t>-569.926490583562 24.1940400117151 -763.49775504678</t>
  </si>
  <si>
    <t>-387.246876462682 32.4074438667396 -448.273229132769</t>
  </si>
  <si>
    <t>-612.237614011996 264.290200766189 -254.283888660715</t>
  </si>
  <si>
    <t>-602.104354184023 276.110123309049 201.144773132135</t>
  </si>
  <si>
    <t>-622.538238892504 257.432210069615 670.165959308512</t>
  </si>
  <si>
    <t>-464.739617542835 270.152620328444 746.855598402911</t>
  </si>
  <si>
    <t>-562.788523974188 76.4546891859513 -229.443388072683</t>
  </si>
  <si>
    <t>-455.203238959248 78.6774240856889 213.363756518414</t>
  </si>
  <si>
    <t>-609.733836328549 14.454952442675 652.477762643081</t>
  </si>
  <si>
    <t>-456.962017851894 -29.0198527637779 728.070237110344</t>
  </si>
  <si>
    <t>9763-20170724T170207.697664400.bin</t>
  </si>
  <si>
    <t>-587.214994326745 170.392773609512 -242.188036409521</t>
  </si>
  <si>
    <t>-606.768542788357 149.618223647038 -359.890592880891</t>
  </si>
  <si>
    <t>-606.93204682303 125.655086809855 -478.702523821401</t>
  </si>
  <si>
    <t>-599.24073569763 102.194651295021 -585.404570950023</t>
  </si>
  <si>
    <t>-583.973343695941 76.5938771036281 -690.791219338534</t>
  </si>
  <si>
    <t>-555.046725079086 38.4803442665077 -835.396223508782</t>
  </si>
  <si>
    <t>-508.076080550345 20.2425300444754 -923.9632826244</t>
  </si>
  <si>
    <t>-566.616927809254 86.1251220244533 -779.280083122698</t>
  </si>
  <si>
    <t>-542.195606889165 230.846298829763 -788.323444771664</t>
  </si>
  <si>
    <t>-515.923210865342 341.343460787306 -492.880889170039</t>
  </si>
  <si>
    <t>-335.220404589632 268.209409439035 -320.7184239802</t>
  </si>
  <si>
    <t>-569.074766373882 24.563859894992 -763.546074650759</t>
  </si>
  <si>
    <t>-387.100890637118 33.0677380900552 -448.815429939322</t>
  </si>
  <si>
    <t>-611.937803238657 264.317504788891 -254.283546314576</t>
  </si>
  <si>
    <t>-601.999711097089 276.135060470779 201.149488187423</t>
  </si>
  <si>
    <t>-622.534828353828 257.402343010874 670.176236840818</t>
  </si>
  <si>
    <t>-464.736080725402 270.163663258145 746.858807670583</t>
  </si>
  <si>
    <t>-562.394731578664 76.5470246685222 -229.452804485047</t>
  </si>
  <si>
    <t>-455.037594917311 78.837805065881 213.409340226059</t>
  </si>
  <si>
    <t>-609.710414105105 14.565178873685 652.44037861594</t>
  </si>
  <si>
    <t>-457.064886657824 -29.266235276925 728.082011239322</t>
  </si>
  <si>
    <t>9763-20170724T170207.763284000.bin</t>
  </si>
  <si>
    <t>-586.758159784395 170.471131329876 -242.225888844785</t>
  </si>
  <si>
    <t>-606.238054858018 149.723651476312 -359.945425169497</t>
  </si>
  <si>
    <t>-606.197450155603 125.804470786176 -478.766538690856</t>
  </si>
  <si>
    <t>-598.268894903486 102.392799299502 -585.461816060527</t>
  </si>
  <si>
    <t>-582.71201240893 76.8508856359917 -690.820308002903</t>
  </si>
  <si>
    <t>-553.329334222083 38.8305384917171 -835.357873900573</t>
  </si>
  <si>
    <t>-506.158213128372 20.6713628650816 -923.834646804679</t>
  </si>
  <si>
    <t>-565.175503701559 86.4378838111384 -779.267586729369</t>
  </si>
  <si>
    <t>-541.236278601935 231.262393527537 -788.099913674065</t>
  </si>
  <si>
    <t>-515.583544822515 341.310903895087 -492.435616529136</t>
  </si>
  <si>
    <t>-334.634951052856 268.414341952961 -320.430367178431</t>
  </si>
  <si>
    <t>-567.484993799067 24.8688851472712 -763.541505402441</t>
  </si>
  <si>
    <t>-386.881933524806 34.6153463374267 -448.840090577135</t>
  </si>
  <si>
    <t>-611.526856723056 264.380814776458 -254.280268898684</t>
  </si>
  <si>
    <t>-601.599951611724 276.133352913419 201.15468263697</t>
  </si>
  <si>
    <t>-622.530877590274 257.354545198533 670.166758061703</t>
  </si>
  <si>
    <t>-464.742679843199 270.187800330693 746.859023654197</t>
  </si>
  <si>
    <t>-561.919674753662 76.6924817025579 -229.493359328321</t>
  </si>
  <si>
    <t>-454.864227349998 78.8250551868468 213.442569376001</t>
  </si>
  <si>
    <t>-609.674773224049 14.4036296701172 652.410729545778</t>
  </si>
  <si>
    <t>-456.883894058135 -28.8549330720925 728.088734536257</t>
  </si>
  <si>
    <t>9763-20170724T170207.796354500.bin</t>
  </si>
  <si>
    <t>-586.646812646368 170.638335272222 -242.208997540893</t>
  </si>
  <si>
    <t>-606.024790774347 149.901556748078 -359.947201350113</t>
  </si>
  <si>
    <t>-605.84652956953 125.97085457156 -478.76587933984</t>
  </si>
  <si>
    <t>-597.781396664023 102.538998994218 -585.446498253369</t>
  </si>
  <si>
    <t>-582.077264857714 76.9670892377251 -690.775925543261</t>
  </si>
  <si>
    <t>-552.480513752929 38.8945341962949 -835.256040785456</t>
  </si>
  <si>
    <t>-505.21656487137 20.7480259808717 -923.685783562154</t>
  </si>
  <si>
    <t>-564.433886741672 86.521824622331 -779.205502329965</t>
  </si>
  <si>
    <t>-540.674600224781 231.379360642755 -788.035158186251</t>
  </si>
  <si>
    <t>-515.579516719235 341.316563860445 -492.28145846839</t>
  </si>
  <si>
    <t>-334.434771910446 268.591674516787 -320.410168273737</t>
  </si>
  <si>
    <t>-566.718469673025 24.9590725388616 -763.450875973487</t>
  </si>
  <si>
    <t>-386.982359737298 35.1191448001048 -448.820656420342</t>
  </si>
  <si>
    <t>-611.434951309659 264.497274007181 -254.266652161676</t>
  </si>
  <si>
    <t>-601.634447177087 276.220023420853 201.171793900203</t>
  </si>
  <si>
    <t>-622.529199794183 257.324340510369 670.175370937416</t>
  </si>
  <si>
    <t>-464.73872365601 270.200662685357 746.855810886207</t>
  </si>
  <si>
    <t>-561.78591188389 76.8643678625917 -229.473150338923</t>
  </si>
  <si>
    <t>-454.784560718475 78.9863792313788 213.47592277086</t>
  </si>
  <si>
    <t>-609.665388735461 14.3674697714951 652.400135340618</t>
  </si>
  <si>
    <t>-456.943705708787 -29.1080209795409 728.093452047651</t>
  </si>
  <si>
    <t>9763-20170724T170207.864223400.bin</t>
  </si>
  <si>
    <t>-586.638010890552 171.022856317239 -242.233170570197</t>
  </si>
  <si>
    <t>-605.904284078038 150.308898523728 -359.993734271006</t>
  </si>
  <si>
    <t>-605.545870751515 126.398054663597 -478.815893116315</t>
  </si>
  <si>
    <t>-597.292408300853 102.979993488603 -585.4851023088</t>
  </si>
  <si>
    <t>-581.37664530701 77.4154282147215 -690.784594196057</t>
  </si>
  <si>
    <t>-551.463677892096 39.3448838465692 -835.200299948495</t>
  </si>
  <si>
    <t>-504.00078508928 21.2215740396152 -923.52796414356</t>
  </si>
  <si>
    <t>-563.57164883427 86.9709073326317 -779.181593782075</t>
  </si>
  <si>
    <t>-540.018870074725 231.860784181129 -787.987840075423</t>
  </si>
  <si>
    <t>-515.845163592422 342.023292377703 -492.241289533586</t>
  </si>
  <si>
    <t>-334.368451076102 269.557345479401 -320.611023265719</t>
  </si>
  <si>
    <t>-565.82684225625 25.4088796128635 -763.419948094712</t>
  </si>
  <si>
    <t>-387.134146448574 36.409541180175 -447.745390890442</t>
  </si>
  <si>
    <t>-611.572274445125 264.785995898821 -254.264870110956</t>
  </si>
  <si>
    <t>-601.950794882154 276.385035984984 201.180652269705</t>
  </si>
  <si>
    <t>-622.564227410133 257.343987080593 670.192289003922</t>
  </si>
  <si>
    <t>-464.756589721436 270.241479113226 746.833778323195</t>
  </si>
  <si>
    <t>-561.616609177337 77.33819639124 -229.533824434187</t>
  </si>
  <si>
    <t>-454.885917506543 79.1269117995025 213.482020595049</t>
  </si>
  <si>
    <t>-609.667406866616 14.3820947280067 652.426163598782</t>
  </si>
  <si>
    <t>-456.894288803392 -28.9398741675202 728.103710195337</t>
  </si>
  <si>
    <t>9763-20170724T170207.899317600.bin</t>
  </si>
  <si>
    <t>-586.790263940457 171.135766500042 -242.208858611639</t>
  </si>
  <si>
    <t>-606.038523498664 150.425194831731 -359.972944582736</t>
  </si>
  <si>
    <t>-605.614594031889 126.505286826672 -478.793139470327</t>
  </si>
  <si>
    <t>-597.283759345092 103.073350606155 -585.453228491076</t>
  </si>
  <si>
    <t>-581.273533298632 77.4888723662905 -690.733664604612</t>
  </si>
  <si>
    <t>-551.212643156281 39.3839527239388 -835.10947038792</t>
  </si>
  <si>
    <t>-503.679763921514 21.2375207353721 -923.394908220524</t>
  </si>
  <si>
    <t>-563.393152738222 87.0230454363743 -779.117749887295</t>
  </si>
  <si>
    <t>-539.927463590498 231.923140767865 -787.944539110852</t>
  </si>
  <si>
    <t>-515.904965772658 342.327348039634 -492.275701682372</t>
  </si>
  <si>
    <t>-334.321824632622 270.074747889474 -320.668046848841</t>
  </si>
  <si>
    <t>-565.634205487563 25.4652151665596 -763.337518337134</t>
  </si>
  <si>
    <t>-387.377867536848 36.8468974770092 -446.518164682282</t>
  </si>
  <si>
    <t>-611.727081724386 264.891266128025 -254.247491081555</t>
  </si>
  <si>
    <t>-602.082097128178 276.428965616878 201.199073977747</t>
  </si>
  <si>
    <t>-622.569813444711 257.284320347119 670.221920275774</t>
  </si>
  <si>
    <t>-464.754717783729 270.287850038983 746.83007236456</t>
  </si>
  <si>
    <t>-561.818410257826 77.3861526665398 -229.471373846214</t>
  </si>
  <si>
    <t>-454.873721854895 79.1554637677834 213.492932276394</t>
  </si>
  <si>
    <t>-609.666108892634 14.2448385443072 652.421466104621</t>
  </si>
  <si>
    <t>-456.914806395108 -29.146218557981 728.103424121476</t>
  </si>
  <si>
    <t>9763-20170724T170207.962472100.bin</t>
  </si>
  <si>
    <t>-587.079015435241 171.430660865224 -242.184525147333</t>
  </si>
  <si>
    <t>-606.350713425076 150.708274993677 -359.94267755501</t>
  </si>
  <si>
    <t>-605.812421093412 126.790181731157 -478.762758706968</t>
  </si>
  <si>
    <t>-597.322214560046 103.365836549258 -585.412107432516</t>
  </si>
  <si>
    <t>-581.097263017499 77.7954366686952 -690.663002836168</t>
  </si>
  <si>
    <t>-550.681222314788 39.7177170124289 -834.971487269231</t>
  </si>
  <si>
    <t>-502.986260149201 21.5591548051723 -923.166991251737</t>
  </si>
  <si>
    <t>-563.039829024394 87.3456486345981 -779.009314588677</t>
  </si>
  <si>
    <t>-539.743063192594 232.273701196245 -787.822086667171</t>
  </si>
  <si>
    <t>-516.050054294866 343.071888615458 -492.274146068405</t>
  </si>
  <si>
    <t>-334.056876631949 271.470565516664 -320.827940601079</t>
  </si>
  <si>
    <t>-565.238977150024 25.7862192388222 -763.229530802449</t>
  </si>
  <si>
    <t>-387.546465729719 37.259251135956 -445.912900285151</t>
  </si>
  <si>
    <t>-611.942919227386 265.228633250782 -254.22924698026</t>
  </si>
  <si>
    <t>-602.265073477995 276.623644800508 201.220264062018</t>
  </si>
  <si>
    <t>-622.593915363122 257.353215101998 670.218300962244</t>
  </si>
  <si>
    <t>-464.771339567413 270.285748682338 746.823098692479</t>
  </si>
  <si>
    <t>-562.089885758215 77.6850752477646 -229.460021592075</t>
  </si>
  <si>
    <t>-454.987218759493 79.3532469739098 213.466533952988</t>
  </si>
  <si>
    <t>-609.662638969695 14.4692061280361 652.421747517604</t>
  </si>
  <si>
    <t>-456.916460814151 -28.985575426022 728.077518033107</t>
  </si>
  <si>
    <t>9763-20170724T170207.994556700.bin</t>
  </si>
  <si>
    <t>-587.239946791476 171.543989032733 -242.173787712715</t>
  </si>
  <si>
    <t>-606.483085088445 150.835380836222 -359.939078015319</t>
  </si>
  <si>
    <t>-605.885787202337 126.90033135176 -478.755308876644</t>
  </si>
  <si>
    <t>-597.331630542271 103.448026111572 -585.393502770874</t>
  </si>
  <si>
    <t>-581.033447119785 77.8370514297617 -690.623118680776</t>
  </si>
  <si>
    <t>-550.507425175767 39.6896383118046 -834.890003904942</t>
  </si>
  <si>
    <t>-502.765063112649 21.510361463754 -923.05562445289</t>
  </si>
  <si>
    <t>-562.900498001147 87.3446838463874 -778.958689361142</t>
  </si>
  <si>
    <t>-539.611742822751 232.272713688641 -787.785109625044</t>
  </si>
  <si>
    <t>-516.189487311023 343.309138356149 -492.305000106678</t>
  </si>
  <si>
    <t>-333.927206261224 272.003421294884 -321.02154284001</t>
  </si>
  <si>
    <t>-565.128001400881 25.7926769659573 -763.15414846419</t>
  </si>
  <si>
    <t>-387.006162039575 36.3978472623926 -445.62154826335</t>
  </si>
  <si>
    <t>-612.090070364292 265.38387751241 -254.230216451732</t>
  </si>
  <si>
    <t>-602.358933861758 276.695613451398 201.220137417276</t>
  </si>
  <si>
    <t>-622.593144864618 257.334617058163 670.221736769426</t>
  </si>
  <si>
    <t>-464.768438693659 270.270447525056 746.821580146149</t>
  </si>
  <si>
    <t>-562.299731093548 77.786610260732 -229.459932834849</t>
  </si>
  <si>
    <t>-455.086518375922 79.3630981800636 213.440195397529</t>
  </si>
  <si>
    <t>-609.67271504324 14.4318848243838 652.434740087179</t>
  </si>
  <si>
    <t>-456.897727986872 -28.9487732578091 728.074957045042</t>
  </si>
  <si>
    <t>9763-20170724T170208.058500300.bin</t>
  </si>
  <si>
    <t>-587.487672502215 171.739964395463 -242.201499582922</t>
  </si>
  <si>
    <t>-606.761163721111 151.059019995642 -359.966710066406</t>
  </si>
  <si>
    <t>-606.141230223976 127.132225940993 -478.784544311118</t>
  </si>
  <si>
    <t>-597.546146194499 103.678358683079 -585.418876386926</t>
  </si>
  <si>
    <t>-581.187686268242 78.0563047939906 -690.636643749555</t>
  </si>
  <si>
    <t>-550.558978331027 39.8832255727621 -834.874967771596</t>
  </si>
  <si>
    <t>-502.722529193001 21.6546594095428 -922.979260672716</t>
  </si>
  <si>
    <t>-562.974385636618 87.5485524536564 -778.957174629327</t>
  </si>
  <si>
    <t>-539.383327130578 232.437583715776 -787.704258195577</t>
  </si>
  <si>
    <t>-517.048220882365 344.057991645073 -492.35998590089</t>
  </si>
  <si>
    <t>-334.48102256633 272.715352325684 -321.417026242605</t>
  </si>
  <si>
    <t>-565.248054058089 25.9987403240991 -763.150707647346</t>
  </si>
  <si>
    <t>-385.94382983617 35.3889341213307 -441.099285274196</t>
  </si>
  <si>
    <t>-612.238991457572 265.64891924435 -254.240280076386</t>
  </si>
  <si>
    <t>-602.580075258233 276.834048622087 201.214710645118</t>
  </si>
  <si>
    <t>-622.618194954984 257.420594778518 670.217122648713</t>
  </si>
  <si>
    <t>-464.786910042721 270.248312368981 746.82157277346</t>
  </si>
  <si>
    <t>-562.674400035205 77.9132774619263 -229.461968043469</t>
  </si>
  <si>
    <t>-455.22530369029 79.299392525349 213.381660809906</t>
  </si>
  <si>
    <t>-609.681779494843 14.1986947824398 652.431356828236</t>
  </si>
  <si>
    <t>-456.779376275677 -28.7636759847226 728.052775165086</t>
  </si>
  <si>
    <t>9763-20170724T170208.097633700.bin</t>
  </si>
  <si>
    <t>-587.608574549714 172.018458784939 -242.188006805668</t>
  </si>
  <si>
    <t>-606.886659330785 151.353923955746 -359.955228999323</t>
  </si>
  <si>
    <t>-606.246034639272 127.422071887268 -478.772074413303</t>
  </si>
  <si>
    <t>-597.622545303474 103.956583653116 -585.401495013933</t>
  </si>
  <si>
    <t>-581.226350744075 78.3169560666929 -690.609155601138</t>
  </si>
  <si>
    <t>-550.535839627826 40.114313359255 -834.826436136261</t>
  </si>
  <si>
    <t>-502.678943246279 21.8578480826427 -922.914023617074</t>
  </si>
  <si>
    <t>-562.984137954229 87.7909469367958 -778.925730351985</t>
  </si>
  <si>
    <t>-539.297565633415 232.645504358505 -787.603956028319</t>
  </si>
  <si>
    <t>-517.613066763912 345.410697689549 -492.646468395494</t>
  </si>
  <si>
    <t>-335.305425011552 272.996216590917 -321.877202947555</t>
  </si>
  <si>
    <t>-565.246692827046 26.244794242496 -763.103857489158</t>
  </si>
  <si>
    <t>-385.36074007497 34.9783390190428 -438.343454905062</t>
  </si>
  <si>
    <t>-612.285590560962 265.946787022284 -254.244945948402</t>
  </si>
  <si>
    <t>-602.650065058563 277.008235125433 201.213575981825</t>
  </si>
  <si>
    <t>-622.631199300543 257.503574368335 670.203745583484</t>
  </si>
  <si>
    <t>-464.801327771778 270.234375186143 746.82729832113</t>
  </si>
  <si>
    <t>-562.857988082452 78.256192593961 -229.454149844139</t>
  </si>
  <si>
    <t>-455.214534219918 79.4534938720412 213.342762004447</t>
  </si>
  <si>
    <t>-609.675716254053 14.40593532967 652.400076450521</t>
  </si>
  <si>
    <t>-456.892475154949 -28.9503623477358 728.037512674341</t>
  </si>
  <si>
    <t>9763-20170724T170208.162371700.bin</t>
  </si>
  <si>
    <t>-587.571079451609 172.361336721023 -242.200864094118</t>
  </si>
  <si>
    <t>-606.8856627089 151.688771819366 -359.960872394316</t>
  </si>
  <si>
    <t>-606.285870721117 127.726605980426 -478.771641189356</t>
  </si>
  <si>
    <t>-597.701597763624 104.224484881614 -585.396231379184</t>
  </si>
  <si>
    <t>-581.347444194067 78.5387400007653 -690.599097864288</t>
  </si>
  <si>
    <t>-550.718864697658 40.2619527043928 -834.810082880171</t>
  </si>
  <si>
    <t>-502.844022229115 21.9359630590102 -922.873263597194</t>
  </si>
  <si>
    <t>-563.100039072051 87.9680801544712 -778.919406909659</t>
  </si>
  <si>
    <t>-538.935632071618 232.766115387654 -787.522046700292</t>
  </si>
  <si>
    <t>-520.146535123136 347.339684796197 -493.063090727501</t>
  </si>
  <si>
    <t>-338.432748500184 273.040550333365 -322.47081737636</t>
  </si>
  <si>
    <t>-565.442113141846 26.4284606742688 -763.082941185622</t>
  </si>
  <si>
    <t>-385.543597937395 37.0970021141547 -436.542873688091</t>
  </si>
  <si>
    <t>-612.105600051611 266.363357103185 -254.273989316669</t>
  </si>
  <si>
    <t>-602.604728267195 277.363494121562 201.188901769575</t>
  </si>
  <si>
    <t>-622.665679794409 257.760308325657 670.157698832734</t>
  </si>
  <si>
    <t>-464.843207364315 270.150503795259 746.8522920676</t>
  </si>
  <si>
    <t>-562.914342869177 78.4241780670138 -229.441008919277</t>
  </si>
  <si>
    <t>-455.072010243977 79.6119439018182 213.307583709082</t>
  </si>
  <si>
    <t>-609.660599898353 14.4591814589664 652.326360052748</t>
  </si>
  <si>
    <t>-456.91974223519 -29.0248747720234 727.976085903619</t>
  </si>
  <si>
    <t>9763-20170724T170208.194456000.bin</t>
  </si>
  <si>
    <t>-587.415256873714 172.414799520008 -242.241336065843</t>
  </si>
  <si>
    <t>-606.778409709417 151.747432638707 -359.994031605282</t>
  </si>
  <si>
    <t>-606.214558155647 127.74541839192 -478.797073612816</t>
  </si>
  <si>
    <t>-597.659062295729 104.189113506554 -585.412004644268</t>
  </si>
  <si>
    <t>-581.330891740448 78.4319382643102 -690.601467503808</t>
  </si>
  <si>
    <t>-550.736472162704 40.0384364635086 -834.788616281255</t>
  </si>
  <si>
    <t>-502.838941944676 21.6669941238736 -922.829976279978</t>
  </si>
  <si>
    <t>-563.083975593206 87.7900598557021 -778.929428810241</t>
  </si>
  <si>
    <t>-538.88939115254 232.584339957685 -787.598031780938</t>
  </si>
  <si>
    <t>-521.676744482613 347.831125262809 -493.305567579527</t>
  </si>
  <si>
    <t>-340.404036929691 272.418442916766 -322.732521339183</t>
  </si>
  <si>
    <t>-565.463146479348 26.262763568659 -763.051159160752</t>
  </si>
  <si>
    <t>-385.712896263973 38.5065545651767 -437.319239143106</t>
  </si>
  <si>
    <t>-611.911869580983 266.49293162398 -254.316788670995</t>
  </si>
  <si>
    <t>-602.445981763423 277.414000827864 201.148644155694</t>
  </si>
  <si>
    <t>-622.662597611721 257.839400413862 670.116241624913</t>
  </si>
  <si>
    <t>-464.858752351111 270.191659183978 746.855331807986</t>
  </si>
  <si>
    <t>-562.804481340703 78.409680585966 -229.513587283221</t>
  </si>
  <si>
    <t>-455.092221401372 79.6917876009329 213.266387537236</t>
  </si>
  <si>
    <t>-609.653941554846 14.4512256733226 652.303153009737</t>
  </si>
  <si>
    <t>-456.952504437875 -29.1491029801691 727.965567278205</t>
  </si>
  <si>
    <t>9763-20170724T170208.259611500.bin</t>
  </si>
  <si>
    <t>-587.25441360889 172.344750429871 -242.276891195477</t>
  </si>
  <si>
    <t>-606.642609919983 151.782660007103 -360.044232887224</t>
  </si>
  <si>
    <t>-606.103205283396 127.718648618048 -478.834643954554</t>
  </si>
  <si>
    <t>-597.57565496012 104.040260853652 -585.4249695715</t>
  </si>
  <si>
    <t>-581.285195914124 78.0966917780727 -690.57423150721</t>
  </si>
  <si>
    <t>-550.75700814056 39.3786660162077 -834.688709063412</t>
  </si>
  <si>
    <t>-502.842581828459 20.8810913410116 -922.694469190953</t>
  </si>
  <si>
    <t>-563.033808190415 87.2565965461267 -778.922190745865</t>
  </si>
  <si>
    <t>-539.004069638614 232.060466792951 -787.744225397061</t>
  </si>
  <si>
    <t>-524.824999752313 348.649668236691 -493.818750559707</t>
  </si>
  <si>
    <t>-344.538104942398 271.478404627042 -322.987620797724</t>
  </si>
  <si>
    <t>-565.495767538414 25.7638106538445 -762.922866288409</t>
  </si>
  <si>
    <t>-386.014006367164 40.0962073915478 -442.013378638973</t>
  </si>
  <si>
    <t>-611.573935443816 266.501557693013 -254.305837450677</t>
  </si>
  <si>
    <t>-602.113526081793 277.359822893369 201.161258900492</t>
  </si>
  <si>
    <t>-622.646318722392 257.758218904987 670.112286285194</t>
  </si>
  <si>
    <t>-464.858413969461 270.130844684689 746.880794107078</t>
  </si>
  <si>
    <t>-562.920448297758 78.2501027558162 -229.55988789813</t>
  </si>
  <si>
    <t>-454.970155309033 79.623273629122 213.161834645511</t>
  </si>
  <si>
    <t>-609.636679502701 14.4347000275041 652.233569632691</t>
  </si>
  <si>
    <t>-456.906498476147 -29.0449480486341 727.907363355946</t>
  </si>
  <si>
    <t>9763-20170724T170208.302733000.bin</t>
  </si>
  <si>
    <t>-587.158746187069 172.420186085465 -242.320929211546</t>
  </si>
  <si>
    <t>-606.55456938805 151.888463979744 -360.09204464975</t>
  </si>
  <si>
    <t>-605.997508745377 127.813428969694 -478.880359927606</t>
  </si>
  <si>
    <t>-597.445997438656 104.106018473835 -585.46213942952</t>
  </si>
  <si>
    <t>-581.125603214156 78.1130410850669 -690.594746752193</t>
  </si>
  <si>
    <t>-550.551499937129 39.3042727309262 -834.675013664343</t>
  </si>
  <si>
    <t>-502.613391331888 20.7467734584295 -922.655335643039</t>
  </si>
  <si>
    <t>-562.814243032712 87.2178058077075 -778.93588025516</t>
  </si>
  <si>
    <t>-538.668379338894 231.997485344092 -787.744276695741</t>
  </si>
  <si>
    <t>-525.920983915279 348.964368397556 -493.903353514986</t>
  </si>
  <si>
    <t>-346.227847264474 270.695459883316 -322.94599577208</t>
  </si>
  <si>
    <t>-565.344939372749 25.734230998786 -762.912019667639</t>
  </si>
  <si>
    <t>-386.849235302839 40.2291616561199 -444.800538380339</t>
  </si>
  <si>
    <t>-611.463132362277 266.569850302198 -254.310154546556</t>
  </si>
  <si>
    <t>-602.003961506682 277.347416181805 201.158771857768</t>
  </si>
  <si>
    <t>-622.655945596683 257.761774088846 670.104975922949</t>
  </si>
  <si>
    <t>-464.869564855799 270.103037740585 746.881633485843</t>
  </si>
  <si>
    <t>-562.784997680712 78.4095012020121 -229.658132026072</t>
  </si>
  <si>
    <t>-455.198925430366 79.5250786213364 213.152982064656</t>
  </si>
  <si>
    <t>-609.643934052092 14.4371568677805 652.231884612416</t>
  </si>
  <si>
    <t>-456.900271378199 -29.0025197907476 727.901417478222</t>
  </si>
  <si>
    <t>9763-20170724T170208.363666300.bin</t>
  </si>
  <si>
    <t>-587.268204969832 172.68710690126 -242.360763648576</t>
  </si>
  <si>
    <t>-606.637286705912 152.248783356169 -360.152687651584</t>
  </si>
  <si>
    <t>-606.04770000149 128.244738118388 -478.955113154179</t>
  </si>
  <si>
    <t>-597.466603738413 104.587893312071 -585.545758630375</t>
  </si>
  <si>
    <t>-581.118137417829 78.6295825055927 -690.682636772564</t>
  </si>
  <si>
    <t>-550.508362467005 39.8508488773368 -834.763295000233</t>
  </si>
  <si>
    <t>-502.540295338832 21.2139518813603 -922.71059188561</t>
  </si>
  <si>
    <t>-562.711233099511 87.753519504414 -779.001796637456</t>
  </si>
  <si>
    <t>-538.25110153249 232.504208832068 -787.674704538772</t>
  </si>
  <si>
    <t>-526.711557780533 348.81950551683 -493.525320172356</t>
  </si>
  <si>
    <t>-347.600572373954 270.362788163763 -322.044170122419</t>
  </si>
  <si>
    <t>-565.393259309528 26.2649401610356 -763.022253769228</t>
  </si>
  <si>
    <t>-387.730546075446 40.6978278495192 -447.124741182967</t>
  </si>
  <si>
    <t>-611.403952696122 266.727088673901 -254.269265582332</t>
  </si>
  <si>
    <t>-601.927013890772 277.330056118617 201.203485570426</t>
  </si>
  <si>
    <t>-622.644736076892 257.411063279194 670.175603340125</t>
  </si>
  <si>
    <t>-464.842178291209 269.984437866902 746.881332464356</t>
  </si>
  <si>
    <t>-563.052024108199 78.7102682272507 -229.738738310873</t>
  </si>
  <si>
    <t>-455.381089097679 79.3945194224857 213.052571509578</t>
  </si>
  <si>
    <t>-609.647442226163 14.4150198174177 652.241757015791</t>
  </si>
  <si>
    <t>-456.894074914128 -28.997571673423 727.907277039609</t>
  </si>
  <si>
    <t>9763-20170724T170208.395750600.bin</t>
  </si>
  <si>
    <t>-587.358838866849 172.640575662525 -242.312719890547</t>
  </si>
  <si>
    <t>-606.788533608422 152.216120537909 -360.096877606882</t>
  </si>
  <si>
    <t>-606.218735192966 128.27250343728 -478.911816232989</t>
  </si>
  <si>
    <t>-597.637063232985 104.686818163104 -585.518147638709</t>
  </si>
  <si>
    <t>-581.268973449476 78.8145914828319 -690.673085621577</t>
  </si>
  <si>
    <t>-550.611810769457 40.1693745077325 -834.779552108102</t>
  </si>
  <si>
    <t>-502.624410198461 21.5311723907273 -922.71600766206</t>
  </si>
  <si>
    <t>-562.809693668923 88.020623584245 -778.972987498396</t>
  </si>
  <si>
    <t>-538.145184460215 232.749615937387 -787.340823053537</t>
  </si>
  <si>
    <t>-525.563439940082 348.110025990969 -492.858405652621</t>
  </si>
  <si>
    <t>-346.586315954006 270.772202436148 -320.730340067413</t>
  </si>
  <si>
    <t>-565.543626461924 26.516731165663 -763.06102250134</t>
  </si>
  <si>
    <t>-388.23884352046 41.9133267094855 -448.051667717966</t>
  </si>
  <si>
    <t>-611.480678654016 266.705492586618 -254.220728169139</t>
  </si>
  <si>
    <t>-601.889877088208 277.218142550134 201.251715359431</t>
  </si>
  <si>
    <t>-622.656288616769 257.286574471483 670.206933910393</t>
  </si>
  <si>
    <t>-464.840734550039 269.899449827385 746.879496600966</t>
  </si>
  <si>
    <t>-563.12878057282 78.6369858398693 -229.723393141935</t>
  </si>
  <si>
    <t>-455.444840352247 79.3011837653178 213.064775078661</t>
  </si>
  <si>
    <t>-609.644990952818 14.0883198142833 652.246745027348</t>
  </si>
  <si>
    <t>-456.717152584948 -28.7345367550226 727.895876393269</t>
  </si>
  <si>
    <t>9763-20170724T170208.459013200.bin</t>
  </si>
  <si>
    <t>-587.731042919087 172.67369393664 -242.228557946102</t>
  </si>
  <si>
    <t>-607.232776111592 152.178246411705 -359.988549850463</t>
  </si>
  <si>
    <t>-606.473045239157 128.40475019719 -478.836393003107</t>
  </si>
  <si>
    <t>-597.60523877593 105.066413099622 -585.473911435695</t>
  </si>
  <si>
    <t>-580.833156523025 79.5318880293582 -690.64766670411</t>
  </si>
  <si>
    <t>-549.489621340038 41.4474158352928 -834.755762321797</t>
  </si>
  <si>
    <t>-501.300239748017 23.0937877460647 -922.641588839759</t>
  </si>
  <si>
    <t>-562.066808562836 89.0800438663018 -778.846424038656</t>
  </si>
  <si>
    <t>-537.435404647331 233.830931892014 -786.851736741708</t>
  </si>
  <si>
    <t>-518.101239691472 346.477394238011 -491.685454618326</t>
  </si>
  <si>
    <t>-338.855570731009 273.346374305429 -318.004873905628</t>
  </si>
  <si>
    <t>-564.649449874842 27.5171985654306 -763.138439109316</t>
  </si>
  <si>
    <t>-388.931242498466 44.7777123108006 -447.909607110772</t>
  </si>
  <si>
    <t>-612.092539528862 266.706486991991 -254.150622227125</t>
  </si>
  <si>
    <t>-601.944744835114 277.130949888094 201.311781201041</t>
  </si>
  <si>
    <t>-622.636268835786 256.962963333345 670.281586067328</t>
  </si>
  <si>
    <t>-464.804194587705 269.842576804539 746.875763311714</t>
  </si>
  <si>
    <t>-563.258076985656 78.7682512989757 -229.62855000707</t>
  </si>
  <si>
    <t>-455.47889065822 79.6603901158289 213.136063799543</t>
  </si>
  <si>
    <t>-609.628506275415 14.332466206776 652.25257970228</t>
  </si>
  <si>
    <t>-456.839164056031 -28.9436497631116 727.923632950594</t>
  </si>
  <si>
    <t>9763-20170724T170208.498117400.bin</t>
  </si>
  <si>
    <t>-588.164869977168 172.585223731063 -242.166765258919</t>
  </si>
  <si>
    <t>-607.707130385658 151.995329672801 -359.903608589462</t>
  </si>
  <si>
    <t>-606.878085981305 128.319984252478 -478.770565001641</t>
  </si>
  <si>
    <t>-597.896165015423 105.145729750542 -585.434281488482</t>
  </si>
  <si>
    <t>-580.954860198813 79.8484808257861 -690.638313782833</t>
  </si>
  <si>
    <t>-549.315811157844 42.1678285994758 -834.787975225927</t>
  </si>
  <si>
    <t>-501.005180376675 24.0584694602694 -922.657854866846</t>
  </si>
  <si>
    <t>-562.111867625056 89.6422662831492 -778.793818638359</t>
  </si>
  <si>
    <t>-537.76607509584 234.445634409699 -786.778703135551</t>
  </si>
  <si>
    <t>-512.297552830461 345.795917860208 -491.586076109564</t>
  </si>
  <si>
    <t>-332.361648850037 275.321085618904 -317.521494052745</t>
  </si>
  <si>
    <t>-564.518382398877 28.0384513098704 -763.218667157746</t>
  </si>
  <si>
    <t>-389.825596011312 47.5743329525026 -448.45062514143</t>
  </si>
  <si>
    <t>-612.716498429744 266.566060920667 -254.115372591729</t>
  </si>
  <si>
    <t>-602.163994136601 277.097633593685 201.335467193476</t>
  </si>
  <si>
    <t>-622.653805275907 256.922673434145 670.303075019246</t>
  </si>
  <si>
    <t>-464.809722729351 269.875256190103 746.860162874625</t>
  </si>
  <si>
    <t>-563.562521075062 78.7540404013687 -229.520308854272</t>
  </si>
  <si>
    <t>-455.566596339883 79.8089510806089 213.191094179903</t>
  </si>
  <si>
    <t>-609.626459950075 14.3652940407128 652.250775167434</t>
  </si>
  <si>
    <t>-456.80073372887 -28.7945313227601 727.914766719746</t>
  </si>
  <si>
    <t>9763-20170724T170208.571256200.bin</t>
  </si>
  <si>
    <t>-589.222471066056 172.652657398153 -242.208186028375</t>
  </si>
  <si>
    <t>-608.719782117685 151.96196453529 -359.934853511614</t>
  </si>
  <si>
    <t>-607.768120412932 128.406643473884 -478.8246637238</t>
  </si>
  <si>
    <t>-598.636223139232 105.430515473062 -585.518495169441</t>
  </si>
  <si>
    <t>-581.501067720014 80.418883483936 -690.759365862625</t>
  </si>
  <si>
    <t>-549.543107408062 43.2243000125191 -834.96502577912</t>
  </si>
  <si>
    <t>-501.101546629412 25.6196835104004 -922.865242247126</t>
  </si>
  <si>
    <t>-562.764386148041 90.5038712841631 -778.904580549964</t>
  </si>
  <si>
    <t>-539.902778162663 235.50077227689 -786.988090647945</t>
  </si>
  <si>
    <t>-496.734891543162 343.343564581447 -492.551889199373</t>
  </si>
  <si>
    <t>-314.442686833479 275.830959643972 -319.76981090933</t>
  </si>
  <si>
    <t>-564.602586245026 28.8597358645568 -763.412203827605</t>
  </si>
  <si>
    <t>-391.890717280125 51.0184822445885 -450.797548095752</t>
  </si>
  <si>
    <t>-614.629796336166 266.459608066733 -254.069621617386</t>
  </si>
  <si>
    <t>-603.116995288846 277.070563572224 201.355988326828</t>
  </si>
  <si>
    <t>-622.699126773434 256.898126131302 670.360101986202</t>
  </si>
  <si>
    <t>-464.826642602992 270.149332122141 746.807386278061</t>
  </si>
  <si>
    <t>-563.711994261557 79.0891554628274 -229.661453679262</t>
  </si>
  <si>
    <t>-456.023674544909 80.3820139526522 213.124348994522</t>
  </si>
  <si>
    <t>-609.622821028285 14.3691298855297 652.270164449065</t>
  </si>
  <si>
    <t>-456.825511891655 -28.885495796482 727.937413613505</t>
  </si>
  <si>
    <t>9763-20170724T170208.596349500.bin</t>
  </si>
  <si>
    <t>-589.87384230253 172.772407595754 -242.220482514446</t>
  </si>
  <si>
    <t>-609.286431595889 152.029347884461 -359.951764343412</t>
  </si>
  <si>
    <t>-608.308374472094 128.566473418756 -478.859659803642</t>
  </si>
  <si>
    <t>-599.171008444584 105.733030915767 -585.583678920292</t>
  </si>
  <si>
    <t>-582.044666324889 80.9222691670136 -690.873497101251</t>
  </si>
  <si>
    <t>-550.109664043376 44.0667248897344 -835.171180863768</t>
  </si>
  <si>
    <t>-501.66481091439 26.78450359563 -923.133753368484</t>
  </si>
  <si>
    <t>-563.475945456116 91.2103309559259 -779.030873693365</t>
  </si>
  <si>
    <t>-541.349173996618 236.377658759604 -786.960667262505</t>
  </si>
  <si>
    <t>-487.822728474975 341.399006764875 -493.20632230106</t>
  </si>
  <si>
    <t>-303.760888533258 276.095347907112 -321.454530671876</t>
  </si>
  <si>
    <t>-565.003902185666 29.5379892333315 -763.617192695178</t>
  </si>
  <si>
    <t>-392.122657953548 52.3926281265278 -451.674958666901</t>
  </si>
  <si>
    <t>-615.747468558355 266.514351122127 -254.060127626661</t>
  </si>
  <si>
    <t>-603.992928876885 277.190459243572 201.357888474741</t>
  </si>
  <si>
    <t>-622.751572179598 257.077017814131 670.364310290826</t>
  </si>
  <si>
    <t>-464.861203700767 270.41540375208 746.759510762917</t>
  </si>
  <si>
    <t>-563.918648459019 79.2256396076348 -229.695746160661</t>
  </si>
  <si>
    <t>-456.268663508953 80.6549932610808 213.098938000011</t>
  </si>
  <si>
    <t>-609.622523543473 14.2017517169973 652.26591653302</t>
  </si>
  <si>
    <t>-456.700411671911 -28.6110744600348 727.932326130354</t>
  </si>
  <si>
    <t>9763-20170724T170208.661496500.bin</t>
  </si>
  <si>
    <t>-591.123526327284 173.398341423606 -242.288863360938</t>
  </si>
  <si>
    <t>-610.4140537695 152.509289529012 -360.014615103166</t>
  </si>
  <si>
    <t>-609.373185330904 129.340855435852 -478.979788299604</t>
  </si>
  <si>
    <t>-600.187523864049 106.946226801512 -585.792448436144</t>
  </si>
  <si>
    <t>-583.011188082476 82.7400962635097 -691.214846001958</t>
  </si>
  <si>
    <t>-550.995447838756 46.891933486635 -835.748262229246</t>
  </si>
  <si>
    <t>-502.549939390413 30.3934120062006 -923.860845494645</t>
  </si>
  <si>
    <t>-564.66825430196 93.6341415553122 -779.346748420429</t>
  </si>
  <si>
    <t>-543.156055666357 238.911888500129 -786.423509913686</t>
  </si>
  <si>
    <t>-468.716609949999 335.26676824654 -494.258045445328</t>
  </si>
  <si>
    <t>-281.356310771893 274.501381223251 -324.417666287278</t>
  </si>
  <si>
    <t>-565.654554691751 31.8732072112573 -764.246853893121</t>
  </si>
  <si>
    <t>-392.13749462442 53.7977020899509 -453.37003840938</t>
  </si>
  <si>
    <t>-618.013096333589 266.822343057329 -254.118113949788</t>
  </si>
  <si>
    <t>-605.856717725143 277.693794392411 201.284574308038</t>
  </si>
  <si>
    <t>-622.888957235212 257.538474064931 670.384397193355</t>
  </si>
  <si>
    <t>-464.939868795847 270.91580327755 746.65138237434</t>
  </si>
  <si>
    <t>-564.092187958656 80.1772994327623 -229.808460042096</t>
  </si>
  <si>
    <t>-456.650658373682 81.8806988689855 213.035873738928</t>
  </si>
  <si>
    <t>-609.586234869828 14.3290617870503 652.157518613041</t>
  </si>
  <si>
    <t>-456.762689894115 -28.6967547577815 727.902234298026</t>
  </si>
  <si>
    <t>9763-20170724T170208.696590400.bin</t>
  </si>
  <si>
    <t>-591.698869821349 173.712392883015 -242.318822984436</t>
  </si>
  <si>
    <t>-611.061151009067 152.7129803639 -360.013104377555</t>
  </si>
  <si>
    <t>-610.115843790222 129.733944362296 -479.015849857519</t>
  </si>
  <si>
    <t>-601.014615824208 107.624506292453 -585.895078562375</t>
  </si>
  <si>
    <t>-583.913892771953 83.8111913034172 -691.41923610533</t>
  </si>
  <si>
    <t>-551.988036213043 48.6155180974824 -836.13270629007</t>
  </si>
  <si>
    <t>-503.61054552317 32.5346455543374 -924.359894911069</t>
  </si>
  <si>
    <t>-565.714051253317 95.0995856407094 -779.531084861444</t>
  </si>
  <si>
    <t>-544.109515719947 240.424160727172 -785.852493566692</t>
  </si>
  <si>
    <t>-460.053905346802 331.230786341661 -494.519273192481</t>
  </si>
  <si>
    <t>-271.119692472019 272.693637522305 -325.642699532931</t>
  </si>
  <si>
    <t>-566.514435611813 33.27747970474 -764.672003004257</t>
  </si>
  <si>
    <t>-392.538228453585 54.5827769407108 -454.310497956645</t>
  </si>
  <si>
    <t>-619.102615087376 266.996179990213 -254.137436011664</t>
  </si>
  <si>
    <t>-606.535417167431 277.996029213688 201.251183798162</t>
  </si>
  <si>
    <t>-622.940873630291 257.815612043243 670.360431288688</t>
  </si>
  <si>
    <t>-464.982989359519 271.221146752836 746.604277137159</t>
  </si>
  <si>
    <t>-564.211270361759 80.5891211973344 -229.809587420222</t>
  </si>
  <si>
    <t>-456.743292812838 82.6249407553605 213.02692890663</t>
  </si>
  <si>
    <t>-609.5428106335 14.173072480424 652.034420891282</t>
  </si>
  <si>
    <t>-456.636031320725 -28.4530728511816 727.837042380203</t>
  </si>
  <si>
    <t>9763-20170724T170208.762618600.bin</t>
  </si>
  <si>
    <t>-592.628961754765 174.288861496665 -242.467173419676</t>
  </si>
  <si>
    <t>-612.202431246907 153.091636878822 -360.091088108811</t>
  </si>
  <si>
    <t>-611.523975488678 130.544983591626 -479.178269922411</t>
  </si>
  <si>
    <t>-602.661971957912 109.057994363357 -586.20459885223</t>
  </si>
  <si>
    <t>-585.784639490647 86.0824895764067 -691.950210970088</t>
  </si>
  <si>
    <t>-554.141477554716 52.2593424160132 -837.052508976228</t>
  </si>
  <si>
    <t>-505.987094847926 36.9762486803477 -925.543070379092</t>
  </si>
  <si>
    <t>-567.789316439703 98.20385968292 -779.993264562216</t>
  </si>
  <si>
    <t>-545.068288473754 243.423465906018 -784.550173475672</t>
  </si>
  <si>
    <t>-445.54855907208 323.370021916147 -494.911568013471</t>
  </si>
  <si>
    <t>-254.705716338129 267.411251160434 -327.311789407657</t>
  </si>
  <si>
    <t>-568.495896273587 36.2461073823056 -765.705223777498</t>
  </si>
  <si>
    <t>-392.054614972802 55.0948673858679 -454.660379047235</t>
  </si>
  <si>
    <t>-620.90655719798 267.272010199401 -254.242658919836</t>
  </si>
  <si>
    <t>-607.297129643054 278.638705559387 201.106940700735</t>
  </si>
  <si>
    <t>-623.012614757859 258.565385422481 670.222346412129</t>
  </si>
  <si>
    <t>-465.076457268269 271.785420637056 746.543427420875</t>
  </si>
  <si>
    <t>-564.214867041203 81.3808234521459 -230.086530096324</t>
  </si>
  <si>
    <t>-457.227984871065 84.3460969979833 212.861217514263</t>
  </si>
  <si>
    <t>-609.442388317596 14.3003011054936 651.78246618821</t>
  </si>
  <si>
    <t>-456.691821187171 -28.6446384420694 727.720013385816</t>
  </si>
  <si>
    <t>9763-20170724T170208.794707500.bin</t>
  </si>
  <si>
    <t>-593.090935267126 174.277474757258 -242.591994364637</t>
  </si>
  <si>
    <t>-612.851712022975 153.015189412792 -360.172709805361</t>
  </si>
  <si>
    <t>-612.364347684087 130.681208452001 -479.30092525509</t>
  </si>
  <si>
    <t>-603.664630612116 109.487971838978 -586.399130990661</t>
  </si>
  <si>
    <t>-586.932737264193 86.900363400518 -692.251273959556</t>
  </si>
  <si>
    <t>-555.468786633215 53.7077604921965 -837.53815499875</t>
  </si>
  <si>
    <t>-507.462744065285 38.7554343631368 -926.16551834657</t>
  </si>
  <si>
    <t>-569.022145714397 99.4047945570969 -780.258076963703</t>
  </si>
  <si>
    <t>-545.597932756568 244.563154646084 -784.09324540526</t>
  </si>
  <si>
    <t>-439.867828491644 319.771546864758 -495.387419588694</t>
  </si>
  <si>
    <t>-249.242532864169 263.025868289253 -327.804570047284</t>
  </si>
  <si>
    <t>-569.759092265635 37.3839915065225 -766.24833036715</t>
  </si>
  <si>
    <t>-391.172473250904 55.3027788242944 -453.910043084078</t>
  </si>
  <si>
    <t>-621.625696630425 267.170603081935 -254.326117508029</t>
  </si>
  <si>
    <t>-607.471381472314 278.859631127399 200.998589526726</t>
  </si>
  <si>
    <t>-623.025411641636 258.993758841438 670.123365234309</t>
  </si>
  <si>
    <t>-465.117912348181 272.034578525824 746.534519039007</t>
  </si>
  <si>
    <t>-564.506352911408 81.3819673274131 -230.184808560757</t>
  </si>
  <si>
    <t>-457.451964476142 84.9219469790694 212.742274029459</t>
  </si>
  <si>
    <t>-609.413925440173 14.3582459571451 651.664947138745</t>
  </si>
  <si>
    <t>-456.750264952599 -28.8012344363808 727.655608970388</t>
  </si>
  <si>
    <t>9763-20170724T170208.860890100.bin</t>
  </si>
  <si>
    <t>-594.439517050435 173.242428074 -242.827133779789</t>
  </si>
  <si>
    <t>-614.522252147977 152.000249582424 -360.357014630701</t>
  </si>
  <si>
    <t>-614.232573424968 129.998398676347 -479.547643242934</t>
  </si>
  <si>
    <t>-605.647584227889 109.21492333217 -586.735293010143</t>
  </si>
  <si>
    <t>-588.960793244925 87.1354512651035 -692.701752161828</t>
  </si>
  <si>
    <t>-557.483096231555 54.7417673259522 -838.165864059373</t>
  </si>
  <si>
    <t>-509.688066154179 40.2075576124801 -926.97676718583</t>
  </si>
  <si>
    <t>-570.937346838935 100.126859311846 -780.614912455879</t>
  </si>
  <si>
    <t>-546.174797849852 245.063861681322 -783.381059472351</t>
  </si>
  <si>
    <t>-431.968574522948 313.785150351395 -496.29131559696</t>
  </si>
  <si>
    <t>-243.296538264027 255.23994857799 -327.124734124304</t>
  </si>
  <si>
    <t>-571.884633499343 38.0231474870088 -766.990070668505</t>
  </si>
  <si>
    <t>-387.827885274797 54.3382585827126 -449.991669037303</t>
  </si>
  <si>
    <t>-622.944253129092 266.225498836638 -254.463457955881</t>
  </si>
  <si>
    <t>-607.920309150057 278.615287207284 200.815037889864</t>
  </si>
  <si>
    <t>-623.045517743723 259.567283628659 669.996270309414</t>
  </si>
  <si>
    <t>-465.174359180226 272.274517307124 746.538688407426</t>
  </si>
  <si>
    <t>-565.842390438197 80.1588030144083 -230.49081316865</t>
  </si>
  <si>
    <t>-458.175251706084 84.6882197633774 212.278786124294</t>
  </si>
  <si>
    <t>-609.440491922996 14.1784840664623 651.517995552401</t>
  </si>
  <si>
    <t>-456.591231887154 -28.343303122163 727.495023623744</t>
  </si>
  <si>
    <t>9763-20170724T170208.897987900.bin</t>
  </si>
  <si>
    <t>-595.129049776925 172.383308539912 -242.9682708811</t>
  </si>
  <si>
    <t>-615.390261636683 151.215185518089 -360.48077196616</t>
  </si>
  <si>
    <t>-615.203323127017 129.377972287062 -479.701764133449</t>
  </si>
  <si>
    <t>-606.675874193623 108.775081537793 -586.92895484183</t>
  </si>
  <si>
    <t>-590.009335466951 86.9056736210223 -692.94223132087</t>
  </si>
  <si>
    <t>-558.519791054637 54.8320713131573 -838.474562043523</t>
  </si>
  <si>
    <t>-510.832723928436 40.4658716249094 -927.370832258819</t>
  </si>
  <si>
    <t>-571.921658718544 100.091999900693 -780.813155359182</t>
  </si>
  <si>
    <t>-546.685704443788 244.956835646641 -783.288507504539</t>
  </si>
  <si>
    <t>-430.636775907428 311.505707831843 -496.426135126713</t>
  </si>
  <si>
    <t>-242.715962442057 253.982085877486 -326.076873458871</t>
  </si>
  <si>
    <t>-572.984213229126 37.9552754863262 -767.348913206552</t>
  </si>
  <si>
    <t>-386.232842804881 54.1983319507028 -447.665487235194</t>
  </si>
  <si>
    <t>-623.494208475937 265.436409483665 -254.495354089234</t>
  </si>
  <si>
    <t>-608.083611735091 278.191111026346 200.760111909667</t>
  </si>
  <si>
    <t>-623.052392982357 259.61480243694 669.992410524235</t>
  </si>
  <si>
    <t>-465.181950492159 272.231174306259 746.551338340175</t>
  </si>
  <si>
    <t>-566.679470415214 79.2231882559383 -230.675815638939</t>
  </si>
  <si>
    <t>-458.687873041553 84.2180656605965 212.00987058317</t>
  </si>
  <si>
    <t>-609.495015457809 14.333770605879 651.515483674456</t>
  </si>
  <si>
    <t>-456.805956565074 -28.783089808742 727.479277346127</t>
  </si>
  <si>
    <t>9763-20170724T170208.963895200.bin</t>
  </si>
  <si>
    <t>-596.693072442875 170.010966284686 -243.110820206288</t>
  </si>
  <si>
    <t>-617.275040336549 149.144932725572 -360.621687211589</t>
  </si>
  <si>
    <t>-617.22687847869 127.696639351298 -479.913424577249</t>
  </si>
  <si>
    <t>-608.745260172883 107.480054794335 -587.217598972078</t>
  </si>
  <si>
    <t>-592.042581915436 86.0320666776302 -693.311336216326</t>
  </si>
  <si>
    <t>-560.415674310723 54.5812562040303 -838.949930369837</t>
  </si>
  <si>
    <t>-512.842999340076 40.5589380574245 -927.962149744747</t>
  </si>
  <si>
    <t>-573.823628325595 99.5955410120789 -781.097698575709</t>
  </si>
  <si>
    <t>-548.185239874652 244.385117424983 -783.041935908362</t>
  </si>
  <si>
    <t>-432.570832930039 309.746239266292 -495.73108720881</t>
  </si>
  <si>
    <t>-244.571991776338 252.234342535339 -325.464011651314</t>
  </si>
  <si>
    <t>-574.99552329159 37.3991879090941 -767.920804004452</t>
  </si>
  <si>
    <t>-385.108023994317 53.4913297719697 -445.386005218449</t>
  </si>
  <si>
    <t>-624.560513458035 263.235670674285 -254.444934007209</t>
  </si>
  <si>
    <t>-608.558020581921 276.744041319414 200.768335329302</t>
  </si>
  <si>
    <t>-623.063415393306 259.264944734812 670.112078420674</t>
  </si>
  <si>
    <t>-465.142826990351 271.938234645061 746.558105747821</t>
  </si>
  <si>
    <t>-568.808952712606 76.8279859502327 -231.030559084534</t>
  </si>
  <si>
    <t>-460.014497085723 82.641812082928 211.44842870103</t>
  </si>
  <si>
    <t>-609.646851774738 14.1820680040526 651.583796286761</t>
  </si>
  <si>
    <t>-456.939907168216 -29.0349109585377 727.454672885738</t>
  </si>
  <si>
    <t>9763-20170724T170208.995978800.bin</t>
  </si>
  <si>
    <t>-597.417061857664 168.849847161632 -243.189987663009</t>
  </si>
  <si>
    <t>-618.079465541243 148.156689798951 -360.717414795441</t>
  </si>
  <si>
    <t>-618.061989331091 126.911066780257 -480.045283384876</t>
  </si>
  <si>
    <t>-609.586032031618 106.891449532942 -587.386935108329</t>
  </si>
  <si>
    <t>-592.865568408511 85.6559088290653 -693.520568670592</t>
  </si>
  <si>
    <t>-561.1884892745 54.5175204985685 -839.215338239132</t>
  </si>
  <si>
    <t>-513.644438426506 40.6801685598009 -928.271881356442</t>
  </si>
  <si>
    <t>-574.634273757555 99.4071350648414 -781.275291347569</t>
  </si>
  <si>
    <t>-549.084790529268 244.202986028954 -783.069346990543</t>
  </si>
  <si>
    <t>-434.953231996697 310.487708515205 -495.37771582739</t>
  </si>
  <si>
    <t>-246.982156882748 253.155146662874 -325.01947979857</t>
  </si>
  <si>
    <t>-575.774915669381 37.1835147754464 -768.224547595858</t>
  </si>
  <si>
    <t>-385.068266570173 52.7243121477102 -444.886909539745</t>
  </si>
  <si>
    <t>-625.102933827267 262.104063829859 -254.37782904168</t>
  </si>
  <si>
    <t>-608.792194906379 275.923988878537 200.815169876038</t>
  </si>
  <si>
    <t>-623.058487874489 258.985391877267 670.185663108921</t>
  </si>
  <si>
    <t>-465.112291222573 271.794876364815 746.55596810526</t>
  </si>
  <si>
    <t>-569.673287581524 75.7467193617586 -231.248502044152</t>
  </si>
  <si>
    <t>-460.757822813317 81.9020077117393 211.195990018256</t>
  </si>
  <si>
    <t>-609.716535276776 14.2081336976912 651.634116072676</t>
  </si>
  <si>
    <t>-457.05115533848 -29.2227052996814 727.466546628204</t>
  </si>
  <si>
    <t>9763-20170724T170209.063699900.bin</t>
  </si>
  <si>
    <t>-598.497487727621 166.879716643841 -243.314657811276</t>
  </si>
  <si>
    <t>-619.240789759601 146.46930928677 -360.87719472058</t>
  </si>
  <si>
    <t>-619.336647872187 125.577204282064 -480.267647151701</t>
  </si>
  <si>
    <t>-610.971591163052 105.912317358074 -587.683482381565</t>
  </si>
  <si>
    <t>-594.36635670768 85.0701059466264 -693.913105644324</t>
  </si>
  <si>
    <t>-562.849596823206 54.5216432650016 -839.767446197353</t>
  </si>
  <si>
    <t>-515.349302037325 41.0891281088489 -928.909317458322</t>
  </si>
  <si>
    <t>-576.327864491985 99.1737996134896 -781.651613022301</t>
  </si>
  <si>
    <t>-551.375734771915 244.082078400764 -783.371825656048</t>
  </si>
  <si>
    <t>-441.958788502808 312.860231468386 -494.436374184206</t>
  </si>
  <si>
    <t>-253.2970134655 254.914825610513 -325.051810117112</t>
  </si>
  <si>
    <t>-577.261699094893 36.9030202039305 -768.811231270058</t>
  </si>
  <si>
    <t>-385.654533539789 51.251303605615 -444.651591314926</t>
  </si>
  <si>
    <t>-626.02814429342 259.988138084215 -254.255480596968</t>
  </si>
  <si>
    <t>-609.371879291349 274.479779703882 200.904098363247</t>
  </si>
  <si>
    <t>-623.032565698755 258.448678738562 670.320873193435</t>
  </si>
  <si>
    <t>-465.04401924327 271.679099525502 746.531682469083</t>
  </si>
  <si>
    <t>-570.890011549386 73.9962198440505 -231.642692007064</t>
  </si>
  <si>
    <t>-461.97980068605 80.4472473473068 210.79891815419</t>
  </si>
  <si>
    <t>-609.833224778806 14.0045083043535 651.754547837029</t>
  </si>
  <si>
    <t>-457.028153804983 -29.105908693675 727.488385497307</t>
  </si>
  <si>
    <t>9763-20170724T170209.096788100.bin</t>
  </si>
  <si>
    <t>-598.715090040644 166.135226964732 -243.31075003955</t>
  </si>
  <si>
    <t>-619.479576680428 145.784695578294 -360.879873106294</t>
  </si>
  <si>
    <t>-619.620665888085 125.015644042632 -480.291664586358</t>
  </si>
  <si>
    <t>-611.302997160164 105.490865396027 -587.73675507556</t>
  </si>
  <si>
    <t>-594.749048754201 84.8190826622304 -694.00772260628</t>
  </si>
  <si>
    <t>-563.304930906832 54.5402061884536 -839.933794422501</t>
  </si>
  <si>
    <t>-515.82317895997 41.3204941696956 -929.117477998142</t>
  </si>
  <si>
    <t>-576.83266505858 99.0825586711755 -781.745375124718</t>
  </si>
  <si>
    <t>-552.421421890353 244.07040670875 -783.432624571042</t>
  </si>
  <si>
    <t>-445.489333866811 314.327702094181 -493.923275398157</t>
  </si>
  <si>
    <t>-256.724203582082 255.212414232959 -325.059057931865</t>
  </si>
  <si>
    <t>-577.603328634134 36.7927374105441 -768.986715524437</t>
  </si>
  <si>
    <t>-385.861682179117 50.3091865402996 -444.746833922856</t>
  </si>
  <si>
    <t>-626.340086434949 259.208563009061 -254.221273077934</t>
  </si>
  <si>
    <t>-609.652193684716 273.96193951041 200.928734124935</t>
  </si>
  <si>
    <t>-623.047562307132 258.386044886372 670.358083871056</t>
  </si>
  <si>
    <t>-465.041873188196 271.722786730004 746.514668883404</t>
  </si>
  <si>
    <t>-570.908026213101 73.1698925661822 -231.772600518216</t>
  </si>
  <si>
    <t>-462.304023887574 80.0316612829965 210.738103678218</t>
  </si>
  <si>
    <t>-609.885509517109 13.9051849624325 651.821738066694</t>
  </si>
  <si>
    <t>-456.981254529264 -28.9631184216928 727.492741389216</t>
  </si>
  <si>
    <t>9763-20170724T170209.176695700.bin</t>
  </si>
  <si>
    <t>-598.850908958921 165.47634199814 -243.273058354764</t>
  </si>
  <si>
    <t>-619.697677918862 145.112403571022 -360.825294688103</t>
  </si>
  <si>
    <t>-619.92781575436 124.42731401626 -480.251541292763</t>
  </si>
  <si>
    <t>-611.688293304957 105.020926040928 -587.724159914349</t>
  </si>
  <si>
    <t>-595.206766738643 84.5110618161252 -694.037602503857</t>
  </si>
  <si>
    <t>-563.853965895918 54.5036291495917 -840.039563446922</t>
  </si>
  <si>
    <t>-516.398549412355 41.517795631029 -929.271410597668</t>
  </si>
  <si>
    <t>-577.434772505522 98.934769070883 -781.7785198165</t>
  </si>
  <si>
    <t>-553.511953462227 244.013703616668 -783.401442766725</t>
  </si>
  <si>
    <t>-449.077445384436 316.068942596379 -493.422668028727</t>
  </si>
  <si>
    <t>-260.047888411307 255.895651041315 -325.229253282675</t>
  </si>
  <si>
    <t>-578.018476905793 36.6270520009798 -769.097920859546</t>
  </si>
  <si>
    <t>-385.991037493618 49.7603891118633 -444.687497159074</t>
  </si>
  <si>
    <t>-626.686428340902 258.563398329349 -254.177659771155</t>
  </si>
  <si>
    <t>-609.834677009202 273.52938516538 200.959354439913</t>
  </si>
  <si>
    <t>-623.053859009259 258.309222835691 670.399147442506</t>
  </si>
  <si>
    <t>-465.034131039954 271.766082860933 746.505586714077</t>
  </si>
  <si>
    <t>-570.911052047082 72.517173018774 -231.75497210922</t>
  </si>
  <si>
    <t>-462.267494772406 79.5755200056244 210.743014338121</t>
  </si>
  <si>
    <t>-609.928167363793 13.7984005127653 651.855998955121</t>
  </si>
  <si>
    <t>-456.900499301713 -28.7143885354171 727.478135587141</t>
  </si>
  <si>
    <t>9763-20170724T170209.192708400.bin</t>
  </si>
  <si>
    <t>-599.128887558418 164.761777535348 -243.175035926871</t>
  </si>
  <si>
    <t>-620.114959779236 144.195750825457 -360.667254782033</t>
  </si>
  <si>
    <t>-620.574140442476 123.552646681677 -480.100207308984</t>
  </si>
  <si>
    <t>-612.565883251 104.289376474374 -587.616011602879</t>
  </si>
  <si>
    <t>-596.331060686092 84.0299888844788 -694.015529770555</t>
  </si>
  <si>
    <t>-565.328802693982 54.4842172130243 -840.186343851786</t>
  </si>
  <si>
    <t>-518.018497125955 41.9373930075751 -929.557992565666</t>
  </si>
  <si>
    <t>-578.930785825943 98.7254921628692 -781.785770325964</t>
  </si>
  <si>
    <t>-556.204464647835 243.989881036429 -783.464880611487</t>
  </si>
  <si>
    <t>-457.820325824829 319.997319333762 -492.381261130855</t>
  </si>
  <si>
    <t>-267.954141377437 257.743811352368 -325.895894036803</t>
  </si>
  <si>
    <t>-579.161832713519 36.3891529126081 -769.23470018425</t>
  </si>
  <si>
    <t>-386.773392023134 49.6629925575867 -444.96201317409</t>
  </si>
  <si>
    <t>-627.235043332305 257.653987759773 -254.126025868672</t>
  </si>
  <si>
    <t>-610.036791469391 273.097174711147 200.981977458003</t>
  </si>
  <si>
    <t>-623.038536000564 258.242918138792 670.42607961394</t>
  </si>
  <si>
    <t>-465.017570965018 271.862595869259 746.500935705152</t>
  </si>
  <si>
    <t>-570.872441281105 71.9194466268434 -231.577945601938</t>
  </si>
  <si>
    <t>-461.914851696632 79.3480744738679 210.836738565472</t>
  </si>
  <si>
    <t>-609.948694162389 13.8478083270672 651.819038982668</t>
  </si>
  <si>
    <t>-456.927690590689 -28.776201852879 727.392074467927</t>
  </si>
  <si>
    <t>9763-20170724T170209.260451400.bin</t>
  </si>
  <si>
    <t>-599.142807658448 164.215799770575 -243.155478488162</t>
  </si>
  <si>
    <t>-620.204315068746 143.472446633414 -360.603100724714</t>
  </si>
  <si>
    <t>-620.909483073092 122.784294254754 -480.027091204564</t>
  </si>
  <si>
    <t>-613.184711548595 103.546017157629 -587.568055030508</t>
  </si>
  <si>
    <t>-597.287436525839 83.3827439702184 -694.036687300331</t>
  </si>
  <si>
    <t>-566.802622804931 54.0505093858314 -840.3592115288</t>
  </si>
  <si>
    <t>-519.70199871605 41.8148509077801 -929.884833591838</t>
  </si>
  <si>
    <t>-580.378808312696 98.1991581353441 -781.882747719099</t>
  </si>
  <si>
    <t>-558.946865374701 243.665877191331 -783.727932524752</t>
  </si>
  <si>
    <t>-465.934879484989 322.280602223952 -491.572609258969</t>
  </si>
  <si>
    <t>-275.169339610458 258.713889841111 -326.618639208291</t>
  </si>
  <si>
    <t>-580.2035556122 35.8591525275338 -769.349450622743</t>
  </si>
  <si>
    <t>-387.50075866345 50.0712397316879 -445.07986303953</t>
  </si>
  <si>
    <t>-627.638014712122 257.095527763585 -254.12873491838</t>
  </si>
  <si>
    <t>-609.953290915805 272.765648038139 200.953064495698</t>
  </si>
  <si>
    <t>-622.997949164655 258.15311128408 670.422172727065</t>
  </si>
  <si>
    <t>-464.989196128417 271.992886030388 746.482657351228</t>
  </si>
  <si>
    <t>-570.583841190342 71.4401515752002 -231.52214201096</t>
  </si>
  <si>
    <t>-461.690988981429 79.2352625929211 210.902168762984</t>
  </si>
  <si>
    <t>-609.963986139925 13.7962384352043 651.810370495328</t>
  </si>
  <si>
    <t>-456.840271561729 -28.550148268283 727.331398735873</t>
  </si>
  <si>
    <t>9763-20170724T170209.296548500.bin</t>
  </si>
  <si>
    <t>-599.238970593499 164.054368021471 -243.147444324905</t>
  </si>
  <si>
    <t>-620.349464034461 143.246061366038 -360.574663847259</t>
  </si>
  <si>
    <t>-621.197792227744 122.52425297054 -479.991852888466</t>
  </si>
  <si>
    <t>-613.637917034458 103.275001398752 -587.542670467496</t>
  </si>
  <si>
    <t>-597.937797124086 83.1242746685966 -694.042840457401</t>
  </si>
  <si>
    <t>-567.757421697891 53.8368192936516 -840.437437030856</t>
  </si>
  <si>
    <t>-520.781255967479 41.7097935064492 -930.04310136934</t>
  </si>
  <si>
    <t>-581.304650360773 97.9634203486607 -781.937743667389</t>
  </si>
  <si>
    <t>-560.46119560775 243.509599440675 -783.890518169436</t>
  </si>
  <si>
    <t>-469.836874735478 323.3469738898 -491.316656418235</t>
  </si>
  <si>
    <t>-278.736381796114 259.37949002671 -326.906113638319</t>
  </si>
  <si>
    <t>-580.918011115496 35.6277354253914 -769.387135642923</t>
  </si>
  <si>
    <t>-387.954027862454 50.653627426505 -445.124670899006</t>
  </si>
  <si>
    <t>-627.887899413404 256.87003163642 -254.117675179988</t>
  </si>
  <si>
    <t>-609.992783771523 272.646271332206 200.95216602338</t>
  </si>
  <si>
    <t>-622.980963812917 258.099353008477 670.429153359256</t>
  </si>
  <si>
    <t>-464.973289146497 272.040505379321 746.473361887589</t>
  </si>
  <si>
    <t>-570.498525130652 71.343564735304 -231.518000202516</t>
  </si>
  <si>
    <t>-461.643722702299 79.1476181878675 210.915546867564</t>
  </si>
  <si>
    <t>-609.982899507222 13.8317861525468 651.833469633133</t>
  </si>
  <si>
    <t>-456.869961275098 -28.5907738103112 727.333607380694</t>
  </si>
  <si>
    <t>9763-20170724T170209.373758200.bin</t>
  </si>
  <si>
    <t>-599.818446154997 163.848538570794 -243.1418424285</t>
  </si>
  <si>
    <t>-620.954077843121 142.946527300674 -360.547935391519</t>
  </si>
  <si>
    <t>-621.994906596436 122.120876669583 -479.945599750764</t>
  </si>
  <si>
    <t>-614.67504262211 102.787063457216 -587.497695798131</t>
  </si>
  <si>
    <t>-599.277556858994 82.5679506947897 -694.029240220829</t>
  </si>
  <si>
    <t>-569.578573693095 53.2089597168019 -840.507901587421</t>
  </si>
  <si>
    <t>-522.856914743781 41.1955888361383 -930.261762198958</t>
  </si>
  <si>
    <t>-583.121180501729 97.3551127912481 -782.021676052601</t>
  </si>
  <si>
    <t>-563.45886114807 243.050657570526 -784.306667470771</t>
  </si>
  <si>
    <t>-476.975601133033 325.148515735737 -491.105693085123</t>
  </si>
  <si>
    <t>-285.743631746454 260.43681285461 -327.139877917571</t>
  </si>
  <si>
    <t>-582.317676488357 35.0438920725715 -769.369670715739</t>
  </si>
  <si>
    <t>-389.004608049734 51.4303222584751 -445.306810233752</t>
  </si>
  <si>
    <t>-628.686923249138 256.496925337675 -254.091154539087</t>
  </si>
  <si>
    <t>-610.405541909408 272.368660787502 200.95998706437</t>
  </si>
  <si>
    <t>-622.941359986697 257.861686014512 670.459008068972</t>
  </si>
  <si>
    <t>-464.931024327824 272.146969023316 746.433933683016</t>
  </si>
  <si>
    <t>-570.954087692129 71.3308403232229 -231.499877278755</t>
  </si>
  <si>
    <t>-461.716462254403 78.6210317426571 210.848043788001</t>
  </si>
  <si>
    <t>-609.999914457713 13.7329881644923 651.871496229145</t>
  </si>
  <si>
    <t>-456.79191613443 -28.3692350667425 727.358102046476</t>
  </si>
  <si>
    <t>9763-20170724T170209.393810100.bin</t>
  </si>
  <si>
    <t>-600.236335720432 163.717222922582 -243.166675851371</t>
  </si>
  <si>
    <t>-621.369964480625 142.798776248547 -360.570238316336</t>
  </si>
  <si>
    <t>-622.503946387494 121.940710499519 -479.961168363531</t>
  </si>
  <si>
    <t>-615.306510127269 102.577306343076 -587.516328059456</t>
  </si>
  <si>
    <t>-600.068258355134 82.3315665090688 -694.065728114673</t>
  </si>
  <si>
    <t>-570.626908303371 52.9418080731 -840.590228467619</t>
  </si>
  <si>
    <t>-524.024974377303 40.9603136448661 -930.410571387573</t>
  </si>
  <si>
    <t>-584.140721419913 97.0962276530436 -782.103622504321</t>
  </si>
  <si>
    <t>-564.911892190597 242.866342014214 -784.571143509047</t>
  </si>
  <si>
    <t>-480.278604337242 325.923867504243 -491.100964065098</t>
  </si>
  <si>
    <t>-289.146071705406 260.872687797487 -327.153565699113</t>
  </si>
  <si>
    <t>-583.166870881559 34.795622370907 -769.41176634648</t>
  </si>
  <si>
    <t>-389.520117896853 51.9718063894466 -445.521453225586</t>
  </si>
  <si>
    <t>-629.133034777314 256.332762674615 -254.096728042836</t>
  </si>
  <si>
    <t>-610.647504401982 272.219689880734 200.945626320966</t>
  </si>
  <si>
    <t>-622.924282022633 257.796597680164 670.457793375204</t>
  </si>
  <si>
    <t>-464.914910558945 272.219081433696 746.408752782886</t>
  </si>
  <si>
    <t>-571.243464228552 71.1404575166139 -231.53399054482</t>
  </si>
  <si>
    <t>-461.834412943618 78.2319644104869 210.774792465081</t>
  </si>
  <si>
    <t>-609.968166914294 13.5839416565684 651.861028424518</t>
  </si>
  <si>
    <t>-456.769648817235 -28.3657436150011 727.451700045696</t>
  </si>
  <si>
    <t>9763-20170724T170209.461022800.bin</t>
  </si>
  <si>
    <t>-600.943652881883 163.329269515178 -243.154726609518</t>
  </si>
  <si>
    <t>-622.095317244487 142.338176124955 -360.542078928309</t>
  </si>
  <si>
    <t>-623.398597042733 121.35339227839 -479.909215899158</t>
  </si>
  <si>
    <t>-616.415848106375 101.863531517984 -587.455619520736</t>
  </si>
  <si>
    <t>-601.452083984852 81.4854511434905 -694.018588703075</t>
  </si>
  <si>
    <t>-572.452047062647 51.910665724813 -840.59389445593</t>
  </si>
  <si>
    <t>-526.06138978605 39.8845047823052 -930.51756019848</t>
  </si>
  <si>
    <t>-585.891922526215 96.1331749512356 -782.141713022159</t>
  </si>
  <si>
    <t>-567.346068170985 241.984863246811 -785.012917568525</t>
  </si>
  <si>
    <t>-486.101251228364 326.516705691718 -491.006424877121</t>
  </si>
  <si>
    <t>-295.077161248345 261.430302375794 -326.946491406819</t>
  </si>
  <si>
    <t>-584.675396080383 33.8600329302406 -769.336092754792</t>
  </si>
  <si>
    <t>-390.872465720649 52.2060175919507 -445.839984328763</t>
  </si>
  <si>
    <t>-629.988531631622 256.068473113478 -254.102291109137</t>
  </si>
  <si>
    <t>-611.18922405134 271.952673108107 200.927455142571</t>
  </si>
  <si>
    <t>-622.908235181809 257.668145462402 670.463048809944</t>
  </si>
  <si>
    <t>-464.890247649992 272.319692504679 746.352158149042</t>
  </si>
  <si>
    <t>-571.781965252049 70.6624653070562 -231.547673629452</t>
  </si>
  <si>
    <t>-462.179101262298 77.5197680015465 210.716741304479</t>
  </si>
  <si>
    <t>-609.996473649327 13.4141537947235 652.048380354087</t>
  </si>
  <si>
    <t>-456.718940784373 -28.207677086195 727.660054455998</t>
  </si>
  <si>
    <t>9763-20170724T170209.494109900.bin</t>
  </si>
  <si>
    <t>-601.322643980692 163.15063035772 -243.125637716563</t>
  </si>
  <si>
    <t>-622.498504479796 142.117218792958 -360.500970446213</t>
  </si>
  <si>
    <t>-623.882676508001 121.06552743091 -479.855461344415</t>
  </si>
  <si>
    <t>-616.996089485892 101.509457236765 -587.396033243987</t>
  </si>
  <si>
    <t>-602.150934333981 81.0616932638932 -693.962198210432</t>
  </si>
  <si>
    <t>-573.338059870471 51.3888312735862 -840.554594364592</t>
  </si>
  <si>
    <t>-527.035492614889 39.3180292210402 -930.517710909294</t>
  </si>
  <si>
    <t>-586.735216458652 95.648442486191 -782.120817107325</t>
  </si>
  <si>
    <t>-568.399582464488 241.51389156794 -785.153499782639</t>
  </si>
  <si>
    <t>-488.458069737833 326.672787245241 -490.970889860857</t>
  </si>
  <si>
    <t>-297.437657952371 261.752376185416 -326.840960501251</t>
  </si>
  <si>
    <t>-585.438548636672 33.3877149910188 -769.263318722676</t>
  </si>
  <si>
    <t>-391.623996636031 52.2550999971791 -446.05806269225</t>
  </si>
  <si>
    <t>-630.37259970125 255.9213466789 -254.09334309474</t>
  </si>
  <si>
    <t>-611.426340204238 271.819019802246 200.929656481877</t>
  </si>
  <si>
    <t>-622.892934247654 257.617952490968 670.460570404716</t>
  </si>
  <si>
    <t>-464.870798349554 272.346501141748 746.326189308156</t>
  </si>
  <si>
    <t>-572.155385352009 70.4337343542943 -231.455793973953</t>
  </si>
  <si>
    <t>-462.270101821395 77.3325179751314 210.737932203151</t>
  </si>
  <si>
    <t>-610.037113516644 13.4754516879002 652.148660544411</t>
  </si>
  <si>
    <t>-456.784221505707 -28.3385283670784 727.704318594348</t>
  </si>
  <si>
    <t>9763-20170724T170209.565304000.bin</t>
  </si>
  <si>
    <t>-601.866445775374 163.011431229246 -242.998528523302</t>
  </si>
  <si>
    <t>-623.124714131777 141.846894104333 -360.335402646951</t>
  </si>
  <si>
    <t>-624.703700843039 120.652236527023 -479.662124210985</t>
  </si>
  <si>
    <t>-618.037271201883 100.968079703394 -587.193220381705</t>
  </si>
  <si>
    <t>-603.454466725624 80.396190040062 -693.771746396479</t>
  </si>
  <si>
    <t>-575.047727061422 50.558138039524 -840.409941469091</t>
  </si>
  <si>
    <t>-528.866914884468 38.3850366207596 -930.421776482619</t>
  </si>
  <si>
    <t>-588.303866199186 94.8824569106471 -781.992812403854</t>
  </si>
  <si>
    <t>-570.113405949107 240.765650901842 -785.233572938877</t>
  </si>
  <si>
    <t>-492.23141753703 327.045647096571 -490.825172011441</t>
  </si>
  <si>
    <t>-301.18740465685 262.48285397953 -326.581761148269</t>
  </si>
  <si>
    <t>-586.929781646321 32.6386924301769 -769.061336944945</t>
  </si>
  <si>
    <t>-392.952996850938 52.4788441005658 -446.334268506979</t>
  </si>
  <si>
    <t>-630.969633028762 255.906843295608 -254.071271943073</t>
  </si>
  <si>
    <t>-611.832917155397 271.841475651133 200.942459823182</t>
  </si>
  <si>
    <t>-622.91447909088 257.703818603446 670.462548853995</t>
  </si>
  <si>
    <t>-464.881063124559 272.402411492637 746.31049462365</t>
  </si>
  <si>
    <t>-572.672613599631 70.2731415258161 -231.242403526612</t>
  </si>
  <si>
    <t>-462.392447765324 77.4403541675167 210.848743619827</t>
  </si>
  <si>
    <t>-610.100546480034 13.5199499276448 652.277439514966</t>
  </si>
  <si>
    <t>-456.827144892366 -28.4518729049389 727.703828005133</t>
  </si>
  <si>
    <t>9763-20170724T170209.596384700.bin</t>
  </si>
  <si>
    <t>-602.110170835111 163.051235444346 -242.998803468591</t>
  </si>
  <si>
    <t>-623.394627679699 141.85186417932 -360.324748536454</t>
  </si>
  <si>
    <t>-625.054207921742 120.59564833805 -479.639331595635</t>
  </si>
  <si>
    <t>-618.483118053329 100.845699384543 -587.164268415842</t>
  </si>
  <si>
    <t>-604.017890552434 80.1988288521209 -693.744308602029</t>
  </si>
  <si>
    <t>-575.797531535899 50.2471686656916 -840.395332436315</t>
  </si>
  <si>
    <t>-529.673497475379 38.0052110468262 -930.426961332553</t>
  </si>
  <si>
    <t>-588.97068593511 94.6171725767892 -781.994192089654</t>
  </si>
  <si>
    <t>-570.810834978308 240.496444669139 -785.397754433206</t>
  </si>
  <si>
    <t>-493.806650761195 327.347419794889 -490.926313047722</t>
  </si>
  <si>
    <t>-302.824962734134 262.959508140188 -326.541919504835</t>
  </si>
  <si>
    <t>-587.597668214938 32.3824028415238 -769.019402441954</t>
  </si>
  <si>
    <t>-393.473565690212 52.5903551735323 -446.470794134661</t>
  </si>
  <si>
    <t>-631.230623823149 255.928568529609 -254.07661129095</t>
  </si>
  <si>
    <t>-611.916313938783 271.840954928057 200.930541614648</t>
  </si>
  <si>
    <t>-622.91268112103 257.709761662964 670.461890402259</t>
  </si>
  <si>
    <t>-464.878175876207 272.41565501759 746.306068999429</t>
  </si>
  <si>
    <t>-572.883588295223 70.3387022541617 -231.210118718419</t>
  </si>
  <si>
    <t>-462.48503152679 77.4372106609553 210.85260528103</t>
  </si>
  <si>
    <t>-610.121960792287 13.3832064949318 652.319050881335</t>
  </si>
  <si>
    <t>-456.694067174658 -28.1329101520414 727.683487761872</t>
  </si>
  <si>
    <t>9763-20170724T170209.657211900.bin</t>
  </si>
  <si>
    <t>-602.333054495163 163.116030213747 -242.966694738717</t>
  </si>
  <si>
    <t>-623.624221804161 141.91514922342 -360.291024477851</t>
  </si>
  <si>
    <t>-625.358957666575 120.605071039406 -479.594946551084</t>
  </si>
  <si>
    <t>-618.884872293913 100.787521346341 -587.113377336762</t>
  </si>
  <si>
    <t>-604.545908992547 80.0556857714209 -693.694017862053</t>
  </si>
  <si>
    <t>-576.531440755669 49.9692360866757 -840.356916005415</t>
  </si>
  <si>
    <t>-530.47421621077 37.6407052687036 -930.410976823846</t>
  </si>
  <si>
    <t>-589.614420122663 94.3934107114312 -781.976743480899</t>
  </si>
  <si>
    <t>-571.425695244837 240.275402191446 -785.508571723508</t>
  </si>
  <si>
    <t>-495.320730855206 327.561519806804 -490.931904975981</t>
  </si>
  <si>
    <t>-304.382548109905 263.386372676822 -326.413853679418</t>
  </si>
  <si>
    <t>-588.239554602722 32.1696750423307 -768.949505505135</t>
  </si>
  <si>
    <t>-394.110691549422 52.7555413877517 -446.830225900364</t>
  </si>
  <si>
    <t>-631.416118720892 255.973614930834 -254.060110836091</t>
  </si>
  <si>
    <t>-611.990799322918 271.90287844207 200.94171257461</t>
  </si>
  <si>
    <t>-622.917709988518 257.740261417062 670.460756469223</t>
  </si>
  <si>
    <t>-464.882947906787 272.426552229823 746.308191890846</t>
  </si>
  <si>
    <t>-573.132539727263 70.3904812749445 -231.187777677165</t>
  </si>
  <si>
    <t>-462.573011470611 77.4417088401271 210.835470907172</t>
  </si>
  <si>
    <t>-610.132590967205 13.4291711432465 652.33949865862</t>
  </si>
  <si>
    <t>-456.660121823156 -27.9665450272853 727.679462099129</t>
  </si>
  <si>
    <t>9763-20170724T170209.698326300.bin</t>
  </si>
  <si>
    <t>-602.507270254097 163.286666573005 -242.970026608092</t>
  </si>
  <si>
    <t>-623.857511340361 142.107178727748 -360.28756062708</t>
  </si>
  <si>
    <t>-625.71107699179 120.679827297205 -479.568706224903</t>
  </si>
  <si>
    <t>-619.372706350051 100.703625530196 -587.065814913987</t>
  </si>
  <si>
    <t>-605.199644023121 79.7634793136883 -693.627997894044</t>
  </si>
  <si>
    <t>-577.44857974874 49.3381017185329 -840.2709744492</t>
  </si>
  <si>
    <t>-531.512850457565 36.8058210782374 -930.358823707778</t>
  </si>
  <si>
    <t>-590.396323961209 93.8989883202694 -781.964842642827</t>
  </si>
  <si>
    <t>-572.215882647413 239.772307688839 -785.799789911767</t>
  </si>
  <si>
    <t>-498.389826436122 328.391184008422 -491.041262226297</t>
  </si>
  <si>
    <t>-307.483787033888 264.385337529349 -326.419923155697</t>
  </si>
  <si>
    <t>-589.058787547978 31.7018159941968 -768.807070193411</t>
  </si>
  <si>
    <t>-394.808548902307 52.2135496901792 -447.04833498798</t>
  </si>
  <si>
    <t>-631.482685397064 256.108153001433 -254.058992122804</t>
  </si>
  <si>
    <t>-611.994937359147 271.992730260557 200.941679675906</t>
  </si>
  <si>
    <t>-622.926690326117 257.783999613618 670.462736322057</t>
  </si>
  <si>
    <t>-464.891004680542 272.405386584165 746.320792050901</t>
  </si>
  <si>
    <t>-573.414269912536 70.5520402806849 -231.211139725562</t>
  </si>
  <si>
    <t>-462.854581212044 77.5253289510306 210.81333391642</t>
  </si>
  <si>
    <t>-610.155773102926 13.7069537302314 652.404132851483</t>
  </si>
  <si>
    <t>-456.888937717861 -28.4489623356837 727.741173046845</t>
  </si>
  <si>
    <t>9763-20170724T170209.768022100.bin</t>
  </si>
  <si>
    <t>-602.543545739575 163.313198916818 -242.950835229609</t>
  </si>
  <si>
    <t>-623.870595190593 142.183365610145 -360.281510284071</t>
  </si>
  <si>
    <t>-625.778812170125 120.650284295038 -479.542770303352</t>
  </si>
  <si>
    <t>-619.526695958255 100.518940618641 -587.015972330468</t>
  </si>
  <si>
    <t>-605.479346752614 79.3666945287866 -693.552823387317</t>
  </si>
  <si>
    <t>-577.945905276884 48.5900124404407 -840.163613813257</t>
  </si>
  <si>
    <t>-532.141090657225 35.8218701754829 -930.285115903532</t>
  </si>
  <si>
    <t>-590.73909613681 93.2944959291096 -781.933343275846</t>
  </si>
  <si>
    <t>-572.580231415864 239.161171059447 -786.104960946792</t>
  </si>
  <si>
    <t>-501.654678023118 329.23700991776 -491.075874551741</t>
  </si>
  <si>
    <t>-310.897642618576 264.84018891219 -326.434286209535</t>
  </si>
  <si>
    <t>-589.518071423711 31.121085912918 -768.652464354695</t>
  </si>
  <si>
    <t>-394.862317627915 51.5587273358308 -447.188328574859</t>
  </si>
  <si>
    <t>-631.262814136117 256.203827595487 -254.066200430733</t>
  </si>
  <si>
    <t>-611.783305141194 272.043988386811 200.936393379716</t>
  </si>
  <si>
    <t>-622.914962646416 257.832460127272 670.440471975015</t>
  </si>
  <si>
    <t>-464.892172380303 272.359973179069 746.343437742256</t>
  </si>
  <si>
    <t>-573.701675603495 70.4596430012118 -231.172694669101</t>
  </si>
  <si>
    <t>-462.974537107237 77.2874149644808 210.812153901775</t>
  </si>
  <si>
    <t>-610.198735093971 13.6552152149488 652.485642858122</t>
  </si>
  <si>
    <t>-456.926524410048 -28.5834725580323 727.765345822776</t>
  </si>
  <si>
    <t>9763-20170724T170209.795092900.bin</t>
  </si>
  <si>
    <t>-602.357901659762 163.161774343104 -242.94543934833</t>
  </si>
  <si>
    <t>-623.69704665753 142.046045616125 -360.276524802949</t>
  </si>
  <si>
    <t>-625.616889982831 120.466165589772 -479.529149601918</t>
  </si>
  <si>
    <t>-619.377083313085 100.269176453197 -586.990788822261</t>
  </si>
  <si>
    <t>-605.345122857907 79.0289540962663 -693.512125441625</t>
  </si>
  <si>
    <t>-577.837396710724 48.1074279762881 -840.097344007483</t>
  </si>
  <si>
    <t>-532.066548723468 35.2314018964241 -930.220645870889</t>
  </si>
  <si>
    <t>-590.591576453138 92.8709568010686 -781.903844404262</t>
  </si>
  <si>
    <t>-572.410513606383 238.719388337069 -786.203716039762</t>
  </si>
  <si>
    <t>-502.916688758505 329.536906058149 -491.061334866406</t>
  </si>
  <si>
    <t>-312.302888185008 264.864110229545 -326.36206427437</t>
  </si>
  <si>
    <t>-589.425839860877 30.7074884560457 -768.571915089069</t>
  </si>
  <si>
    <t>-394.453253851691 51.0254136583801 -447.185448754359</t>
  </si>
  <si>
    <t>-630.984180744597 256.140162847925 -254.077314722825</t>
  </si>
  <si>
    <t>-611.551736228473 271.995930403628 200.926725913341</t>
  </si>
  <si>
    <t>-622.909809568741 257.846344320604 670.428620667438</t>
  </si>
  <si>
    <t>-464.891838859406 272.312820970511 746.353280676113</t>
  </si>
  <si>
    <t>-573.562383174408 70.1755123426042 -231.194817505168</t>
  </si>
  <si>
    <t>-463.001627287716 77.134563982851 210.829599860513</t>
  </si>
  <si>
    <t>-610.213594034799 13.6496879170093 652.530037854769</t>
  </si>
  <si>
    <t>-456.910508365631 -28.5261239219458 727.782125711051</t>
  </si>
  <si>
    <t>9763-20170724T170209.861774900.bin</t>
  </si>
  <si>
    <t>-602.088925433135 163.060879313244 -242.91889733648</t>
  </si>
  <si>
    <t>-623.438993559009 141.960314129065 -360.250704372413</t>
  </si>
  <si>
    <t>-625.362668107994 120.299876505819 -479.488644050944</t>
  </si>
  <si>
    <t>-619.126658257915 99.9952591258143 -586.930173433622</t>
  </si>
  <si>
    <t>-605.10045280255 78.6157454837421 -693.424449769024</t>
  </si>
  <si>
    <t>-577.604113305682 47.4703061029732 -839.964217545048</t>
  </si>
  <si>
    <t>-531.88796127578 34.4136866829867 -930.089385652061</t>
  </si>
  <si>
    <t>-590.322623103 92.3244959946921 -781.832824530998</t>
  </si>
  <si>
    <t>-572.244615646189 238.188180885802 -786.295022994189</t>
  </si>
  <si>
    <t>-505.186325682488 329.932861891275 -490.876233087878</t>
  </si>
  <si>
    <t>-314.844491579628 265.060381495743 -325.941070131541</t>
  </si>
  <si>
    <t>-589.218174523862 30.1779287818258 -768.417060515857</t>
  </si>
  <si>
    <t>-393.645981188469 50.3391430353834 -446.522585666013</t>
  </si>
  <si>
    <t>-630.46923630432 256.179662953932 -254.080755435184</t>
  </si>
  <si>
    <t>-611.084080626399 271.978193342568 200.927312324939</t>
  </si>
  <si>
    <t>-622.890772026554 257.833080575435 670.405950639015</t>
  </si>
  <si>
    <t>-464.889701560788 272.218766480853 746.381081842214</t>
  </si>
  <si>
    <t>-573.66741696602 70.0758456898973 -231.075146894156</t>
  </si>
  <si>
    <t>-462.83168363216 76.7214210045661 210.885124516709</t>
  </si>
  <si>
    <t>-610.233110022358 13.7818410059019 652.59405182969</t>
  </si>
  <si>
    <t>-456.910270597725 -28.3944826410816 727.80558505942</t>
  </si>
  <si>
    <t>9763-20170724T170209.900880800.bin</t>
  </si>
  <si>
    <t>-601.937494789658 163.160875288639 -242.901338320837</t>
  </si>
  <si>
    <t>-623.278214790387 142.063978909078 -360.235516465583</t>
  </si>
  <si>
    <t>-625.199078608781 120.354278322818 -479.464532146253</t>
  </si>
  <si>
    <t>-618.964822691633 99.9870523631805 -586.894452973617</t>
  </si>
  <si>
    <t>-604.945500077921 78.5287272727137 -693.373613641346</t>
  </si>
  <si>
    <t>-577.464581446225 47.2588419795795 -839.889889046021</t>
  </si>
  <si>
    <t>-531.772436556738 34.1255699903152 -930.016134641701</t>
  </si>
  <si>
    <t>-590.168493087439 92.1629141399962 -781.793823682627</t>
  </si>
  <si>
    <t>-572.08850902033 238.018749212051 -786.291820842811</t>
  </si>
  <si>
    <t>-506.153693136785 330.237435571174 -490.767760448269</t>
  </si>
  <si>
    <t>-315.951114742555 265.48880671168 -325.623413614829</t>
  </si>
  <si>
    <t>-589.079533374372 30.0268909971207 -768.328292482758</t>
  </si>
  <si>
    <t>-393.359131891327 50.1456323247232 -446.335449542722</t>
  </si>
  <si>
    <t>-630.195544431376 256.304856206618 -254.08628864367</t>
  </si>
  <si>
    <t>-610.867598977046 272.044217211123 200.926138997301</t>
  </si>
  <si>
    <t>-622.885187998975 257.843716285621 670.398959186107</t>
  </si>
  <si>
    <t>-464.891602023031 272.184517290164 746.398140896548</t>
  </si>
  <si>
    <t>-573.593623157662 70.1340830909246 -231.042859331893</t>
  </si>
  <si>
    <t>-462.717684581172 76.6782699383671 210.908952193872</t>
  </si>
  <si>
    <t>-610.238017306215 13.8060520237495 652.617610310444</t>
  </si>
  <si>
    <t>-457.007607811901 -28.7239723525961 727.818377644387</t>
  </si>
  <si>
    <t>9763-20170724T170209.963654400.bin</t>
  </si>
  <si>
    <t>-601.668251195618 163.267490720088 -242.878283084447</t>
  </si>
  <si>
    <t>-622.930992450576 142.19653390501 -360.231214067819</t>
  </si>
  <si>
    <t>-624.810304036636 120.390874433169 -479.443455567751</t>
  </si>
  <si>
    <t>-618.557938796663 99.8920473326275 -586.847093360789</t>
  </si>
  <si>
    <t>-604.542149890287 78.2607335655348 -693.291973132947</t>
  </si>
  <si>
    <t>-577.090300796398 46.710177241762 -839.753463411995</t>
  </si>
  <si>
    <t>-531.453023798297 33.4411434223819 -929.887550925877</t>
  </si>
  <si>
    <t>-589.766389688759 91.7263446474701 -781.738080866699</t>
  </si>
  <si>
    <t>-571.698494484835 237.591749898273 -786.391792400018</t>
  </si>
  <si>
    <t>-507.712026695768 330.995865025619 -490.811607644552</t>
  </si>
  <si>
    <t>-317.933775941725 265.978100938524 -325.285306967303</t>
  </si>
  <si>
    <t>-588.707394115699 29.6142532176705 -768.159435842885</t>
  </si>
  <si>
    <t>-392.568626701333 49.5134561866007 -445.746018912563</t>
  </si>
  <si>
    <t>-629.764104886421 256.547520641612 -254.108876539673</t>
  </si>
  <si>
    <t>-610.598371416707 272.162082996304 200.914770514077</t>
  </si>
  <si>
    <t>-622.878139378259 257.876928259626 670.374672419452</t>
  </si>
  <si>
    <t>-464.897861738904 272.101443776207 746.423401600969</t>
  </si>
  <si>
    <t>-573.503145135983 70.0716797329351 -230.968012049086</t>
  </si>
  <si>
    <t>-462.522234121972 76.6181071761059 210.957351086133</t>
  </si>
  <si>
    <t>-610.247359442049 13.7629510652826 652.652894208885</t>
  </si>
  <si>
    <t>-456.922936454754 -28.4976516535687 727.813880190216</t>
  </si>
  <si>
    <t>9763-20170724T170209.996741500.bin</t>
  </si>
  <si>
    <t>-601.55298384525 163.469708470974 -242.821025204483</t>
  </si>
  <si>
    <t>-622.758034044422 142.394242325204 -360.183681567773</t>
  </si>
  <si>
    <t>-624.596974272661 120.522802754455 -479.384487239071</t>
  </si>
  <si>
    <t>-618.317763534706 99.9403514212092 -586.770527171916</t>
  </si>
  <si>
    <t>-604.286320878924 78.201738078976 -693.191341896972</t>
  </si>
  <si>
    <t>-576.825702581946 46.4778640122022 -839.613841532716</t>
  </si>
  <si>
    <t>-531.215554355028 33.1052544998829 -929.746285306377</t>
  </si>
  <si>
    <t>-589.483677654335 91.5638495486692 -781.648691358043</t>
  </si>
  <si>
    <t>-571.37173930058 237.422241708614 -786.362539800593</t>
  </si>
  <si>
    <t>-508.473137677388 331.465135384784 -490.751505798738</t>
  </si>
  <si>
    <t>-318.833953477453 266.091885140201 -325.20592507583</t>
  </si>
  <si>
    <t>-588.468646958119 29.4655375985976 -768.004090465739</t>
  </si>
  <si>
    <t>-392.277134063359 49.3726364957924 -445.607493270467</t>
  </si>
  <si>
    <t>-629.540052371404 256.722956389442 -254.099240017031</t>
  </si>
  <si>
    <t>-610.559378604989 272.286145782464 200.933838144879</t>
  </si>
  <si>
    <t>-622.886359718858 257.922060634721 670.367955000462</t>
  </si>
  <si>
    <t>-464.91226289877 272.107909148346 746.436690545714</t>
  </si>
  <si>
    <t>-573.486000078386 70.3784353931733 -230.874811541376</t>
  </si>
  <si>
    <t>-462.331913211113 76.7123473421284 211.010223857983</t>
  </si>
  <si>
    <t>-610.243724409905 13.9157566929964 652.633321317885</t>
  </si>
  <si>
    <t>-457.038588837471 -28.7764388282499 727.793601530657</t>
  </si>
  <si>
    <t>9763-20170724T170210.062923500.bin</t>
  </si>
  <si>
    <t>-601.12053846376 163.787896724359 -242.802117638467</t>
  </si>
  <si>
    <t>-622.219827176287 142.689878183989 -360.179770588912</t>
  </si>
  <si>
    <t>-623.978038960458 120.684877256848 -479.357044345769</t>
  </si>
  <si>
    <t>-617.640663526295 99.9400005629343 -586.708529166502</t>
  </si>
  <si>
    <t>-603.568355174899 77.9995568105207 -693.082592584499</t>
  </si>
  <si>
    <t>-576.070919746202 45.9561090343941 -839.428445217736</t>
  </si>
  <si>
    <t>-530.498356790112 32.3744449944006 -929.548729672313</t>
  </si>
  <si>
    <t>-588.717424500206 91.1700626041147 -781.560532775254</t>
  </si>
  <si>
    <t>-570.54987597839 237.018810461641 -786.399614087875</t>
  </si>
  <si>
    <t>-509.705774497005 332.467524525131 -490.809268167769</t>
  </si>
  <si>
    <t>-319.986076904366 266.537436551709 -325.576931578697</t>
  </si>
  <si>
    <t>-587.757863406044 29.0988877709158 -767.789420426562</t>
  </si>
  <si>
    <t>-391.172053302824 49.1356255110586 -445.552962041227</t>
  </si>
  <si>
    <t>-629.066042467064 257.133878985089 -254.134142943438</t>
  </si>
  <si>
    <t>-610.381775515921 272.535368791932 200.916844194859</t>
  </si>
  <si>
    <t>-622.918534275524 258.039514109423 670.355238565494</t>
  </si>
  <si>
    <t>-464.947946536289 272.092337700983 746.456062458066</t>
  </si>
  <si>
    <t>-573.096934693304 70.4744395366977 -230.826116289893</t>
  </si>
  <si>
    <t>-462.075112769334 76.788809615 211.09236386339</t>
  </si>
  <si>
    <t>-610.238609562687 13.8952848827118 652.620767514867</t>
  </si>
  <si>
    <t>-456.931499425705 -28.4841466917676 727.750189513771</t>
  </si>
  <si>
    <t>9763-20170724T170210.096011300.bin</t>
  </si>
  <si>
    <t>-600.974220981773 163.882701695084 -242.833370058309</t>
  </si>
  <si>
    <t>-622.034453065015 142.797511802589 -360.220276151611</t>
  </si>
  <si>
    <t>-623.762565582243 120.725653579104 -479.385851031917</t>
  </si>
  <si>
    <t>-617.404818658922 99.8888580768025 -586.718209655229</t>
  </si>
  <si>
    <t>-603.320888883023 77.8259752578563 -693.065498277462</t>
  </si>
  <si>
    <t>-575.817987799645 45.5815672816664 -839.366194048888</t>
  </si>
  <si>
    <t>-530.262787262418 31.8838624172752 -929.477540852908</t>
  </si>
  <si>
    <t>-588.44627139053 90.8760338986403 -781.557331495491</t>
  </si>
  <si>
    <t>-570.31389671225 236.72193186655 -786.479296993269</t>
  </si>
  <si>
    <t>-510.212596105518 332.450512373174 -490.827431064859</t>
  </si>
  <si>
    <t>-320.218730075815 266.500966926788 -325.918205179031</t>
  </si>
  <si>
    <t>-587.528027708922 28.8216199459966 -767.70796609163</t>
  </si>
  <si>
    <t>-390.762770579443 49.0907690614295 -445.751150623589</t>
  </si>
  <si>
    <t>-628.835768805679 257.272778279146 -254.164396012412</t>
  </si>
  <si>
    <t>-610.255891824463 272.608834246592 200.892996875476</t>
  </si>
  <si>
    <t>-622.911824420812 258.055679101944 670.333708868921</t>
  </si>
  <si>
    <t>-464.947576793955 272.058801566399 746.456700230272</t>
  </si>
  <si>
    <t>-573.045754364366 70.5254356722753 -230.83293720149</t>
  </si>
  <si>
    <t>-462.060928413765 76.830847043135 211.094935069342</t>
  </si>
  <si>
    <t>-610.229785846115 13.9096457038756 652.619238072268</t>
  </si>
  <si>
    <t>-456.921002424711 -28.4714132249337 727.744242808054</t>
  </si>
  <si>
    <t>9763-20170724T170210.161188700.bin</t>
  </si>
  <si>
    <t>-600.748467802141 164.320568281275 -242.858789867876</t>
  </si>
  <si>
    <t>-621.680956081729 143.286884290985 -360.277808149246</t>
  </si>
  <si>
    <t>-623.307361030661 121.104788987332 -479.42408592254</t>
  </si>
  <si>
    <t>-616.87505828146 100.105764253929 -586.720634251002</t>
  </si>
  <si>
    <t>-602.737685985722 77.8203182881668 -693.014262754852</t>
  </si>
  <si>
    <t>-575.18568273697 45.2059171973474 -839.223581292284</t>
  </si>
  <si>
    <t>-529.660725504463 31.2943858437261 -929.317655039768</t>
  </si>
  <si>
    <t>-587.814774248818 90.647340219489 -781.530440342007</t>
  </si>
  <si>
    <t>-569.703693376535 236.4819931691 -786.63917970702</t>
  </si>
  <si>
    <t>-510.973065773053 333.132414753496 -491.011650972803</t>
  </si>
  <si>
    <t>-321.110627399456 266.863937727507 -326.07892837022</t>
  </si>
  <si>
    <t>-586.938376430258 28.6262376574507 -767.530509662495</t>
  </si>
  <si>
    <t>-389.913270841372 49.1969986373217 -445.977451228231</t>
  </si>
  <si>
    <t>-628.433985788292 257.689063025101 -254.204481286172</t>
  </si>
  <si>
    <t>-609.976061551142 272.822796937629 200.864738955325</t>
  </si>
  <si>
    <t>-622.904436519765 258.092408978751 670.292692456943</t>
  </si>
  <si>
    <t>-464.960732653091 272.041043743349 746.468398832462</t>
  </si>
  <si>
    <t>-572.964979478225 71.1156970416969 -230.862081921087</t>
  </si>
  <si>
    <t>-462.014707667538 76.8660264096861 211.08201470691</t>
  </si>
  <si>
    <t>-610.217984065712 14.0415823645624 652.626265130044</t>
  </si>
  <si>
    <t>-456.925821399997 -28.3979530524898 727.752262545392</t>
  </si>
  <si>
    <t>9763-20170724T170210.195280000.bin</t>
  </si>
  <si>
    <t>-600.635940961153 164.541159526872 -242.887045033031</t>
  </si>
  <si>
    <t>-621.548371713967 143.531686450758 -360.314075179647</t>
  </si>
  <si>
    <t>-623.139487595223 121.308636287595 -479.453377553589</t>
  </si>
  <si>
    <t>-616.671666372962 100.247557946212 -586.735479105645</t>
  </si>
  <si>
    <t>-602.496714589581 77.8759602523987 -693.005958424136</t>
  </si>
  <si>
    <t>-574.891794742731 45.1178202418878 -839.17329723213</t>
  </si>
  <si>
    <t>-529.374649804394 31.1108635384087 -929.256460136628</t>
  </si>
  <si>
    <t>-587.543359805227 90.6158600567485 -781.529625604659</t>
  </si>
  <si>
    <t>-569.438110363063 236.461521358805 -786.68620277636</t>
  </si>
  <si>
    <t>-511.50167016526 333.707391504802 -491.097264190202</t>
  </si>
  <si>
    <t>-321.847975883995 267.185319768808 -326.026676325746</t>
  </si>
  <si>
    <t>-586.668900334985 28.6085518659593 -767.467895916742</t>
  </si>
  <si>
    <t>-389.511646881733 49.3296827624929 -446.022214837554</t>
  </si>
  <si>
    <t>-628.302841062329 257.906624122234 -254.215108041077</t>
  </si>
  <si>
    <t>-609.902680213747 272.927161253656 200.860176881624</t>
  </si>
  <si>
    <t>-622.918338143282 258.14403700986 670.28542698594</t>
  </si>
  <si>
    <t>-464.978269448257 272.036496949349 746.478920010495</t>
  </si>
  <si>
    <t>-572.881736806378 71.263364037361 -230.884356872888</t>
  </si>
  <si>
    <t>-462.017624486509 76.9732826191787 211.082002980913</t>
  </si>
  <si>
    <t>-610.212580727941 14.0996126107846 652.636373796343</t>
  </si>
  <si>
    <t>-456.986877280856 -28.5680513847831 727.768727682437</t>
  </si>
  <si>
    <t>9763-20170724T170210.261459900.bin</t>
  </si>
  <si>
    <t>-600.602807493225 164.731090927524 -242.875489718343</t>
  </si>
  <si>
    <t>-621.439945152158 143.736986352558 -360.318599355261</t>
  </si>
  <si>
    <t>-622.935832892524 121.427523621233 -479.442869620912</t>
  </si>
  <si>
    <t>-616.378150300628 100.249532464039 -586.696544479863</t>
  </si>
  <si>
    <t>-602.112299413651 77.7233985880584 -692.922320070864</t>
  </si>
  <si>
    <t>-574.382278553025 44.7130092913048 -839.0091875905</t>
  </si>
  <si>
    <t>-528.882620395105 30.5108990608871 -929.070603060235</t>
  </si>
  <si>
    <t>-587.080400683333 90.3107461575826 -781.454537765376</t>
  </si>
  <si>
    <t>-569.05801775265 236.161083620189 -786.663315052726</t>
  </si>
  <si>
    <t>-513.034929759146 334.353573731049 -491.018410164362</t>
  </si>
  <si>
    <t>-323.469613514489 267.739407783525 -325.883472429703</t>
  </si>
  <si>
    <t>-586.223460023723 28.3275171184544 -767.285875237933</t>
  </si>
  <si>
    <t>-388.777520269412 49.2537442597481 -446.086455177903</t>
  </si>
  <si>
    <t>-628.148131954276 258.178806341216 -254.223981818858</t>
  </si>
  <si>
    <t>-609.888251248882 273.053368602837 200.861723306754</t>
  </si>
  <si>
    <t>-622.925090223797 258.143783128993 670.271496103721</t>
  </si>
  <si>
    <t>-464.992220334876 272.014042714406 746.483941806756</t>
  </si>
  <si>
    <t>-572.9234425044 71.3610898205557 -230.85425125999</t>
  </si>
  <si>
    <t>-461.985775796288 76.8962542995214 211.095782833355</t>
  </si>
  <si>
    <t>-610.19686123303 13.7980783980051 652.635992217703</t>
  </si>
  <si>
    <t>-456.812364181864 -28.2673260325346 727.783939874937</t>
  </si>
  <si>
    <t>9763-20170724T170210.295550900.bin</t>
  </si>
  <si>
    <t>-600.540044436965 164.821780939976 -242.880385482929</t>
  </si>
  <si>
    <t>-621.355894089292 143.835425597644 -360.328582310815</t>
  </si>
  <si>
    <t>-622.816700475576 121.492249751756 -479.447024155324</t>
  </si>
  <si>
    <t>-616.223458538434 100.267427317407 -586.689191081053</t>
  </si>
  <si>
    <t>-601.919293635174 77.6789807714943 -692.896579276338</t>
  </si>
  <si>
    <t>-574.134255206041 44.5659391840973 -838.949630002102</t>
  </si>
  <si>
    <t>-528.624766625076 30.2900707009585 -928.994560087</t>
  </si>
  <si>
    <t>-586.852578170049 90.204132017755 -781.431671914544</t>
  </si>
  <si>
    <t>-568.863689241156 236.053419849986 -786.612251178553</t>
  </si>
  <si>
    <t>-513.97745825545 334.649716103273 -490.888729205233</t>
  </si>
  <si>
    <t>-324.325968582941 268.131698416069 -325.813764752834</t>
  </si>
  <si>
    <t>-586.00400579385 28.2307730107632 -767.219827978691</t>
  </si>
  <si>
    <t>-388.558605097868 49.2807531119122 -446.119444556251</t>
  </si>
  <si>
    <t>-628.043999123569 258.249697724428 -254.235948875621</t>
  </si>
  <si>
    <t>-609.859441690198 273.08441971462 200.854032817046</t>
  </si>
  <si>
    <t>-622.921936678807 258.156618808201 670.25354720382</t>
  </si>
  <si>
    <t>-464.995944016731 272.021567937931 746.481158228854</t>
  </si>
  <si>
    <t>-572.931340698561 71.4612592139947 -230.838643274716</t>
  </si>
  <si>
    <t>-461.891448738897 76.9608120639223 211.086084659021</t>
  </si>
  <si>
    <t>-610.14987101201 13.8426902338488 652.590024332006</t>
  </si>
  <si>
    <t>-456.895407992255 -28.5202276947939 727.83603855943</t>
  </si>
  <si>
    <t>9763-20170724T170210.361729700.bin</t>
  </si>
  <si>
    <t>-600.422387608465 164.975179433397 -242.88640878226</t>
  </si>
  <si>
    <t>-621.203568498253 143.987270033609 -360.340421968692</t>
  </si>
  <si>
    <t>-622.559122117601 121.60881285383 -479.453616354039</t>
  </si>
  <si>
    <t>-615.843873990046 100.340265726498 -586.67955225794</t>
  </si>
  <si>
    <t>-601.392142474695 77.6974904634592 -692.855337976435</t>
  </si>
  <si>
    <t>-573.376767406459 44.4990470935938 -838.845075672181</t>
  </si>
  <si>
    <t>-527.781170522309 30.1697024156663 -928.837827231626</t>
  </si>
  <si>
    <t>-586.209892399126 90.1695440377955 -781.378265347564</t>
  </si>
  <si>
    <t>-568.419811047081 236.049623497981 -786.48862654644</t>
  </si>
  <si>
    <t>-515.968168313096 335.439265482999 -490.588705215541</t>
  </si>
  <si>
    <t>-326.068347253276 268.870865238129 -325.819921061448</t>
  </si>
  <si>
    <t>-585.335532597005 28.2071038898871 -767.120060570884</t>
  </si>
  <si>
    <t>-387.735086537958 49.1852060491631 -446.100192067524</t>
  </si>
  <si>
    <t>-627.948259821073 258.51109764881 -254.259115520284</t>
  </si>
  <si>
    <t>-609.743327721534 273.179780217249 200.835551612307</t>
  </si>
  <si>
    <t>-622.942398898208 258.201454905546 670.242858621161</t>
  </si>
  <si>
    <t>-465.021358888009 272.041668461426 746.485327932607</t>
  </si>
  <si>
    <t>-572.841859450965 71.5478581753982 -230.813583115487</t>
  </si>
  <si>
    <t>-461.739950585102 76.9282648919714 211.097102493536</t>
  </si>
  <si>
    <t>-610.126090888817 13.7569699996227 652.599319426754</t>
  </si>
  <si>
    <t>-456.852114865 -28.4372498446444 727.900417569663</t>
  </si>
  <si>
    <t>9763-20170724T170210.395823900.bin</t>
  </si>
  <si>
    <t>-600.411527831129 165.01609644141 -242.869337769205</t>
  </si>
  <si>
    <t>-621.194727421967 144.013767123483 -360.320362590876</t>
  </si>
  <si>
    <t>-622.512235794932 121.637302351957 -479.434324104697</t>
  </si>
  <si>
    <t>-615.745805604036 100.37871398674 -586.658992660783</t>
  </si>
  <si>
    <t>-601.225796532513 77.7548613115296 -692.829562151905</t>
  </si>
  <si>
    <t>-573.097430659676 44.5930263543025 -838.805936725783</t>
  </si>
  <si>
    <t>-527.441693899149 30.2871113519977 -928.771916032297</t>
  </si>
  <si>
    <t>-586.009471696794 90.2473097180662 -781.343792663922</t>
  </si>
  <si>
    <t>-568.351375856771 236.144462693016 -786.392655800545</t>
  </si>
  <si>
    <t>-517.148884893888 335.947723152028 -490.413243234693</t>
  </si>
  <si>
    <t>-327.17278260897 269.191815314938 -325.80834689442</t>
  </si>
  <si>
    <t>-585.077118104292 28.2852149264875 -767.08798930838</t>
  </si>
  <si>
    <t>-387.50603746445 49.1643334244122 -446.065167019646</t>
  </si>
  <si>
    <t>-627.906095697292 258.520891220036 -254.254107958189</t>
  </si>
  <si>
    <t>-609.746530214882 273.197487601935 200.842012293366</t>
  </si>
  <si>
    <t>-622.943044357414 258.191442616604 670.241308152423</t>
  </si>
  <si>
    <t>-465.02304078919 272.032138965172 746.485810246485</t>
  </si>
  <si>
    <t>-572.828290969442 71.5904921001209 -230.783636371565</t>
  </si>
  <si>
    <t>-461.656410809068 77.0192255895911 211.10894603658</t>
  </si>
  <si>
    <t>-610.129862650834 13.9253271699847 652.60780372982</t>
  </si>
  <si>
    <t>-456.954610616408 -28.6317506787782 727.90555905495</t>
  </si>
  <si>
    <t>9763-20170724T170210.459997700.bin</t>
  </si>
  <si>
    <t>-600.369447148548 164.939934835467 -242.821420428926</t>
  </si>
  <si>
    <t>-621.192598946982 143.894414917906 -360.257776727766</t>
  </si>
  <si>
    <t>-622.41450306119 121.542880470752 -479.377398031735</t>
  </si>
  <si>
    <t>-615.504346851535 100.336358979293 -586.603228189638</t>
  </si>
  <si>
    <t>-600.782491412534 77.794885185323 -692.763434938953</t>
  </si>
  <si>
    <t>-572.312743894352 44.7797271574041 -838.706935201919</t>
  </si>
  <si>
    <t>-526.491779275037 30.5742528297617 -928.604654552179</t>
  </si>
  <si>
    <t>-585.437615491876 90.3715416070822 -781.243526721898</t>
  </si>
  <si>
    <t>-568.137498564138 236.304078261741 -786.119221489765</t>
  </si>
  <si>
    <t>-519.734535815522 336.637584331429 -489.848078233347</t>
  </si>
  <si>
    <t>-329.594710973271 269.441349419242 -325.611905575045</t>
  </si>
  <si>
    <t>-584.381876255071 28.4041332962884 -767.019395812568</t>
  </si>
  <si>
    <t>-386.908828024853 49.1006460155056 -445.981725892633</t>
  </si>
  <si>
    <t>-627.904347082396 258.468948493599 -254.246914145822</t>
  </si>
  <si>
    <t>-609.662325291007 273.135805740683 200.846196088246</t>
  </si>
  <si>
    <t>-622.956810407013 258.215454507326 670.239156454684</t>
  </si>
  <si>
    <t>-465.044351547544 272.049057279896 746.500578351375</t>
  </si>
  <si>
    <t>-572.735438229335 71.4934048517821 -230.721831828003</t>
  </si>
  <si>
    <t>-461.540208519068 77.009849805464 211.163761480464</t>
  </si>
  <si>
    <t>-610.137417072676 14.0269825436642 652.591718506617</t>
  </si>
  <si>
    <t>-456.908596680352 -28.3931696870766 727.857700234812</t>
  </si>
  <si>
    <t>9763-20170724T170210.493093000.bin</t>
  </si>
  <si>
    <t>-600.417756439528 164.900122316239 -242.820104463927</t>
  </si>
  <si>
    <t>-621.267007746654 143.844681225557 -360.250052793702</t>
  </si>
  <si>
    <t>-622.446488242421 121.550349785543 -479.380739073251</t>
  </si>
  <si>
    <t>-615.467601787813 100.424908763827 -586.618158877709</t>
  </si>
  <si>
    <t>-600.645225408113 77.9949429429184 -692.788021305809</t>
  </si>
  <si>
    <t>-572.001434757227 45.167187060368 -838.739612162496</t>
  </si>
  <si>
    <t>-526.099103129459 31.0702966855813 -928.613135429829</t>
  </si>
  <si>
    <t>-585.253174563309 90.6817810105611 -781.244105245628</t>
  </si>
  <si>
    <t>-568.215397637071 236.669656254255 -786.016194112143</t>
  </si>
  <si>
    <t>-521.089276964681 336.971875611762 -489.52886179158</t>
  </si>
  <si>
    <t>-330.714859000833 269.799117906101 -325.554863252319</t>
  </si>
  <si>
    <t>-584.097687101761 28.7030746933706 -767.077065868294</t>
  </si>
  <si>
    <t>-386.696125644091 49.3260671175958 -445.932471057311</t>
  </si>
  <si>
    <t>-627.957136896917 258.421058279993 -254.240112817216</t>
  </si>
  <si>
    <t>-609.650790857388 273.137016306269 200.848940204108</t>
  </si>
  <si>
    <t>-622.960945381812 258.209137489179 670.235896627042</t>
  </si>
  <si>
    <t>-465.053929848196 272.047511418254 746.507596288426</t>
  </si>
  <si>
    <t>-572.826096839255 71.5215921160486 -230.682881028858</t>
  </si>
  <si>
    <t>-461.406352550088 77.0343085925488 211.146207921786</t>
  </si>
  <si>
    <t>-610.122807965581 14.1187408695721 652.561859060456</t>
  </si>
  <si>
    <t>-457.01251587216 -28.6807100386341 727.854330635091</t>
  </si>
  <si>
    <t>9763-20170724T170210.566185900.bin</t>
  </si>
  <si>
    <t>-600.506714215028 164.651826362528 -242.7961506867</t>
  </si>
  <si>
    <t>-621.36009532534 143.536584770088 -360.2145981749</t>
  </si>
  <si>
    <t>-622.442329613618 121.304383334203 -479.357896621374</t>
  </si>
  <si>
    <t>-615.330324021895 100.286536278414 -586.607603971901</t>
  </si>
  <si>
    <t>-600.327539484192 78.0158474458094 -692.785703712157</t>
  </si>
  <si>
    <t>-571.382032305527 45.4640449812002 -838.739667822197</t>
  </si>
  <si>
    <t>-525.33463756144 31.5740424218734 -928.57113918732</t>
  </si>
  <si>
    <t>-584.846027720078 90.8641487691611 -781.202915196627</t>
  </si>
  <si>
    <t>-568.273404092815 236.915443428359 -785.685757597855</t>
  </si>
  <si>
    <t>-523.029358638129 336.804263970995 -488.765799944234</t>
  </si>
  <si>
    <t>-332.284527852641 269.96248215023 -325.087243281207</t>
  </si>
  <si>
    <t>-583.533001937599 28.8702853721229 -767.116274174778</t>
  </si>
  <si>
    <t>-386.452607562625 49.3073906721456 -445.63372735923</t>
  </si>
  <si>
    <t>-628.12898879134 258.177248665384 -254.244406049855</t>
  </si>
  <si>
    <t>-609.789032423742 273.021089068539 200.839128840849</t>
  </si>
  <si>
    <t>-622.976817965494 258.238249192246 670.232418773311</t>
  </si>
  <si>
    <t>-465.073020164897 272.074462962208 746.511288021261</t>
  </si>
  <si>
    <t>-572.735931648125 71.2674635285848 -230.673474364484</t>
  </si>
  <si>
    <t>-461.310540830654 77.0025225591173 211.151333403073</t>
  </si>
  <si>
    <t>-610.130468063819 14.2630126403803 652.545989526479</t>
  </si>
  <si>
    <t>-457.084464172604 -28.8200478972083 727.807395243894</t>
  </si>
  <si>
    <t>9763-20170724T170210.593256300.bin</t>
  </si>
  <si>
    <t>-600.493696371194 164.465813272469 -242.80513795663</t>
  </si>
  <si>
    <t>-621.350610960649 143.328767671567 -360.219019895289</t>
  </si>
  <si>
    <t>-622.401542270398 121.124971900234 -479.367893206255</t>
  </si>
  <si>
    <t>-615.245541621956 100.153164439748 -586.623682853605</t>
  </si>
  <si>
    <t>-600.18222714813 77.9486774195127 -692.807102147151</t>
  </si>
  <si>
    <t>-571.134603043163 45.5098788871621 -838.765926976974</t>
  </si>
  <si>
    <t>-525.022875568464 31.7231740510013 -928.580297584935</t>
  </si>
  <si>
    <t>-584.680954397545 90.8626660059326 -781.211335055562</t>
  </si>
  <si>
    <t>-568.2683094029 236.930285033939 -785.588186464648</t>
  </si>
  <si>
    <t>-524.135710726953 336.902398250881 -488.529037652989</t>
  </si>
  <si>
    <t>-333.660696691102 270.04179151389 -324.544426237108</t>
  </si>
  <si>
    <t>-583.29359569541 28.8633843569771 -767.15611607332</t>
  </si>
  <si>
    <t>-386.372671575083 49.2553179299184 -445.56817185398</t>
  </si>
  <si>
    <t>-628.22364918686 257.94790584328 -254.249794812525</t>
  </si>
  <si>
    <t>-609.897496102577 272.875075645882 200.831577238878</t>
  </si>
  <si>
    <t>-622.983338705046 258.222515996741 670.238406677107</t>
  </si>
  <si>
    <t>-465.079178664125 272.097897099267 746.509329416883</t>
  </si>
  <si>
    <t>-572.691860325812 71.132732008278 -230.654680960454</t>
  </si>
  <si>
    <t>-461.243176357531 76.9282823245924 211.163437639264</t>
  </si>
  <si>
    <t>-610.141778923109 14.2103698569181 652.541881549981</t>
  </si>
  <si>
    <t>-457.021279931481 -28.6684137298125 727.768416611162</t>
  </si>
  <si>
    <t>9763-20170724T170210.662449300.bin</t>
  </si>
  <si>
    <t>-600.611678174534 163.804600900979 -242.802467814575</t>
  </si>
  <si>
    <t>-621.48471988189 142.640472047422 -360.208649468415</t>
  </si>
  <si>
    <t>-622.457807605918 120.509314393413 -479.37179057654</t>
  </si>
  <si>
    <t>-615.190244844392 99.6436801273892 -586.640912547339</t>
  </si>
  <si>
    <t>-599.972526281586 77.5860185857157 -692.83270053036</t>
  </si>
  <si>
    <t>-570.664863407914 45.3928863130609 -838.79390217388</t>
  </si>
  <si>
    <t>-524.421763282186 31.8402116254274 -928.576301778935</t>
  </si>
  <si>
    <t>-584.406385593194 90.6427086867179 -781.204563222394</t>
  </si>
  <si>
    <t>-568.349660853484 236.752757387448 -785.329805539189</t>
  </si>
  <si>
    <t>-526.949225700598 337.235453546944 -488.049832271914</t>
  </si>
  <si>
    <t>-337.375540794569 270.200733433327 -323.094667644079</t>
  </si>
  <si>
    <t>-582.858814522132 28.6319020422397 -767.216729135526</t>
  </si>
  <si>
    <t>-386.255361349293 48.9675088778281 -445.437932142612</t>
  </si>
  <si>
    <t>-628.519839853937 257.254113270865 -254.240468800063</t>
  </si>
  <si>
    <t>-610.044058975747 272.422631154859 200.826789608047</t>
  </si>
  <si>
    <t>-623.003073611756 258.144668723372 670.262989295904</t>
  </si>
  <si>
    <t>-465.090329224633 272.13156934178 746.49580455658</t>
  </si>
  <si>
    <t>-572.598840075698 70.3857400535239 -230.708422499225</t>
  </si>
  <si>
    <t>-461.223680592723 76.6346964431134 211.122028473527</t>
  </si>
  <si>
    <t>-610.087768937619 14.0108966777011 652.452174205811</t>
  </si>
  <si>
    <t>-456.957613299373 -28.5972059671019 727.812741887628</t>
  </si>
  <si>
    <t>9763-20170724T170210.696540300.bin</t>
  </si>
  <si>
    <t>-600.66032140895 163.424630680908 -242.834377775073</t>
  </si>
  <si>
    <t>-621.571215909675 142.248972499072 -360.231746613799</t>
  </si>
  <si>
    <t>-622.502567387142 120.166652620436 -479.404136110202</t>
  </si>
  <si>
    <t>-615.16295496714 99.3701302523471 -586.681861370199</t>
  </si>
  <si>
    <t>-599.838045622572 77.4063536206436 -692.877731903947</t>
  </si>
  <si>
    <t>-570.344313448352 45.3696673111626 -838.835936714624</t>
  </si>
  <si>
    <t>-524.019348526186 31.9397422877084 -928.594625628114</t>
  </si>
  <si>
    <t>-584.215315875725 90.554003342517 -781.226057359806</t>
  </si>
  <si>
    <t>-568.380866893686 236.690323040878 -785.254737535458</t>
  </si>
  <si>
    <t>-528.608646987091 337.352917722035 -487.813398699663</t>
  </si>
  <si>
    <t>-339.412860400095 270.426995099889 -322.380831146525</t>
  </si>
  <si>
    <t>-582.573415173877 28.5358868296903 -767.281782897596</t>
  </si>
  <si>
    <t>-386.119409938353 48.8227797888542 -445.475925994376</t>
  </si>
  <si>
    <t>-628.647076489666 256.864900110406 -254.240938661762</t>
  </si>
  <si>
    <t>-610.061246586123 272.171324247104 200.817091775771</t>
  </si>
  <si>
    <t>-623.010605801406 258.119129881087 670.263081771212</t>
  </si>
  <si>
    <t>-465.097944267379 272.146988089876 746.488527550792</t>
  </si>
  <si>
    <t>-572.589300075222 70.0621355313945 -230.759563997223</t>
  </si>
  <si>
    <t>-461.200866455639 76.371019190927 211.066699836025</t>
  </si>
  <si>
    <t>-610.052830172206 13.8590122504877 652.440121634717</t>
  </si>
  <si>
    <t>-456.947184433313 -28.6660200121714 727.897354384924</t>
  </si>
  <si>
    <t>9763-20170724T170210.763328100.bin</t>
  </si>
  <si>
    <t>-600.817619588487 162.553851869979 -242.85234205968</t>
  </si>
  <si>
    <t>-621.79077416189 141.348333683997 -360.233244319977</t>
  </si>
  <si>
    <t>-622.650543313107 119.334468421659 -479.418725433019</t>
  </si>
  <si>
    <t>-615.188381841174 98.6430302818189 -586.708307625882</t>
  </si>
  <si>
    <t>-599.681596537562 76.8286164391041 -692.90880366047</t>
  </si>
  <si>
    <t>-569.871959651604 45.0474737947993 -838.858505124582</t>
  </si>
  <si>
    <t>-523.370360749812 31.8313790318371 -928.557598881981</t>
  </si>
  <si>
    <t>-583.983589803081 90.1227782057924 -781.221794568945</t>
  </si>
  <si>
    <t>-568.81552305648 236.342183102899 -785.13672685356</t>
  </si>
  <si>
    <t>-532.448827307697 337.030722760929 -487.268516512214</t>
  </si>
  <si>
    <t>-343.677394477206 270.800758388603 -321.072645902382</t>
  </si>
  <si>
    <t>-582.139971011698 28.0965621146115 -767.338741523817</t>
  </si>
  <si>
    <t>-385.940108342959 48.4941115695726 -445.591339451724</t>
  </si>
  <si>
    <t>-628.92715247569 255.980500726109 -254.234975654204</t>
  </si>
  <si>
    <t>-610.094518395108 271.56671577793 200.803507451604</t>
  </si>
  <si>
    <t>-623.007732512277 257.964265983288 670.286257471855</t>
  </si>
  <si>
    <t>-465.088213212691 272.157875993348 746.466830203327</t>
  </si>
  <si>
    <t>-572.562934664408 69.2285533667539 -230.794078672494</t>
  </si>
  <si>
    <t>-461.262766524842 76.0175744062506 211.047312398335</t>
  </si>
  <si>
    <t>-610.037552541288 13.9228309870171 652.47714308382</t>
  </si>
  <si>
    <t>-456.929981585395 -28.4588193095715 728.011123313333</t>
  </si>
  <si>
    <t>9763-20170724T170210.795432400.bin</t>
  </si>
  <si>
    <t>-600.899275836366 162.096360594988 -242.831478272059</t>
  </si>
  <si>
    <t>-621.88889869852 140.864744389693 -360.204570196741</t>
  </si>
  <si>
    <t>-622.712483841352 118.867613212708 -479.39355690202</t>
  </si>
  <si>
    <t>-615.194937714645 98.2096846436039 -586.685525871024</t>
  </si>
  <si>
    <t>-599.609380567518 76.4476379620537 -692.885165540578</t>
  </si>
  <si>
    <t>-569.665527351994 44.7591167929472 -838.827644935907</t>
  </si>
  <si>
    <t>-523.08067819679 31.6302596570765 -928.496344790262</t>
  </si>
  <si>
    <t>-583.885558375791 89.7937519938 -781.185787216566</t>
  </si>
  <si>
    <t>-569.057621467445 236.041738324583 -785.07890249676</t>
  </si>
  <si>
    <t>-534.329021582403 336.774043642397 -487.030018841876</t>
  </si>
  <si>
    <t>-345.764670093848 270.972278115474 -320.429647047671</t>
  </si>
  <si>
    <t>-581.944020931878 27.7667332350661 -767.319576024408</t>
  </si>
  <si>
    <t>-385.81257284846 48.280557725011 -445.556738356563</t>
  </si>
  <si>
    <t>-629.088788479106 255.478051776224 -254.215595630716</t>
  </si>
  <si>
    <t>-610.197765975133 271.255256937359 200.813985488208</t>
  </si>
  <si>
    <t>-623.00964237661 257.913956342041 670.296792326698</t>
  </si>
  <si>
    <t>-465.087140534548 272.18246620289 746.457107105428</t>
  </si>
  <si>
    <t>-572.621341670922 68.8476690895259 -230.753599355254</t>
  </si>
  <si>
    <t>-461.221034764908 75.8015457494753 211.060047147814</t>
  </si>
  <si>
    <t>-610.023301587182 13.8688715208948 652.485766711276</t>
  </si>
  <si>
    <t>-456.909297593761 -28.4206077596361 728.058321107962</t>
  </si>
  <si>
    <t>9763-20170724T170210.862585200.bin</t>
  </si>
  <si>
    <t>-601.25468785518 161.27560998698 -242.859869179929</t>
  </si>
  <si>
    <t>-622.22291989042 139.997677291649 -360.228423706031</t>
  </si>
  <si>
    <t>-622.960555021446 118.037088867748 -479.424726879368</t>
  </si>
  <si>
    <t>-615.336754386384 97.4484043947641 -586.722587769952</t>
  </si>
  <si>
    <t>-599.614944178933 75.7926879111142 -692.923841699267</t>
  </si>
  <si>
    <t>-569.449381320477 44.2913724437358 -838.861288558453</t>
  </si>
  <si>
    <t>-522.721064321312 31.3595921898439 -928.483853645376</t>
  </si>
  <si>
    <t>-583.89090744191 89.2420513325671 -781.208786424647</t>
  </si>
  <si>
    <t>-569.740542407828 235.552280285567 -785.010101883552</t>
  </si>
  <si>
    <t>-537.951825647217 336.776610274466 -486.799882124505</t>
  </si>
  <si>
    <t>-349.97578247981 271.743015205711 -319.236018212846</t>
  </si>
  <si>
    <t>-581.702490672282 27.2174493250484 -767.368121806086</t>
  </si>
  <si>
    <t>-385.827906190305 48.2903375825711 -445.516976805159</t>
  </si>
  <si>
    <t>-629.717839942307 254.540809216451 -254.213253898972</t>
  </si>
  <si>
    <t>-610.539316987991 270.632678106856 200.793223635111</t>
  </si>
  <si>
    <t>-622.99635043045 257.707523843187 670.326727572567</t>
  </si>
  <si>
    <t>-465.066198785673 272.252044723572 746.419085793893</t>
  </si>
  <si>
    <t>-572.719773422226 68.1108618760193 -230.83584353011</t>
  </si>
  <si>
    <t>-461.269815120219 75.3429025311527 210.960785842953</t>
  </si>
  <si>
    <t>-609.894104381419 13.7970859843967 652.417485037539</t>
  </si>
  <si>
    <t>-456.961417204449 -28.5372960456109 728.331258739995</t>
  </si>
  <si>
    <t>9763-20170724T170210.897679400.bin</t>
  </si>
  <si>
    <t>-601.468347068492 160.733059168037 -242.900126933711</t>
  </si>
  <si>
    <t>-622.413306349622 139.410170100569 -360.264731748546</t>
  </si>
  <si>
    <t>-623.11419390759 117.445514214114 -479.460509141193</t>
  </si>
  <si>
    <t>-615.450477481899 96.8717619595393 -586.758418780578</t>
  </si>
  <si>
    <t>-599.681183214851 75.250177585765 -692.959599356353</t>
  </si>
  <si>
    <t>-569.440884625657 43.8170462351011 -838.896190583176</t>
  </si>
  <si>
    <t>-522.66067249899 30.9814803774632 -928.50556809551</t>
  </si>
  <si>
    <t>-583.988605332751 88.7347229959892 -781.244792425963</t>
  </si>
  <si>
    <t>-570.146624726376 235.08716916292 -785.00972729141</t>
  </si>
  <si>
    <t>-539.56888875329 336.696495281491 -486.803734539689</t>
  </si>
  <si>
    <t>-351.899361538208 272.09342313215 -318.730419144658</t>
  </si>
  <si>
    <t>-581.653977508471 26.7157112484904 -767.402775471973</t>
  </si>
  <si>
    <t>-385.952740253236 48.1623909570326 -445.469415914188</t>
  </si>
  <si>
    <t>-630.036704507845 253.969941698691 -254.239247570089</t>
  </si>
  <si>
    <t>-610.735425785742 270.226043973427 200.756121107464</t>
  </si>
  <si>
    <t>-622.990213916446 257.628709200084 670.317311065047</t>
  </si>
  <si>
    <t>-465.055364954229 272.2802606189 746.379332811289</t>
  </si>
  <si>
    <t>-572.802132558592 67.5553365897179 -230.908413074568</t>
  </si>
  <si>
    <t>-461.27382394681 74.9822496109293 210.865265363638</t>
  </si>
  <si>
    <t>-609.722396888625 13.5375073176049 652.326644350158</t>
  </si>
  <si>
    <t>-456.908462307384 -28.436454727253 728.67845034544</t>
  </si>
  <si>
    <t>9763-20170724T170210.961852900.bin</t>
  </si>
  <si>
    <t>-601.719425365975 159.725290663536 -242.943237189358</t>
  </si>
  <si>
    <t>-622.603923625873 138.308840808029 -360.301439397805</t>
  </si>
  <si>
    <t>-623.238569729764 116.333260837816 -479.495599315264</t>
  </si>
  <si>
    <t>-615.510461963347 95.7842653582052 -586.793675329647</t>
  </si>
  <si>
    <t>-599.670636165215 74.2220645431694 -692.996326512369</t>
  </si>
  <si>
    <t>-569.324645633093 42.9072029513793 -838.936443574292</t>
  </si>
  <si>
    <t>-522.497022221304 30.2682681721849 -928.548979061442</t>
  </si>
  <si>
    <t>-584.051581304299 87.766739459111 -781.285427826794</t>
  </si>
  <si>
    <t>-570.773468024285 234.178416443078 -784.993863022668</t>
  </si>
  <si>
    <t>-542.680587153456 336.772487163891 -486.880741860101</t>
  </si>
  <si>
    <t>-355.348777528991 273.060778574654 -318.091996385448</t>
  </si>
  <si>
    <t>-581.452060732748 25.7592123337006 -767.43962950046</t>
  </si>
  <si>
    <t>-385.875997811581 47.9906056010836 -445.328128580025</t>
  </si>
  <si>
    <t>-630.73893035886 252.960483422415 -254.276449035038</t>
  </si>
  <si>
    <t>-611.212770756639 269.501546379504 200.699095801</t>
  </si>
  <si>
    <t>-622.9904461752 257.499234381802 670.316562513219</t>
  </si>
  <si>
    <t>-465.043964446972 272.395410170852 746.306993676866</t>
  </si>
  <si>
    <t>-572.5890734462 66.5952904803639 -230.984912182244</t>
  </si>
  <si>
    <t>-461.263744280599 74.5808531684411 210.830177095173</t>
  </si>
  <si>
    <t>-609.576648792046 13.4362401942014 652.468441834182</t>
  </si>
  <si>
    <t>-456.9089005839 -28.2928074325894 729.245774014517</t>
  </si>
  <si>
    <t>9763-20170724T170210.996946400.bin</t>
  </si>
  <si>
    <t>-601.876731592857 159.34858039235 -242.969719241936</t>
  </si>
  <si>
    <t>-622.7263187942 137.855320482053 -360.320057538056</t>
  </si>
  <si>
    <t>-623.329461617063 115.841601192056 -479.507422867248</t>
  </si>
  <si>
    <t>-615.573185207675 95.2749893188309 -586.799944050852</t>
  </si>
  <si>
    <t>-599.704899164063 73.7114001930995 -692.998179842359</t>
  </si>
  <si>
    <t>-569.318126226686 42.4122954389989 -838.933142275687</t>
  </si>
  <si>
    <t>-522.471891353136 29.8562189709187 -928.547617760605</t>
  </si>
  <si>
    <t>-584.134603278898 87.2594086613783 -781.295311088261</t>
  </si>
  <si>
    <t>-571.212748539172 233.694640318645 -785.040989575308</t>
  </si>
  <si>
    <t>-544.214672647296 336.777289968228 -486.995131270732</t>
  </si>
  <si>
    <t>-356.97500136186 273.491084959362 -317.944266460779</t>
  </si>
  <si>
    <t>-581.392088455884 25.2628625734262 -767.42765318949</t>
  </si>
  <si>
    <t>-385.873902302676 48.0128255246684 -445.332165312092</t>
  </si>
  <si>
    <t>-631.081090106368 252.470095142098 -254.297973057149</t>
  </si>
  <si>
    <t>-611.430479294819 269.189340868187 200.665635510128</t>
  </si>
  <si>
    <t>-622.976581630953 257.391699566285 670.311761796619</t>
  </si>
  <si>
    <t>-465.027050333762 272.461161905082 746.261566380605</t>
  </si>
  <si>
    <t>-572.583574329544 66.3656256175441 -230.971128299769</t>
  </si>
  <si>
    <t>-461.343036481722 74.5614068360364 210.861463065016</t>
  </si>
  <si>
    <t>-609.481847490706 13.6355378377698 652.493237587002</t>
  </si>
  <si>
    <t>-456.940705703789 -28.0913154700079 729.522941166783</t>
  </si>
  <si>
    <t>9763-20170724T170211.063164000.bin</t>
  </si>
  <si>
    <t>-602.201886537434 158.495504605386 -242.927513205863</t>
  </si>
  <si>
    <t>-623.105645023341 136.836362822622 -360.237942718496</t>
  </si>
  <si>
    <t>-623.740249440705 114.749577191105 -479.411428686756</t>
  </si>
  <si>
    <t>-615.999928573297 94.1538186243508 -586.699626280134</t>
  </si>
  <si>
    <t>-600.133125868021 72.5966733746839 -692.899311542101</t>
  </si>
  <si>
    <t>-569.732078897595 41.3420568305605 -838.840868228361</t>
  </si>
  <si>
    <t>-522.88176122207 28.9312352712529 -928.47344974595</t>
  </si>
  <si>
    <t>-584.712451782663 86.157375613664 -781.220725811464</t>
  </si>
  <si>
    <t>-572.587269933989 232.659981262927 -785.055183791754</t>
  </si>
  <si>
    <t>-547.387629735613 336.403440614149 -487.081375596105</t>
  </si>
  <si>
    <t>-360.133879366536 273.995039158456 -317.719854750421</t>
  </si>
  <si>
    <t>-581.654806408658 24.1849062130977 -767.311884859456</t>
  </si>
  <si>
    <t>-386.060139782993 47.9006095203715 -445.321574280095</t>
  </si>
  <si>
    <t>-631.954598392713 251.501945423669 -254.2794927414</t>
  </si>
  <si>
    <t>-611.707364429678 268.545483588396 200.645943691538</t>
  </si>
  <si>
    <t>-622.943691051597 257.24938766756 670.299951832777</t>
  </si>
  <si>
    <t>-465.000191510103 272.602618262561 746.205371702756</t>
  </si>
  <si>
    <t>-572.39516375666 65.5944647782858 -230.929806979301</t>
  </si>
  <si>
    <t>-461.390863550528 74.5857857400781 210.946783027589</t>
  </si>
  <si>
    <t>-609.392699173874 13.4693319050623 652.687012391383</t>
  </si>
  <si>
    <t>-456.833893097803 -27.6407375019892 730.012889999107</t>
  </si>
  <si>
    <t>9763-20170724T170211.098260300.bin</t>
  </si>
  <si>
    <t>-602.345544995126 158.146593616232 -242.897603461248</t>
  </si>
  <si>
    <t>-623.208705028143 136.425672453315 -360.203789254099</t>
  </si>
  <si>
    <t>-623.811250676944 114.315332943316 -479.373055367854</t>
  </si>
  <si>
    <t>-616.044590572878 93.7129005347958 -586.65810059915</t>
  </si>
  <si>
    <t>-600.153463265738 72.1630376196274 -692.855636890699</t>
  </si>
  <si>
    <t>-569.720170925497 40.9322480563462 -838.795603087952</t>
  </si>
  <si>
    <t>-522.86708250607 28.5801205602977 -928.434845882415</t>
  </si>
  <si>
    <t>-584.781557444537 85.732043304391 -781.184346824928</t>
  </si>
  <si>
    <t>-573.027431331427 232.253593095444 -785.013999079597</t>
  </si>
  <si>
    <t>-548.563476968028 336.190905854345 -487.046340804289</t>
  </si>
  <si>
    <t>-361.146721384642 274.225703066372 -317.702557033328</t>
  </si>
  <si>
    <t>-581.590357247583 23.7698107173551 -767.25916299094</t>
  </si>
  <si>
    <t>-385.900762812023 48.0082761581873 -445.323051722772</t>
  </si>
  <si>
    <t>-632.297834398629 251.09575141053 -254.245120654801</t>
  </si>
  <si>
    <t>-611.940576149158 268.313499026556 200.668919528683</t>
  </si>
  <si>
    <t>-622.948041197161 257.215780245672 670.315952551485</t>
  </si>
  <si>
    <t>-465.002945274948 272.723890004856 746.186595228547</t>
  </si>
  <si>
    <t>-572.290585399589 65.3655199369907 -230.882481857172</t>
  </si>
  <si>
    <t>-461.364083712851 74.4653823403407 211.011343339621</t>
  </si>
  <si>
    <t>-609.358945636699 13.3638932954434 652.763899631743</t>
  </si>
  <si>
    <t>-456.796192036299 -27.5454582471862 730.188303142252</t>
  </si>
  <si>
    <t>9763-20170724T170211.161429200.bin</t>
  </si>
  <si>
    <t>-602.681783123226 157.550882561203 -242.852862492062</t>
  </si>
  <si>
    <t>-623.521254108574 135.720924152939 -360.143041184854</t>
  </si>
  <si>
    <t>-624.09653073482 113.605975206236 -479.311681445409</t>
  </si>
  <si>
    <t>-616.300430412951 93.0433675085606 -586.60214867235</t>
  </si>
  <si>
    <t>-600.372881467547 71.5764319853042 -692.811168204388</t>
  </si>
  <si>
    <t>-569.879644851834 40.5059871004805 -838.772782558776</t>
  </si>
  <si>
    <t>-523.006257883693 28.3340514898939 -928.426052740791</t>
  </si>
  <si>
    <t>-585.134589168064 85.226025242293 -781.150372236606</t>
  </si>
  <si>
    <t>-574.091741919479 231.817102684677 -784.977883127775</t>
  </si>
  <si>
    <t>-550.593815272509 336.030084842485 -487.028772720456</t>
  </si>
  <si>
    <t>-362.982621625225 275.007153470764 -317.558271956237</t>
  </si>
  <si>
    <t>-581.609325537375 23.2813844314917 -767.228005092818</t>
  </si>
  <si>
    <t>-385.759071167451 48.574508109695 -445.540370134051</t>
  </si>
  <si>
    <t>-633.094406849127 250.364186622712 -254.193562633743</t>
  </si>
  <si>
    <t>-612.435890822261 267.831458478999 200.697444908547</t>
  </si>
  <si>
    <t>-622.956099043235 257.147219109175 670.350850936134</t>
  </si>
  <si>
    <t>-465.003840574123 272.881389547485 746.160136087125</t>
  </si>
  <si>
    <t>-572.248668276624 64.7864781825417 -230.825703460586</t>
  </si>
  <si>
    <t>-461.402710498005 74.2560275927356 211.080604982051</t>
  </si>
  <si>
    <t>-609.284109185834 13.2985980073474 652.894620497317</t>
  </si>
  <si>
    <t>-456.737255969876 -27.3143328627402 730.506267732456</t>
  </si>
  <si>
    <t>9763-20170724T170211.195520900.bin</t>
  </si>
  <si>
    <t>-602.910127388713 157.292349878348 -242.874004760645</t>
  </si>
  <si>
    <t>-623.750529443705 135.416687394341 -360.155582131567</t>
  </si>
  <si>
    <t>-624.318321262107 113.281171823738 -479.320316418437</t>
  </si>
  <si>
    <t>-616.51121554314 92.7110290435601 -586.608662811223</t>
  </si>
  <si>
    <t>-600.567902047353 71.2473966974694 -692.815870210379</t>
  </si>
  <si>
    <t>-570.047369141874 40.1929221780836 -838.775162801851</t>
  </si>
  <si>
    <t>-523.182663732538 28.0997896393403 -928.443737675281</t>
  </si>
  <si>
    <t>-585.386928512518 84.8992149367439 -781.164732909741</t>
  </si>
  <si>
    <t>-574.715655296812 231.514178411186 -785.002813252004</t>
  </si>
  <si>
    <t>-551.632260031326 335.913991377164 -487.08654244869</t>
  </si>
  <si>
    <t>-363.93569190159 275.300857425869 -317.56341765699</t>
  </si>
  <si>
    <t>-581.716571272258 22.9680069726676 -767.220761585522</t>
  </si>
  <si>
    <t>-385.759291312631 48.7226586276718 -445.686931078492</t>
  </si>
  <si>
    <t>-633.482827735011 249.999160554928 -254.195637566968</t>
  </si>
  <si>
    <t>-612.629114391633 267.643159074407 200.679653216265</t>
  </si>
  <si>
    <t>-622.937753005189 257.092979749995 670.347326368828</t>
  </si>
  <si>
    <t>-464.989895936487 272.956506279917 746.138565802039</t>
  </si>
  <si>
    <t>-572.248078137614 64.6940393503066 -230.87832678609</t>
  </si>
  <si>
    <t>-461.524413427564 74.2204799339836 211.057379351885</t>
  </si>
  <si>
    <t>-609.22013843082 13.4187625387726 652.946327048847</t>
  </si>
  <si>
    <t>-456.803852113878 -27.3426819939082 730.736371969944</t>
  </si>
  <si>
    <t>9763-20170724T170211.262715200.bin</t>
  </si>
  <si>
    <t>-603.173438238682 156.642049777929 -242.924192361182</t>
  </si>
  <si>
    <t>-623.950148893241 134.746860864708 -360.213261098736</t>
  </si>
  <si>
    <t>-624.47973476979 112.605488393103 -479.377232517478</t>
  </si>
  <si>
    <t>-616.648445274202 92.0375731148908 -586.664156887565</t>
  </si>
  <si>
    <t>-600.690678567296 70.5843914644624 -692.871269174153</t>
  </si>
  <si>
    <t>-570.15966593651 39.5534041668145 -838.833456226627</t>
  </si>
  <si>
    <t>-523.324946858271 27.6038693859339 -928.536744667286</t>
  </si>
  <si>
    <t>-585.642327153765 84.2361419851909 -781.242864654387</t>
  </si>
  <si>
    <t>-575.618875310416 230.89391016598 -785.176647382395</t>
  </si>
  <si>
    <t>-553.491328033137 335.67410722123 -487.321545345205</t>
  </si>
  <si>
    <t>-365.762570591695 275.764341575765 -317.584205354067</t>
  </si>
  <si>
    <t>-581.694962223275 22.331365742876 -767.256435661287</t>
  </si>
  <si>
    <t>-385.519332052477 49.0793316386166 -445.937999943925</t>
  </si>
  <si>
    <t>-634.070747155823 249.257398773096 -254.199383026498</t>
  </si>
  <si>
    <t>-613.027946630807 267.132841126886 200.658091284829</t>
  </si>
  <si>
    <t>-622.931902410338 257.007723986882 670.347385771024</t>
  </si>
  <si>
    <t>-464.987531678896 273.112523674079 746.095082037579</t>
  </si>
  <si>
    <t>-572.197229156895 64.0881566462481 -231.01602310189</t>
  </si>
  <si>
    <t>-461.900259830786 73.880698523704 211.020587848019</t>
  </si>
  <si>
    <t>-609.097066908706 13.3015542897294 653.086984624595</t>
  </si>
  <si>
    <t>-456.835797364107 -27.1623964588255 731.334630711975</t>
  </si>
  <si>
    <t>9763-20170724T170211.296805200.bin</t>
  </si>
  <si>
    <t>-603.242675619568 156.222342249851 -242.939506534444</t>
  </si>
  <si>
    <t>-623.976807080903 134.310778255132 -360.233206596277</t>
  </si>
  <si>
    <t>-624.490206419344 112.149090347849 -479.393337871095</t>
  </si>
  <si>
    <t>-616.65538889292 91.5623360415702 -586.676382363487</t>
  </si>
  <si>
    <t>-600.705040039904 70.0905107487713 -692.880947602062</t>
  </si>
  <si>
    <t>-570.195436420737 39.0341802791454 -838.842134431368</t>
  </si>
  <si>
    <t>-523.384055394416 27.1315306764086 -928.563956945949</t>
  </si>
  <si>
    <t>-585.736116694901 83.719687707257 -781.26949867069</t>
  </si>
  <si>
    <t>-576.026436986071 230.399833761725 -785.261040802695</t>
  </si>
  <si>
    <t>-554.317960094094 335.454437297106 -487.471669513988</t>
  </si>
  <si>
    <t>-366.61291528185 275.846968072922 -317.601716327186</t>
  </si>
  <si>
    <t>-581.65387543031 21.8314998452677 -767.248112129763</t>
  </si>
  <si>
    <t>-385.358500779488 49.137437921815 -446.061843477636</t>
  </si>
  <si>
    <t>-634.308950612902 248.830697068353 -254.192860993559</t>
  </si>
  <si>
    <t>-613.196394464217 266.864939781874 200.655000325092</t>
  </si>
  <si>
    <t>-622.927688553953 256.99436435755 670.350283197244</t>
  </si>
  <si>
    <t>-464.983931772497 273.1954967418 746.078744314339</t>
  </si>
  <si>
    <t>-572.084264101496 63.6809181167537 -231.023041083581</t>
  </si>
  <si>
    <t>-461.92733855027 73.5835245807339 211.046077350966</t>
  </si>
  <si>
    <t>-609.080930357102 13.1119993129387 653.241086691732</t>
  </si>
  <si>
    <t>-456.775637497504 -26.9054282671793 731.63251394618</t>
  </si>
  <si>
    <t>9763-20170724T170211.360986100.bin</t>
  </si>
  <si>
    <t>-603.360988524496 155.663441127394 -242.80809990143</t>
  </si>
  <si>
    <t>-624.078616289547 133.667535116303 -360.088832639725</t>
  </si>
  <si>
    <t>-624.598515348574 111.448321687666 -479.238291067582</t>
  </si>
  <si>
    <t>-616.778054051715 90.8226732860326 -586.514874999568</t>
  </si>
  <si>
    <t>-600.849372037492 69.3258587752539 -692.71758437854</t>
  </si>
  <si>
    <t>-570.376595207295 38.2498191172849 -838.682257033655</t>
  </si>
  <si>
    <t>-523.625153490047 26.4202716935397 -928.445066937383</t>
  </si>
  <si>
    <t>-586.030804195841 82.9289793975972 -781.135555915581</t>
  </si>
  <si>
    <t>-576.919240170042 229.635704577517 -785.246989047795</t>
  </si>
  <si>
    <t>-556.103365218856 335.305379265662 -487.611641633147</t>
  </si>
  <si>
    <t>-368.457542592658 276.304012857976 -317.464723855142</t>
  </si>
  <si>
    <t>-581.68893483641 21.0710555413077 -767.059468582887</t>
  </si>
  <si>
    <t>-385.067416603319 49.3386069050973 -446.03575060811</t>
  </si>
  <si>
    <t>-634.724657181575 248.17554416123 -254.105649390666</t>
  </si>
  <si>
    <t>-613.489459486565 266.461467525272 200.726650839975</t>
  </si>
  <si>
    <t>-622.953214211914 256.937497991735 670.400588192187</t>
  </si>
  <si>
    <t>-465.004467276921 273.291523334466 746.085857425855</t>
  </si>
  <si>
    <t>-571.944375565756 63.2621373669585 -230.83779401738</t>
  </si>
  <si>
    <t>-461.801272379194 73.2854317839926 211.231976765271</t>
  </si>
  <si>
    <t>-609.10350757889 12.9633065768705 653.465523235408</t>
  </si>
  <si>
    <t>-456.713425946621 -26.6693675915856 731.887625757543</t>
  </si>
  <si>
    <t>9763-20170724T170211.395078500.bin</t>
  </si>
  <si>
    <t>-603.260839134387 155.377989291518 -242.759179469271</t>
  </si>
  <si>
    <t>-624.045845735914 133.318538031022 -360.015968834288</t>
  </si>
  <si>
    <t>-624.604679335065 111.067221737902 -479.159251112856</t>
  </si>
  <si>
    <t>-616.806236297953 90.4262881929717 -586.434692528222</t>
  </si>
  <si>
    <t>-600.885766180495 68.9276603771752 -692.638292507985</t>
  </si>
  <si>
    <t>-570.409346927957 37.8636054698159 -838.604729005307</t>
  </si>
  <si>
    <t>-523.679036080605 26.0736985460915 -928.383651806775</t>
  </si>
  <si>
    <t>-586.126013984 82.5311424471051 -781.065824914464</t>
  </si>
  <si>
    <t>-577.271410019589 229.255033702462 -785.216715482582</t>
  </si>
  <si>
    <t>-556.918549576174 335.118605444627 -487.618306387317</t>
  </si>
  <si>
    <t>-369.27962312376 276.552348834801 -317.31364835506</t>
  </si>
  <si>
    <t>-581.662417423105 20.6858781324202 -766.972307470567</t>
  </si>
  <si>
    <t>-384.923843647976 49.3753387816171 -446.0419084714</t>
  </si>
  <si>
    <t>-634.798635522972 247.849826860762 -254.063956730855</t>
  </si>
  <si>
    <t>-613.388454282394 266.280485389415 200.754175133598</t>
  </si>
  <si>
    <t>-622.952277834152 256.906254064403 670.417308665181</t>
  </si>
  <si>
    <t>-465.009879259709 273.340714826178 746.098337133795</t>
  </si>
  <si>
    <t>-571.611630289549 62.9943352677001 -230.788329434539</t>
  </si>
  <si>
    <t>-461.747015224007 73.2388092334079 211.345641700447</t>
  </si>
  <si>
    <t>-609.139784566031 12.9286555434769 653.55236938511</t>
  </si>
  <si>
    <t>-456.684126559144 -26.5296209280973 731.934941797187</t>
  </si>
  <si>
    <t>9763-20170724T170211.461258400.bin</t>
  </si>
  <si>
    <t>-602.83272671395 155.079777642329 -242.519075383738</t>
  </si>
  <si>
    <t>-623.900204111312 132.715784526128 -359.667779379669</t>
  </si>
  <si>
    <t>-624.611168838482 110.307116117042 -478.780767166923</t>
  </si>
  <si>
    <t>-616.890549776853 89.5825165282733 -586.045582051436</t>
  </si>
  <si>
    <t>-600.985446948333 68.0566937813683 -692.246026273249</t>
  </si>
  <si>
    <t>-570.463646178215 37.0123267762656 -838.207076087679</t>
  </si>
  <si>
    <t>-523.773816566837 25.304768480242 -928.017873062763</t>
  </si>
  <si>
    <t>-586.295628822503 81.6607556294477 -780.685179996935</t>
  </si>
  <si>
    <t>-577.911744807003 228.414402206945 -784.92163701734</t>
  </si>
  <si>
    <t>-558.923458012063 334.973823009034 -487.481425619262</t>
  </si>
  <si>
    <t>-371.411052748162 276.929256332792 -316.859102893025</t>
  </si>
  <si>
    <t>-581.641554445793 19.8361383199099 -766.56253455468</t>
  </si>
  <si>
    <t>-384.837148310083 49.1702503818922 -445.971509712162</t>
  </si>
  <si>
    <t>-634.76855684651 247.350508422881 -253.965336580184</t>
  </si>
  <si>
    <t>-612.890507344996 266.180611514231 200.814233006798</t>
  </si>
  <si>
    <t>-622.943634640928 256.937929660539 670.435255458607</t>
  </si>
  <si>
    <t>-465.026462963934 273.383740910756 746.166425150701</t>
  </si>
  <si>
    <t>-570.780338494617 62.8983436239232 -230.417822514447</t>
  </si>
  <si>
    <t>-460.926230117348 73.3799389993546 211.713170716836</t>
  </si>
  <si>
    <t>-609.159033908876 13.0905254751551 653.564622682628</t>
  </si>
  <si>
    <t>-456.766979967083 -26.6521867550898 731.927190530883</t>
  </si>
  <si>
    <t>9763-20170724T170211.494347200.bin</t>
  </si>
  <si>
    <t>-602.479196207852 154.8573050065 -242.469305510237</t>
  </si>
  <si>
    <t>-623.746625453598 132.298329180358 -359.544439068657</t>
  </si>
  <si>
    <t>-624.574142971211 109.802104343925 -478.64034264393</t>
  </si>
  <si>
    <t>-616.92021016524 89.0382698153069 -585.902236077472</t>
  </si>
  <si>
    <t>-601.041094679847 67.5107762424691 -692.106129970293</t>
  </si>
  <si>
    <t>-570.512203841922 36.5002384717202 -838.073018440684</t>
  </si>
  <si>
    <t>-523.831308977523 24.8368702757043 -927.894234302931</t>
  </si>
  <si>
    <t>-586.389758598995 81.1304174011093 -780.549328788813</t>
  </si>
  <si>
    <t>-578.219851176401 227.891366084643 -784.806588863873</t>
  </si>
  <si>
    <t>-559.980034974018 334.959309871871 -487.502065773541</t>
  </si>
  <si>
    <t>-372.593474480853 276.97345628025 -316.721608963202</t>
  </si>
  <si>
    <t>-581.650787576866 19.3126518430677 -766.4250520469</t>
  </si>
  <si>
    <t>-384.73256452209 48.8811964301826 -446.010871090013</t>
  </si>
  <si>
    <t>-634.744278404974 247.089823922282 -253.946992023782</t>
  </si>
  <si>
    <t>-612.568053771248 266.113168170354 200.810049182204</t>
  </si>
  <si>
    <t>-622.937890754417 257.010453339443 670.419752726666</t>
  </si>
  <si>
    <t>-465.038705798067 273.395422269662 746.201549770997</t>
  </si>
  <si>
    <t>-570.172619230424 62.6923687657322 -230.356138942126</t>
  </si>
  <si>
    <t>-460.562581112541 73.5534787570955 211.826350365464</t>
  </si>
  <si>
    <t>-609.158277044802 13.2231662237446 653.558410562237</t>
  </si>
  <si>
    <t>-456.80869398073 -26.6891360280586 731.917332019247</t>
  </si>
  <si>
    <t>9763-20170724T170211.563539100.bin</t>
  </si>
  <si>
    <t>-601.836010228177 154.187188914163 -242.434123778711</t>
  </si>
  <si>
    <t>-623.26630391028 131.35157334781 -359.425947991729</t>
  </si>
  <si>
    <t>-624.258741254764 108.753795205654 -478.501269422331</t>
  </si>
  <si>
    <t>-616.747252850566 87.9643166733331 -585.768311410777</t>
  </si>
  <si>
    <t>-600.999923456402 66.4731266263782 -691.999276272179</t>
  </si>
  <si>
    <t>-570.639878251893 35.574090695206 -838.024932711133</t>
  </si>
  <si>
    <t>-523.977571672655 24.0143076843096 -927.869165135964</t>
  </si>
  <si>
    <t>-586.555685977648 80.1476829270989 -780.467979709913</t>
  </si>
  <si>
    <t>-578.858083151025 226.935992896727 -784.652223458925</t>
  </si>
  <si>
    <t>-561.750219696403 334.873291693551 -487.594869666081</t>
  </si>
  <si>
    <t>-374.656249366382 277.151159560497 -316.404741242856</t>
  </si>
  <si>
    <t>-581.590825381182 18.3442221045618 -766.358176558757</t>
  </si>
  <si>
    <t>-384.230355755136 48.4149391567405 -446.195665994801</t>
  </si>
  <si>
    <t>-634.60534283942 246.344341652823 -253.940612236365</t>
  </si>
  <si>
    <t>-611.772665334134 265.939519771953 200.759676715167</t>
  </si>
  <si>
    <t>-622.95323015911 257.237372122906 670.371924639275</t>
  </si>
  <si>
    <t>-465.095158658895 273.474878852316 746.271204924125</t>
  </si>
  <si>
    <t>-568.939141463056 62.1508596830906 -230.254980987997</t>
  </si>
  <si>
    <t>-459.765473362536 73.3131720545209 212.027894292259</t>
  </si>
  <si>
    <t>-609.125801522539 13.2025011499368 653.498323860574</t>
  </si>
  <si>
    <t>-456.742695103279 -26.5091048753345 731.894075350365</t>
  </si>
  <si>
    <t>9763-20170724T170211.596624800.bin</t>
  </si>
  <si>
    <t>-601.450388690088 153.772082652073 -242.481083365188</t>
  </si>
  <si>
    <t>-622.911855205222 130.87045526406 -359.454201096188</t>
  </si>
  <si>
    <t>-623.943096146925 108.26598205373 -478.527881010403</t>
  </si>
  <si>
    <t>-616.467372799007 87.4934268784768 -585.800684198208</t>
  </si>
  <si>
    <t>-600.75523670671 66.0404288262616 -692.044547234422</t>
  </si>
  <si>
    <t>-570.442245094247 35.2156365175072 -838.0957856359</t>
  </si>
  <si>
    <t>-523.810433466599 23.7294537405769 -927.965307648542</t>
  </si>
  <si>
    <t>-586.408408455537 79.7514716957157 -780.52356669166</t>
  </si>
  <si>
    <t>-579.023998997527 226.554521175204 -784.665215048548</t>
  </si>
  <si>
    <t>-562.533803018486 334.665190931184 -487.636084363241</t>
  </si>
  <si>
    <t>-375.445278609868 277.257196929398 -316.33443000187</t>
  </si>
  <si>
    <t>-581.301202892447 17.9579037699862 -766.421666919312</t>
  </si>
  <si>
    <t>-383.828261873816 48.308272028165 -446.343466344947</t>
  </si>
  <si>
    <t>-634.460549204343 245.929206311912 -253.96925931536</t>
  </si>
  <si>
    <t>-611.278248483602 265.839062382628 200.699584832245</t>
  </si>
  <si>
    <t>-622.94205633485 257.468351304757 670.286661005318</t>
  </si>
  <si>
    <t>-465.124801452224 273.581037952311 746.297172354138</t>
  </si>
  <si>
    <t>-568.292912116626 61.7331056504893 -230.368346273316</t>
  </si>
  <si>
    <t>-459.595995429539 73.0755381308315 212.027406938021</t>
  </si>
  <si>
    <t>-609.100514679193 12.9914430978936 653.486205120223</t>
  </si>
  <si>
    <t>-456.642535486403 -26.3887366761419 731.903486259129</t>
  </si>
  <si>
    <t>9763-20170724T170211.659818800.bin</t>
  </si>
  <si>
    <t>-601.16371520916 153.224293676035 -242.814581165096</t>
  </si>
  <si>
    <t>-622.594038572467 130.405557772907 -359.809626577445</t>
  </si>
  <si>
    <t>-623.664691425891 107.887100061296 -478.899301814704</t>
  </si>
  <si>
    <t>-616.252939010582 87.1975733384163 -586.192545223106</t>
  </si>
  <si>
    <t>-600.6317774854 65.834571482432 -692.467926576423</t>
  </si>
  <si>
    <t>-570.471732823949 35.1439632556187 -838.579042209389</t>
  </si>
  <si>
    <t>-523.953833618286 23.8427450655274 -928.53096060973</t>
  </si>
  <si>
    <t>-586.538211711469 79.6066444387723 -780.978195540345</t>
  </si>
  <si>
    <t>-579.929455467762 226.454291021832 -785.074158198842</t>
  </si>
  <si>
    <t>-564.668130153275 334.498611765962 -487.955016610391</t>
  </si>
  <si>
    <t>-377.466680950894 278.130029995607 -316.431600184643</t>
  </si>
  <si>
    <t>-581.095034349993 17.8406062808474 -766.880643561071</t>
  </si>
  <si>
    <t>-383.345112846464 49.0540311966636 -446.864835407975</t>
  </si>
  <si>
    <t>-634.374482806727 245.411457404191 -254.142776853033</t>
  </si>
  <si>
    <t>-610.838455700838 265.751002153039 200.489105645888</t>
  </si>
  <si>
    <t>-622.912676584255 258.002455404399 670.051661664288</t>
  </si>
  <si>
    <t>-465.202513778953 273.789189615072 746.352405245261</t>
  </si>
  <si>
    <t>-567.89600379348 61.2394801828357 -230.839034944718</t>
  </si>
  <si>
    <t>-459.895399626339 72.2413443048915 211.735797295376</t>
  </si>
  <si>
    <t>-609.047962944202 12.81050378585 653.485991066049</t>
  </si>
  <si>
    <t>-456.657099770865 -26.4727752363244 732.082136515084</t>
  </si>
  <si>
    <t>9763-20170724T170211.693908400.bin</t>
  </si>
  <si>
    <t>-601.129675302135 152.927421210487 -243.046287827424</t>
  </si>
  <si>
    <t>-622.506873422949 130.182126939365 -360.065386693158</t>
  </si>
  <si>
    <t>-623.56146415335 107.714276129728 -479.164678201067</t>
  </si>
  <si>
    <t>-616.151328833759 87.0635846038654 -586.465655301852</t>
  </si>
  <si>
    <t>-600.54778805544 65.7339103138711 -692.750275947762</t>
  </si>
  <si>
    <t>-570.428810540172 35.0846213200464 -838.878559373369</t>
  </si>
  <si>
    <t>-523.978094466111 23.8741777681958 -928.876530715814</t>
  </si>
  <si>
    <t>-586.559722441554 79.5204879666319 -781.275051015487</t>
  </si>
  <si>
    <t>-580.320309870253 226.39090673604 -785.388720375187</t>
  </si>
  <si>
    <t>-565.775657334357 334.249652502125 -488.166330930499</t>
  </si>
  <si>
    <t>-378.495282754505 278.479220694402 -316.533694832238</t>
  </si>
  <si>
    <t>-580.951328846839 17.7715440115487 -767.1676836762</t>
  </si>
  <si>
    <t>-383.0567168024 49.4178816625808 -447.229689933761</t>
  </si>
  <si>
    <t>-634.394782824506 245.05966550032 -254.303922220535</t>
  </si>
  <si>
    <t>-610.888265540354 265.693117076158 200.316073996328</t>
  </si>
  <si>
    <t>-622.837261793138 258.314600618883 669.835347806901</t>
  </si>
  <si>
    <t>-465.218175874156 273.904561380663 746.364333870901</t>
  </si>
  <si>
    <t>-567.800800820036 60.9607370139765 -231.116817864854</t>
  </si>
  <si>
    <t>-460.066831953254 71.7013457445798 211.529484792771</t>
  </si>
  <si>
    <t>-608.98173903376 12.617357555115 653.454273075371</t>
  </si>
  <si>
    <t>-456.64022724558 -26.4713321949769 732.242874848758</t>
  </si>
  <si>
    <t>9763-20170724T170211.764099200.bin</t>
  </si>
  <si>
    <t>-601.1464045229 151.876745326235 -243.48312054365</t>
  </si>
  <si>
    <t>-622.439694982537 129.249751387674 -360.540417330158</t>
  </si>
  <si>
    <t>-623.51187168542 106.878029905057 -479.657691163642</t>
  </si>
  <si>
    <t>-616.159893668953 86.3058902560949 -586.977736170658</t>
  </si>
  <si>
    <t>-600.656247351857 65.0463478404199 -693.291001438853</t>
  </si>
  <si>
    <t>-570.71871797254 34.4861652040238 -839.475233029856</t>
  </si>
  <si>
    <t>-524.422555995637 23.4411696583052 -929.573253181802</t>
  </si>
  <si>
    <t>-586.924190024705 78.8673531762784 -781.850434803927</t>
  </si>
  <si>
    <t>-581.369647785451 225.757286433878 -785.976815111783</t>
  </si>
  <si>
    <t>-568.214583157381 333.613475969638 -488.688702256567</t>
  </si>
  <si>
    <t>-381.058825237081 278.658043483655 -316.657780089101</t>
  </si>
  <si>
    <t>-581.00607333833 17.1489001744246 -767.736062772254</t>
  </si>
  <si>
    <t>-382.74931808523 49.865143596958 -447.963788194761</t>
  </si>
  <si>
    <t>-634.655693639283 243.829575894941 -254.554589858738</t>
  </si>
  <si>
    <t>-611.280250887596 265.01354953295 200.046833567201</t>
  </si>
  <si>
    <t>-622.753217152204 258.473663621181 669.711478449899</t>
  </si>
  <si>
    <t>-465.182385628065 274.104916053839 746.331461224857</t>
  </si>
  <si>
    <t>-567.591100035623 60.0157392253884 -231.712348187769</t>
  </si>
  <si>
    <t>-460.58890821689 70.4047867670395 211.119794866187</t>
  </si>
  <si>
    <t>-608.961891228657 12.3406520048193 653.531749424059</t>
  </si>
  <si>
    <t>-456.575477621153 -26.2836919839626 732.462486766777</t>
  </si>
  <si>
    <t>9763-20170724T170211.792173200.bin</t>
  </si>
  <si>
    <t>-601.149371663058 151.335349180576 -243.593447523243</t>
  </si>
  <si>
    <t>-622.367663136569 128.752491760608 -360.672891784947</t>
  </si>
  <si>
    <t>-623.417580720204 106.438486630065 -479.801149434115</t>
  </si>
  <si>
    <t>-616.066784541994 85.9240852890296 -587.132214975774</t>
  </si>
  <si>
    <t>-600.585200026734 64.7267561502972 -693.461256395798</t>
  </si>
  <si>
    <t>-570.699304085714 34.2574116499538 -839.674980461594</t>
  </si>
  <si>
    <t>-524.453583133736 23.3079707627614 -929.810591670258</t>
  </si>
  <si>
    <t>-586.962445246169 78.5919862729445 -782.030656924148</t>
  </si>
  <si>
    <t>-581.744730376656 225.490932807813 -786.143410603284</t>
  </si>
  <si>
    <t>-569.216432738099 333.589692481623 -488.916292758468</t>
  </si>
  <si>
    <t>-382.153273695537 278.998651480928 -316.668783028498</t>
  </si>
  <si>
    <t>-580.883358722868 16.8862086249601 -767.929305518041</t>
  </si>
  <si>
    <t>-382.467585529228 50.0781851742697 -448.278788188406</t>
  </si>
  <si>
    <t>-634.861225046194 243.117184208035 -254.578034225182</t>
  </si>
  <si>
    <t>-611.485978732718 264.66028609921 200.006564995551</t>
  </si>
  <si>
    <t>-622.798121132803 258.500706905967 669.701635378044</t>
  </si>
  <si>
    <t>-465.231809654679 274.231672395784 746.310361563777</t>
  </si>
  <si>
    <t>-567.317681997202 59.6587357689327 -231.887600454192</t>
  </si>
  <si>
    <t>-460.812274670613 70.0209266325121 211.064822741783</t>
  </si>
  <si>
    <t>-609.005956664595 12.3819765379542 653.64656555813</t>
  </si>
  <si>
    <t>-456.66554822217 -26.4812724701389 732.548794645917</t>
  </si>
  <si>
    <t>9763-20170724T170211.863911000.bin</t>
  </si>
  <si>
    <t>-600.948266872204 150.290535986492 -243.614188580503</t>
  </si>
  <si>
    <t>-622.166249300724 127.668189445596 -360.685959660725</t>
  </si>
  <si>
    <t>-623.213283595043 105.454877982193 -479.833270670129</t>
  </si>
  <si>
    <t>-615.854168319088 85.0877886058411 -587.191804075322</t>
  </si>
  <si>
    <t>-600.355494811343 64.0921591654335 -693.55825584408</t>
  </si>
  <si>
    <t>-570.434212660006 33.958380411847 -839.834312733577</t>
  </si>
  <si>
    <t>-524.252632263649 23.2782974727513 -930.035104551039</t>
  </si>
  <si>
    <t>-586.901273861707 78.133734262015 -782.125583627856</t>
  </si>
  <si>
    <t>-582.428094385965 225.063186133988 -786.145255554642</t>
  </si>
  <si>
    <t>-571.360676810408 333.573929962469 -489.010448026486</t>
  </si>
  <si>
    <t>-384.395656927579 279.562667517756 -316.473707999201</t>
  </si>
  <si>
    <t>-580.445671859674 16.4495127849384 -768.097783607179</t>
  </si>
  <si>
    <t>-382.009190206289 50.4689364351814 -448.712552009069</t>
  </si>
  <si>
    <t>-635.14690452853 241.771090428022 -254.514419960985</t>
  </si>
  <si>
    <t>-611.884077938059 264.019534498447 200.042043514347</t>
  </si>
  <si>
    <t>-622.864266119569 258.537045811119 669.706564606969</t>
  </si>
  <si>
    <t>-465.299640635853 274.534362280652 746.263648098162</t>
  </si>
  <si>
    <t>-566.634355404913 58.9399858628301 -231.968156362256</t>
  </si>
  <si>
    <t>-460.726598179772 69.3041399285542 211.127527804467</t>
  </si>
  <si>
    <t>-609.045649617372 12.3698640664456 653.70885007524</t>
  </si>
  <si>
    <t>-456.555404759027 -26.0784026566673 732.52488216575</t>
  </si>
  <si>
    <t>9763-20170724T170211.894994200.bin</t>
  </si>
  <si>
    <t>-600.781706197477 149.893635917305 -243.570610540488</t>
  </si>
  <si>
    <t>-622.007881080316 127.171862399958 -360.621829675058</t>
  </si>
  <si>
    <t>-623.062728881565 104.958567922788 -479.768868075838</t>
  </si>
  <si>
    <t>-615.707113264082 84.6324700452956 -587.135488575567</t>
  </si>
  <si>
    <t>-600.206047370743 63.7187732323521 -693.517708386154</t>
  </si>
  <si>
    <t>-570.273205919586 33.741469807208 -839.823524956339</t>
  </si>
  <si>
    <t>-524.116453409904 23.222796788333 -930.055979989265</t>
  </si>
  <si>
    <t>-586.845555577822 77.8403447140706 -782.08652409578</t>
  </si>
  <si>
    <t>-582.880695953185 224.784418791468 -786.052381042217</t>
  </si>
  <si>
    <t>-572.566255065164 333.617388185964 -489.008358835492</t>
  </si>
  <si>
    <t>-385.63646969754 279.960184618064 -316.323005645067</t>
  </si>
  <si>
    <t>-580.189616859461 16.1704954510794 -768.089045251753</t>
  </si>
  <si>
    <t>-381.792870105352 50.6490464599899 -448.855363673638</t>
  </si>
  <si>
    <t>-635.273549842704 241.157115360538 -254.486331312</t>
  </si>
  <si>
    <t>-611.971130131067 263.755744247904 200.050730857995</t>
  </si>
  <si>
    <t>-622.881371877611 258.541875227631 669.694513222723</t>
  </si>
  <si>
    <t>-465.325910657458 274.652448403829 746.246784830031</t>
  </si>
  <si>
    <t>-566.190608273933 58.6907828463698 -231.93676988431</t>
  </si>
  <si>
    <t>-460.545470544575 69.1788120896347 211.218704320867</t>
  </si>
  <si>
    <t>-609.042760272146 12.5793855097349 653.685261242031</t>
  </si>
  <si>
    <t>-456.634021405062 -26.1952818607058 732.499001766111</t>
  </si>
  <si>
    <t>9763-20170724T170211.962865600.bin</t>
  </si>
  <si>
    <t>-600.205298118967 148.90098646686 -243.520334426602</t>
  </si>
  <si>
    <t>-621.373320544523 125.99594565749 -360.546263716604</t>
  </si>
  <si>
    <t>-622.454539513721 103.785377733327 -479.693546835028</t>
  </si>
  <si>
    <t>-615.150529501451 83.5407099926554 -587.079167894746</t>
  </si>
  <si>
    <t>-599.723650013435 62.7880329830114 -693.503656985275</t>
  </si>
  <si>
    <t>-569.912596069114 33.1178377321296 -839.896898004567</t>
  </si>
  <si>
    <t>-523.809269614469 22.9517677070453 -930.197184594982</t>
  </si>
  <si>
    <t>-586.647225162033 77.0637671328843 -782.090135468758</t>
  </si>
  <si>
    <t>-583.667531446202 224.039354392583 -786.001811148573</t>
  </si>
  <si>
    <t>-574.689425090283 332.970894708827 -488.950521326474</t>
  </si>
  <si>
    <t>-387.754651629266 280.215765720939 -315.992907469475</t>
  </si>
  <si>
    <t>-579.558917463747 15.428161349668 -768.154785105296</t>
  </si>
  <si>
    <t>-381.044432549627 51.1628145600462 -449.166277771147</t>
  </si>
  <si>
    <t>-635.336263933781 239.91791603442 -254.454865786785</t>
  </si>
  <si>
    <t>-612.125622149083 263.131839000609 200.055904178522</t>
  </si>
  <si>
    <t>-622.908778869476 258.436651292786 669.72362131942</t>
  </si>
  <si>
    <t>-465.35888892509 274.837759858566 746.225578680049</t>
  </si>
  <si>
    <t>-564.909059565124 57.9357220708653 -231.899522379898</t>
  </si>
  <si>
    <t>-459.734964161386 68.8699195677741 211.357187107737</t>
  </si>
  <si>
    <t>-608.997307889415 12.6994188035353 653.616231093777</t>
  </si>
  <si>
    <t>-456.613046923366 -26.2310534413091 732.400545751824</t>
  </si>
  <si>
    <t>9763-20170724T170211.996953800.bin</t>
  </si>
  <si>
    <t>-599.875941596724 148.299140511436 -243.427591782968</t>
  </si>
  <si>
    <t>-621.053110652417 125.274056001645 -360.428400508101</t>
  </si>
  <si>
    <t>-622.155442763762 103.045873961568 -479.572316620738</t>
  </si>
  <si>
    <t>-614.871596628143 82.829498602458 -586.964521566654</t>
  </si>
  <si>
    <t>-599.463436426358 62.1496000928983 -693.406016793304</t>
  </si>
  <si>
    <t>-569.674322147142 32.6277574072726 -839.833635538658</t>
  </si>
  <si>
    <t>-523.587538499631 22.6492721077825 -930.163214939186</t>
  </si>
  <si>
    <t>-586.51433987098 76.4973331757108 -781.9994560749</t>
  </si>
  <si>
    <t>-584.058952340167 223.472685820733 -785.850408607707</t>
  </si>
  <si>
    <t>-575.737336589024 332.403676341551 -488.779709208909</t>
  </si>
  <si>
    <t>-388.727677420806 280.163912743164 -315.746634830014</t>
  </si>
  <si>
    <t>-579.19587002387 14.8830048191298 -768.088428945702</t>
  </si>
  <si>
    <t>-380.694836902328 51.1863281989451 -449.237347942001</t>
  </si>
  <si>
    <t>-635.319672051196 239.196953884164 -254.409987967798</t>
  </si>
  <si>
    <t>-612.149864540137 262.745571457516 200.08566880527</t>
  </si>
  <si>
    <t>-622.921417195195 258.395017172265 669.734281083082</t>
  </si>
  <si>
    <t>-465.375767881325 274.937854539058 746.214418172722</t>
  </si>
  <si>
    <t>-564.376309919036 57.3987316414734 -231.825794370408</t>
  </si>
  <si>
    <t>-459.407693100607 68.7297167163656 211.469644729403</t>
  </si>
  <si>
    <t>-608.963175101592 12.6753759276965 653.574603025101</t>
  </si>
  <si>
    <t>-456.476225226052 -25.9088623224191 732.330565957992</t>
  </si>
  <si>
    <t>9763-20170724T170212.062866400.bin</t>
  </si>
  <si>
    <t>-599.182447566048 147.208303258055 -243.500580214711</t>
  </si>
  <si>
    <t>-620.42793986951 124.019267765788 -360.456512086097</t>
  </si>
  <si>
    <t>-621.630419634875 101.818153664429 -479.604431724511</t>
  </si>
  <si>
    <t>-614.44268597768 81.7075614900621 -587.023107061551</t>
  </si>
  <si>
    <t>-599.13076950963 61.2160581590831 -693.514833080208</t>
  </si>
  <si>
    <t>-569.470845881184 32.0428675599519 -840.038573544332</t>
  </si>
  <si>
    <t>-523.409170065607 22.4519210587296 -930.422920769892</t>
  </si>
  <si>
    <t>-586.493142123212 75.7372240720933 -782.125081517609</t>
  </si>
  <si>
    <t>-585.128468292941 222.737480964111 -785.87951627864</t>
  </si>
  <si>
    <t>-577.875182123242 331.574503098923 -488.746344944544</t>
  </si>
  <si>
    <t>-390.708824168415 280.412011430858 -315.560917586908</t>
  </si>
  <si>
    <t>-578.695708934718 14.1651492902797 -768.287536665914</t>
  </si>
  <si>
    <t>-380.200257215237 51.8775452018463 -449.477745709766</t>
  </si>
  <si>
    <t>-635.301677447287 237.939356692539 -254.385780718273</t>
  </si>
  <si>
    <t>-611.922747643397 262.11850943683 200.066038708927</t>
  </si>
  <si>
    <t>-622.93552379621 258.361162243116 669.738173916831</t>
  </si>
  <si>
    <t>-465.402851100804 275.147722967518 746.191919729703</t>
  </si>
  <si>
    <t>-562.980381905559 56.637832645464 -231.890145965656</t>
  </si>
  <si>
    <t>-458.756073438658 68.3430130959152 211.571166101316</t>
  </si>
  <si>
    <t>-608.951764612361 12.6489723387174 653.554383540052</t>
  </si>
  <si>
    <t>-456.41284386901 -25.9193582342923 732.217411175555</t>
  </si>
  <si>
    <t>9763-20170724T170212.095954900.bin</t>
  </si>
  <si>
    <t>-598.672190173725 146.658335834786 -243.410171375329</t>
  </si>
  <si>
    <t>-619.917598919231 123.328049644311 -360.337977331246</t>
  </si>
  <si>
    <t>-621.143440872938 101.10477943924 -479.481607409731</t>
  </si>
  <si>
    <t>-613.982020307456 81.0252933606489 -586.9076979024</t>
  </si>
  <si>
    <t>-598.698628149669 60.6165268333853 -693.419507259627</t>
  </si>
  <si>
    <t>-569.077724840046 31.6128957241776 -839.984877186786</t>
  </si>
  <si>
    <t>-523.019991009751 22.2059423718495 -930.390439348125</t>
  </si>
  <si>
    <t>-586.199503100005 75.2209271307704 -782.035745060505</t>
  </si>
  <si>
    <t>-585.316601246597 222.22262625357 -785.717910476656</t>
  </si>
  <si>
    <t>-578.716378497239 331.17004920186 -488.609943825611</t>
  </si>
  <si>
    <t>-391.474707858376 280.526330734236 -315.353430398451</t>
  </si>
  <si>
    <t>-578.168662901923 13.6711626301244 -768.232803076999</t>
  </si>
  <si>
    <t>-379.737552873588 51.9770641856119 -449.467997195118</t>
  </si>
  <si>
    <t>-635.080391155463 237.216795050719 -254.358279599434</t>
  </si>
  <si>
    <t>-611.780230265544 261.771900529503 200.07746206181</t>
  </si>
  <si>
    <t>-622.935921472197 258.298732707549 669.751173975246</t>
  </si>
  <si>
    <t>-465.414431022522 275.287875029804 746.183234879578</t>
  </si>
  <si>
    <t>-562.05608325012 56.1161319066757 -231.777018646892</t>
  </si>
  <si>
    <t>-458.189562735192 68.2064361315581 211.757953316283</t>
  </si>
  <si>
    <t>-608.93194136584 12.6099104323851 653.509926149813</t>
  </si>
  <si>
    <t>-456.41797228763 -26.1433055037674 732.130474648813</t>
  </si>
  <si>
    <t>9763-20170724T170212.164139400.bin</t>
  </si>
  <si>
    <t>-597.754901590577 145.495631575082 -243.354703855202</t>
  </si>
  <si>
    <t>-619.105042334256 121.923535316071 -360.21491104796</t>
  </si>
  <si>
    <t>-620.404271823689 99.6753870345062 -479.353170194506</t>
  </si>
  <si>
    <t>-613.288346002666 79.6649714574985 -586.795240702009</t>
  </si>
  <si>
    <t>-598.024580932359 59.4172521091509 -693.340596684421</t>
  </si>
  <si>
    <t>-568.399532628488 30.7342683373261 -839.968065410085</t>
  </si>
  <si>
    <t>-522.338986168177 21.7043066130345 -930.410786353058</t>
  </si>
  <si>
    <t>-585.736166235578 74.1790697898596 -781.960156793833</t>
  </si>
  <si>
    <t>-585.833357893795 221.188356204955 -785.613147782802</t>
  </si>
  <si>
    <t>-580.98012636651 330.618954716299 -488.649345084996</t>
  </si>
  <si>
    <t>-393.844452129789 280.692012391003 -315.070505599201</t>
  </si>
  <si>
    <t>-577.279153472876 12.6723517049277 -768.219586034185</t>
  </si>
  <si>
    <t>-379.021423511721 52.1552251541914 -449.499446911568</t>
  </si>
  <si>
    <t>-634.907716575199 235.839286679641 -254.306126846656</t>
  </si>
  <si>
    <t>-611.465024325128 261.026817507407 200.087691634036</t>
  </si>
  <si>
    <t>-622.946816172873 258.197434727805 669.772973286152</t>
  </si>
  <si>
    <t>-465.426836056928 275.378766148034 746.165168850127</t>
  </si>
  <si>
    <t>-560.614074553576 55.3516722313 -231.713014919414</t>
  </si>
  <si>
    <t>-457.36329253579 67.9076449634117 211.952697281248</t>
  </si>
  <si>
    <t>-608.940284105718 12.921435535249 653.472922629336</t>
  </si>
  <si>
    <t>-456.332648032998 -26.0874592409607 731.784633538239</t>
  </si>
  <si>
    <t>9763-20170724T170212.197260300.bin</t>
  </si>
  <si>
    <t>-597.505613524846 145.048802330718 -243.327337191859</t>
  </si>
  <si>
    <t>-618.856556678803 121.429480113405 -360.177932956644</t>
  </si>
  <si>
    <t>-620.191043985331 99.1930560547526 -479.317934307323</t>
  </si>
  <si>
    <t>-613.118739718416 79.2202295031075 -586.769783599153</t>
  </si>
  <si>
    <t>-597.908480208567 59.0379572797158 -693.335149745743</t>
  </si>
  <si>
    <t>-568.36609909282 30.4762002150628 -840.003131249903</t>
  </si>
  <si>
    <t>-522.300032920848 21.5976417849524 -930.457805110116</t>
  </si>
  <si>
    <t>-585.772397535133 73.8549571335323 -781.966495484821</t>
  </si>
  <si>
    <t>-586.331473787577 220.857418889436 -785.613443693833</t>
  </si>
  <si>
    <t>-582.265934953934 330.602791671356 -488.753815271851</t>
  </si>
  <si>
    <t>-395.315462990919 281.017542517075 -314.87774636653</t>
  </si>
  <si>
    <t>-577.102937763701 12.3729907818538 -768.247514503169</t>
  </si>
  <si>
    <t>-378.92161337036 52.4671028430637 -449.510670328671</t>
  </si>
  <si>
    <t>-634.863988184565 235.188441200376 -254.262931497824</t>
  </si>
  <si>
    <t>-611.314659954896 260.763351581664 200.1036532349</t>
  </si>
  <si>
    <t>-622.937852852549 258.152800665288 669.781752567349</t>
  </si>
  <si>
    <t>-465.422645053674 275.41236206819 746.166130426992</t>
  </si>
  <si>
    <t>-560.083994467558 55.1150352922969 -231.679148289476</t>
  </si>
  <si>
    <t>-457.075385996221 67.7134099287969 212.04164158301</t>
  </si>
  <si>
    <t>-608.989590047515 13.0288822305099 653.473702481247</t>
  </si>
  <si>
    <t>-456.294869344173 -26.0083533038219 731.601390368912</t>
  </si>
  <si>
    <t>9763-20170724T170212.266419500.bin</t>
  </si>
  <si>
    <t>-596.965979317279 143.838600440855 -243.247372933874</t>
  </si>
  <si>
    <t>-618.299924691401 120.11230457477 -360.079456724044</t>
  </si>
  <si>
    <t>-619.627163338118 97.8921445496737 -479.222552024971</t>
  </si>
  <si>
    <t>-612.548377115147 77.9851721046555 -586.686254311431</t>
  </si>
  <si>
    <t>-597.328714584857 57.9202323660393 -693.272407454486</t>
  </si>
  <si>
    <t>-567.768104276203 29.5741581755476 -839.978424871289</t>
  </si>
  <si>
    <t>-521.683665598833 20.9486390763384 -930.448470641667</t>
  </si>
  <si>
    <t>-585.356530499068 72.8357360678726 -781.909594453863</t>
  </si>
  <si>
    <t>-586.689409124197 219.838722533752 -785.524751834532</t>
  </si>
  <si>
    <t>-584.690277156602 329.825330960088 -488.733450767157</t>
  </si>
  <si>
    <t>-397.943224473918 280.896882811461 -314.453213350915</t>
  </si>
  <si>
    <t>-576.338994376218 11.3970666014175 -768.221549363012</t>
  </si>
  <si>
    <t>-378.367692370656 52.4669374836478 -449.550914642469</t>
  </si>
  <si>
    <t>-634.790705844576 233.648598711083 -254.166199727679</t>
  </si>
  <si>
    <t>-611.129839732441 259.947088031854 200.15334866555</t>
  </si>
  <si>
    <t>-622.905428073199 257.963383252263 669.819286387446</t>
  </si>
  <si>
    <t>-465.417941472513 275.667943148586 746.158980323809</t>
  </si>
  <si>
    <t>-559.081540813308 54.0962242641988 -231.670428091006</t>
  </si>
  <si>
    <t>-456.92189635453 67.3695649546935 212.226966577899</t>
  </si>
  <si>
    <t>-609.140647422152 13.2186079451992 653.586389299843</t>
  </si>
  <si>
    <t>-456.354605788076 -26.4008858784532 731.240953756515</t>
  </si>
  <si>
    <t>9763-20170724T170212.296501900.bin</t>
  </si>
  <si>
    <t>-596.817571225806 143.339521617047 -243.266766195834</t>
  </si>
  <si>
    <t>-618.157185568161 119.624765375715 -360.100033236328</t>
  </si>
  <si>
    <t>-619.495913320355 97.4436575666805 -479.250278212748</t>
  </si>
  <si>
    <t>-612.428898054423 77.5834645433076 -586.723508225102</t>
  </si>
  <si>
    <t>-597.221834680343 57.5756947354002 -693.322223976618</t>
  </si>
  <si>
    <t>-567.678654275254 29.320529390794 -840.049400620264</t>
  </si>
  <si>
    <t>-521.583931497593 20.8021295265173 -930.524131295603</t>
  </si>
  <si>
    <t>-585.341221728205 72.5311727509609 -781.965006709</t>
  </si>
  <si>
    <t>-587.080181947801 219.530654755054 -785.57395299729</t>
  </si>
  <si>
    <t>-585.894228930509 329.487574622098 -488.767196968828</t>
  </si>
  <si>
    <t>-399.211188986716 280.984433049064 -314.299737787289</t>
  </si>
  <si>
    <t>-576.159962188435 11.1139438724083 -768.289314990048</t>
  </si>
  <si>
    <t>-378.230523237073 52.6867572838078 -449.617399472344</t>
  </si>
  <si>
    <t>-634.85750396906 232.959225161674 -254.113192325826</t>
  </si>
  <si>
    <t>-611.164558625118 259.567007280058 200.186627225297</t>
  </si>
  <si>
    <t>-622.890487298628 257.844893137185 669.851301128495</t>
  </si>
  <si>
    <t>-465.41326207088 275.751630522063 746.164929412911</t>
  </si>
  <si>
    <t>-558.742607062257 53.9672843692008 -231.724025144866</t>
  </si>
  <si>
    <t>-456.970491690055 67.0588441112486 212.267772739468</t>
  </si>
  <si>
    <t>-609.304028011876 13.4555754882228 653.728379464694</t>
  </si>
  <si>
    <t>-456.36018354422 -26.3921295873247 730.954332261346</t>
  </si>
  <si>
    <t>9763-20170724T170212.360703600.bin</t>
  </si>
  <si>
    <t>-596.565266277324 142.183360093307 -243.197752352619</t>
  </si>
  <si>
    <t>-617.865249511806 118.371513330064 -360.01842679835</t>
  </si>
  <si>
    <t>-619.20954079296 96.2099405147917 -479.172375336016</t>
  </si>
  <si>
    <t>-612.162168588319 76.4158082523913 -586.658994138221</t>
  </si>
  <si>
    <t>-596.98629513037 56.5226158518212 -693.283608993471</t>
  </si>
  <si>
    <t>-567.495752061805 28.4770929697875 -840.061470482703</t>
  </si>
  <si>
    <t>-521.401455413384 20.1744363034709 -930.556603499045</t>
  </si>
  <si>
    <t>-585.297694937807 71.5745044714572 -781.935598028334</t>
  </si>
  <si>
    <t>-587.763005800952 218.563148583957 -785.50179388607</t>
  </si>
  <si>
    <t>-588.100289884458 328.382103293739 -488.641743036058</t>
  </si>
  <si>
    <t>-401.509976697797 280.744524266617 -313.836871232486</t>
  </si>
  <si>
    <t>-575.791081326291 10.1983767245879 -768.298058580725</t>
  </si>
  <si>
    <t>-378.081284027708 52.6041498414777 -449.688041630016</t>
  </si>
  <si>
    <t>-634.987940579926 231.441274971242 -254.009265644205</t>
  </si>
  <si>
    <t>-611.377745703027 258.803805852014 200.249973193754</t>
  </si>
  <si>
    <t>-622.899373534053 257.764800200164 669.905509146021</t>
  </si>
  <si>
    <t>-465.421836371975 275.894198735087 746.166019229032</t>
  </si>
  <si>
    <t>-558.070657063553 52.8871294738312 -231.673362946457</t>
  </si>
  <si>
    <t>-457.000152876723 66.5831901642082 212.460454874476</t>
  </si>
  <si>
    <t>-609.530475941175 13.6046422601044 653.813338450656</t>
  </si>
  <si>
    <t>-456.224906035162 -26.1115514195162 730.387049160059</t>
  </si>
  <si>
    <t>9763-20170724T170212.398804200.bin</t>
  </si>
  <si>
    <t>-596.345846040231 141.525088400055 -243.243720191259</t>
  </si>
  <si>
    <t>-617.730035159145 117.60626002892 -360.027440059863</t>
  </si>
  <si>
    <t>-619.122169271362 95.4350739876172 -479.178871264606</t>
  </si>
  <si>
    <t>-612.099456780285 75.672475079009 -586.67297342588</t>
  </si>
  <si>
    <t>-596.927703451704 55.8502848782193 -693.311395749792</t>
  </si>
  <si>
    <t>-567.419752720331 27.9447661436707 -840.112343576729</t>
  </si>
  <si>
    <t>-521.321292924887 19.7739333662928 -930.617437958207</t>
  </si>
  <si>
    <t>-585.308060881256 70.9714021304972 -781.960710359524</t>
  </si>
  <si>
    <t>-588.112068363273 217.956283279248 -785.486877789269</t>
  </si>
  <si>
    <t>-589.110818910673 327.877098215517 -488.665946881331</t>
  </si>
  <si>
    <t>-402.586815029202 280.586130917854 -313.696166000607</t>
  </si>
  <si>
    <t>-575.644190586039 9.61267006908702 -768.354259835935</t>
  </si>
  <si>
    <t>-378.050386894562 52.3798444183549 -449.6937864985</t>
  </si>
  <si>
    <t>-634.981706507673 230.689445688209 -254.017154253956</t>
  </si>
  <si>
    <t>-611.430118802234 258.398084231344 200.224198183455</t>
  </si>
  <si>
    <t>-622.903314833692 257.723494487158 669.914612276331</t>
  </si>
  <si>
    <t>-465.424906686277 275.973768336474 746.144396423448</t>
  </si>
  <si>
    <t>-557.617837800104 52.4354528298095 -231.727214885872</t>
  </si>
  <si>
    <t>-456.872438109598 66.3249087261042 212.474393358326</t>
  </si>
  <si>
    <t>-609.521572852737 13.6238730126765 653.769427940493</t>
  </si>
  <si>
    <t>-456.218287655722 -26.082099497464 730.353056543935</t>
  </si>
  <si>
    <t>9763-20170724T170212.465997200.bin</t>
  </si>
  <si>
    <t>-595.804723389578 140.078663165274 -243.096095362719</t>
  </si>
  <si>
    <t>-617.284725324673 115.874797821913 -359.803408905937</t>
  </si>
  <si>
    <t>-618.743849115273 93.6311420713312 -478.940466962515</t>
  </si>
  <si>
    <t>-611.762065587516 73.8926791172873 -586.4416699516</t>
  </si>
  <si>
    <t>-596.606799555098 54.184882395441 -693.10356828731</t>
  </si>
  <si>
    <t>-567.092408723312 26.5327309756353 -839.951368365902</t>
  </si>
  <si>
    <t>-520.982638905298 18.6136872543616 -930.472901347676</t>
  </si>
  <si>
    <t>-585.12164999097 69.4318076889465 -781.748811006702</t>
  </si>
  <si>
    <t>-588.546999048818 216.404060730947 -785.201887217659</t>
  </si>
  <si>
    <t>-591.162584262299 326.872702672325 -488.594414199036</t>
  </si>
  <si>
    <t>-404.780175483556 280.377826483806 -313.260847106305</t>
  </si>
  <si>
    <t>-575.181540811929 8.10407638248148 -768.202619663914</t>
  </si>
  <si>
    <t>-377.966565956328 51.4680607176529 -449.488985759369</t>
  </si>
  <si>
    <t>-634.834270413915 229.099441211428 -254.020511411396</t>
  </si>
  <si>
    <t>-611.327212080495 257.564794703929 200.176433150935</t>
  </si>
  <si>
    <t>-622.899645340041 257.671976130265 669.897796374132</t>
  </si>
  <si>
    <t>-465.433304170263 276.154917521824 746.096519109969</t>
  </si>
  <si>
    <t>-556.588367431043 51.0505128208579 -231.562905862416</t>
  </si>
  <si>
    <t>-456.289855834687 65.7965783756422 212.712273966219</t>
  </si>
  <si>
    <t>-609.540037618 13.6476945725874 653.823938587281</t>
  </si>
  <si>
    <t>-456.167253467873 -25.979098204607 730.309263734578</t>
  </si>
  <si>
    <t>9763-20170724T170212.494073600.bin</t>
  </si>
  <si>
    <t>-595.419335368492 139.352914350397 -242.967586407289</t>
  </si>
  <si>
    <t>-616.856076957251 115.022386881141 -359.656458472419</t>
  </si>
  <si>
    <t>-618.274224297174 92.7412535780857 -478.787069111953</t>
  </si>
  <si>
    <t>-611.25366147849 73.0061901905224 -586.286411245187</t>
  </si>
  <si>
    <t>-596.056187710897 53.3391279678317 -692.949801393456</t>
  </si>
  <si>
    <t>-566.478091376381 25.7822164469014 -839.802641240812</t>
  </si>
  <si>
    <t>-520.341843097604 17.9719361040611 -930.320179367724</t>
  </si>
  <si>
    <t>-584.587863353653 68.6324728149918 -781.589235981848</t>
  </si>
  <si>
    <t>-588.365304935275 215.600908529648 -785.060583489012</t>
  </si>
  <si>
    <t>-591.816382131938 326.296170453987 -488.546131610453</t>
  </si>
  <si>
    <t>-405.49285198927 280.268344473506 -313.026785567156</t>
  </si>
  <si>
    <t>-574.54315236204 7.31791070000941 -768.0604611021</t>
  </si>
  <si>
    <t>-377.437293687629 50.8746366342104 -449.396347756581</t>
  </si>
  <si>
    <t>-634.645750548458 228.342377962714 -253.973673367531</t>
  </si>
  <si>
    <t>-611.277359682373 257.196662327624 200.205792897631</t>
  </si>
  <si>
    <t>-622.902576750088 257.662745523848 669.908058999811</t>
  </si>
  <si>
    <t>-465.444528377243 276.319344669141 746.08163561574</t>
  </si>
  <si>
    <t>-555.968783130332 50.4188862637961 -231.34853819345</t>
  </si>
  <si>
    <t>-455.833596517501 65.6567808653181 212.946855294526</t>
  </si>
  <si>
    <t>-609.625874102586 13.887184063401 653.90724444977</t>
  </si>
  <si>
    <t>-456.268656604317 -26.2423515432511 730.16141373035</t>
  </si>
  <si>
    <t>9763-20170724T170212.560250600.bin</t>
  </si>
  <si>
    <t>-594.766446047101 138.182420764536 -242.770001228509</t>
  </si>
  <si>
    <t>-616.162771366349 113.679728333398 -359.43030238727</t>
  </si>
  <si>
    <t>-617.506639634144 91.4057168754221 -478.563193656966</t>
  </si>
  <si>
    <t>-610.399892123159 71.7496630053893 -586.071263709438</t>
  </si>
  <si>
    <t>-595.094067899358 52.2332938397731 -692.746883706242</t>
  </si>
  <si>
    <t>-565.33973383784 24.9598066128331 -839.617077089218</t>
  </si>
  <si>
    <t>-519.110616420493 17.4193052385015 -930.109991106798</t>
  </si>
  <si>
    <t>-583.6364665301 67.6741354266262 -781.362175747995</t>
  </si>
  <si>
    <t>-588.14583546906 214.617145731476 -784.806716303368</t>
  </si>
  <si>
    <t>-593.262345380494 325.691678755359 -488.458123400094</t>
  </si>
  <si>
    <t>-407.464091435094 280.635707645955 -312.131765499937</t>
  </si>
  <si>
    <t>-573.373746984828 6.38071410208204 -767.900914763927</t>
  </si>
  <si>
    <t>-376.400750632123 50.3019598962435 -449.187175722318</t>
  </si>
  <si>
    <t>-634.37802600329 226.945931859359 -253.865366084491</t>
  </si>
  <si>
    <t>-611.133122832627 256.513932158405 200.274478455151</t>
  </si>
  <si>
    <t>-622.906387308837 257.656658395362 669.940207123923</t>
  </si>
  <si>
    <t>-465.445285173756 276.430462908713 746.07861914783</t>
  </si>
  <si>
    <t>-555.107115295974 49.6156786828369 -231.068614319496</t>
  </si>
  <si>
    <t>-455.319878097766 65.4914820284387 213.282683576532</t>
  </si>
  <si>
    <t>-609.808936265176 14.1041250235453 654.004593296008</t>
  </si>
  <si>
    <t>-456.132327018214 -25.9526295466496 729.651585970809</t>
  </si>
  <si>
    <t>9763-20170724T170212.597349800.bin</t>
  </si>
  <si>
    <t>-594.431554385499 137.663424124502 -242.804221494155</t>
  </si>
  <si>
    <t>-615.810869455389 113.147520838786 -359.464916708242</t>
  </si>
  <si>
    <t>-617.126504359449 90.9094324748394 -478.604803092266</t>
  </si>
  <si>
    <t>-609.988266774923 71.3049930029986 -586.120120753601</t>
  </si>
  <si>
    <t>-594.644261891384 51.8584073042653 -692.803054786177</t>
  </si>
  <si>
    <t>-564.829354648995 24.7000287124465 -839.682206780111</t>
  </si>
  <si>
    <t>-518.561515706963 17.2792890767312 -930.165468819788</t>
  </si>
  <si>
    <t>-583.208501442813 67.3567341957316 -781.41116740094</t>
  </si>
  <si>
    <t>-588.114286849166 214.289837241286 -784.813879201448</t>
  </si>
  <si>
    <t>-594.075630190934 325.517577898126 -488.538594780657</t>
  </si>
  <si>
    <t>-408.586130409898 280.597305319352 -311.852879207566</t>
  </si>
  <si>
    <t>-572.834510163827 6.07680285685592 -767.974405919679</t>
  </si>
  <si>
    <t>-375.91481073292 50.1784333233534 -449.152634190418</t>
  </si>
  <si>
    <t>-634.270672264513 226.265460596624 -253.836499753966</t>
  </si>
  <si>
    <t>-610.937604284669 256.203980713577 200.27472442633</t>
  </si>
  <si>
    <t>-622.877502146877 257.556781435264 669.951120334131</t>
  </si>
  <si>
    <t>-465.434905949111 276.53801925862 746.07637723479</t>
  </si>
  <si>
    <t>-554.480329679078 49.2397833205455 -231.134182678567</t>
  </si>
  <si>
    <t>-455.228377767965 65.4908716075117 213.323486447198</t>
  </si>
  <si>
    <t>-609.865678064538 14.321655749214 654.014461155456</t>
  </si>
  <si>
    <t>-456.128431551976 -25.8802400783766 729.460966230684</t>
  </si>
  <si>
    <t>9763-20170724T170212.658525000.bin</t>
  </si>
  <si>
    <t>-593.80086511268 136.363542078684 -242.719995845555</t>
  </si>
  <si>
    <t>-615.08817617778 111.813616787944 -359.390284043761</t>
  </si>
  <si>
    <t>-616.298049566562 89.642114884361 -478.543677657227</t>
  </si>
  <si>
    <t>-609.05643288546 70.1383202079605 -586.070440572814</t>
  </si>
  <si>
    <t>-593.599691514642 50.8319438379092 -692.762447252813</t>
  </si>
  <si>
    <t>-563.617228414577 23.9084702691084 -839.650867171336</t>
  </si>
  <si>
    <t>-517.311619997539 16.6931897573584 -930.131301093524</t>
  </si>
  <si>
    <t>-582.183992817589 66.4469363645687 -781.352669215671</t>
  </si>
  <si>
    <t>-587.735766003591 213.357148042715 -784.603470832041</t>
  </si>
  <si>
    <t>-595.623625456818 324.733714944096 -488.429080362157</t>
  </si>
  <si>
    <t>-410.677399784516 280.068476299215 -311.110293642327</t>
  </si>
  <si>
    <t>-571.583089456187 5.19566581035178 -767.961923712485</t>
  </si>
  <si>
    <t>-374.878117182694 49.6417858968605 -449.015456404272</t>
  </si>
  <si>
    <t>-633.959331907007 224.740579171759 -253.729146930356</t>
  </si>
  <si>
    <t>-610.792907586108 255.486415871562 200.336424712615</t>
  </si>
  <si>
    <t>-622.8713635817 257.541853794318 669.990566769334</t>
  </si>
  <si>
    <t>-465.434540535335 276.742707878905 746.072692467586</t>
  </si>
  <si>
    <t>-553.539344462126 48.0858564642645 -231.097290449632</t>
  </si>
  <si>
    <t>-454.779299149406 64.9755312191601 213.446099535458</t>
  </si>
  <si>
    <t>-609.950615417687 14.4742173828288 653.989971020969</t>
  </si>
  <si>
    <t>-456.178284309282 -26.0653428005489 729.183907958511</t>
  </si>
  <si>
    <t>9763-20170724T170212.698631300.bin</t>
  </si>
  <si>
    <t>-593.432459897002 135.710166427371 -242.747585966898</t>
  </si>
  <si>
    <t>-614.70669038664 111.144613489495 -359.416972278219</t>
  </si>
  <si>
    <t>-615.870889704985 89.021239990167 -478.579612378815</t>
  </si>
  <si>
    <t>-608.57301754477 69.5854772147272 -586.11501123652</t>
  </si>
  <si>
    <t>-593.044293378362 50.3703672485774 -692.813105180744</t>
  </si>
  <si>
    <t>-562.944976132325 23.5967996531886 -839.704991467586</t>
  </si>
  <si>
    <t>-516.620599812001 16.5072231963584 -930.185728827608</t>
  </si>
  <si>
    <t>-581.620819902934 66.0625329630191 -781.388621781419</t>
  </si>
  <si>
    <t>-587.482791871894 212.957152088078 -784.514330794865</t>
  </si>
  <si>
    <t>-596.430125507174 324.371661386954 -488.38436331291</t>
  </si>
  <si>
    <t>-411.679274872374 279.883368102086 -310.817607383315</t>
  </si>
  <si>
    <t>-570.905205999003 4.82400447935038 -768.031274726728</t>
  </si>
  <si>
    <t>-374.246665439019 49.4653598808441 -449.013298415922</t>
  </si>
  <si>
    <t>-633.821620773641 223.927310328734 -253.702620183474</t>
  </si>
  <si>
    <t>-610.738533853983 255.079137556506 200.339641165857</t>
  </si>
  <si>
    <t>-622.871004071517 257.526932709857 670.005595475456</t>
  </si>
  <si>
    <t>-465.442191028885 276.932193856231 746.052395110153</t>
  </si>
  <si>
    <t>-552.96130314246 47.6241006780849 -231.188749541463</t>
  </si>
  <si>
    <t>-454.657746363866 64.5650271142347 213.453889479643</t>
  </si>
  <si>
    <t>-609.987772270314 14.5087962273631 653.996412104405</t>
  </si>
  <si>
    <t>-456.168736946748 -26.0152322260533 729.103116558788</t>
  </si>
  <si>
    <t>9763-20170724T170212.759564600.bin</t>
  </si>
  <si>
    <t>-592.910576224997 134.231722407325 -242.814401339437</t>
  </si>
  <si>
    <t>-614.036451358445 109.671807695763 -359.511957072806</t>
  </si>
  <si>
    <t>-615.071266836626 87.6926486644811 -478.702432106398</t>
  </si>
  <si>
    <t>-607.661009012639 68.443758651156 -586.263791879718</t>
  </si>
  <si>
    <t>-592.022083725304 49.4708279702104 -692.989120560428</t>
  </si>
  <si>
    <t>-561.769707786428 23.0910100145936 -839.920770169721</t>
  </si>
  <si>
    <t>-515.402365731842 16.2941773869286 -930.401969243869</t>
  </si>
  <si>
    <t>-580.672754840556 65.3646127317527 -781.538255758647</t>
  </si>
  <si>
    <t>-587.352188484354 212.230806115918 -784.411970447642</t>
  </si>
  <si>
    <t>-598.028953430068 323.381157692612 -488.239926452611</t>
  </si>
  <si>
    <t>-413.460119332269 279.521846175814 -310.327717704328</t>
  </si>
  <si>
    <t>-569.638141849396 4.16174061557354 -768.277963859773</t>
  </si>
  <si>
    <t>-373.024811856221 49.281611393209 -449.16599104806</t>
  </si>
  <si>
    <t>-633.678523858375 222.220005217109 -253.665452536256</t>
  </si>
  <si>
    <t>-610.680095471401 254.296384548185 200.316754672356</t>
  </si>
  <si>
    <t>-622.865022205252 257.507351958348 669.996479423286</t>
  </si>
  <si>
    <t>-465.461944847847 277.340167607156 745.986263852532</t>
  </si>
  <si>
    <t>-552.038668626893 46.3396458021336 -231.323176308027</t>
  </si>
  <si>
    <t>-454.541902003644 63.796471676043 213.477034223962</t>
  </si>
  <si>
    <t>-610.044056456254 14.5965210479096 654.023728017745</t>
  </si>
  <si>
    <t>-456.135694556724 -25.8774561056669 728.974267773119</t>
  </si>
  <si>
    <t>9763-20170724T170212.797658200.bin</t>
  </si>
  <si>
    <t>-592.626669532359 133.488045857979 -242.864569551978</t>
  </si>
  <si>
    <t>-613.703459255203 108.953730453447 -359.576316959196</t>
  </si>
  <si>
    <t>-614.685897659071 87.0673202057994 -478.784448488577</t>
  </si>
  <si>
    <t>-607.225454882901 67.9300792159993 -586.362139019825</t>
  </si>
  <si>
    <t>-591.53229588787 49.0963061862637 -693.104122753653</t>
  </si>
  <si>
    <t>-561.199377890982 22.9385005871948 -840.05891261473</t>
  </si>
  <si>
    <t>-514.814849487681 16.31166517517 -930.543884780201</t>
  </si>
  <si>
    <t>-580.230124678726 65.103106084332 -781.638974268548</t>
  </si>
  <si>
    <t>-587.361300252565 211.957183021991 -784.356466396557</t>
  </si>
  <si>
    <t>-598.899359460126 323.020189302755 -488.183961455633</t>
  </si>
  <si>
    <t>-414.343775656696 279.499741011053 -310.174852854743</t>
  </si>
  <si>
    <t>-569.011415385925 3.92182881305257 -768.433048618125</t>
  </si>
  <si>
    <t>-372.476818045972 49.3713447332541 -449.282631202497</t>
  </si>
  <si>
    <t>-633.643183964723 221.340193085841 -253.644964882759</t>
  </si>
  <si>
    <t>-610.666901770966 253.826381472228 200.309257017913</t>
  </si>
  <si>
    <t>-622.846753288007 257.445581003272 669.994439588454</t>
  </si>
  <si>
    <t>-465.448217537827 277.409457855157 745.959295610499</t>
  </si>
  <si>
    <t>-551.512641979135 45.8144410483192 -231.486227090088</t>
  </si>
  <si>
    <t>-454.665922912728 63.4434571764564 213.449299358482</t>
  </si>
  <si>
    <t>-610.07067066227 14.684114016949 654.079837882672</t>
  </si>
  <si>
    <t>-456.185356652059 -25.9933296957274 728.967564425952</t>
  </si>
  <si>
    <t>9763-20170724T170212.859480400.bin</t>
  </si>
  <si>
    <t>-592.393513552888 132.124831386276 -242.939381715733</t>
  </si>
  <si>
    <t>-613.435545531656 107.590064317916 -359.657342046069</t>
  </si>
  <si>
    <t>-614.335791919485 85.8217012890623 -478.887843998763</t>
  </si>
  <si>
    <t>-606.779084625452 66.8419957519429 -586.486672690799</t>
  </si>
  <si>
    <t>-590.965955734257 48.2168031009369 -693.247714869903</t>
  </si>
  <si>
    <t>-560.440024367904 22.4030582515911 -840.223146530331</t>
  </si>
  <si>
    <t>-514.024244371656 16.1246353390097 -930.717105315681</t>
  </si>
  <si>
    <t>-579.745503142685 64.3866586189704 -781.763042865251</t>
  </si>
  <si>
    <t>-587.860259985573 211.197143152352 -784.300683909695</t>
  </si>
  <si>
    <t>-601.160548998992 322.07281638348 -488.132161064654</t>
  </si>
  <si>
    <t>-416.577071438955 279.329065497802 -309.963626096193</t>
  </si>
  <si>
    <t>-568.148135535801 3.26285784564425 -768.619035711273</t>
  </si>
  <si>
    <t>-371.759943109883 49.4127336502554 -449.532160323706</t>
  </si>
  <si>
    <t>-633.770779681656 219.554463393134 -253.596301866008</t>
  </si>
  <si>
    <t>-610.686055282113 252.848778920204 200.293838484583</t>
  </si>
  <si>
    <t>-622.781338293985 257.234668036629 670.000036480594</t>
  </si>
  <si>
    <t>-465.416957577375 277.588454433556 745.932260997867</t>
  </si>
  <si>
    <t>-550.944625711172 44.7981716104202 -231.591045378937</t>
  </si>
  <si>
    <t>-454.655778309098 62.2750277695259 213.471604124177</t>
  </si>
  <si>
    <t>-610.132527825601 14.5873676740446 654.189543822061</t>
  </si>
  <si>
    <t>-456.114243012855 -25.8561182948097 728.930455347714</t>
  </si>
  <si>
    <t>9763-20170724T170212.893571800.bin</t>
  </si>
  <si>
    <t>-592.257375651518 131.383793891707 -242.959159445767</t>
  </si>
  <si>
    <t>-613.245900460707 106.843939808845 -359.685707408861</t>
  </si>
  <si>
    <t>-614.080242647168 85.1352709128187 -478.927544714967</t>
  </si>
  <si>
    <t>-606.457691053089 66.2364966155619 -586.536025851076</t>
  </si>
  <si>
    <t>-590.571460893718 47.7195610183778 -693.304953148596</t>
  </si>
  <si>
    <t>-559.935569086599 22.0847015315637 -840.288960629046</t>
  </si>
  <si>
    <t>-513.506242698506 15.9751048515407 -930.787391998437</t>
  </si>
  <si>
    <t>-579.383095367042 63.9748449615354 -781.808905141607</t>
  </si>
  <si>
    <t>-587.953245820852 210.756525944763 -784.233651693339</t>
  </si>
  <si>
    <t>-602.084266998482 321.654922722165 -488.11191933362</t>
  </si>
  <si>
    <t>-417.43662487275 279.196086797787 -309.941952075879</t>
  </si>
  <si>
    <t>-567.598930925671 2.87973715357339 -768.697294909241</t>
  </si>
  <si>
    <t>-371.227147288441 49.4420573336799 -449.692979167872</t>
  </si>
  <si>
    <t>-633.816343249837 218.601851602966 -253.565100986879</t>
  </si>
  <si>
    <t>-610.716443235134 252.371414831448 200.2891430101</t>
  </si>
  <si>
    <t>-622.758658545015 257.176501309002 669.990828388782</t>
  </si>
  <si>
    <t>-465.402524983045 277.617133439793 745.916723192251</t>
  </si>
  <si>
    <t>-550.594110138511 44.2180343319485 -231.704653116917</t>
  </si>
  <si>
    <t>-454.757539528618 61.7006844767977 213.455336718886</t>
  </si>
  <si>
    <t>-610.166808078695 14.6445663723737 654.265800172874</t>
  </si>
  <si>
    <t>-456.206242404206 -26.126873455358 728.947461726329</t>
  </si>
  <si>
    <t>9763-20170724T170212.964767200.bin</t>
  </si>
  <si>
    <t>-591.907114974278 129.587578863885 -243.075388053561</t>
  </si>
  <si>
    <t>-612.795866500133 105.157995380649 -359.842813740112</t>
  </si>
  <si>
    <t>-613.512881706972 83.6274951716896 -479.117658645202</t>
  </si>
  <si>
    <t>-605.776445797047 64.916869344486 -586.75084021364</t>
  </si>
  <si>
    <t>-589.767774461125 46.6134241951988 -693.538299087761</t>
  </si>
  <si>
    <t>-558.952430569376 21.3006020127543 -840.540715050199</t>
  </si>
  <si>
    <t>-512.465523217274 15.5286335830581 -931.031806604543</t>
  </si>
  <si>
    <t>-578.676616945 63.0149767162834 -782.027519029198</t>
  </si>
  <si>
    <t>-588.13911947979 209.74766047921 -784.259220233655</t>
  </si>
  <si>
    <t>-603.602003897423 320.623059128208 -488.195463633468</t>
  </si>
  <si>
    <t>-419.038640149793 278.963375765992 -309.749803224826</t>
  </si>
  <si>
    <t>-566.497900835205 1.98653360011099 -768.965900110012</t>
  </si>
  <si>
    <t>-370.083685972469 49.4555984134795 -450.151857758015</t>
  </si>
  <si>
    <t>-633.923503135415 216.489146545086 -253.49621865603</t>
  </si>
  <si>
    <t>-610.669094042714 251.118935143787 200.285380843613</t>
  </si>
  <si>
    <t>-622.696302102277 257.000430591317 669.997407387008</t>
  </si>
  <si>
    <t>-465.395295912518 277.923596923965 745.905968975505</t>
  </si>
  <si>
    <t>-549.775585011152 42.7640453359186 -232.006877667056</t>
  </si>
  <si>
    <t>-455.098658601305 60.3908154571709 213.395501252502</t>
  </si>
  <si>
    <t>-610.224518274304 14.5622904307954 654.428462209556</t>
  </si>
  <si>
    <t>-456.101328265834 -25.8200341450897 728.986013782896</t>
  </si>
  <si>
    <t>9763-20170724T170212.992841200.bin</t>
  </si>
  <si>
    <t>-591.638540383528 128.532399060378 -243.153703847184</t>
  </si>
  <si>
    <t>-612.493886165098 104.150935313866 -359.93727799309</t>
  </si>
  <si>
    <t>-613.166485812692 82.6990212538708 -479.226589653417</t>
  </si>
  <si>
    <t>-605.384951451374 64.0710910866908 -586.870818907655</t>
  </si>
  <si>
    <t>-589.325928575706 45.8607668629224 -693.666586817094</t>
  </si>
  <si>
    <t>-558.435026195857 20.6871994818516 -840.676997395735</t>
  </si>
  <si>
    <t>-511.934083951219 15.0593014241688 -931.169897178686</t>
  </si>
  <si>
    <t>-578.288486358279 62.3225790905124 -782.151246725824</t>
  </si>
  <si>
    <t>-588.205750123676 209.029729227237 -784.273087708374</t>
  </si>
  <si>
    <t>-604.316124180901 319.769928330916 -488.193180189243</t>
  </si>
  <si>
    <t>-419.696169901564 278.720265441721 -309.664689313536</t>
  </si>
  <si>
    <t>-565.918118355502 1.32881762872262 -769.107678834059</t>
  </si>
  <si>
    <t>-369.567117558982 49.2738211524165 -450.3544846075</t>
  </si>
  <si>
    <t>-633.919158781676 215.302385732587 -253.449071835719</t>
  </si>
  <si>
    <t>-610.52466966671 250.504512170927 200.281282884679</t>
  </si>
  <si>
    <t>-622.657970493731 256.922815992112 669.979689009585</t>
  </si>
  <si>
    <t>-465.381119543563 278.030176605992 745.887307038732</t>
  </si>
  <si>
    <t>-549.225657938114 41.7684726204786 -232.194163590692</t>
  </si>
  <si>
    <t>-455.362122889666 59.8473314359078 213.362260382826</t>
  </si>
  <si>
    <t>-610.253194817831 14.4851819241665 654.524830486998</t>
  </si>
  <si>
    <t>-456.054063817332 -25.7105950121459 729.026145446371</t>
  </si>
  <si>
    <t>9763-20170724T170213.060580000.bin</t>
  </si>
  <si>
    <t>-591.210358853266 126.656207472513 -243.214010740707</t>
  </si>
  <si>
    <t>-612.021814788839 102.409519388494 -360.033442692148</t>
  </si>
  <si>
    <t>-612.609729206087 81.1331842341071 -479.354680326732</t>
  </si>
  <si>
    <t>-604.735024778368 62.6792914022903 -587.022052997533</t>
  </si>
  <si>
    <t>-588.565880531391 44.6568264639529 -693.833219206138</t>
  </si>
  <si>
    <t>-557.504510507104 19.7576083691808 -840.854328919354</t>
  </si>
  <si>
    <t>-510.987820991002 14.4053719548556 -931.355974633616</t>
  </si>
  <si>
    <t>-577.621814538125 61.2361961385129 -782.30758948089</t>
  </si>
  <si>
    <t>-588.472241970163 207.874978395801 -784.266008916719</t>
  </si>
  <si>
    <t>-605.86613376961 318.551236109372 -488.234870279421</t>
  </si>
  <si>
    <t>-421.039830325604 278.688913741325 -309.650817305446</t>
  </si>
  <si>
    <t>-564.874595179037 0.313195448643228 -769.296633403954</t>
  </si>
  <si>
    <t>-368.543079028834 49.0573431782634 -450.738452439413</t>
  </si>
  <si>
    <t>-633.936036251848 213.070681889412 -253.31287299249</t>
  </si>
  <si>
    <t>-610.286361251643 249.305287767844 200.322880126653</t>
  </si>
  <si>
    <t>-622.614566915002 256.801159333089 669.982555008009</t>
  </si>
  <si>
    <t>-465.379346120256 278.293269690564 745.868554636464</t>
  </si>
  <si>
    <t>-548.454590553835 40.4029062448919 -232.473612930095</t>
  </si>
  <si>
    <t>-455.713098252115 58.668821211751 213.310009050796</t>
  </si>
  <si>
    <t>-610.276702796857 14.2734192876085 654.694528987392</t>
  </si>
  <si>
    <t>-455.949205160525 -25.5927653214626 729.107056106924</t>
  </si>
  <si>
    <t>9763-20170724T170213.099694700.bin</t>
  </si>
  <si>
    <t>-590.971276252808 125.797805147346 -243.279727508066</t>
  </si>
  <si>
    <t>-611.88575990636 101.638814223695 -360.098922108426</t>
  </si>
  <si>
    <t>-612.496979458369 80.4537928568186 -479.436236313876</t>
  </si>
  <si>
    <t>-604.611016228141 62.0846412483627 -587.117433963086</t>
  </si>
  <si>
    <t>-588.398661738375 44.1490498005192 -693.936507158728</t>
  </si>
  <si>
    <t>-557.244575449426 19.3734128174547 -840.958986249144</t>
  </si>
  <si>
    <t>-510.719650420999 14.1676560246024 -931.464862166727</t>
  </si>
  <si>
    <t>-577.493938858446 60.7793829717259 -782.406226116081</t>
  </si>
  <si>
    <t>-588.785979390553 207.390637854537 -784.303213281936</t>
  </si>
  <si>
    <t>-606.933917513799 318.136002169842 -488.343203470647</t>
  </si>
  <si>
    <t>-422.108755146777 278.805103748249 -309.640128203607</t>
  </si>
  <si>
    <t>-368.307535456939 49.0995805900006 -450.918401102931</t>
  </si>
  <si>
    <t>-633.906655295575 212.006215040921 -253.218514754074</t>
  </si>
  <si>
    <t>-610.19595799187 248.758332884266 200.372477011557</t>
  </si>
  <si>
    <t>-622.605844252623 256.722407327483 670.014565290007</t>
  </si>
  <si>
    <t>-465.381780509935 278.44038220176 745.859477661987</t>
  </si>
  <si>
    <t>-547.98442648745 39.7274147273145 -232.714370454146</t>
  </si>
  <si>
    <t>-456.164628901192 58.3756047114155 213.244180100145</t>
  </si>
  <si>
    <t>-610.264746217199 14.376557653326 654.750225043524</t>
  </si>
  <si>
    <t>-456.014402516713 -25.8138434522007 729.148331087604</t>
  </si>
  <si>
    <t>9763-20170724T170213.162400600.bin</t>
  </si>
  <si>
    <t>-590.697263734546 123.807831979349 -243.56865678095</t>
  </si>
  <si>
    <t>-611.630471863418 99.9440424542038 -360.445230981092</t>
  </si>
  <si>
    <t>-612.176349773189 79.0078407224255 -479.826701701104</t>
  </si>
  <si>
    <t>-604.200073932771 60.8455274676965 -587.536264368361</t>
  </si>
  <si>
    <t>-587.868011395669 43.0986312273596 -694.368769810069</t>
  </si>
  <si>
    <t>-556.518900683676 18.5662292980487 -841.390439332618</t>
  </si>
  <si>
    <t>-509.951916882249 13.6344340748592 -931.890055517368</t>
  </si>
  <si>
    <t>-577.018869057909 59.8317121270534 -782.825737197893</t>
  </si>
  <si>
    <t>-589.108698666187 206.371433000916 -784.612828312059</t>
  </si>
  <si>
    <t>-608.647068653379 317.132462283726 -488.747201194682</t>
  </si>
  <si>
    <t>-423.864112898052 278.907548085577 -309.760654487344</t>
  </si>
  <si>
    <t>-367.543836189497 49.1320186540179 -451.381332183003</t>
  </si>
  <si>
    <t>-633.883372011685 209.66280644622 -253.114958629937</t>
  </si>
  <si>
    <t>-610.158113496557 247.408964207983 200.393588116998</t>
  </si>
  <si>
    <t>-622.611169939907 256.574577597073 670.062299631774</t>
  </si>
  <si>
    <t>-465.400470567983 278.679386459292 745.822994832202</t>
  </si>
  <si>
    <t>-547.47817101229 37.9944484477599 -233.359674040331</t>
  </si>
  <si>
    <t>-457.206163915214 57.4949628185798 212.878348066339</t>
  </si>
  <si>
    <t>-610.196970441571 14.1135567126701 654.878993640987</t>
  </si>
  <si>
    <t>-455.684129797882 -25.1475939949473 729.228518793476</t>
  </si>
  <si>
    <t>9763-20170724T170213.194486700.bin</t>
  </si>
  <si>
    <t>-590.61404135771 122.740887306262 -243.741985607873</t>
  </si>
  <si>
    <t>-611.562480271146 99.0954597161233 -360.660012650793</t>
  </si>
  <si>
    <t>-612.075799632232 78.3232601108043 -480.070327845643</t>
  </si>
  <si>
    <t>-604.053155053794 60.2860268459888 -587.797515432791</t>
  </si>
  <si>
    <t>-587.659453299195 42.6398116981477 -694.637198353376</t>
  </si>
  <si>
    <t>-556.210337429993 18.2221277195481 -841.656610141016</t>
  </si>
  <si>
    <t>-509.626089818786 13.4142540705238 -932.154112250538</t>
  </si>
  <si>
    <t>-576.83180963659 59.4211329294669 -783.087750032207</t>
  </si>
  <si>
    <t>-589.234865253741 205.941858977299 -784.833253801559</t>
  </si>
  <si>
    <t>-609.59842931258 316.774937558847 -489.05039210257</t>
  </si>
  <si>
    <t>-424.943909729939 279.091517225999 -309.816484867524</t>
  </si>
  <si>
    <t>-367.343085167231 49.1466510957641 -451.668376804184</t>
  </si>
  <si>
    <t>-634.003406859699 208.435882396622 -253.051122371109</t>
  </si>
  <si>
    <t>-610.102801914064 246.724731085458 200.402677609015</t>
  </si>
  <si>
    <t>-622.593193155365 256.474753214352 670.060557521797</t>
  </si>
  <si>
    <t>-465.392122755477 278.702701164111 745.805166067131</t>
  </si>
  <si>
    <t>-547.154352611615 37.1428723280244 -233.864582885506</t>
  </si>
  <si>
    <t>-458.120401876045 56.5903878502002 212.624418865291</t>
  </si>
  <si>
    <t>-610.207644140679 13.9655997180184 655.046899860415</t>
  </si>
  <si>
    <t>-455.624866557542 -25.0797674840867 729.364701075734</t>
  </si>
  <si>
    <t>9763-20170724T170213.258562100.bin</t>
  </si>
  <si>
    <t>-590.627861371961 120.718858763986 -244.162660168879</t>
  </si>
  <si>
    <t>-611.706919502553 97.5736911461022 -361.157367856759</t>
  </si>
  <si>
    <t>-612.16043227932 77.1531556450661 -480.628696375771</t>
  </si>
  <si>
    <t>-604.012275841927 59.3649864871563 -588.387731565303</t>
  </si>
  <si>
    <t>-587.426476555724 41.8932504735349 -695.226412516603</t>
  </si>
  <si>
    <t>-555.64674046137 17.6360054415693 -842.201424894898</t>
  </si>
  <si>
    <t>-508.966125591647 12.9971346773234 -932.657914128315</t>
  </si>
  <si>
    <t>-576.559233314927 58.7297772247007 -783.661734960966</t>
  </si>
  <si>
    <t>-589.697723931917 205.187098534552 -785.378038060889</t>
  </si>
  <si>
    <t>-611.531125747927 316.121806993533 -489.737999836073</t>
  </si>
  <si>
    <t>-427.119594034594 279.368370897043 -310.061591797006</t>
  </si>
  <si>
    <t>-367.027853233195 49.1408596529491 -452.116048050441</t>
  </si>
  <si>
    <t>-634.27426299588 205.926455596958 -252.907821735112</t>
  </si>
  <si>
    <t>-609.895633685332 245.302905483117 200.427338369996</t>
  </si>
  <si>
    <t>-622.55803690071 256.342878456873 670.068481851362</t>
  </si>
  <si>
    <t>-465.395065968762 278.894955077996 745.796471044915</t>
  </si>
  <si>
    <t>-546.923734311648 35.6117322407824 -234.785893260885</t>
  </si>
  <si>
    <t>-460.199182631676 54.2217574975357 212.193030048149</t>
  </si>
  <si>
    <t>-610.308414185565 13.7163878723704 655.543014928554</t>
  </si>
  <si>
    <t>-455.694858404896 -25.3686480576664 729.775945899509</t>
  </si>
  <si>
    <t>9763-20170724T170213.297670500.bin</t>
  </si>
  <si>
    <t>-590.680381465459 119.63734402359 -244.329912680754</t>
  </si>
  <si>
    <t>-611.804178882945 96.7459301869096 -361.366639191193</t>
  </si>
  <si>
    <t>-612.200804860481 76.5233052790772 -480.871666765</t>
  </si>
  <si>
    <t>-603.962564211603 58.8854932781167 -588.648638755413</t>
  </si>
  <si>
    <t>-587.250368895225 41.5320117951949 -695.486803556976</t>
  </si>
  <si>
    <t>-555.260007970144 17.4027233339725 -842.437233398308</t>
  </si>
  <si>
    <t>-508.502730550272 12.8291628806453 -932.857431635177</t>
  </si>
  <si>
    <t>-576.338911852362 58.423631568166 -783.90619998485</t>
  </si>
  <si>
    <t>-589.817369691743 204.851940040058 -785.616024578127</t>
  </si>
  <si>
    <t>-612.452879305728 315.794552195661 -490.039298810368</t>
  </si>
  <si>
    <t>-428.1606072618 279.522624084783 -310.142732534602</t>
  </si>
  <si>
    <t>-366.648948315925 49.1054340770147 -452.261844936334</t>
  </si>
  <si>
    <t>-634.411151436515 204.56155813626 -252.808872139185</t>
  </si>
  <si>
    <t>-609.776153125255 244.641324881858 200.450799093741</t>
  </si>
  <si>
    <t>-622.547759953242 256.325956197821 670.049536688803</t>
  </si>
  <si>
    <t>-465.419010836076 279.107321213907 745.779781206012</t>
  </si>
  <si>
    <t>-546.892825629763 34.8523077629491 -235.195579391971</t>
  </si>
  <si>
    <t>-461.147141680463 53.0344919400725 211.989821470729</t>
  </si>
  <si>
    <t>-610.345433595372 13.5198133395834 655.784657298164</t>
  </si>
  <si>
    <t>-455.705785248597 -25.5179447972382 729.988008705263</t>
  </si>
  <si>
    <t>9763-20170724T170213.363877900.bin</t>
  </si>
  <si>
    <t>-590.89038784719 117.49691641471 -244.615483752483</t>
  </si>
  <si>
    <t>-612.191711666111 95.0396260310501 -361.704011251185</t>
  </si>
  <si>
    <t>-612.52740007372 75.1569494063879 -481.266262405951</t>
  </si>
  <si>
    <t>-604.141047221705 57.7769464493647 -589.073763751961</t>
  </si>
  <si>
    <t>-587.19211404437 40.6237390296574 -695.907129262294</t>
  </si>
  <si>
    <t>-554.786369266639 16.7062373083727 -842.801002783069</t>
  </si>
  <si>
    <t>-507.88636541346 12.268703824627 -933.154123178496</t>
  </si>
  <si>
    <t>-576.202108912093 57.5967631929091 -784.300956688359</t>
  </si>
  <si>
    <t>-590.461707802246 203.938980048865 -785.936299743689</t>
  </si>
  <si>
    <t>-614.763593894739 315.068640776007 -490.562248991934</t>
  </si>
  <si>
    <t>-430.551845671179 279.487375923395 -310.445386164962</t>
  </si>
  <si>
    <t>-366.411438998216 48.8692367565259 -452.616015378335</t>
  </si>
  <si>
    <t>-634.908580650831 201.897337120233 -252.536215154074</t>
  </si>
  <si>
    <t>-609.434356451075 243.30973687359 200.557378407061</t>
  </si>
  <si>
    <t>-622.528615851011 256.07588715407 670.092260645783</t>
  </si>
  <si>
    <t>-465.467439643167 279.448029454017 745.782781573363</t>
  </si>
  <si>
    <t>-546.741296835423 33.1455187017132 -236.063898089404</t>
  </si>
  <si>
    <t>-463.305609807804 50.9968078032039 211.571526265185</t>
  </si>
  <si>
    <t>-610.352146790199 13.1078559418368 656.206912985161</t>
  </si>
  <si>
    <t>-455.588154034997 -25.4317664159983 730.411478983642</t>
  </si>
  <si>
    <t>9763-20170724T170213.394983600.bin</t>
  </si>
  <si>
    <t>-590.856509385323 116.497382374893 -244.79178855195</t>
  </si>
  <si>
    <t>-612.250664438161 94.2705363061589 -361.907256364234</t>
  </si>
  <si>
    <t>-612.595343026979 74.5813677988053 -481.501652462814</t>
  </si>
  <si>
    <t>-604.184386643619 57.3557340927002 -589.331987003753</t>
  </si>
  <si>
    <t>-587.179671529438 40.3325532809247 -696.177073692063</t>
  </si>
  <si>
    <t>-554.665958008481 16.5676262016325 -843.071968990391</t>
  </si>
  <si>
    <t>-507.709699531917 12.2396608819786 -933.401139471123</t>
  </si>
  <si>
    <t>-576.225778331265 57.3698151039027 -784.563265685287</t>
  </si>
  <si>
    <t>-590.926981701195 203.678567263314 -786.170020741643</t>
  </si>
  <si>
    <t>-615.809351761988 314.820301599618 -490.848801155684</t>
  </si>
  <si>
    <t>-431.691867932689 279.756969314038 -310.53406912794</t>
  </si>
  <si>
    <t>-366.214328138282 49.0670482259645 -452.863908114729</t>
  </si>
  <si>
    <t>-635.167280231934 200.671063191755 -252.396684404552</t>
  </si>
  <si>
    <t>-609.205021747107 242.746929262499 200.607944744633</t>
  </si>
  <si>
    <t>-622.561770049381 256.095797448398 670.109816990336</t>
  </si>
  <si>
    <t>-465.510650467263 279.600432325417 745.780068888207</t>
  </si>
  <si>
    <t>-546.394251668284 32.4439799004751 -236.566316951166</t>
  </si>
  <si>
    <t>-464.368620764955 49.9874750952542 211.341786294658</t>
  </si>
  <si>
    <t>-610.356432891293 12.7457362188454 656.460249938511</t>
  </si>
  <si>
    <t>-455.546355426634 -25.6047029619617 730.666609201143</t>
  </si>
  <si>
    <t>9763-20170724T170213.460140200.bin</t>
  </si>
  <si>
    <t>-590.72458021961 114.42766300376 -245.104962495218</t>
  </si>
  <si>
    <t>-612.238939486728 92.6128672481998 -362.276016863027</t>
  </si>
  <si>
    <t>-612.563394008988 73.2644505433834 -481.925989165227</t>
  </si>
  <si>
    <t>-604.08042046116 56.3142563914516 -589.794399004895</t>
  </si>
  <si>
    <t>-586.952536652783 39.5307301609441 -696.657826147166</t>
  </si>
  <si>
    <t>-554.217677152233 16.0596362918081 -843.550760950853</t>
  </si>
  <si>
    <t>-507.187992624446 12.0059705682013 -933.854493928771</t>
  </si>
  <si>
    <t>-576.105517639572 56.6779365942523 -785.035758993577</t>
  </si>
  <si>
    <t>-591.881126876659 202.860325606887 -786.527600698682</t>
  </si>
  <si>
    <t>-617.754213894094 313.846572574489 -491.233089775249</t>
  </si>
  <si>
    <t>-433.553247654488 279.842958743533 -310.800894047348</t>
  </si>
  <si>
    <t>-365.673286348603 49.4358946989662 -453.618917888382</t>
  </si>
  <si>
    <t>-635.469437041075 198.154599932682 -252.163659110913</t>
  </si>
  <si>
    <t>-608.859842632173 241.425762944889 200.690814849279</t>
  </si>
  <si>
    <t>-622.536558957387 255.849209400672 670.129174642797</t>
  </si>
  <si>
    <t>-465.571601044736 280.059248868174 745.755773010799</t>
  </si>
  <si>
    <t>-545.908527404222 30.658641729035 -237.427656890683</t>
  </si>
  <si>
    <t>-466.489819417612 48.1342348725184 210.952629930013</t>
  </si>
  <si>
    <t>-610.179615584935 12.1024781909941 656.772921578848</t>
  </si>
  <si>
    <t>-455.382571079606 -25.4985529380594 731.388934326245</t>
  </si>
  <si>
    <t>9763-20170724T170213.493228000.bin</t>
  </si>
  <si>
    <t>-590.658421422851 113.441119431096 -245.415156751821</t>
  </si>
  <si>
    <t>-612.20254129466 91.8963809694194 -362.630617513076</t>
  </si>
  <si>
    <t>-612.513932695095 72.7605172787428 -482.314825552198</t>
  </si>
  <si>
    <t>-604.004323372886 55.9779005813275 -590.207317307898</t>
  </si>
  <si>
    <t>-586.836458616395 39.3363665422983 -697.086481949291</t>
  </si>
  <si>
    <t>-554.033688604337 16.0354039670715 -843.991318965659</t>
  </si>
  <si>
    <t>-506.994905892648 12.1516004309804 -934.297806031089</t>
  </si>
  <si>
    <t>-576.079539493378 56.5486024878039 -785.462853996082</t>
  </si>
  <si>
    <t>-592.446527600632 202.669196653937 -786.891103496583</t>
  </si>
  <si>
    <t>-618.677801065364 313.482847406642 -491.563368740314</t>
  </si>
  <si>
    <t>-434.387663569144 280.161401091563 -311.094983119957</t>
  </si>
  <si>
    <t>-365.226337977785 50.0299821461897 -454.221701448885</t>
  </si>
  <si>
    <t>-635.627272292244 197.038348712628 -252.134070511948</t>
  </si>
  <si>
    <t>-608.77776924758 240.702898296464 200.668633921676</t>
  </si>
  <si>
    <t>-622.545011504523 255.720343416807 670.124170126022</t>
  </si>
  <si>
    <t>-465.602388447201 280.16156088166 745.722778761926</t>
  </si>
  <si>
    <t>-545.595403814515 29.9498117295987 -238.099643895589</t>
  </si>
  <si>
    <t>-467.53528780468 46.8887442493594 210.539822038855</t>
  </si>
  <si>
    <t>-609.859596700695 11.4879576464721 656.793510491933</t>
  </si>
  <si>
    <t>-455.351401498237 -25.7589518787322 732.181816210257</t>
  </si>
  <si>
    <t>9763-20170724T170213.563465100.bin</t>
  </si>
  <si>
    <t>-590.653482744924 111.185848448592 -246.124271969375</t>
  </si>
  <si>
    <t>-612.017532594058 90.2306652256063 -363.479543797119</t>
  </si>
  <si>
    <t>-612.200855544805 71.511676796785 -483.229841977756</t>
  </si>
  <si>
    <t>-603.605044211217 55.0408946460311 -591.163503704153</t>
  </si>
  <si>
    <t>-586.383698508694 38.6485249313821 -698.072612361656</t>
  </si>
  <si>
    <t>-553.54292534524 15.631838244364 -845.013818770296</t>
  </si>
  <si>
    <t>-506.526643949007 12.0768058231517 -935.34550624242</t>
  </si>
  <si>
    <t>-575.869806874351 55.9539871080137 -786.460118008234</t>
  </si>
  <si>
    <t>-593.448751065299 201.955383373117 -787.843353238456</t>
  </si>
  <si>
    <t>-620.546453551886 312.153866701637 -492.363783740823</t>
  </si>
  <si>
    <t>-435.905860216649 280.146491964272 -312.01571998234</t>
  </si>
  <si>
    <t>-363.981141368708 51.121345629067 -455.698281614381</t>
  </si>
  <si>
    <t>-635.988348103062 194.678815811264 -252.162452421277</t>
  </si>
  <si>
    <t>-608.829818881821 239.360030192306 200.522468012492</t>
  </si>
  <si>
    <t>-622.625936391977 255.677099150212 670.050017951111</t>
  </si>
  <si>
    <t>-465.725430380503 280.600025015297 745.578832653897</t>
  </si>
  <si>
    <t>-545.298192147421 27.663316270889 -239.411948939184</t>
  </si>
  <si>
    <t>-469.163499641691 43.781478454513 209.588579764706</t>
  </si>
  <si>
    <t>-608.737638017876 9.35788014551258 656.764535681407</t>
  </si>
  <si>
    <t>-455.039338383491 -25.754751193974 734.786666016753</t>
  </si>
  <si>
    <t>9763-20170724T170213.596533200.bin</t>
  </si>
  <si>
    <t>-590.806582346473 110.29649360506 -246.433820269472</t>
  </si>
  <si>
    <t>-612.238633398517 89.5958632519862 -363.821764917177</t>
  </si>
  <si>
    <t>-612.444485092323 71.0477058000311 -483.598660668831</t>
  </si>
  <si>
    <t>-603.853735514482 54.7019819166817 -591.551692929531</t>
  </si>
  <si>
    <t>-586.623669937879 38.407732902903 -698.474497928071</t>
  </si>
  <si>
    <t>-553.757739804927 15.5022988348637 -845.427485443024</t>
  </si>
  <si>
    <t>-506.787910946259 12.1000135764141 -935.789258128909</t>
  </si>
  <si>
    <t>-576.223986922365 55.7414850576076 -786.869944129869</t>
  </si>
  <si>
    <t>-594.469323683383 201.634012508051 -788.253749535898</t>
  </si>
  <si>
    <t>-622.002948770085 311.642787735125 -492.743809049506</t>
  </si>
  <si>
    <t>-437.257710742032 280.270523472925 -312.391325319737</t>
  </si>
  <si>
    <t>-363.848120609838 51.7874501526696 -456.383489731051</t>
  </si>
  <si>
    <t>-636.294395526603 193.58841824034 -252.146276696684</t>
  </si>
  <si>
    <t>-608.982113930061 238.797663142716 200.477067637583</t>
  </si>
  <si>
    <t>-622.686729762785 255.721299203761 670.016715023039</t>
  </si>
  <si>
    <t>-465.773532007875 280.628955465887 745.524033397877</t>
  </si>
  <si>
    <t>-545.454644608232 27.1289344226275 -239.989986171448</t>
  </si>
  <si>
    <t>-470.875871269473 42.67466724621 209.291601864817</t>
  </si>
  <si>
    <t>-608.613574479061 8.9045015964723 657.375286396114</t>
  </si>
  <si>
    <t>-454.812532034105 -24.9609913534919 735.745411182972</t>
  </si>
  <si>
    <t>9763-20170724T170213.665729300.bin</t>
  </si>
  <si>
    <t>-591.32311110975 109.882684812357 -247.066791740138</t>
  </si>
  <si>
    <t>-612.944035991252 90.3103738155871 -364.613746141899</t>
  </si>
  <si>
    <t>-613.25431211329 72.4465536587786 -484.494235466777</t>
  </si>
  <si>
    <t>-604.738800378752 56.5461158260371 -592.519776435004</t>
  </si>
  <si>
    <t>-587.572590752304 40.5285633541093 -699.494633392098</t>
  </si>
  <si>
    <t>-554.790551353431 17.8378252779935 -846.499658491295</t>
  </si>
  <si>
    <t>-507.931782367847 14.8022233932761 -936.931991121096</t>
  </si>
  <si>
    <t>-577.537388904513 57.895171513052 -787.925674277026</t>
  </si>
  <si>
    <t>-597.222028056253 203.609506926651 -789.394367713633</t>
  </si>
  <si>
    <t>-625.09007568471 313.486986348686 -493.866848469211</t>
  </si>
  <si>
    <t>-440.31136505459 283.60116026879 -313.296218605136</t>
  </si>
  <si>
    <t>-364.183270298655 56.2662677957226 -457.845391408217</t>
  </si>
  <si>
    <t>-636.786680280253 192.596487857935 -251.935394571572</t>
  </si>
  <si>
    <t>-609.66157873295 237.722086077651 200.707406420629</t>
  </si>
  <si>
    <t>-622.837193703103 255.741100246878 670.116049799538</t>
  </si>
  <si>
    <t>-465.898851309206 280.667560742788 745.564947086287</t>
  </si>
  <si>
    <t>-545.966406799066 27.6813511833193 -241.482064478476</t>
  </si>
  <si>
    <t>-476.45171862945 40.9651663303737 208.683285762954</t>
  </si>
  <si>
    <t>-608.923790182773 8.14566217821312 658.786764315326</t>
  </si>
  <si>
    <t>-454.792564478797 -24.4548763006337 737.044557002216</t>
  </si>
  <si>
    <t>9763-20170724T170213.692799400.bin</t>
  </si>
  <si>
    <t>-591.510661773254 109.737439771705 -247.433621378703</t>
  </si>
  <si>
    <t>-612.995409276766 90.9086671221851 -365.126888537046</t>
  </si>
  <si>
    <t>-613.288431711119 73.42088921084 -485.062978703741</t>
  </si>
  <si>
    <t>-604.818423270384 57.7160791950914 -593.120662315277</t>
  </si>
  <si>
    <t>-587.764608020427 41.752569804295 -700.121379455171</t>
  </si>
  <si>
    <t>-555.2124239882 18.9936479087501 -847.167046958313</t>
  </si>
  <si>
    <t>-508.464128666679 16.0675173696286 -937.66025983026</t>
  </si>
  <si>
    <t>-578.018115926216 59.0308538658967 -788.602121767409</t>
  </si>
  <si>
    <t>-598.463836229627 204.679712471642 -790.2028022086</t>
  </si>
  <si>
    <t>-626.464356888911 314.485221135035 -494.661077469068</t>
  </si>
  <si>
    <t>-441.65732629311 285.352324416039 -313.996555906805</t>
  </si>
  <si>
    <t>-364.103548006099 58.823870780277 -458.654941452822</t>
  </si>
  <si>
    <t>-636.893138202813 191.942428634649 -251.778009473588</t>
  </si>
  <si>
    <t>-610.158611376407 237.233105634578 200.871599063471</t>
  </si>
  <si>
    <t>-622.937253826516 255.77396316814 670.212143751504</t>
  </si>
  <si>
    <t>-465.951210346781 280.501308446057 745.627292466892</t>
  </si>
  <si>
    <t>-546.045581519525 27.8385970313254 -242.259353538227</t>
  </si>
  <si>
    <t>-479.088347682374 39.9437806078108 208.326776222155</t>
  </si>
  <si>
    <t>-608.920453326014 7.68229788267354 659.176629418564</t>
  </si>
  <si>
    <t>-454.654269016337 -24.3335644731037 737.409873840869</t>
  </si>
  <si>
    <t>9763-20170724T170213.814128200.bin</t>
  </si>
  <si>
    <t>-591.583128503987 109.290093986771 -247.750668549194</t>
  </si>
  <si>
    <t>-613.012758782784 91.0819867355372 -365.551549690039</t>
  </si>
  <si>
    <t>-613.349932895645 73.9010774544763 -485.531831130516</t>
  </si>
  <si>
    <t>-604.970545359519 58.3460758205215 -593.618229223808</t>
  </si>
  <si>
    <t>-588.062726544456 42.4051987995333 -700.645675769223</t>
  </si>
  <si>
    <t>-555.774963202294 19.5465283707294 -847.734039292213</t>
  </si>
  <si>
    <t>-509.17948085237 16.6508410505403 -938.30696068603</t>
  </si>
  <si>
    <t>-578.592759437669 59.5857310031695 -789.175337672995</t>
  </si>
  <si>
    <t>-599.628690523865 205.138079907302 -790.873753657176</t>
  </si>
  <si>
    <t>-628.180536154067 314.798753403788 -495.330976757332</t>
  </si>
  <si>
    <t>-443.405126988722 286.236658277106 -314.543052797543</t>
  </si>
  <si>
    <t>-363.924451458038 60.7450727146479 -459.278197594252</t>
  </si>
  <si>
    <t>-637.126066241475 190.824944068086 -251.579967005155</t>
  </si>
  <si>
    <t>-610.440373560706 236.623872751225 201.021369667008</t>
  </si>
  <si>
    <t>-622.989349308022 255.644936102014 670.294278970183</t>
  </si>
  <si>
    <t>-466.027294069428 280.64971106465 745.667921324683</t>
  </si>
  <si>
    <t>-545.942581557445 27.8275474414836 -243.190037863608</t>
  </si>
  <si>
    <t>-481.977586594167 38.6915687794447 207.86230294892</t>
  </si>
  <si>
    <t>-608.844659793217 7.17983695192561 659.498427681654</t>
  </si>
  <si>
    <t>-454.477691712478 -24.3006232048328 737.750092659039</t>
  </si>
  <si>
    <t>9763-20170724T170213.860281200.bin</t>
  </si>
  <si>
    <t>-591.153911235418 106.497491162144 -249.280471965052</t>
  </si>
  <si>
    <t>-613.290672409927 90.6874278703158 -367.296624763251</t>
  </si>
  <si>
    <t>-614.17797483977 74.9628801564763 -487.473820107969</t>
  </si>
  <si>
    <t>-606.257885616139 60.3414122054019 -595.724939034736</t>
  </si>
  <si>
    <t>-589.786244625297 44.9513384291893 -702.900995774783</t>
  </si>
  <si>
    <t>-558.095091400689 22.4631509051726 -850.175978768753</t>
  </si>
  <si>
    <t>-512.115430513763 19.9073891374708 -941.073388890351</t>
  </si>
  <si>
    <t>-581.182792449481 62.1868894088859 -791.508264599809</t>
  </si>
  <si>
    <t>-604.515927691426 207.359235835356 -793.160386009704</t>
  </si>
  <si>
    <t>-635.661327063203 317.377121158956 -498.0125773069</t>
  </si>
  <si>
    <t>-451.175917911167 291.062927293669 -316.588358475856</t>
  </si>
  <si>
    <t>-563.052075458764 2.64007718170433 -778.514363625522</t>
  </si>
  <si>
    <t>-363.966312097524 67.0884782611092 -463.038134849648</t>
  </si>
  <si>
    <t>-636.566700776143 185.826327855225 -250.817829296876</t>
  </si>
  <si>
    <t>-610.983475812049 233.984063579031 201.602312248987</t>
  </si>
  <si>
    <t>-623.279652562921 255.311780375013 670.584951208943</t>
  </si>
  <si>
    <t>-466.424675719076 281.682458904466 745.715518944655</t>
  </si>
  <si>
    <t>-545.634897173153 27.2470625732294 -247.030437462626</t>
  </si>
  <si>
    <t>-494.729274966226 31.2095821105499 205.794725246899</t>
  </si>
  <si>
    <t>-608.691858848415 4.57551031841854 661.352889194339</t>
  </si>
  <si>
    <t>-453.582361628214 -23.6631310076586 739.372930734815</t>
  </si>
  <si>
    <t>9763-20170724T170213.894344000.bin</t>
  </si>
  <si>
    <t>-591.156443638384 105.629042016181 -249.617051332031</t>
  </si>
  <si>
    <t>-613.438159895024 90.437270688283 -367.687218128209</t>
  </si>
  <si>
    <t>-614.455184415873 75.1364809899949 -487.917754000228</t>
  </si>
  <si>
    <t>-606.650758086302 60.8255006965401 -596.218962088941</t>
  </si>
  <si>
    <t>-590.295033196106 45.6776075840644 -703.447219234814</t>
  </si>
  <si>
    <t>-558.766970509753 23.4585468856212 -850.798092652206</t>
  </si>
  <si>
    <t>-512.895212349657 21.1354895600687 -941.756182351269</t>
  </si>
  <si>
    <t>-581.920221121348 63.0304424940812 -792.053516126938</t>
  </si>
  <si>
    <t>-605.857898623993 208.114220554016 -793.56029220517</t>
  </si>
  <si>
    <t>-637.618211489784 317.956045023289 -498.412356910662</t>
  </si>
  <si>
    <t>-453.116741048923 292.36129981665 -316.901553376219</t>
  </si>
  <si>
    <t>-563.514071743441 3.54918998821199 -779.146103494113</t>
  </si>
  <si>
    <t>-363.996601496369 68.5276393436186 -463.992355867176</t>
  </si>
  <si>
    <t>-636.413792987473 184.461190590104 -250.633820922382</t>
  </si>
  <si>
    <t>-611.216091108925 233.322924936788 201.732450230591</t>
  </si>
  <si>
    <t>-623.380257220518 255.310777673175 670.646000207399</t>
  </si>
  <si>
    <t>-466.550955016976 281.969401441795 745.728728016236</t>
  </si>
  <si>
    <t>-545.781733322663 26.8283364798008 -247.803153091334</t>
  </si>
  <si>
    <t>-498.05322833406 29.1928737474173 205.37901112201</t>
  </si>
  <si>
    <t>-608.677282769832 3.75801732424361 661.869507085438</t>
  </si>
  <si>
    <t>-453.360816023007 -23.4839686958082 739.832240182429</t>
  </si>
  <si>
    <t>9763-20170724T170213.970142500.bin</t>
  </si>
  <si>
    <t>-591.178501512759 104.629660883268 -249.811687382471</t>
  </si>
  <si>
    <t>-613.640395927122 89.9511497179783 -367.91252435172</t>
  </si>
  <si>
    <t>-614.796203798175 75.0165957694301 -488.18783773791</t>
  </si>
  <si>
    <t>-607.103215851613 60.9834456565213 -596.533475934891</t>
  </si>
  <si>
    <t>-590.846056951428 46.0644927526544 -703.808718361589</t>
  </si>
  <si>
    <t>-559.442342973396 24.1173113382838 -851.226884276497</t>
  </si>
  <si>
    <t>-513.663402143808 22.051056582329 -942.237849737994</t>
  </si>
  <si>
    <t>-582.675640425425 63.5357408855771 -792.410886075827</t>
  </si>
  <si>
    <t>-607.214431738546 208.533311414267 -793.74585876149</t>
  </si>
  <si>
    <t>-639.647541856425 318.0784703398 -498.560940764372</t>
  </si>
  <si>
    <t>-455.103115957938 293.251062598304 -316.987287411956</t>
  </si>
  <si>
    <t>-563.999401622035 4.12074516215375 -779.586859757125</t>
  </si>
  <si>
    <t>-364.079780196227 69.5612765135827 -464.799696706548</t>
  </si>
  <si>
    <t>-636.242243454267 183.096340715756 -250.420170025066</t>
  </si>
  <si>
    <t>-611.533007581231 232.618126992927 201.901299173157</t>
  </si>
  <si>
    <t>-623.517286311947 255.36060054543 670.738787212216</t>
  </si>
  <si>
    <t>-466.667169109295 282.070915491068 745.759595939303</t>
  </si>
  <si>
    <t>-545.998658819025 26.0933536682796 -248.425801673568</t>
  </si>
  <si>
    <t>-501.068765595296 27.1950645178829 205.047176836762</t>
  </si>
  <si>
    <t>-608.647844588852 3.05092687807451 662.332747486082</t>
  </si>
  <si>
    <t>-453.258231100428 -23.7709338527284 740.295298947021</t>
  </si>
  <si>
    <t>9763-20170724T170213.999221100.bin</t>
  </si>
  <si>
    <t>-590.756497741604 101.887089131325 -250.06591136113</t>
  </si>
  <si>
    <t>-613.459053941559 88.0473248369531 -368.222066802527</t>
  </si>
  <si>
    <t>-614.812339565458 73.7294873822059 -488.570413431901</t>
  </si>
  <si>
    <t>-607.284017154504 60.1782732765932 -596.988773840684</t>
  </si>
  <si>
    <t>-591.178650784425 45.6742197371034 -704.343737919236</t>
  </si>
  <si>
    <t>-559.97289299424 24.2427498258189 -851.87986089469</t>
  </si>
  <si>
    <t>-514.402135490987 22.7235132363264 -943.006135790898</t>
  </si>
  <si>
    <t>-583.380349016607 63.3657445109386 -792.935836837148</t>
  </si>
  <si>
    <t>-609.188810516497 208.142828416417 -793.903390522089</t>
  </si>
  <si>
    <t>-642.947770966114 316.841353331243 -498.55421962272</t>
  </si>
  <si>
    <t>-458.062439303257 293.380583057028 -317.145700714266</t>
  </si>
  <si>
    <t>-564.180599823958 4.08521602924543 -780.263631026143</t>
  </si>
  <si>
    <t>-363.783908828107 70.304593492478 -466.232775795391</t>
  </si>
  <si>
    <t>-635.654603932628 179.785722282999 -249.944956892592</t>
  </si>
  <si>
    <t>-612.038539999027 230.936302056256 202.253744290824</t>
  </si>
  <si>
    <t>-623.800638549189 255.395587465466 670.9410178186</t>
  </si>
  <si>
    <t>-466.989295145549 282.886350423631 745.760675839906</t>
  </si>
  <si>
    <t>-545.538516624759 23.8014974105627 -249.409198122029</t>
  </si>
  <si>
    <t>-505.826278772887 23.0992438785511 204.551238082965</t>
  </si>
  <si>
    <t>-608.465971088035 1.63587329413917 663.072107662519</t>
  </si>
  <si>
    <t>-452.862353636322 -23.9425146148606 741.0257364972</t>
  </si>
  <si>
    <t>9763-20170724T170214.075005900.bin</t>
  </si>
  <si>
    <t>-590.337865143074 100.317895099805 -250.093914564444</t>
  </si>
  <si>
    <t>-613.105709391743 86.8266345209793 -368.277922489116</t>
  </si>
  <si>
    <t>-614.504686572047 72.7858380962027 -488.65831557983</t>
  </si>
  <si>
    <t>-607.010998326732 59.4610105240304 -597.10713914765</t>
  </si>
  <si>
    <t>-590.933886225543 45.161891820921 -704.493853986469</t>
  </si>
  <si>
    <t>-559.760815027951 23.9960669299437 -852.075150850043</t>
  </si>
  <si>
    <t>-514.260166602914 22.7489808182504 -943.240563566194</t>
  </si>
  <si>
    <t>-583.266453152063 62.9729340834085 -793.073423590255</t>
  </si>
  <si>
    <t>-609.630679736553 207.64819760907 -793.854982509394</t>
  </si>
  <si>
    <t>-644.017686146942 315.874856022076 -498.404902825995</t>
  </si>
  <si>
    <t>-459.01506759323 292.972686370309 -317.044541993977</t>
  </si>
  <si>
    <t>-563.841360826041 3.74977357019725 -780.476592312381</t>
  </si>
  <si>
    <t>-363.232654622416 70.3754842891858 -466.69362075628</t>
  </si>
  <si>
    <t>-635.309298624571 178.010009112477 -249.670899677947</t>
  </si>
  <si>
    <t>-612.227159608966 229.995655207716 202.459911256924</t>
  </si>
  <si>
    <t>-623.995752076474 255.510628065294 671.055410214757</t>
  </si>
  <si>
    <t>-467.168648942836 283.174562739673 745.778094818682</t>
  </si>
  <si>
    <t>-545.107910474165 22.5755315980355 -249.732513486478</t>
  </si>
  <si>
    <t>-507.540166962133 21.3257309929973 204.409325539883</t>
  </si>
  <si>
    <t>-608.366709227273 1.1735465492286 663.371388777314</t>
  </si>
  <si>
    <t>-452.698091889252 -24.1039227577601 741.293392386856</t>
  </si>
  <si>
    <t>9763-20170724T170214.097065600.bin</t>
  </si>
  <si>
    <t>-589.415906224176 96.9390395043922 -250.018353276392</t>
  </si>
  <si>
    <t>-612.462518340694 84.0285393653767 -368.213029243312</t>
  </si>
  <si>
    <t>-614.003070071078 70.5498102106294 -488.655956380098</t>
  </si>
  <si>
    <t>-606.579928687125 57.733817104755 -597.170939970479</t>
  </si>
  <si>
    <t>-590.514600649369 43.9490968880232 -704.626737066594</t>
  </si>
  <si>
    <t>-559.29580062449 23.5091867918973 -852.300661685297</t>
  </si>
  <si>
    <t>-513.914646486293 22.8623042180477 -943.531777150954</t>
  </si>
  <si>
    <t>-583.057083777281 62.1087052928606 -793.153476874191</t>
  </si>
  <si>
    <t>-610.543500105893 206.574492520626 -793.512192693921</t>
  </si>
  <si>
    <t>-646.357120074153 313.919256548148 -497.909972864385</t>
  </si>
  <si>
    <t>-461.233036002251 291.873113103566 -316.567545137972</t>
  </si>
  <si>
    <t>-563.161174643396 2.99779220059122 -780.765706830425</t>
  </si>
  <si>
    <t>-362.487880505858 70.1329845803032 -467.074281656814</t>
  </si>
  <si>
    <t>-634.564994630827 174.350863613608 -249.09221956332</t>
  </si>
  <si>
    <t>-612.614883292929 228.007569458269 202.899776984764</t>
  </si>
  <si>
    <t>-624.367111271029 255.687875525284 671.307558837285</t>
  </si>
  <si>
    <t>-467.523280964743 283.919143065002 745.782540455336</t>
  </si>
  <si>
    <t>-544.061399826693 19.4406069291538 -250.200457814001</t>
  </si>
  <si>
    <t>-510.122495762739 17.896305246207 204.225959554604</t>
  </si>
  <si>
    <t>-608.204249182997 -0.0379044438523124 663.936922925376</t>
  </si>
  <si>
    <t>-452.224864368678 -24.2221767348622 741.583940207276</t>
  </si>
  <si>
    <t>9763-20170724T170214.165248400.bin</t>
  </si>
  <si>
    <t>-588.947929333453 95.0742855572855 -249.873599415546</t>
  </si>
  <si>
    <t>-611.941871752357 82.4689908173366 -368.1114107102</t>
  </si>
  <si>
    <t>-613.424849352312 69.2782432115023 -488.587083039394</t>
  </si>
  <si>
    <t>-605.948573927297 56.7182281455723 -597.128255064905</t>
  </si>
  <si>
    <t>-589.829133250771 43.1861194706808 -704.608115527433</t>
  </si>
  <si>
    <t>-558.534078943679 23.0949589880254 -852.313622660534</t>
  </si>
  <si>
    <t>-513.18344656002 22.753624399711 -943.561638300364</t>
  </si>
  <si>
    <t>-582.430699345817 61.5156822893687 -793.104683965879</t>
  </si>
  <si>
    <t>-610.517890576514 205.869220442567 -793.216319815722</t>
  </si>
  <si>
    <t>-647.15090804232 312.778129200815 -497.556500844775</t>
  </si>
  <si>
    <t>-462.033195004301 291.136337309099 -316.158843416499</t>
  </si>
  <si>
    <t>-562.331697000302 2.45354054024097 -780.812438465752</t>
  </si>
  <si>
    <t>-361.914798879255 69.7934373092664 -466.996458661717</t>
  </si>
  <si>
    <t>-634.291234394823 172.459614089823 -248.773255193855</t>
  </si>
  <si>
    <t>-612.855309876671 226.917426258825 203.147569373611</t>
  </si>
  <si>
    <t>-624.549367509996 255.723011939152 671.457441876494</t>
  </si>
  <si>
    <t>-467.687538139235 284.260456302238 745.77759772091</t>
  </si>
  <si>
    <t>-543.441929242575 17.7212090499781 -250.376230116881</t>
  </si>
  <si>
    <t>-511.115101701121 16.2015725684123 204.167983097101</t>
  </si>
  <si>
    <t>-608.034260179506 -0.79702581361289 664.115009295076</t>
  </si>
  <si>
    <t>-451.917041592663 -24.0782804192074 741.761022257756</t>
  </si>
  <si>
    <t>9763-20170724T170214.240952400.bin</t>
  </si>
  <si>
    <t>-588.644877573964 93.284764681247 -249.793707259591</t>
  </si>
  <si>
    <t>-611.431231589856 81.0685104506542 -368.112536833976</t>
  </si>
  <si>
    <t>-612.772477080781 68.2092072762784 -488.625689155681</t>
  </si>
  <si>
    <t>-605.198138820484 55.928003743637 -597.192000245533</t>
  </si>
  <si>
    <t>-589.011259759028 42.6559098639425 -704.694004634474</t>
  </si>
  <si>
    <t>-557.654463221794 22.9082019802936 -852.432901506282</t>
  </si>
  <si>
    <t>-512.314528329006 22.8851762455938 -943.686725615386</t>
  </si>
  <si>
    <t>-581.67457327564 61.1541285139624 -793.160643443341</t>
  </si>
  <si>
    <t>-610.216499500254 205.398955251155 -793.044561696075</t>
  </si>
  <si>
    <t>-647.640732972187 311.860817288295 -497.322601317007</t>
  </si>
  <si>
    <t>-462.583995040452 290.714212530611 -315.8044123998</t>
  </si>
  <si>
    <t>-561.383231437886 2.13772630848575 -780.965427610879</t>
  </si>
  <si>
    <t>-361.141947853323 69.6677573792742 -466.926682918581</t>
  </si>
  <si>
    <t>-634.194682525687 170.466326132627 -248.447318277918</t>
  </si>
  <si>
    <t>-613.126862250818 225.880176790284 203.374631687374</t>
  </si>
  <si>
    <t>-624.819038789516 255.918557975304 671.55501755693</t>
  </si>
  <si>
    <t>-467.898375928692 284.546079197134 745.716267836689</t>
  </si>
  <si>
    <t>-542.969743752344 16.1089389267502 -250.56034526154</t>
  </si>
  <si>
    <t>-512.241656686416 14.5171379269621 204.094336952812</t>
  </si>
  <si>
    <t>-607.921392751173 -1.24549822771223 664.340045906332</t>
  </si>
  <si>
    <t>-451.813370673208 -24.565538571881 741.992970305525</t>
  </si>
  <si>
    <t>9763-20170724T170214.260159500.bin</t>
  </si>
  <si>
    <t>-588.382900371472 88.437527086943 -249.443588386077</t>
  </si>
  <si>
    <t>-610.406106335468 77.3146480623564 -368.014442509322</t>
  </si>
  <si>
    <t>-611.261547371037 65.3471577945165 -488.623888488468</t>
  </si>
  <si>
    <t>-603.371316524195 53.8026853351939 -597.248424175532</t>
  </si>
  <si>
    <t>-586.99373174496 41.2050913116921 -704.802759620997</t>
  </si>
  <si>
    <t>-555.501559250917 22.3378968255113 -852.627995268504</t>
  </si>
  <si>
    <t>-510.171173860702 23.239813829337 -943.882072978018</t>
  </si>
  <si>
    <t>-579.833571547871 60.1318845526523 -793.19329741242</t>
  </si>
  <si>
    <t>-609.766274082219 204.114142024899 -792.466284326353</t>
  </si>
  <si>
    <t>-649.837193411182 309.342148016422 -496.649333979102</t>
  </si>
  <si>
    <t>-465.077119001711 289.94198652921 -314.634613379581</t>
  </si>
  <si>
    <t>-559.038186574866 1.24025495375554 -781.246607932119</t>
  </si>
  <si>
    <t>-359.806974419109 69.5301881313248 -466.758109700228</t>
  </si>
  <si>
    <t>-634.206965257244 164.965818280063 -247.520264744528</t>
  </si>
  <si>
    <t>-614.371817915722 223.12565242072 204.012405967762</t>
  </si>
  <si>
    <t>-625.426236298884 256.087133379733 671.95819643477</t>
  </si>
  <si>
    <t>-468.466290601726 285.751747277775 745.626908232428</t>
  </si>
  <si>
    <t>-542.530727476828 11.8031218833423 -250.72727370211</t>
  </si>
  <si>
    <t>-516.036308120582 9.72435479984733 204.191940522892</t>
  </si>
  <si>
    <t>-607.744439771338 -2.73216348856545 665.314272232778</t>
  </si>
  <si>
    <t>-451.415622772281 -25.460715086509 742.697911480636</t>
  </si>
  <si>
    <t>9763-20170724T170214.293234600.bin</t>
  </si>
  <si>
    <t>-588.441152479928 86.5196848473354 -249.313483683294</t>
  </si>
  <si>
    <t>-610.349865089956 75.6774136615657 -367.931598729672</t>
  </si>
  <si>
    <t>-611.109202811569 63.9461098271167 -488.564830367607</t>
  </si>
  <si>
    <t>-603.141698115985 52.5992212096767 -597.204709245983</t>
  </si>
  <si>
    <t>-586.696915729743 40.1847866805952 -704.770018228999</t>
  </si>
  <si>
    <t>-555.122349021994 21.5579471244685 -852.608032506731</t>
  </si>
  <si>
    <t>-509.783703424553 22.6961718212006 -943.855582980969</t>
  </si>
  <si>
    <t>-579.553404369781 59.229797588654 -793.136346911301</t>
  </si>
  <si>
    <t>-609.892981285457 203.117308607413 -792.271966489981</t>
  </si>
  <si>
    <t>-651.149148189795 308.037561740442 -496.508842083876</t>
  </si>
  <si>
    <t>-466.491480708928 289.149379061542 -314.336264382479</t>
  </si>
  <si>
    <t>-558.632792995945 0.369820735344319 -781.252108828645</t>
  </si>
  <si>
    <t>-359.853248067227 68.8544817870336 -466.546462346334</t>
  </si>
  <si>
    <t>-634.401878278913 162.974345860552 -247.198360658739</t>
  </si>
  <si>
    <t>-614.757402246672 222.084921409326 204.219162691612</t>
  </si>
  <si>
    <t>-625.570282081207 256.07516298923 672.092125281102</t>
  </si>
  <si>
    <t>-468.594528696082 286.009581832143 745.617918645073</t>
  </si>
  <si>
    <t>-542.443626221802 9.97036123317525 -250.746788266622</t>
  </si>
  <si>
    <t>-517.266364302628 7.98438664299692 204.247647082297</t>
  </si>
  <si>
    <t>-607.666732518649 -3.34283716877235 665.677957125529</t>
  </si>
  <si>
    <t>-451.258642601488 -25.6674577789656 743.018973878502</t>
  </si>
  <si>
    <t>9763-20170724T170214.363409200.bin</t>
  </si>
  <si>
    <t>-588.644762383039 82.8837232379331 -248.949786105952</t>
  </si>
  <si>
    <t>-610.272613332288 72.5955764086536 -367.66870540725</t>
  </si>
  <si>
    <t>-610.778550468158 61.3296594318133 -488.347688471476</t>
  </si>
  <si>
    <t>-602.598224914599 50.3672532845619 -597.011109866879</t>
  </si>
  <si>
    <t>-585.95917756614 38.300329343313 -704.586070115694</t>
  </si>
  <si>
    <t>-554.135525831489 20.118621179683 -852.426182774873</t>
  </si>
  <si>
    <t>-508.739492651444 21.6228056096736 -943.639831912381</t>
  </si>
  <si>
    <t>-578.769335144819 57.5711635765883 -792.899783978819</t>
  </si>
  <si>
    <t>-609.698206005017 201.332665643038 -791.764196982285</t>
  </si>
  <si>
    <t>-653.769549329268 306.085840944533 -496.34812908109</t>
  </si>
  <si>
    <t>-469.239378145498 287.870641275659 -313.977862473997</t>
  </si>
  <si>
    <t>-359.996525196109 67.6815572991943 -465.99416319496</t>
  </si>
  <si>
    <t>-634.722701623348 158.998522852416 -246.495558167954</t>
  </si>
  <si>
    <t>-615.564368777865 220.15278201144 204.670418221665</t>
  </si>
  <si>
    <t>-625.955225285812 256.243629589244 672.381640179411</t>
  </si>
  <si>
    <t>-468.946988871101 286.788329080388 745.586502854291</t>
  </si>
  <si>
    <t>-542.517749427581 6.78576543841541 -250.708485529497</t>
  </si>
  <si>
    <t>-519.887590866709 4.87425610670039 204.419929445445</t>
  </si>
  <si>
    <t>-607.689545669485 -4.16565639282703 666.482121606592</t>
  </si>
  <si>
    <t>-450.938471913314 -26.1010107770064 743.237968030384</t>
  </si>
  <si>
    <t>9763-20170724T170214.393485000.bin</t>
  </si>
  <si>
    <t>-588.869625678725 81.3883037406217 -248.810121032964</t>
  </si>
  <si>
    <t>-610.33190267345 71.4672791405371 -367.590339183438</t>
  </si>
  <si>
    <t>-610.69646475074 60.4550538287235 -488.293162256171</t>
  </si>
  <si>
    <t>-602.402870513253 49.6743797867084 -596.966322014348</t>
  </si>
  <si>
    <t>-585.66745432952 37.7408479004851 -704.541186059613</t>
  </si>
  <si>
    <t>-553.729642902669 19.6935893829473 -852.373052946556</t>
  </si>
  <si>
    <t>-508.292931090229 21.3156521502801 -943.564365673847</t>
  </si>
  <si>
    <t>-578.449654341115 57.0762354405938 -792.838392457219</t>
  </si>
  <si>
    <t>-609.682718846678 200.769064854799 -791.669728932964</t>
  </si>
  <si>
    <t>-655.126224707582 305.575981456452 -496.480589830889</t>
  </si>
  <si>
    <t>-470.710111277752 287.560675650169 -313.975229983402</t>
  </si>
  <si>
    <t>-360.104947285166 67.4404039265094 -465.59888383517</t>
  </si>
  <si>
    <t>-634.977499482907 157.161805762644 -246.101419875299</t>
  </si>
  <si>
    <t>-616.039983183115 219.548127567356 204.905168855266</t>
  </si>
  <si>
    <t>-626.186198463101 256.446166126516 672.511414998572</t>
  </si>
  <si>
    <t>-469.110782126919 287.041783250434 745.550739920788</t>
  </si>
  <si>
    <t>-542.765180147694 5.78994058674061 -250.784270637404</t>
  </si>
  <si>
    <t>-522.055595440548 3.1790577621216 204.432053722237</t>
  </si>
  <si>
    <t>-607.829020702038 -4.32409991539703 666.962421348625</t>
  </si>
  <si>
    <t>-450.760135356791 -26.0022791614067 743.139408556008</t>
  </si>
  <si>
    <t>9763-20170724T170214.461669900.bin</t>
  </si>
  <si>
    <t>-589.557139310122 78.509200280133 -248.655332663644</t>
  </si>
  <si>
    <t>-610.321521738918 69.5862085331573 -367.638615966658</t>
  </si>
  <si>
    <t>-610.291020938914 59.1392744214265 -488.392135759374</t>
  </si>
  <si>
    <t>-601.778420502983 48.7034565717586 -597.082099924072</t>
  </si>
  <si>
    <t>-584.967734739419 36.9549862638792 -704.665578010189</t>
  </si>
  <si>
    <t>-553.077984052523 19.0051716432658 -852.519770421357</t>
  </si>
  <si>
    <t>-507.641562215768 20.7864521895408 -943.708239909592</t>
  </si>
  <si>
    <t>-577.8897821496 56.30458308025 -792.971073694592</t>
  </si>
  <si>
    <t>-609.853358401608 199.838520420619 -791.798296873551</t>
  </si>
  <si>
    <t>-657.403826087611 304.828387848979 -497.006489202028</t>
  </si>
  <si>
    <t>-473.350474988092 287.516756664583 -314.0673679722</t>
  </si>
  <si>
    <t>-360.417130274107 67.6605047890098 -464.861972118033</t>
  </si>
  <si>
    <t>-635.248259351782 153.491719036817 -245.410151865417</t>
  </si>
  <si>
    <t>-616.939769226679 218.445243496029 205.259883843103</t>
  </si>
  <si>
    <t>-626.594645676 256.638083116895 672.736705239119</t>
  </si>
  <si>
    <t>-469.537363613187 288.220737688744 745.393708629312</t>
  </si>
  <si>
    <t>-543.638912998564 3.52375057646032 -251.068504280335</t>
  </si>
  <si>
    <t>-527.219696011902 -1.01260529046795 204.307659221532</t>
  </si>
  <si>
    <t>-607.665997362811 -5.87243737305198 667.705831403552</t>
  </si>
  <si>
    <t>-450.475107525218 -26.8343864002061 743.831560144226</t>
  </si>
  <si>
    <t>9763-20170724T170214.494759400.bin</t>
  </si>
  <si>
    <t>-589.872690022904 76.7338728793443 -248.563212904138</t>
  </si>
  <si>
    <t>-610.301723922927 68.2857013238659 -367.639204422193</t>
  </si>
  <si>
    <t>-610.100133657143 58.083455048657 -488.41347291804</t>
  </si>
  <si>
    <t>-601.506665965979 47.783197029554 -597.109816461807</t>
  </si>
  <si>
    <t>-584.691267571078 36.0895044511747 -704.698706261222</t>
  </si>
  <si>
    <t>-552.875295071776 18.1366371926995 -852.568451150743</t>
  </si>
  <si>
    <t>-507.500793619854 19.9839756890751 -943.786426172644</t>
  </si>
  <si>
    <t>-577.719215279293 55.4125405187494 -793.018424656477</t>
  </si>
  <si>
    <t>-610.096906159717 198.862946196273 -791.895360640111</t>
  </si>
  <si>
    <t>-658.581683570766 303.907672968296 -497.275188014037</t>
  </si>
  <si>
    <t>-474.702412427828 287.188221026078 -314.106187140627</t>
  </si>
  <si>
    <t>-360.545022859453 67.4470752972163 -464.421115639651</t>
  </si>
  <si>
    <t>-635.342974106326 151.539922072881 -245.092473158445</t>
  </si>
  <si>
    <t>-617.361064755772 217.77734475854 205.403683043907</t>
  </si>
  <si>
    <t>-626.844290226096 256.856467409269 672.808052829437</t>
  </si>
  <si>
    <t>-469.761991897999 288.666110198383 745.311864961885</t>
  </si>
  <si>
    <t>-544.16269596988 1.85087980412027 -251.177851358254</t>
  </si>
  <si>
    <t>-529.697171756057 -3.58902402170406 204.254731337508</t>
  </si>
  <si>
    <t>-607.433351385503 -6.92368684063945 668.131595655695</t>
  </si>
  <si>
    <t>-450.280417836594 -26.8408882049582 744.615382207814</t>
  </si>
  <si>
    <t>9763-20170724T170214.564600900.bin</t>
  </si>
  <si>
    <t>-590.889929587204 73.061572497872 -248.130000379303</t>
  </si>
  <si>
    <t>-610.580584366697 65.5395926176482 -367.392345603658</t>
  </si>
  <si>
    <t>-609.98205655012 55.7653099905824 -488.200828291629</t>
  </si>
  <si>
    <t>-601.183581718648 45.6660031418253 -596.89958864264</t>
  </si>
  <si>
    <t>-584.322132751858 33.9978655024408 -704.483991451839</t>
  </si>
  <si>
    <t>-552.61038528275 15.9078899525389 -852.359332004094</t>
  </si>
  <si>
    <t>-507.424871184196 17.8133650297202 -943.669867508848</t>
  </si>
  <si>
    <t>-577.534277427573 53.1899543161633 -792.846492554487</t>
  </si>
  <si>
    <t>-610.681483528284 196.457097891885 -791.93300718269</t>
  </si>
  <si>
    <t>-661.093266965449 301.650508993579 -497.689592981113</t>
  </si>
  <si>
    <t>-477.521411183756 286.211658310165 -314.100160751797</t>
  </si>
  <si>
    <t>-361.16700219107 66.9088752258901 -463.484302174411</t>
  </si>
  <si>
    <t>-636.262603581464 147.667198076825 -244.385681148578</t>
  </si>
  <si>
    <t>-618.318882288824 216.099957546116 205.783858633833</t>
  </si>
  <si>
    <t>-627.329009655934 257.292626049272 672.980493636617</t>
  </si>
  <si>
    <t>-470.1192043675 288.970191466547 745.265588378786</t>
  </si>
  <si>
    <t>-534.379196529435 -8.43422478680714 204.411073782137</t>
  </si>
  <si>
    <t>-607.139176653689 -8.7604624141145 669.225589033641</t>
  </si>
  <si>
    <t>-449.90112229522 -27.5217122765939 745.826685490369</t>
  </si>
  <si>
    <t>9763-20170724T170214.595681600.bin</t>
  </si>
  <si>
    <t>-591.608370461914 71.2829761977255 -247.798054237535</t>
  </si>
  <si>
    <t>-610.945990536224 64.2028048699033 -367.14522237583</t>
  </si>
  <si>
    <t>-610.133288447137 54.6252582496845 -487.968190864339</t>
  </si>
  <si>
    <t>-601.204715715633 44.6128349582982 -596.664454590721</t>
  </si>
  <si>
    <t>-584.279415023844 32.9458747621125 -704.238776984356</t>
  </si>
  <si>
    <t>-552.549371479216 14.7732453455687 -852.100276605431</t>
  </si>
  <si>
    <t>-507.452065214405 16.6897375687327 -943.454183340796</t>
  </si>
  <si>
    <t>-577.546716115289 52.0616513672273 -792.622168429934</t>
  </si>
  <si>
    <t>-611.019700356486 195.259907935176 -791.857141370908</t>
  </si>
  <si>
    <t>-662.383565121212 300.671607365687 -497.856663617303</t>
  </si>
  <si>
    <t>-478.959988360911 285.774718263825 -314.074292622637</t>
  </si>
  <si>
    <t>-361.64658401151 66.6655584450243 -463.016498535864</t>
  </si>
  <si>
    <t>-636.950117447852 145.671768093662 -243.932961459045</t>
  </si>
  <si>
    <t>-619.020109043774 215.296121406013 206.054386335</t>
  </si>
  <si>
    <t>-627.583961356247 257.528518922815 673.098593177087</t>
  </si>
  <si>
    <t>-470.269789556164 288.949733885677 745.268438265187</t>
  </si>
  <si>
    <t>-536.759674510508 -10.5782296053108 204.588684877586</t>
  </si>
  <si>
    <t>-607.107116293861 -9.31804360337765 669.779976900697</t>
  </si>
  <si>
    <t>-449.683699660821 -27.5594005432886 746.125419156006</t>
  </si>
  <si>
    <t>9763-20170724T170214.662387600.bin</t>
  </si>
  <si>
    <t>-592.984463883484 67.6765477638592 -247.140826607991</t>
  </si>
  <si>
    <t>-611.717639460354 61.3772024342247 -366.627999226567</t>
  </si>
  <si>
    <t>-610.547622718895 52.118112669375 -487.472693582632</t>
  </si>
  <si>
    <t>-601.410418356152 42.2144722832481 -596.161675502462</t>
  </si>
  <si>
    <t>-584.396818323988 30.4829800282528 -703.715270953052</t>
  </si>
  <si>
    <t>-552.673721957299 12.045702196401 -851.545264395723</t>
  </si>
  <si>
    <t>-507.693076062928 13.8805593752479 -942.958346576032</t>
  </si>
  <si>
    <t>-577.760406858366 49.4027068276043 -792.148059194454</t>
  </si>
  <si>
    <t>-611.77719625351 192.468496707616 -791.675657278293</t>
  </si>
  <si>
    <t>-665.066613513362 298.469738079379 -498.230383595874</t>
  </si>
  <si>
    <t>-481.915577258418 284.469941970443 -314.106186199399</t>
  </si>
  <si>
    <t>-362.657466570667 65.7139099471447 -461.836931822142</t>
  </si>
  <si>
    <t>-638.253709433215 141.677789632875 -242.992676839217</t>
  </si>
  <si>
    <t>-620.73268648069 213.557853350139 206.656078478929</t>
  </si>
  <si>
    <t>-628.147754332669 257.855340679182 673.433003137985</t>
  </si>
  <si>
    <t>-470.668904209435 289.231299387912 745.262444937609</t>
  </si>
  <si>
    <t>-541.639116586168 -15.1500046944805 204.95534115095</t>
  </si>
  <si>
    <t>-606.923467489365 -10.8158179323661 670.843287611189</t>
  </si>
  <si>
    <t>-449.285298627827 -27.7643165231639 747.043485122343</t>
  </si>
  <si>
    <t>9763-20170724T170214.697496200.bin</t>
  </si>
  <si>
    <t>-593.50187488677 65.5179043663939 -246.77180552993</t>
  </si>
  <si>
    <t>-611.841608553801 59.6634209596969 -366.342599544323</t>
  </si>
  <si>
    <t>-610.420872114236 50.6033143487905 -487.199812655187</t>
  </si>
  <si>
    <t>-601.123025077882 40.7832950838836 -595.882764914327</t>
  </si>
  <si>
    <t>-584.018501880399 29.0408682842885 -703.420576791962</t>
  </si>
  <si>
    <t>-552.244092788063 10.492909700424 -851.22583594116</t>
  </si>
  <si>
    <t>-507.289914054944 12.2751775992474 -942.652959567088</t>
  </si>
  <si>
    <t>-577.396548123879 47.8757370225242 -791.872658700195</t>
  </si>
  <si>
    <t>-611.636934160351 190.887946894511 -791.53420989423</t>
  </si>
  <si>
    <t>-665.884267418466 297.223223410904 -498.385321779113</t>
  </si>
  <si>
    <t>-482.869893794174 283.690330627738 -314.090217967709</t>
  </si>
  <si>
    <t>-362.662158512083 65.0155935252337 -461.133062316797</t>
  </si>
  <si>
    <t>-638.724136121409 139.155411351866 -242.458804243769</t>
  </si>
  <si>
    <t>-621.54289546558 212.447088601835 206.975111256465</t>
  </si>
  <si>
    <t>-628.341395563273 257.79236226741 673.619737194364</t>
  </si>
  <si>
    <t>-470.87456422436 289.68523990939 745.247635305</t>
  </si>
  <si>
    <t>-543.679090680747 -17.5585757349079 205.147000736653</t>
  </si>
  <si>
    <t>-606.76235904501 -11.5926498340066 671.232779869749</t>
  </si>
  <si>
    <t>-449.01845978357 -27.7575951555616 747.384382046997</t>
  </si>
  <si>
    <t>9763-20170724T170214.762158100.bin</t>
  </si>
  <si>
    <t>-594.26496859191 61.0729113599293 -246.098543237712</t>
  </si>
  <si>
    <t>-611.972510632933 55.9436858617073 -365.797836260724</t>
  </si>
  <si>
    <t>-610.128771927952 47.2318258944269 -486.674910515204</t>
  </si>
  <si>
    <t>-600.546370867462 37.5772290421346 -595.3478966159</t>
  </si>
  <si>
    <t>-583.261095205139 25.8531199057468 -702.858871788436</t>
  </si>
  <si>
    <t>-551.348408236872 7.17937093686282 -850.618363417719</t>
  </si>
  <si>
    <t>-506.41773325885 8.8726422693735 -942.058865437022</t>
  </si>
  <si>
    <t>-576.651333335091 44.573154112838 -791.33619252779</t>
  </si>
  <si>
    <t>-611.302774782812 187.481004335596 -791.180110248124</t>
  </si>
  <si>
    <t>-667.531603472394 294.278427382 -498.573175278742</t>
  </si>
  <si>
    <t>-484.703571571981 281.711306636305 -314.024872127709</t>
  </si>
  <si>
    <t>-363.085156571365 63.345111849203 -459.558301044036</t>
  </si>
  <si>
    <t>-639.648679957794 134.234854914765 -241.485197186375</t>
  </si>
  <si>
    <t>-622.855060325463 210.394958588828 207.486046874488</t>
  </si>
  <si>
    <t>-628.845998243255 258.08095975148 673.863460885242</t>
  </si>
  <si>
    <t>-471.317216819379 290.443011073094 745.143867361703</t>
  </si>
  <si>
    <t>-546.873837491202 -22.0412778123959 205.444490066841</t>
  </si>
  <si>
    <t>-606.432152223548 -13.1919029859814 671.873059615547</t>
  </si>
  <si>
    <t>-448.6791827817 -28.5214011006899 748.178500807415</t>
  </si>
  <si>
    <t>9763-20170724T170214.794242400.bin</t>
  </si>
  <si>
    <t>-594.465742777107 58.8484795222482 -245.784431584932</t>
  </si>
  <si>
    <t>-612.005189309062 53.9970643922113 -365.519961209091</t>
  </si>
  <si>
    <t>-610.015895929407 45.4411771395769 -486.405929142584</t>
  </si>
  <si>
    <t>-600.315288386613 35.8791548076422 -595.076630756642</t>
  </si>
  <si>
    <t>-582.92720932628 24.1998650239534 -702.575919998618</t>
  </si>
  <si>
    <t>-550.889306874335 5.53998092847837 -850.310068874241</t>
  </si>
  <si>
    <t>-505.961384160408 7.23511028195821 -941.751864073754</t>
  </si>
  <si>
    <t>-576.298072640039 42.90484647221 -791.055016444926</t>
  </si>
  <si>
    <t>-611.182631660664 185.756220088304 -790.949767233552</t>
  </si>
  <si>
    <t>-668.521130779562 292.890966057119 -498.681646069479</t>
  </si>
  <si>
    <t>-485.761381900416 280.968463665297 -314.023168344576</t>
  </si>
  <si>
    <t>-363.327844342445 62.4412211834094 -458.348218058769</t>
  </si>
  <si>
    <t>-640.023664135318 131.830609570026 -241.008615198731</t>
  </si>
  <si>
    <t>-623.390921775381 209.3091934721 207.743017071174</t>
  </si>
  <si>
    <t>-629.087616556955 258.227458129769 673.980428492672</t>
  </si>
  <si>
    <t>-471.54555215338 290.872027824515 745.102335838692</t>
  </si>
  <si>
    <t>-547.813082499636 -23.8164371272569 205.635128915085</t>
  </si>
  <si>
    <t>-606.33113516451 -13.5971354276805 672.196016738625</t>
  </si>
  <si>
    <t>-448.444905192967 -28.0247032748457 748.401669401081</t>
  </si>
  <si>
    <t>9763-20170724T170214.859452500.bin</t>
  </si>
  <si>
    <t>-594.602437468584 54.3441684534321 -245.041805989988</t>
  </si>
  <si>
    <t>-611.691557394357 50.0258463721896 -364.863021538904</t>
  </si>
  <si>
    <t>-609.316670764104 41.775904591201 -485.763211896132</t>
  </si>
  <si>
    <t>-599.302406466593 32.4004755259243 -594.421693484588</t>
  </si>
  <si>
    <t>-581.639858125795 20.8191315855433 -701.886779959377</t>
  </si>
  <si>
    <t>-549.264897978934 2.20489712468066 -849.553303490655</t>
  </si>
  <si>
    <t>-504.278013180684 3.96369588889456 -940.96474692007</t>
  </si>
  <si>
    <t>-574.925798291831 39.502067203523 -790.36415148417</t>
  </si>
  <si>
    <t>-610.329478490407 182.231975270904 -790.392723359978</t>
  </si>
  <si>
    <t>-669.853423603405 289.793166110804 -498.718792558687</t>
  </si>
  <si>
    <t>-487.206818402037 279.103892094905 -313.87277229099</t>
  </si>
  <si>
    <t>-363.402500751388 60.1673630826042 -455.225429477789</t>
  </si>
  <si>
    <t>-640.582621529947 126.899260969786 -239.993759467139</t>
  </si>
  <si>
    <t>-624.307756808143 207.063673163697 208.299108403585</t>
  </si>
  <si>
    <t>-629.482946827529 258.225543975758 674.276764243856</t>
  </si>
  <si>
    <t>-471.929133079433 291.576239342252 745.044452042328</t>
  </si>
  <si>
    <t>-548.97819344106 -26.9754130780243 206.134530108415</t>
  </si>
  <si>
    <t>-606.240762947998 -14.1829302856124 672.831046996754</t>
  </si>
  <si>
    <t>-448.122126853059 -28.5511190720495 748.564543735439</t>
  </si>
  <si>
    <t>9763-20170724T170214.898555600.bin</t>
  </si>
  <si>
    <t>-594.425892120101 52.0109432993549 -244.6035792948</t>
  </si>
  <si>
    <t>-611.349892482001 47.9236385566383 -364.456364064454</t>
  </si>
  <si>
    <t>-608.796209279448 39.8416723635874 -485.364336867248</t>
  </si>
  <si>
    <t>-598.617773440674 30.5926827089536 -594.018323934755</t>
  </si>
  <si>
    <t>-580.790148739827 19.1122099645702 -701.466960480914</t>
  </si>
  <si>
    <t>-548.186358959411 0.611531070101591 -849.097334463457</t>
  </si>
  <si>
    <t>-503.137020331408 2.45311892593077 -940.476571263415</t>
  </si>
  <si>
    <t>-573.996321401253 37.8387330342996 -789.929000903872</t>
  </si>
  <si>
    <t>-609.661287945579 180.494206457063 -789.990610890631</t>
  </si>
  <si>
    <t>-670.343641702209 288.195329652092 -498.607308346352</t>
  </si>
  <si>
    <t>-487.832874192372 278.316440820698 -313.582056820125</t>
  </si>
  <si>
    <t>-363.359544119754 58.9779246311489 -453.812970236389</t>
  </si>
  <si>
    <t>-640.613665212912 124.294605876551 -239.437065821234</t>
  </si>
  <si>
    <t>-624.517434858859 205.901005283907 208.602089646784</t>
  </si>
  <si>
    <t>-629.618219662475 258.083384672953 674.436076618695</t>
  </si>
  <si>
    <t>-472.13714725522 292.166729264355 745.016181434796</t>
  </si>
  <si>
    <t>-549.324728491691 -28.532142300113 206.450935931574</t>
  </si>
  <si>
    <t>-606.199585571091 -14.4072298456517 673.165507475835</t>
  </si>
  <si>
    <t>-447.964226854667 -28.9457769468793 748.622187589481</t>
  </si>
  <si>
    <t>9763-20170724T170214.963738300.bin</t>
  </si>
  <si>
    <t>-593.754089906687 47.6965373043383 -243.827862761141</t>
  </si>
  <si>
    <t>-610.441248213664 44.0554434467265 -363.728162399858</t>
  </si>
  <si>
    <t>-607.61740092684 36.3034563861818 -484.651798206296</t>
  </si>
  <si>
    <t>-597.186189559227 27.3052325826579 -593.303023356658</t>
  </si>
  <si>
    <t>-579.100114920042 16.0274589775695 -700.729962218785</t>
  </si>
  <si>
    <t>-572.171356426762 34.8577882463474 -789.159420551125</t>
  </si>
  <si>
    <t>-608.20838082486 177.427125469659 -789.132129719863</t>
  </si>
  <si>
    <t>-671.517260100936 285.408267328488 -498.412000974461</t>
  </si>
  <si>
    <t>-489.429230234044 277.062018101875 -312.895499106063</t>
  </si>
  <si>
    <t>-363.379760766341 56.996024021342 -452.000074041096</t>
  </si>
  <si>
    <t>-640.218733199567 119.679526125592 -238.424042017559</t>
  </si>
  <si>
    <t>-624.565931948249 203.986177884221 209.130395917162</t>
  </si>
  <si>
    <t>-629.984879899172 258.276326496626 674.632841482563</t>
  </si>
  <si>
    <t>-472.541317877381 293.086680656259 744.941415837462</t>
  </si>
  <si>
    <t>-549.865024029826 -31.3530470645367 207.05452855671</t>
  </si>
  <si>
    <t>-606.167729744716 -14.6263334988475 673.796127777999</t>
  </si>
  <si>
    <t>-447.577917261699 -28.9331034274194 748.549721175649</t>
  </si>
  <si>
    <t>9763-20170724T170214.996825100.bin</t>
  </si>
  <si>
    <t>-593.264360474046 45.636344940129 -243.421784384476</t>
  </si>
  <si>
    <t>-609.773287265848 42.2820250876894 -363.355106007734</t>
  </si>
  <si>
    <t>-606.823830395532 34.7140996671449 -484.287257731417</t>
  </si>
  <si>
    <t>-596.303788293151 25.8414097077455 -592.940130702917</t>
  </si>
  <si>
    <t>-578.154990104001 14.6493620043109 -700.365489344023</t>
  </si>
  <si>
    <t>-571.210965509137 33.5179831034934 -788.785663957834</t>
  </si>
  <si>
    <t>-607.391639582123 176.057443504681 -788.71902447312</t>
  </si>
  <si>
    <t>-672.092730667043 284.081818117272 -498.321390534346</t>
  </si>
  <si>
    <t>-490.201867550257 276.43262510887 -312.581772018405</t>
  </si>
  <si>
    <t>-363.215064678349 56.1260220215381 -451.411194083969</t>
  </si>
  <si>
    <t>-639.805416323061 117.512036636881 -237.912119143555</t>
  </si>
  <si>
    <t>-624.414416773995 203.029338022321 209.421718334898</t>
  </si>
  <si>
    <t>-630.173960436173 258.340145656606 674.78806637561</t>
  </si>
  <si>
    <t>-472.695685588061 293.268666092634 744.960001339504</t>
  </si>
  <si>
    <t>-549.98437040055 -32.6475162001313 207.339610316149</t>
  </si>
  <si>
    <t>-606.172353329709 -14.6760752831713 674.080169755379</t>
  </si>
  <si>
    <t>-447.383100617687 -28.9342007927341 748.418541077835</t>
  </si>
  <si>
    <t>9763-20170724T170215.062005300.bin</t>
  </si>
  <si>
    <t>-591.815150844432 41.5933363574143 -242.679246896078</t>
  </si>
  <si>
    <t>-607.930972310985 38.8289555556951 -362.681026089407</t>
  </si>
  <si>
    <t>-604.762440275121 31.6040094797222 -483.628716999909</t>
  </si>
  <si>
    <t>-594.12035587401 22.9501733145335 -592.287287338496</t>
  </si>
  <si>
    <t>-575.927365017458 11.8912874871551 -699.719029311079</t>
  </si>
  <si>
    <t>-569.033446292478 30.8041273966219 -788.1335231528</t>
  </si>
  <si>
    <t>-605.528568310946 173.258414323423 -788.006288334438</t>
  </si>
  <si>
    <t>-672.948540459217 281.482137552089 -498.302430808747</t>
  </si>
  <si>
    <t>-491.477300059321 275.165339480665 -312.102581459437</t>
  </si>
  <si>
    <t>-362.299232503736 54.1805441329516 -450.396748968019</t>
  </si>
  <si>
    <t>-638.474066731563 113.109857483455 -236.907751076205</t>
  </si>
  <si>
    <t>-623.508804705882 201.25660976648 209.929955532181</t>
  </si>
  <si>
    <t>-630.356828567248 258.307351834602 674.936544048467</t>
  </si>
  <si>
    <t>-473.035070321396 294.188701206687 744.978641584433</t>
  </si>
  <si>
    <t>-550.287013218049 -35.6164364883907 207.872228872973</t>
  </si>
  <si>
    <t>-606.170918683413 -15.1247095017675 674.611639876356</t>
  </si>
  <si>
    <t>-447.147965729897 -30.2762510045991 748.270586582255</t>
  </si>
  <si>
    <t>9763-20170724T170215.096098400.bin</t>
  </si>
  <si>
    <t>-591.076447339108 39.6055798198313 -242.320657499948</t>
  </si>
  <si>
    <t>-606.993300427333 37.1067965918755 -362.354811043696</t>
  </si>
  <si>
    <t>-603.738255782619 30.028268262367 -483.308854936952</t>
  </si>
  <si>
    <t>-593.06527883956 21.4654712087026 -591.971704652289</t>
  </si>
  <si>
    <t>-574.888558032227 10.4609908191874 -699.411659316464</t>
  </si>
  <si>
    <t>-568.054165134041 29.3914111264535 -787.827068158908</t>
  </si>
  <si>
    <t>-604.65235149409 171.820950364751 -787.663860770063</t>
  </si>
  <si>
    <t>-673.381537433302 279.982471203672 -498.244459419118</t>
  </si>
  <si>
    <t>-492.117960849188 274.315444136616 -311.821682828641</t>
  </si>
  <si>
    <t>-361.833801933528 53.0396548182503 -449.960092389075</t>
  </si>
  <si>
    <t>-637.630238336011 111.096868943572 -236.454596289434</t>
  </si>
  <si>
    <t>-622.93966594976 200.312571273229 210.179981507074</t>
  </si>
  <si>
    <t>-630.397974965309 258.218393081555 675.045038373574</t>
  </si>
  <si>
    <t>-473.158189324308 294.572049657384 745.027717266952</t>
  </si>
  <si>
    <t>-550.319357329885 -37.1385150291555 208.156894657667</t>
  </si>
  <si>
    <t>-606.118238259123 -15.4072501701112 674.877431125838</t>
  </si>
  <si>
    <t>-447.022309609272 -30.8302329936432 748.322128084861</t>
  </si>
  <si>
    <t>9763-20170724T170215.164305800.bin</t>
  </si>
  <si>
    <t>-589.365273510558 35.85350029816 -241.605127851878</t>
  </si>
  <si>
    <t>-604.848529118844 33.9656576601383 -361.70722293264</t>
  </si>
  <si>
    <t>-601.4437507035 27.2335823304406 -482.676789294147</t>
  </si>
  <si>
    <t>-590.752980593769 18.8936899415748 -591.355232471725</t>
  </si>
  <si>
    <t>-572.675232946051 8.03249208214129 -698.826627168866</t>
  </si>
  <si>
    <t>-565.998389771343 27.0364140604904 -787.238325171452</t>
  </si>
  <si>
    <t>-602.723137843593 169.425112119112 -786.962178959611</t>
  </si>
  <si>
    <t>-674.341744574602 277.504724386371 -498.213465615374</t>
  </si>
  <si>
    <t>-493.544778985508 273.170869395721 -311.302444146005</t>
  </si>
  <si>
    <t>-360.605577171134 51.1480751974909 -449.115125971432</t>
  </si>
  <si>
    <t>-635.704191733243 107.543646158522 -235.611287570815</t>
  </si>
  <si>
    <t>-621.457787655096 198.933258154522 210.59799872946</t>
  </si>
  <si>
    <t>-630.646666697213 258.529448289035 675.136289157944</t>
  </si>
  <si>
    <t>-473.429306918077 294.959745903848 745.129426809227</t>
  </si>
  <si>
    <t>-550.470159846183 -40.1818270910683 208.698852627052</t>
  </si>
  <si>
    <t>-605.94256475294 -16.1369455104968 675.411048769197</t>
  </si>
  <si>
    <t>-446.738166242214 -31.6763600012071 748.595731819562</t>
  </si>
  <si>
    <t>9763-20170724T170215.192380100.bin</t>
  </si>
  <si>
    <t>-588.487833985726 34.1393562239757 -241.272483096539</t>
  </si>
  <si>
    <t>-603.733383498104 32.5357185039079 -361.409126909358</t>
  </si>
  <si>
    <t>-600.243751608299 25.9609127855929 -482.385008834991</t>
  </si>
  <si>
    <t>-589.53942243557 17.7198322290233 -591.069636905889</t>
  </si>
  <si>
    <t>-571.51069143412 6.91935864397647 -698.555340811325</t>
  </si>
  <si>
    <t>-564.897732676121 25.9595638409221 -786.963981751246</t>
  </si>
  <si>
    <t>-601.626452837943 168.362817207494 -786.63881306487</t>
  </si>
  <si>
    <t>-674.721487665122 276.25476040845 -498.190086326662</t>
  </si>
  <si>
    <t>-494.196887598272 272.630251990131 -311.000960533451</t>
  </si>
  <si>
    <t>-359.671231612259 50.1556031240748 -448.592790933947</t>
  </si>
  <si>
    <t>-634.674585032395 105.813028276379 -235.214464306329</t>
  </si>
  <si>
    <t>-620.563482652036 198.444381677485 210.742834436565</t>
  </si>
  <si>
    <t>-630.692242607852 258.649619273642 675.131687344741</t>
  </si>
  <si>
    <t>-473.546743080945 295.287762222381 745.17768070927</t>
  </si>
  <si>
    <t>-550.529564072829 -41.6569383565104 208.955765533093</t>
  </si>
  <si>
    <t>-605.829219691986 -16.5117768708458 675.651513766295</t>
  </si>
  <si>
    <t>-446.596647654081 -32.0982977004446 748.764794719587</t>
  </si>
  <si>
    <t>9763-20170724T170215.262293100.bin</t>
  </si>
  <si>
    <t>-586.856911594751 31.0297409842251 -240.577408466364</t>
  </si>
  <si>
    <t>-601.664230483825 29.9467997965685 -360.774576682229</t>
  </si>
  <si>
    <t>-598.081272632055 23.6736825141427 -481.763772513867</t>
  </si>
  <si>
    <t>-587.433219236642 15.632240942896 -590.468901884491</t>
  </si>
  <si>
    <t>-569.599621710518 4.96820896369491 -698.000723733798</t>
  </si>
  <si>
    <t>-563.205908082574 24.0994863456538 -786.405881877009</t>
  </si>
  <si>
    <t>-599.987490461282 166.480821629923 -786.004044840413</t>
  </si>
  <si>
    <t>-675.928170507796 274.34429508308 -498.280767287998</t>
  </si>
  <si>
    <t>-496.202500567745 271.705867597574 -310.307914969306</t>
  </si>
  <si>
    <t>-358.562903324671 48.2131623094697 -447.930552387196</t>
  </si>
  <si>
    <t>-632.799311574414 102.885984339103 -234.403300481723</t>
  </si>
  <si>
    <t>-618.548140272337 197.5868976551 211.114749272995</t>
  </si>
  <si>
    <t>-630.907471054053 258.800830136983 675.281408509418</t>
  </si>
  <si>
    <t>-473.813887487946 295.695896575212 745.308965589007</t>
  </si>
  <si>
    <t>-550.802691851041 -44.5068561606299 209.490251253243</t>
  </si>
  <si>
    <t>-605.562235879019 -17.315382567024 676.163356135162</t>
  </si>
  <si>
    <t>-446.322282508788 -33.1750266266829 749.201838235939</t>
  </si>
  <si>
    <t>9763-20170724T170215.296372500.bin</t>
  </si>
  <si>
    <t>-586.085196172436 29.5655784604051 -240.200987571815</t>
  </si>
  <si>
    <t>-600.65974293094 28.7607314565873 -360.428961865812</t>
  </si>
  <si>
    <t>-597.040525001609 22.6300735413361 -481.424368635685</t>
  </si>
  <si>
    <t>-586.440314633318 14.6703215770874 -590.140083693213</t>
  </si>
  <si>
    <t>-568.734405952601 4.04583960562945 -697.696877490787</t>
  </si>
  <si>
    <t>-562.479547956521 23.1931350582283 -786.108693196017</t>
  </si>
  <si>
    <t>-599.380160965732 165.547787316601 -785.756904883067</t>
  </si>
  <si>
    <t>-676.577377355326 273.590140454446 -498.43552821186</t>
  </si>
  <si>
    <t>-497.430642688743 271.136626936087 -309.908386069243</t>
  </si>
  <si>
    <t>-358.098086234864 47.3196023406197 -447.578108168288</t>
  </si>
  <si>
    <t>-631.926384310209 101.359130789004 -233.917945261207</t>
  </si>
  <si>
    <t>-617.328729015121 197.315286074556 211.320261720212</t>
  </si>
  <si>
    <t>-631.043929094414 258.913293004469 675.394806987555</t>
  </si>
  <si>
    <t>-473.961882760671 295.876229562813 745.412607302277</t>
  </si>
  <si>
    <t>-551.202695359814 -45.9557657219905 209.762274607364</t>
  </si>
  <si>
    <t>-605.446125230589 -17.7270367416586 676.435306165432</t>
  </si>
  <si>
    <t>-446.158369781335 -33.2564746610672 749.440521737182</t>
  </si>
  <si>
    <t>9763-20170724T170215.362582400.bin</t>
  </si>
  <si>
    <t>-584.78932352541 26.9239185057297 -239.542772366244</t>
  </si>
  <si>
    <t>-598.880254027529 26.6769052293575 -359.830709021645</t>
  </si>
  <si>
    <t>-595.239112529381 20.7860291555633 -480.837256161836</t>
  </si>
  <si>
    <t>-584.808849848528 12.9295043964464 -589.577165771689</t>
  </si>
  <si>
    <t>-567.461356345243 2.30526382636162 -697.192306620093</t>
  </si>
  <si>
    <t>-561.569259683757 21.4153340475152 -785.63696663572</t>
  </si>
  <si>
    <t>-598.341729661659 163.795001770504 -785.247258872558</t>
  </si>
  <si>
    <t>-678.34008975016 272.561494375528 -498.967181998384</t>
  </si>
  <si>
    <t>-500.331208443259 270.506257636371 -309.360467099016</t>
  </si>
  <si>
    <t>-357.379896557405 45.6988771764804 -446.968615775427</t>
  </si>
  <si>
    <t>-630.226175887346 98.7737349504052 -233.107843893062</t>
  </si>
  <si>
    <t>-615.023153419778 197.146268863241 211.582328179176</t>
  </si>
  <si>
    <t>-631.167451403213 259.272123344091 675.37935174615</t>
  </si>
  <si>
    <t>-474.180015280575 296.491185764478 745.473472314839</t>
  </si>
  <si>
    <t>-552.188390732625 -48.8874006375675 210.264335147356</t>
  </si>
  <si>
    <t>-605.165205221143 -18.6136214598453 676.979263105028</t>
  </si>
  <si>
    <t>-445.848173805603 -33.8902107878753 749.973949855425</t>
  </si>
  <si>
    <t>9763-20170724T170215.392660200.bin</t>
  </si>
  <si>
    <t>-584.189471512246 25.7762891603986 -239.249934787801</t>
  </si>
  <si>
    <t>-598.038385182912 25.807047223303 -359.566304687248</t>
  </si>
  <si>
    <t>-594.39672105676 20.010152459407 -480.577485822437</t>
  </si>
  <si>
    <t>-584.065309388367 12.1725095600355 -589.327964389435</t>
  </si>
  <si>
    <t>-566.915857860304 1.5058160143567 -696.970703506935</t>
  </si>
  <si>
    <t>-561.210182677795 20.5618520853095 -785.439297502653</t>
  </si>
  <si>
    <t>-597.895556381601 162.979703358588 -785.118443439217</t>
  </si>
  <si>
    <t>-679.491021485654 271.95698506112 -499.369776625947</t>
  </si>
  <si>
    <t>-501.979202617233 270.287059416819 -309.293865551889</t>
  </si>
  <si>
    <t>-357.040811192321 44.9309098501665 -446.829883011617</t>
  </si>
  <si>
    <t>-629.434724680629 97.771862566261 -232.805588347563</t>
  </si>
  <si>
    <t>-614.168763679746 196.937394949913 211.706206137147</t>
  </si>
  <si>
    <t>-631.269899186069 259.536947313834 675.368379722906</t>
  </si>
  <si>
    <t>-474.327539107941 296.833380685723 745.522425694233</t>
  </si>
  <si>
    <t>-552.705694956104 -50.2475942465687 210.469198081687</t>
  </si>
  <si>
    <t>-605.014321808813 -19.0403295170752 677.233122771178</t>
  </si>
  <si>
    <t>-445.714022785764 -34.3741843421208 750.252273503165</t>
  </si>
  <si>
    <t>9763-20170724T170215.459963500.bin</t>
  </si>
  <si>
    <t>-583.217265374586 23.6428410655546 -238.727032447813</t>
  </si>
  <si>
    <t>-596.533242565076 24.207060967803 -359.101988394203</t>
  </si>
  <si>
    <t>-592.843566778189 18.5728164506691 -480.119428732856</t>
  </si>
  <si>
    <t>-582.668295044951 10.7488163514333 -588.885799593766</t>
  </si>
  <si>
    <t>-560.508403236759 18.8995076751612 -785.091027350743</t>
  </si>
  <si>
    <t>-597.024514102449 161.348524669839 -784.890965776768</t>
  </si>
  <si>
    <t>-682.135749770558 270.936658091702 -500.40425661926</t>
  </si>
  <si>
    <t>-505.339228124743 269.959931402509 -309.658174102802</t>
  </si>
  <si>
    <t>-356.108643685329 43.4621323585354 -446.632208932352</t>
  </si>
  <si>
    <t>-628.103823643596 95.6647490392156 -232.182234103319</t>
  </si>
  <si>
    <t>-613.029876115195 196.694427435944 211.91621554949</t>
  </si>
  <si>
    <t>-631.460679207433 260.176444420025 675.311661681644</t>
  </si>
  <si>
    <t>-474.587675353079 297.449117592977 745.63328728217</t>
  </si>
  <si>
    <t>-553.774216628145 -52.9203023606758 210.857318945255</t>
  </si>
  <si>
    <t>-604.778341566624 -20.0457974273802 677.675789152833</t>
  </si>
  <si>
    <t>-445.432397487098 -35.0187758678878 750.67026667647</t>
  </si>
  <si>
    <t>9763-20170724T170215.494048200.bin</t>
  </si>
  <si>
    <t>-582.668401768279 22.5928989433278 -238.439685215012</t>
  </si>
  <si>
    <t>-595.750307941932 23.3553496894344 -358.83938882616</t>
  </si>
  <si>
    <t>-592.041467625323 17.7814997863586 -479.858973186709</t>
  </si>
  <si>
    <t>-581.937100910177 9.96243655362582 -588.632272738455</t>
  </si>
  <si>
    <t>-560.097637033817 18.0229835551479 -784.878351762278</t>
  </si>
  <si>
    <t>-596.589256904028 160.482380130991 -784.777266461152</t>
  </si>
  <si>
    <t>-683.31539797539 270.29176140998 -500.864119739591</t>
  </si>
  <si>
    <t>-506.775728026255 269.816274112747 -309.878280222313</t>
  </si>
  <si>
    <t>-355.527166729103 42.6278505427767 -446.571680845278</t>
  </si>
  <si>
    <t>-627.514417605491 94.6663777963374 -231.904282446206</t>
  </si>
  <si>
    <t>-612.559545359331 196.485629981055 212.017834715181</t>
  </si>
  <si>
    <t>-631.567024214324 260.56161060475 675.282539010079</t>
  </si>
  <si>
    <t>-474.667536848411 297.559575393558 745.690002743948</t>
  </si>
  <si>
    <t>-554.258449938628 -54.1305238421069 211.019977714886</t>
  </si>
  <si>
    <t>-604.646968140133 -20.4254769874069 677.875751128827</t>
  </si>
  <si>
    <t>-445.260092481045 -35.0473339893065 750.851992888226</t>
  </si>
  <si>
    <t>9763-20170724T170215.562275400.bin</t>
  </si>
  <si>
    <t>-581.86062452078 20.602302948716 -238.0051830769</t>
  </si>
  <si>
    <t>-594.539380284354 21.7977837048441 -358.444512172035</t>
  </si>
  <si>
    <t>-590.809659589558 16.3719214414691 -479.470149385653</t>
  </si>
  <si>
    <t>-580.843258939735 8.58381067322921 -588.258321758744</t>
  </si>
  <si>
    <t>-559.629535460198 16.476428334945 -784.584123039355</t>
  </si>
  <si>
    <t>-596.231409048146 158.891391701717 -784.566193103067</t>
  </si>
  <si>
    <t>-685.678812532985 269.144197972318 -501.670979946003</t>
  </si>
  <si>
    <t>-509.492372471231 269.497621332205 -310.358989949974</t>
  </si>
  <si>
    <t>-354.550572921917 41.300314505371 -446.669431761245</t>
  </si>
  <si>
    <t>-626.597238166165 92.8159465662682 -231.380807160175</t>
  </si>
  <si>
    <t>-611.978501881322 195.871057063142 212.267221322398</t>
  </si>
  <si>
    <t>-631.725810073115 260.943135937076 675.323193994215</t>
  </si>
  <si>
    <t>-474.888093510622 298.144751848139 745.760955674034</t>
  </si>
  <si>
    <t>-555.3448224093 -56.659498377267 211.338319291396</t>
  </si>
  <si>
    <t>-604.42438662795 -21.5097696659361 678.235619168693</t>
  </si>
  <si>
    <t>-445.079130852051 -36.5884320480764 751.209787936014</t>
  </si>
  <si>
    <t>9763-20170724T170215.597356500.bin</t>
  </si>
  <si>
    <t>-581.590984069164 19.7164531601341 -237.746906581211</t>
  </si>
  <si>
    <t>-594.100496593017 21.0860819706895 -358.202021125967</t>
  </si>
  <si>
    <t>-590.356078698129 15.7265272066222 -479.230157151961</t>
  </si>
  <si>
    <t>-580.439203302799 7.96077744842864 -588.0245979222</t>
  </si>
  <si>
    <t>-559.483880435578 15.8054740904083 -784.381497419004</t>
  </si>
  <si>
    <t>-596.211165838983 158.200149353773 -784.407929012799</t>
  </si>
  <si>
    <t>-686.982511171122 268.670972897697 -502.020003189356</t>
  </si>
  <si>
    <t>-510.883884007464 269.531935055343 -310.628875775471</t>
  </si>
  <si>
    <t>-354.186516001234 40.8675386411614 -446.688570979943</t>
  </si>
  <si>
    <t>-626.219895277739 91.9245589353138 -231.068733718882</t>
  </si>
  <si>
    <t>-611.757646645559 195.598255327091 212.440271936708</t>
  </si>
  <si>
    <t>-631.871020742628 261.156246529145 675.410959586475</t>
  </si>
  <si>
    <t>-475.041604689051 298.515337306071 745.783725147544</t>
  </si>
  <si>
    <t>-555.756862659228 -57.7554540496217 211.528166164441</t>
  </si>
  <si>
    <t>-604.320304985674 -21.8883773819525 678.412774931059</t>
  </si>
  <si>
    <t>-444.890692848488 -36.2660802353159 751.344213777713</t>
  </si>
  <si>
    <t>9763-20170724T170215.663582900.bin</t>
  </si>
  <si>
    <t>-581.068210553716 17.9240787723832 -237.294272439624</t>
  </si>
  <si>
    <t>-593.259368102866 19.617132092935 -357.778058913307</t>
  </si>
  <si>
    <t>-589.450832661737 14.383297352713 -478.809671750943</t>
  </si>
  <si>
    <t>-579.579299496035 6.66254341692684 -587.611324011597</t>
  </si>
  <si>
    <t>-559.010871060232 14.417748817674 -784.016420525742</t>
  </si>
  <si>
    <t>-596.046621729126 156.73793746573 -784.073751688762</t>
  </si>
  <si>
    <t>-689.126062314665 267.331980426636 -502.48666588793</t>
  </si>
  <si>
    <t>-513.04159233502 269.195158227103 -311.089453516185</t>
  </si>
  <si>
    <t>-353.52383766207 40.2031729135551 -446.635028296895</t>
  </si>
  <si>
    <t>-625.756684152362 90.248792151878 -230.507879374824</t>
  </si>
  <si>
    <t>-611.339819658746 195.099901221445 212.725757850287</t>
  </si>
  <si>
    <t>-632.183780588407 261.721980575807 675.512603356147</t>
  </si>
  <si>
    <t>-475.355193964188 299.26992659767 745.786675579713</t>
  </si>
  <si>
    <t>-556.636612459532 -59.8413830032521 211.821446696348</t>
  </si>
  <si>
    <t>-604.084349650105 -22.7832776731304 678.775280128797</t>
  </si>
  <si>
    <t>-444.621235740638 -36.960922859545 751.672580006779</t>
  </si>
  <si>
    <t>9763-20170724T170215.696673200.bin</t>
  </si>
  <si>
    <t>-580.892637362678 17.0733858338335 -237.061913285866</t>
  </si>
  <si>
    <t>-592.955027783662 18.8475075188394 -357.557309868362</t>
  </si>
  <si>
    <t>-589.104055199379 13.6380553318579 -478.588679354828</t>
  </si>
  <si>
    <t>-579.228394349005 5.92148581887159 -587.390211454526</t>
  </si>
  <si>
    <t>-558.768379640498 13.6360137891679 -783.80909823474</t>
  </si>
  <si>
    <t>-595.989750643978 155.910891220775 -783.877042209231</t>
  </si>
  <si>
    <t>-690.047656872859 266.125772391177 -502.466436304569</t>
  </si>
  <si>
    <t>-513.981325065895 268.602452631864 -311.059619580679</t>
  </si>
  <si>
    <t>-353.28957534824 39.8655472260193 -446.541014503747</t>
  </si>
  <si>
    <t>-625.608626334042 89.4304315853549 -230.256715443533</t>
  </si>
  <si>
    <t>-611.114375790151 194.870029861308 212.834798985539</t>
  </si>
  <si>
    <t>-632.288672646411 261.888235071228 675.564266715692</t>
  </si>
  <si>
    <t>-475.476411470558 299.59802816558 745.788138144951</t>
  </si>
  <si>
    <t>-556.86236436382 -60.8020106345248 212.032270189041</t>
  </si>
  <si>
    <t>-603.978070007225 -23.312249448757 678.968301376065</t>
  </si>
  <si>
    <t>-444.548174318845 -37.91461051183 751.854475172734</t>
  </si>
  <si>
    <t>9763-20170724T170215.765439500.bin</t>
  </si>
  <si>
    <t>-580.445594868368 15.4958528425364 -236.535025718102</t>
  </si>
  <si>
    <t>-592.413064051338 17.3218547864228 -357.039159754831</t>
  </si>
  <si>
    <t>-588.455870581457 12.1687163562706 -478.069384366171</t>
  </si>
  <si>
    <t>-578.477312686338 4.51103609348775 -586.865808523895</t>
  </si>
  <si>
    <t>-557.903019620843 12.3204258669191 -783.269500374966</t>
  </si>
  <si>
    <t>-595.64468396791 154.458171209282 -783.39386789333</t>
  </si>
  <si>
    <t>-691.773090999828 264.205284897546 -502.500503444528</t>
  </si>
  <si>
    <t>-516.079930371235 267.953076694205 -310.771647666237</t>
  </si>
  <si>
    <t>-352.76944499237 39.3249152348435 -446.059343571959</t>
  </si>
  <si>
    <t>-625.293829213292 87.9870451287145 -229.704534200331</t>
  </si>
  <si>
    <t>-610.4962059189 194.444178691241 213.133568164881</t>
  </si>
  <si>
    <t>-632.574211956466 262.285975002463 675.720880523309</t>
  </si>
  <si>
    <t>-475.725232692137 300.142826822092 745.783462202243</t>
  </si>
  <si>
    <t>-556.863501666717 -62.2601280905612 212.509773953642</t>
  </si>
  <si>
    <t>-603.718349656329 -24.0139504058182 679.399370252625</t>
  </si>
  <si>
    <t>-444.205935432827 -37.8962440475339 752.245672590703</t>
  </si>
  <si>
    <t>9763-20170724T170215.794514200.bin</t>
  </si>
  <si>
    <t>-580.21915299298 14.6860868809551 -236.269094265227</t>
  </si>
  <si>
    <t>-592.183714694985 16.548674024963 -356.773062300963</t>
  </si>
  <si>
    <t>-588.169371700999 11.4161237331955 -477.802365387715</t>
  </si>
  <si>
    <t>-578.117114504344 3.77183374904212 -586.592894624462</t>
  </si>
  <si>
    <t>-557.399524584569 11.5763525006182 -782.983758442294</t>
  </si>
  <si>
    <t>-595.430267777605 153.630454806502 -783.164770910886</t>
  </si>
  <si>
    <t>-692.604409025525 262.861627128564 -502.430100801768</t>
  </si>
  <si>
    <t>-517.16955158474 267.316226666541 -310.480139970571</t>
  </si>
  <si>
    <t>-352.631809579519 38.8863387403374 -445.736997073162</t>
  </si>
  <si>
    <t>-625.169296372543 87.2772601964875 -229.42581425001</t>
  </si>
  <si>
    <t>-610.059101529081 194.308265935866 213.26340381938</t>
  </si>
  <si>
    <t>-632.694799985963 262.499023384394 675.761320236189</t>
  </si>
  <si>
    <t>-475.846519428553 300.437990311483 745.780954758013</t>
  </si>
  <si>
    <t>-556.787981128193 -62.9419909845763 212.745050934871</t>
  </si>
  <si>
    <t>-603.590891441654 -24.3967643810654 679.620591258437</t>
  </si>
  <si>
    <t>-444.073003418214 -38.2547180180486 752.459533261566</t>
  </si>
  <si>
    <t>9763-20170724T170215.858700000.bin</t>
  </si>
  <si>
    <t>-579.953652445029 13.1688516885208 -235.748087116225</t>
  </si>
  <si>
    <t>-591.870139209107 15.0676712017264 -356.25620787654</t>
  </si>
  <si>
    <t>-587.761561252555 9.9458873061044 -477.28283535878</t>
  </si>
  <si>
    <t>-577.605124656215 2.30439914718909 -586.06375553433</t>
  </si>
  <si>
    <t>-556.753014042717 10.0561631723954 -782.445569501121</t>
  </si>
  <si>
    <t>-595.503903866696 151.911912798372 -782.729386955182</t>
  </si>
  <si>
    <t>-694.549732860612 260.486433070077 -502.394434516988</t>
  </si>
  <si>
    <t>-519.600057677237 266.160226284918 -310.034170068696</t>
  </si>
  <si>
    <t>-352.423743956163 38.1919926913527 -445.026119212014</t>
  </si>
  <si>
    <t>-625.171144984487 85.9226740334323 -228.905850391231</t>
  </si>
  <si>
    <t>-609.196848176786 193.99938285339 213.498800584897</t>
  </si>
  <si>
    <t>-632.871604085618 262.891714752061 675.849455980498</t>
  </si>
  <si>
    <t>-476.106127400366 301.297810401869 745.799711106273</t>
  </si>
  <si>
    <t>-556.72033223119 -64.2870389523425 213.220445392565</t>
  </si>
  <si>
    <t>-603.383219437864 -25.205331783583 680.040738670774</t>
  </si>
  <si>
    <t>-443.851803534478 -39.2461436509375 752.81495077431</t>
  </si>
  <si>
    <t>9763-20170724T170215.897806000.bin</t>
  </si>
  <si>
    <t>-579.887934692335 12.4776633066033 -235.509063235507</t>
  </si>
  <si>
    <t>-591.783252726171 14.3885559757621 -356.019073684193</t>
  </si>
  <si>
    <t>-587.612582440001 9.26739956343704 -477.043731985149</t>
  </si>
  <si>
    <t>-577.383542336147 1.62303949426587 -585.817711048269</t>
  </si>
  <si>
    <t>-556.410835971021 9.33961104163564 -782.189806419461</t>
  </si>
  <si>
    <t>-595.47079871268 151.112062305356 -782.515161218841</t>
  </si>
  <si>
    <t>-695.357752506398 259.403071492403 -502.369076540768</t>
  </si>
  <si>
    <t>-520.537575322771 265.739618737535 -309.911847348812</t>
  </si>
  <si>
    <t>-352.311779436444 37.934944705469 -444.694844741659</t>
  </si>
  <si>
    <t>-625.239704277732 85.2944295222644 -228.668680564004</t>
  </si>
  <si>
    <t>-609.011135568871 193.818961942238 213.61700314951</t>
  </si>
  <si>
    <t>-632.96658709284 263.055719174907 675.90811307409</t>
  </si>
  <si>
    <t>-476.256373324781 301.789952180704 745.801428850051</t>
  </si>
  <si>
    <t>-556.780988046424 -64.9450807789874 213.435768409371</t>
  </si>
  <si>
    <t>-603.271277270586 -25.5478342582787 680.247909826517</t>
  </si>
  <si>
    <t>-443.709115681397 -39.4416000443343 752.983016157174</t>
  </si>
  <si>
    <t>9763-20170724T170215.960978700.bin</t>
  </si>
  <si>
    <t>-579.985347163368 11.2406405277475 -235.111666547227</t>
  </si>
  <si>
    <t>-591.893836259649 13.1805871916797 -355.619787868164</t>
  </si>
  <si>
    <t>-587.647590139913 8.06647728285043 -476.642127388047</t>
  </si>
  <si>
    <t>-577.314161424763 0.421703762938932 -585.406181846047</t>
  </si>
  <si>
    <t>-556.171464050898 8.07707109069747 -781.766350719051</t>
  </si>
  <si>
    <t>-595.874251056142 149.665064806054 -782.136949695005</t>
  </si>
  <si>
    <t>-696.919944356895 257.394116868049 -502.189938716665</t>
  </si>
  <si>
    <t>-522.01885414248 264.936443001769 -309.849644091798</t>
  </si>
  <si>
    <t>-352.338650134734 37.5002181354641 -444.133844506732</t>
  </si>
  <si>
    <t>-625.691854615845 84.253139382743 -228.282543710058</t>
  </si>
  <si>
    <t>-609.128210874518 193.485710782066 213.816533163302</t>
  </si>
  <si>
    <t>-633.196864472037 263.619084806966 675.940633968835</t>
  </si>
  <si>
    <t>-476.49968892892 302.435700604543 745.8176599029</t>
  </si>
  <si>
    <t>-556.832206176711 -66.0372972735076 213.812865448417</t>
  </si>
  <si>
    <t>-603.066856902747 -26.2112582990696 680.609439887257</t>
  </si>
  <si>
    <t>-443.426034837786 -39.7219048442523 753.244050589954</t>
  </si>
  <si>
    <t>9763-20170724T170215.992058700.bin</t>
  </si>
  <si>
    <t>-580.156409438578 10.6145769828488 -234.947392568907</t>
  </si>
  <si>
    <t>-592.074239088904 12.5217630863692 -355.455181927736</t>
  </si>
  <si>
    <t>-587.77196670978 7.4140085182969 -476.475724494761</t>
  </si>
  <si>
    <t>-556.064652447207 7.50250297753223 -781.575717115676</t>
  </si>
  <si>
    <t>-596.047696751505 149.017854827583 -781.950633409601</t>
  </si>
  <si>
    <t>-697.529772105389 256.480396986902 -502.05896437767</t>
  </si>
  <si>
    <t>-522.44594750601 264.601087601381 -309.908639365111</t>
  </si>
  <si>
    <t>-352.349563708824 37.2158334985306 -443.895598312793</t>
  </si>
  <si>
    <t>-626.060122256356 83.6992599714683 -228.121938104932</t>
  </si>
  <si>
    <t>-609.229153467458 193.263159781083 213.885056623421</t>
  </si>
  <si>
    <t>-633.290854230174 263.860745213168 675.995413339789</t>
  </si>
  <si>
    <t>-476.628640364932 302.880121860246 745.837711431053</t>
  </si>
  <si>
    <t>-556.764291970102 -66.5040990934554 213.99776779803</t>
  </si>
  <si>
    <t>-602.966081494803 -26.4501930392178 680.77153387937</t>
  </si>
  <si>
    <t>-443.257682132753 -39.5181553241057 753.33848738594</t>
  </si>
  <si>
    <t>9763-20170724T170216.064260200.bin</t>
  </si>
  <si>
    <t>-580.636705820016 9.01546583035974 -234.610555327323</t>
  </si>
  <si>
    <t>-592.608569368951 10.7876744092016 -355.114994226132</t>
  </si>
  <si>
    <t>-588.206042466899 5.67752150132083 -476.131894878648</t>
  </si>
  <si>
    <t>-556.017244648677 5.96690313623185 -781.177863508663</t>
  </si>
  <si>
    <t>-596.354156664296 147.384671146007 -781.484761565763</t>
  </si>
  <si>
    <t>-698.899059354221 254.6686402151 -501.912151949928</t>
  </si>
  <si>
    <t>-523.418700713721 263.674655563143 -310.163472482172</t>
  </si>
  <si>
    <t>-352.76893330562 36.1434964953867 -443.455233998721</t>
  </si>
  <si>
    <t>-627.015978110371 82.0770187959483 -227.762420829856</t>
  </si>
  <si>
    <t>-608.723514378796 193.266299243235 213.780318714275</t>
  </si>
  <si>
    <t>-633.376236767433 264.472657509299 675.806548006629</t>
  </si>
  <si>
    <t>-476.761179262759 303.306778623516 745.85771107866</t>
  </si>
  <si>
    <t>-556.584872903964 -67.4496590082924 214.392976703512</t>
  </si>
  <si>
    <t>-602.749477546977 -26.9582775011447 681.127104952381</t>
  </si>
  <si>
    <t>-442.97245629739 -39.7753806352507 753.587642779545</t>
  </si>
  <si>
    <t>9763-20170724T170216.094340200.bin</t>
  </si>
  <si>
    <t>-580.912957957906 8.16237442980537 -234.402302964122</t>
  </si>
  <si>
    <t>-592.888062803487 9.92483857719117 -354.906635083248</t>
  </si>
  <si>
    <t>-588.425747757128 4.84797538717658 -475.922649941197</t>
  </si>
  <si>
    <t>-556.006590454186 5.27569064407589 -780.94412367056</t>
  </si>
  <si>
    <t>-596.583906167953 146.621139067189 -781.275555395218</t>
  </si>
  <si>
    <t>-699.705810768829 254.008904943546 -501.955093810667</t>
  </si>
  <si>
    <t>-523.877161475321 263.229708276701 -310.535878609806</t>
  </si>
  <si>
    <t>-352.972596481 35.6670130269017 -443.178805426079</t>
  </si>
  <si>
    <t>-627.558028278897 81.3798793445151 -227.579233245566</t>
  </si>
  <si>
    <t>-608.028725920427 193.356328869138 213.711507490465</t>
  </si>
  <si>
    <t>-633.413909237836 264.816502796648 675.70633012953</t>
  </si>
  <si>
    <t>-476.833323293241 303.565423397339 745.881719821369</t>
  </si>
  <si>
    <t>-556.621208949426 -68.0376125382741 214.594070616708</t>
  </si>
  <si>
    <t>-602.648382641794 -27.3709375356566 681.314558502247</t>
  </si>
  <si>
    <t>-442.899440211732 -40.6347025927867 753.756697729957</t>
  </si>
  <si>
    <t>9763-20170724T170216.161523700.bin</t>
  </si>
  <si>
    <t>-581.422189938722 6.78817861575385 -234.025899012679</t>
  </si>
  <si>
    <t>-593.391968096723 8.57133684117389 -354.530494813501</t>
  </si>
  <si>
    <t>-588.796181752475 3.55001503129142 -475.543854514662</t>
  </si>
  <si>
    <t>-555.87542360795 4.14189731445413 -780.514409672404</t>
  </si>
  <si>
    <t>-596.986389915971 145.339052982463 -780.970069379188</t>
  </si>
  <si>
    <t>-700.89474109415 253.173208715662 -502.113318899061</t>
  </si>
  <si>
    <t>-524.405468321652 262.856511152155 -311.325944010052</t>
  </si>
  <si>
    <t>-353.377623364509 35.1503839901925 -442.588052499157</t>
  </si>
  <si>
    <t>-628.311513213213 80.148483957588 -227.167418546033</t>
  </si>
  <si>
    <t>-606.828626392339 193.484140430107 213.685390956501</t>
  </si>
  <si>
    <t>-633.43859490956 265.212430292938 675.596223791228</t>
  </si>
  <si>
    <t>-477.057169572974 304.465694877094 745.935019406853</t>
  </si>
  <si>
    <t>-557.076656019033 -69.2665570443182 214.943056676665</t>
  </si>
  <si>
    <t>-602.452876327043 -27.9867262483306 681.662812862069</t>
  </si>
  <si>
    <t>-442.597356695134 -40.36758574238 754.026031090088</t>
  </si>
  <si>
    <t>9763-20170724T170216.193608300.bin</t>
  </si>
  <si>
    <t>-581.665724682795 6.2599861096046 -233.846514722653</t>
  </si>
  <si>
    <t>-593.605782485019 8.07170943046685 -354.353701631451</t>
  </si>
  <si>
    <t>-588.926897155086 3.07397919616824 -475.364798425025</t>
  </si>
  <si>
    <t>-555.731955221622 3.70573821301855 -780.308031563562</t>
  </si>
  <si>
    <t>-597.136305016349 144.809349408998 -780.844624683985</t>
  </si>
  <si>
    <t>-701.248642877127 252.709660441826 -502.089636457987</t>
  </si>
  <si>
    <t>-524.454298386703 262.670615531214 -311.599372317256</t>
  </si>
  <si>
    <t>-353.493357065813 35.11760646366 -442.277022320823</t>
  </si>
  <si>
    <t>-628.693666114585 79.7765386991609 -226.972098832626</t>
  </si>
  <si>
    <t>-606.537269317226 193.663230282098 213.705415507972</t>
  </si>
  <si>
    <t>-633.583742218044 265.577645570876 675.59625913922</t>
  </si>
  <si>
    <t>-477.09137468246 304.34142086327 745.959780582862</t>
  </si>
  <si>
    <t>-557.39423536774 -69.873631999978 215.107038434337</t>
  </si>
  <si>
    <t>-602.364939237126 -28.3937821261336 681.833506915497</t>
  </si>
  <si>
    <t>-442.52891614858 -41.1183033517088 754.180261988767</t>
  </si>
  <si>
    <t>9763-20170724T170216.263832700.bin</t>
  </si>
  <si>
    <t>-582.015095874995 5.25832022040595 -233.504645418764</t>
  </si>
  <si>
    <t>-593.923618087098 7.09341134029296 -354.014604349174</t>
  </si>
  <si>
    <t>-589.105645421699 2.11235590255819 -475.020949412452</t>
  </si>
  <si>
    <t>-555.404881976458 2.76369266677148 -779.912325340018</t>
  </si>
  <si>
    <t>-597.225471388494 143.75165218077 -780.532472341365</t>
  </si>
  <si>
    <t>-701.679967018113 251.503203202445 -501.84803443209</t>
  </si>
  <si>
    <t>-524.475735240958 262.141086924029 -311.775443639041</t>
  </si>
  <si>
    <t>-353.714868673927 34.79276547892 -441.723021885128</t>
  </si>
  <si>
    <t>-629.246225296238 79.0073914614356 -226.644506208911</t>
  </si>
  <si>
    <t>-606.44269852382 193.417284385547 213.864262573006</t>
  </si>
  <si>
    <t>-633.69493667653 265.822162826577 675.669545846051</t>
  </si>
  <si>
    <t>-477.33821562062 305.184574085958 746.002176021115</t>
  </si>
  <si>
    <t>-557.872723697125 -70.9715822178789 215.42766825724</t>
  </si>
  <si>
    <t>-602.195633517945 -29.0450065681073 682.152630020155</t>
  </si>
  <si>
    <t>-442.332736947568 -41.7289430994522 754.447084213622</t>
  </si>
  <si>
    <t>9763-20170724T170216.299928000.bin</t>
  </si>
  <si>
    <t>-582.109430151248 4.80198265031845 -233.374381200124</t>
  </si>
  <si>
    <t>-593.962207564163 6.6324865835652 -353.889841443385</t>
  </si>
  <si>
    <t>-589.069189069175 1.64294470267737 -474.892859106656</t>
  </si>
  <si>
    <t>-555.163046406739 2.25705757367314 -779.763012014929</t>
  </si>
  <si>
    <t>-597.131726059211 143.193517110795 -780.400796836576</t>
  </si>
  <si>
    <t>-701.837770847424 250.80896763052 -501.758128553987</t>
  </si>
  <si>
    <t>-524.421207240807 261.670857267854 -311.896481298348</t>
  </si>
  <si>
    <t>-353.627191599829 34.4489734588801 -441.535031985284</t>
  </si>
  <si>
    <t>-629.459368378515 78.6614022690542 -226.531539171349</t>
  </si>
  <si>
    <t>-606.663461056103 193.227405349153 213.937213783867</t>
  </si>
  <si>
    <t>-633.759710240935 265.944059954827 675.727052739383</t>
  </si>
  <si>
    <t>-477.449477847865 305.564153859943 746.018345212397</t>
  </si>
  <si>
    <t>-557.996906579101 -71.486491696965 215.586307735311</t>
  </si>
  <si>
    <t>-602.111975843226 -29.4516834047249 682.307137896361</t>
  </si>
  <si>
    <t>-442.292041404738 -42.6908587661487 754.597007276361</t>
  </si>
  <si>
    <t>9763-20170724T170216.360625700.bin</t>
  </si>
  <si>
    <t>-582.194657108981 4.15569516152573 -233.132645240907</t>
  </si>
  <si>
    <t>-593.980989002743 5.90494951112419 -353.655774643262</t>
  </si>
  <si>
    <t>-588.973013436226 0.855711321797571 -474.651577380218</t>
  </si>
  <si>
    <t>-554.7175293387 1.3300885330093 -779.484097047889</t>
  </si>
  <si>
    <t>-596.960604603143 142.181599524238 -780.201733713545</t>
  </si>
  <si>
    <t>-701.939614948283 249.501531572731 -501.54781123243</t>
  </si>
  <si>
    <t>-524.01871585691 260.768990346932 -312.182252290102</t>
  </si>
  <si>
    <t>-353.352028547735 33.8846099057707 -441.299336208934</t>
  </si>
  <si>
    <t>-629.89559526927 78.2372962463198 -226.361036104844</t>
  </si>
  <si>
    <t>-606.942942778796 193.065014023494 214.031339100855</t>
  </si>
  <si>
    <t>-633.952613649331 266.375314671549 675.826913188087</t>
  </si>
  <si>
    <t>-477.640629864921 306.098621846982 746.05605957551</t>
  </si>
  <si>
    <t>-557.939161889724 -72.0739567296632 215.899991138443</t>
  </si>
  <si>
    <t>-601.904275409605 -29.9854597126191 682.60999447343</t>
  </si>
  <si>
    <t>-442.06955555505 -43.0744279279302 754.894576878028</t>
  </si>
  <si>
    <t>9763-20170724T170216.392738900.bin</t>
  </si>
  <si>
    <t>-582.222850709441 3.86943790797864 -232.966936039526</t>
  </si>
  <si>
    <t>-593.965926480356 5.5800723276077 -353.494910460898</t>
  </si>
  <si>
    <t>-588.888419979992 0.494384783693249 -474.486266095063</t>
  </si>
  <si>
    <t>-554.421330943786 0.862561600332128 -779.296462960521</t>
  </si>
  <si>
    <t>-596.756487807245 141.697420322294 -780.086472229156</t>
  </si>
  <si>
    <t>-701.730761475897 248.873149183763 -501.375190869156</t>
  </si>
  <si>
    <t>-523.662130290864 260.349280983189 -312.16125182196</t>
  </si>
  <si>
    <t>-353.163867461949 33.6331174276502 -441.16806024814</t>
  </si>
  <si>
    <t>-630.07065118671 78.0136020368705 -226.251041424725</t>
  </si>
  <si>
    <t>-606.880180421228 193.011568768152 214.08451590794</t>
  </si>
  <si>
    <t>-633.985923997905 266.487070129796 675.849731714519</t>
  </si>
  <si>
    <t>-477.707425129944 306.415280958982 746.0372099292</t>
  </si>
  <si>
    <t>-557.878384565739 -72.3730918519639 216.071825077026</t>
  </si>
  <si>
    <t>-601.8068654162 -30.2652189763812 682.766520896003</t>
  </si>
  <si>
    <t>-441.940363960298 -43.0086965158264 755.042492123695</t>
  </si>
  <si>
    <t>9763-20170724T170216.459902200.bin</t>
  </si>
  <si>
    <t>-582.163316338874 3.41210186802823 -232.747089237366</t>
  </si>
  <si>
    <t>-593.877753353256 4.82197712098014 -353.281673376095</t>
  </si>
  <si>
    <t>-596.572369057396 140.150054616472 -780.054275916677</t>
  </si>
  <si>
    <t>-699.712105219112 246.020254718369 -500.161723736316</t>
  </si>
  <si>
    <t>-521.886417817969 260.013459726032 -310.888580636043</t>
  </si>
  <si>
    <t>-353.001648782255 32.6585713016366 -441.052803729054</t>
  </si>
  <si>
    <t>-630.302471533659 77.6130594647518 -226.15765496348</t>
  </si>
  <si>
    <t>-606.557904989015 193.152657296445 214.006520683214</t>
  </si>
  <si>
    <t>-634.056391607933 266.604594013483 675.851676997537</t>
  </si>
  <si>
    <t>-477.901849425611 307.108535571836 745.985127675384</t>
  </si>
  <si>
    <t>-557.708063460606 -72.9106884749613 216.472237614863</t>
  </si>
  <si>
    <t>-601.623608380233 -30.9070582649904 683.128484977946</t>
  </si>
  <si>
    <t>-441.750344671901 -43.5886778930594 755.400329204211</t>
  </si>
  <si>
    <t>9763-20170724T170216.499005300.bin</t>
  </si>
  <si>
    <t>-582.216758622172 3.18122822883106 -232.611478751659</t>
  </si>
  <si>
    <t>-593.910356679555 4.41272703518644 -353.150072815132</t>
  </si>
  <si>
    <t>-596.467919765051 139.626330644111 -780.019604514279</t>
  </si>
  <si>
    <t>-695.889935107673 243.468845753014 -498.02982365362</t>
  </si>
  <si>
    <t>-518.375560740606 260.635263874653 -308.725889251755</t>
  </si>
  <si>
    <t>-352.729354634927 32.3031856538094 -441.003792700989</t>
  </si>
  <si>
    <t>-630.551426361246 77.481436289869 -226.087889874103</t>
  </si>
  <si>
    <t>-606.331811462204 193.340660022149 213.966417911988</t>
  </si>
  <si>
    <t>-634.093488216253 266.53891506437 675.928732940123</t>
  </si>
  <si>
    <t>-477.986828819442 307.407111013824 745.957337943916</t>
  </si>
  <si>
    <t>-557.663160095446 -73.20957459952 216.715851765981</t>
  </si>
  <si>
    <t>-601.548049285824 -31.2989082544541 683.36225527266</t>
  </si>
  <si>
    <t>-441.622327004754 -43.3176607045571 755.631387606716</t>
  </si>
  <si>
    <t>9763-20170724T170216.564110700.bin</t>
  </si>
  <si>
    <t>-582.543092071214 3.31082245396146 -232.120318502435</t>
  </si>
  <si>
    <t>-594.054090104047 4.329806016867 -352.678493361872</t>
  </si>
  <si>
    <t>-597.048113690205 139.749860116162 -779.621996779852</t>
  </si>
  <si>
    <t>-680.496337785351 239.501648322341 -491.052759168198</t>
  </si>
  <si>
    <t>-504.484922032273 265.319350024916 -301.328121525692</t>
  </si>
  <si>
    <t>-352.530945723236 32.630098226886 -441.204910343208</t>
  </si>
  <si>
    <t>-631.198066152012 78.0028595690671 -225.773120687541</t>
  </si>
  <si>
    <t>-605.928088894645 193.852994208209 214.22442464726</t>
  </si>
  <si>
    <t>-634.470957734125 266.606401875381 676.353896563192</t>
  </si>
  <si>
    <t>-478.314618226355 308.139658457678 745.878709099752</t>
  </si>
  <si>
    <t>-557.706255039572 -73.6535856787623 217.330061288794</t>
  </si>
  <si>
    <t>-601.424444417369 -32.1604489174972 683.936435130338</t>
  </si>
  <si>
    <t>-441.507782831201 -44.2542469884706 756.21310161305</t>
  </si>
  <si>
    <t>9763-20170724T170216.592188900.bin</t>
  </si>
  <si>
    <t>-582.863184433878 3.61497491933528 -231.933775700811</t>
  </si>
  <si>
    <t>-594.469184720087 4.48031231090954 -352.484024836051</t>
  </si>
  <si>
    <t>-598.402942781743 139.862723202687 -779.46451553999</t>
  </si>
  <si>
    <t>-669.433881457438 239.834188161806 -487.665797787041</t>
  </si>
  <si>
    <t>-494.281025289094 266.153527429618 -297.216832382294</t>
  </si>
  <si>
    <t>-353.462421697037 32.849099668437 -441.341431325573</t>
  </si>
  <si>
    <t>-631.712721001833 78.6056529203456 -225.69898781476</t>
  </si>
  <si>
    <t>-605.997091953255 194.152210456302 214.352586538638</t>
  </si>
  <si>
    <t>-634.673135630626 266.739160628199 676.484612995823</t>
  </si>
  <si>
    <t>-478.470544292848 308.40890798571 745.823685495265</t>
  </si>
  <si>
    <t>-557.883711102713 -73.7523483439822 217.58731171632</t>
  </si>
  <si>
    <t>-601.365106098847 -32.6536276899496 684.225944139355</t>
  </si>
  <si>
    <t>-441.425919719009 -44.4000957835915 756.509995460205</t>
  </si>
  <si>
    <t>9763-20170724T170216.664384100.bin</t>
  </si>
  <si>
    <t>-584.080611287812 4.38920130926272 -231.598268955244</t>
  </si>
  <si>
    <t>-595.785988994735 5.10035339555157 -352.139876510434</t>
  </si>
  <si>
    <t>-558.071537096119 1.78401501664143 -778.050604941206</t>
  </si>
  <si>
    <t>-601.934641873595 142.10635729317 -779.147609163527</t>
  </si>
  <si>
    <t>-641.212454940271 245.361186116433 -482.530197789121</t>
  </si>
  <si>
    <t>-467.179409377609 270.716326589545 -290.927243095964</t>
  </si>
  <si>
    <t>-356.533612554607 34.6599737959725 -441.922218445361</t>
  </si>
  <si>
    <t>-633.428435530795 79.5616505904363 -225.399318473873</t>
  </si>
  <si>
    <t>-606.25477043339 195.132678047099 214.558192078755</t>
  </si>
  <si>
    <t>-635.02323548627 266.945460253171 676.817346548844</t>
  </si>
  <si>
    <t>-478.76753967773 309.032119900648 745.783968460804</t>
  </si>
  <si>
    <t>-558.407055505995 -73.6052837064562 218.002945967555</t>
  </si>
  <si>
    <t>-601.212058674069 -33.334040934018 684.753926064856</t>
  </si>
  <si>
    <t>-441.214283390903 -44.2797295710809 757.034002165513</t>
  </si>
  <si>
    <t>9763-20170724T170216.704489700.bin</t>
  </si>
  <si>
    <t>-584.792622635653 4.7562296621652 -231.447400395874</t>
  </si>
  <si>
    <t>-596.593309056331 5.42132155160925 -351.979971403964</t>
  </si>
  <si>
    <t>-592.111930380869 0.490565465302325 -473.001318819442</t>
  </si>
  <si>
    <t>-560.259997247837 3.53476624998166 -777.991827281738</t>
  </si>
  <si>
    <t>-603.410434792859 144.0917193868 -778.287774082916</t>
  </si>
  <si>
    <t>-624.793113671676 249.25983084748 -480.515029079291</t>
  </si>
  <si>
    <t>-450.298512175118 272.807399843312 -289.101191407136</t>
  </si>
  <si>
    <t>-358.965813550375 35.673288489887 -442.292412784876</t>
  </si>
  <si>
    <t>-634.250661183138 80.0082723074543 -225.313802531144</t>
  </si>
  <si>
    <t>-606.404486603224 195.378494563124 214.654312268449</t>
  </si>
  <si>
    <t>-635.101475826663 266.998581524635 676.896719959581</t>
  </si>
  <si>
    <t>-478.943387156103 309.595102751217 745.77122438213</t>
  </si>
  <si>
    <t>-558.479399363071 -73.3295446790346 218.155073236226</t>
  </si>
  <si>
    <t>-601.116510786809 -33.566456261691 684.968192012157</t>
  </si>
  <si>
    <t>-441.097568899917 -44.2046397784759 757.24737539951</t>
  </si>
  <si>
    <t>9763-20170724T170216.762649300.bin</t>
  </si>
  <si>
    <t>-586.152780635523 5.33129720887814 -231.36558912356</t>
  </si>
  <si>
    <t>-598.024311496294 6.21257554116755 -351.889782663201</t>
  </si>
  <si>
    <t>-594.074709629484 2.02603126710483 -472.957633895985</t>
  </si>
  <si>
    <t>-564.198849829912 8.11056625188917 -778.045805859983</t>
  </si>
  <si>
    <t>-605.066476508806 149.357099401285 -776.240803574323</t>
  </si>
  <si>
    <t>-589.670594342087 257.271402597122 -479.08140376426</t>
  </si>
  <si>
    <t>-412.607816621461 276.729043526697 -289.576193288673</t>
  </si>
  <si>
    <t>-363.07150943965 36.6342387664931 -442.600409111601</t>
  </si>
  <si>
    <t>-635.788829420164 80.8160305444262 -225.140915394215</t>
  </si>
  <si>
    <t>-607.237492570405 195.88268584194 214.861591566844</t>
  </si>
  <si>
    <t>-635.357719911862 267.474275272441 677.061159036833</t>
  </si>
  <si>
    <t>-479.140465973887 310.042461219531 745.818874336811</t>
  </si>
  <si>
    <t>-558.236877475604 -72.647564998103 218.259523411344</t>
  </si>
  <si>
    <t>-600.930390489426 -34.0761635956846 685.192255501963</t>
  </si>
  <si>
    <t>-441.004488043886 -45.7588002834839 757.516065146932</t>
  </si>
  <si>
    <t>9763-20170724T170216.796739900.bin</t>
  </si>
  <si>
    <t>-586.842710217775 5.5599710530073 -231.469611409543</t>
  </si>
  <si>
    <t>-598.746482871558 6.62482831628085 -351.989218132314</t>
  </si>
  <si>
    <t>-595.069149557723 2.82096485443572 -473.078401593786</t>
  </si>
  <si>
    <t>-566.12597846202 10.3549079780064 -778.196857113409</t>
  </si>
  <si>
    <t>-604.960310772557 152.234016682838 -775.286101987341</t>
  </si>
  <si>
    <t>-572.257576843659 257.968698687432 -478.744581474837</t>
  </si>
  <si>
    <t>-393.453304039411 276.270106065434 -290.765295066416</t>
  </si>
  <si>
    <t>-365.416085165343 36.3803166179457 -442.913039227231</t>
  </si>
  <si>
    <t>-636.358970127877 81.4226033069265 -225.186994949599</t>
  </si>
  <si>
    <t>-607.709172287097 196.047652555312 214.924262480019</t>
  </si>
  <si>
    <t>-635.503260208862 267.810151777133 677.123022556773</t>
  </si>
  <si>
    <t>-479.188724320539 310.03256659054 745.872973507615</t>
  </si>
  <si>
    <t>-558.257999338503 -72.2644723828769 218.154997116124</t>
  </si>
  <si>
    <t>-600.850991105386 -34.3087917129867 685.187363370948</t>
  </si>
  <si>
    <t>-440.941006768027 -46.1545102666469 757.519923763006</t>
  </si>
  <si>
    <t>9763-20170724T170216.859875000.bin</t>
  </si>
  <si>
    <t>-588.071434630767 5.99944974155574 -231.815250611745</t>
  </si>
  <si>
    <t>-599.953467849057 7.44195177761071 -352.333045624266</t>
  </si>
  <si>
    <t>-596.697526711011 4.34615914351525 -473.454480191107</t>
  </si>
  <si>
    <t>-569.019252778642 14.5475777925194 -778.556835139094</t>
  </si>
  <si>
    <t>-602.082718198198 157.750152710396 -773.45522985213</t>
  </si>
  <si>
    <t>-540.355502275671 258.214032213287 -479.715636229983</t>
  </si>
  <si>
    <t>-357.998558985022 273.283802357314 -294.888908773733</t>
  </si>
  <si>
    <t>-369.13419223462 34.1310011244304 -443.649087994942</t>
  </si>
  <si>
    <t>-636.768631981658 82.7138089249017 -225.415697112378</t>
  </si>
  <si>
    <t>-608.428495733398 196.413013701248 214.955689706672</t>
  </si>
  <si>
    <t>-635.677789385032 268.389007970151 677.181433523786</t>
  </si>
  <si>
    <t>-479.343646380246 310.467576139954 745.974922111203</t>
  </si>
  <si>
    <t>-558.464035872195 -71.6092660382178 217.825537059569</t>
  </si>
  <si>
    <t>-600.711819613109 -34.7866132985373 685.021370348889</t>
  </si>
  <si>
    <t>-440.89140907659 -47.6306774043076 757.381472579095</t>
  </si>
  <si>
    <t>9763-20170724T170216.897971700.bin</t>
  </si>
  <si>
    <t>-588.621440362604 6.4840661798064 -232.074767346321</t>
  </si>
  <si>
    <t>-600.389593848837 8.1175400800239 -352.601386915038</t>
  </si>
  <si>
    <t>-597.245938341387 5.3570914208326 -473.733804393494</t>
  </si>
  <si>
    <t>-588.385143092175 0.817967524800679 -582.801278912997</t>
  </si>
  <si>
    <t>-569.883486916357 16.8182565430802 -778.790998714948</t>
  </si>
  <si>
    <t>-599.665814616179 160.711984285669 -772.818298485579</t>
  </si>
  <si>
    <t>-525.870477748617 257.64285074336 -480.67982089998</t>
  </si>
  <si>
    <t>-341.585429978514 269.821482505497 -297.560423352795</t>
  </si>
  <si>
    <t>-370.263160246894 32.6425301314823 -444.012421280182</t>
  </si>
  <si>
    <t>-636.64474459122 83.779342021734 -225.688262205432</t>
  </si>
  <si>
    <t>-608.590266024921 196.72614207151 214.895051251099</t>
  </si>
  <si>
    <t>-635.742471160875 268.698290789531 677.164100909069</t>
  </si>
  <si>
    <t>-479.436112894574 310.779171261222 746.019235588027</t>
  </si>
  <si>
    <t>-558.733278914487 -71.2850096611839 217.594396338725</t>
  </si>
  <si>
    <t>-600.657813684423 -35.0574781210562 684.878248817011</t>
  </si>
  <si>
    <t>-440.872294754991 -48.299381423371 757.24370404516</t>
  </si>
  <si>
    <t>9763-20170724T170216.966087400.bin</t>
  </si>
  <si>
    <t>-589.404274633295 7.5832566831848 -232.653080081972</t>
  </si>
  <si>
    <t>-600.903241893504 9.72292126730508 -353.197736390203</t>
  </si>
  <si>
    <t>-597.932580145145 7.51708892799616 -474.345834583298</t>
  </si>
  <si>
    <t>-589.411842112469 3.47383800389412 -583.459960854294</t>
  </si>
  <si>
    <t>-570.884968977977 20.7354033985446 -779.316285591771</t>
  </si>
  <si>
    <t>-593.976378729974 165.779569963626 -771.686123539706</t>
  </si>
  <si>
    <t>-501.199652089102 254.661402792318 -482.413557323826</t>
  </si>
  <si>
    <t>-313.772254805648 262.085801509932 -302.252747943896</t>
  </si>
  <si>
    <t>-372.463082895161 28.4620795821093 -444.922375001303</t>
  </si>
  <si>
    <t>-635.699276222104 85.9967354344267 -226.219925733327</t>
  </si>
  <si>
    <t>-608.693096722845 197.569909835772 214.778651805575</t>
  </si>
  <si>
    <t>-635.884841948504 269.479428814244 677.027061603958</t>
  </si>
  <si>
    <t>-479.512546052995 310.98530149874 746.081317183269</t>
  </si>
  <si>
    <t>-559.697588498762 -70.825947960446 217.043794270659</t>
  </si>
  <si>
    <t>-600.57457236483 -35.6117725757524 684.51304246433</t>
  </si>
  <si>
    <t>-440.9155115761 -50.277268172219 756.883036849756</t>
  </si>
  <si>
    <t>9763-20170724T170216.997170600.bin</t>
  </si>
  <si>
    <t>-589.622971631164 8.49837650779023 -233.066760934724</t>
  </si>
  <si>
    <t>-600.966196410924 10.8870844044729 -353.621533884391</t>
  </si>
  <si>
    <t>-598.040275623983 8.88356381543917 -474.774229405054</t>
  </si>
  <si>
    <t>-589.644575809127 4.99490235484882 -583.903766132448</t>
  </si>
  <si>
    <t>-570.958196445056 22.6600982621328 -779.699276880748</t>
  </si>
  <si>
    <t>-590.814707936469 168.125580059622 -771.384940145026</t>
  </si>
  <si>
    <t>-491.237085813132 253.204902563971 -483.232192055154</t>
  </si>
  <si>
    <t>-302.794339818668 259.00650177391 -304.073895928572</t>
  </si>
  <si>
    <t>-373.022167852065 26.0993593078611 -445.402550421379</t>
  </si>
  <si>
    <t>-634.803897355762 87.6080484909492 -226.617688248443</t>
  </si>
  <si>
    <t>-608.491249673978 198.214816862042 214.666113105329</t>
  </si>
  <si>
    <t>-635.968046624263 269.926324115492 676.918496551416</t>
  </si>
  <si>
    <t>-479.542936519237 310.977697162069 746.124585513371</t>
  </si>
  <si>
    <t>-560.290060423808 -70.4293689661247 216.674831935697</t>
  </si>
  <si>
    <t>-600.529935466217 -35.8167242178033 684.26829031037</t>
  </si>
  <si>
    <t>-440.87783673207 -50.6304594621301 756.623521833582</t>
  </si>
  <si>
    <t>9763-20170724T170217.063859300.bin</t>
  </si>
  <si>
    <t>-589.710251550186 10.8644492537458 -234.032577114589</t>
  </si>
  <si>
    <t>-600.656562459171 13.7124364187498 -354.613897412334</t>
  </si>
  <si>
    <t>-597.659452840312 12.0538119974547 -475.770169253821</t>
  </si>
  <si>
    <t>-589.33658648988 8.41989239631539 -584.914009570954</t>
  </si>
  <si>
    <t>-575.611151894406 2.39039225375041 -693.404233290303</t>
  </si>
  <si>
    <t>-569.960011346757 26.7600985764025 -780.562323518437</t>
  </si>
  <si>
    <t>-583.830112663128 172.86172898358 -771.373554874106</t>
  </si>
  <si>
    <t>-476.954740601934 252.046006520136 -484.156375662421</t>
  </si>
  <si>
    <t>-286.711611353087 253.372371230027 -306.820988594117</t>
  </si>
  <si>
    <t>-372.808220905988 21.8907485533966 -446.511624470446</t>
  </si>
  <si>
    <t>-632.282377959014 91.5286111226824 -227.68066049494</t>
  </si>
  <si>
    <t>-607.914360597442 199.721371936498 214.312704257012</t>
  </si>
  <si>
    <t>-636.105893707205 270.926990574596 676.633430954324</t>
  </si>
  <si>
    <t>-479.550802302743 310.802570295961 746.232000677741</t>
  </si>
  <si>
    <t>-561.561562697868 -69.5337605934758 215.838158600134</t>
  </si>
  <si>
    <t>-600.478239717371 -36.389827224792 683.678869887282</t>
  </si>
  <si>
    <t>-440.937522420889 -52.4425344358942 756.015478131558</t>
  </si>
  <si>
    <t>9763-20170724T170217.096946800.bin</t>
  </si>
  <si>
    <t>-589.558863394619 12.2726621885593 -234.549972907036</t>
  </si>
  <si>
    <t>-600.382930135428 15.2928942473884 -355.138303422807</t>
  </si>
  <si>
    <t>-597.357306101648 13.750164407679 -476.295346341993</t>
  </si>
  <si>
    <t>-589.0477418729 10.1963420774134 -585.442876461937</t>
  </si>
  <si>
    <t>-575.376261807734 4.22427133311203 -693.942880071919</t>
  </si>
  <si>
    <t>-569.272042584792 28.7684893496985 -781.021484562569</t>
  </si>
  <si>
    <t>-580.521457501012 175.070735024429 -771.489456665568</t>
  </si>
  <si>
    <t>-472.321444171639 252.588510283874 -484.313679785746</t>
  </si>
  <si>
    <t>-281.642942440751 251.86425348446 -307.442922094697</t>
  </si>
  <si>
    <t>-372.450070036501 19.9789065902673 -447.000402230525</t>
  </si>
  <si>
    <t>-630.721972254643 93.804549890041 -228.280386616674</t>
  </si>
  <si>
    <t>-607.525630159187 200.396618644247 214.164731972347</t>
  </si>
  <si>
    <t>-636.126628358125 271.322767111545 676.513789929899</t>
  </si>
  <si>
    <t>-479.568601585722 310.885054813541 746.284154892699</t>
  </si>
  <si>
    <t>-562.14938397731 -69.0222787904729 215.386872066371</t>
  </si>
  <si>
    <t>-600.445934729551 -36.684858140113 683.342095458021</t>
  </si>
  <si>
    <t>-440.974072335372 -53.3833787575077 755.684283097176</t>
  </si>
  <si>
    <t>9763-20170724T170217.159218200.bin</t>
  </si>
  <si>
    <t>-589.149844693316 15.6109788227438 -235.702811002624</t>
  </si>
  <si>
    <t>-599.70691641055 19.002179725695 -356.304823179238</t>
  </si>
  <si>
    <t>-596.611126714001 17.6182035172376 -477.4620843289</t>
  </si>
  <si>
    <t>-588.321063693066 14.1249150357471 -586.612976597416</t>
  </si>
  <si>
    <t>-574.755182296876 8.13804204498229 -695.125545610351</t>
  </si>
  <si>
    <t>-504.08987257461 1.40938240357423 -935.686330954411</t>
  </si>
  <si>
    <t>-567.900300769518 32.8461699973195 -782.101937128909</t>
  </si>
  <si>
    <t>-575.127155266755 179.371393048281 -772.06883941314</t>
  </si>
  <si>
    <t>-466.002920252213 254.161198125432 -484.519586463151</t>
  </si>
  <si>
    <t>-275.839341497757 248.612778246645 -307.180734874009</t>
  </si>
  <si>
    <t>-371.398559016346 16.9954045836107 -447.707050032098</t>
  </si>
  <si>
    <t>-627.681728031745 98.7863049049336 -229.497414574319</t>
  </si>
  <si>
    <t>-607.00244208819 202.312641347323 213.799721399274</t>
  </si>
  <si>
    <t>-636.296443809618 272.37648719765 676.217000111255</t>
  </si>
  <si>
    <t>-479.643516424181 310.843355822597 746.385944037541</t>
  </si>
  <si>
    <t>-563.245880589925 -67.761769293031 214.36644337754</t>
  </si>
  <si>
    <t>-600.371173996386 -37.3130771650067 682.572103931631</t>
  </si>
  <si>
    <t>-441.098360309014 -55.6047996352072 754.967538084421</t>
  </si>
  <si>
    <t>9763-20170724T170217.206345900.bin</t>
  </si>
  <si>
    <t>-588.93468173495 17.4829919302363 -236.312686658569</t>
  </si>
  <si>
    <t>-599.287103872286 21.0010926272532 -356.928735318439</t>
  </si>
  <si>
    <t>-596.122616876912 19.6650594041787 -478.08480225078</t>
  </si>
  <si>
    <t>-587.826566405494 16.1860833785206 -587.235642228473</t>
  </si>
  <si>
    <t>-574.311734964558 10.1883012806582 -695.75398070827</t>
  </si>
  <si>
    <t>-503.67007241037 3.14942562394231 -936.290849697345</t>
  </si>
  <si>
    <t>-567.165778739735 34.9564180069051 -782.689714020332</t>
  </si>
  <si>
    <t>-572.827784644044 181.550200198922 -772.556822151</t>
  </si>
  <si>
    <t>-464.697831734854 255.443949149858 -484.400892236395</t>
  </si>
  <si>
    <t>-274.697942338258 246.533597990219 -307.02348778485</t>
  </si>
  <si>
    <t>-370.697784421841 16.0307675543156 -448.242041761244</t>
  </si>
  <si>
    <t>-626.241223328567 101.38109522065 -230.163047318556</t>
  </si>
  <si>
    <t>-606.999435868563 203.363705908134 213.556475087445</t>
  </si>
  <si>
    <t>-636.389536320236 272.946795203059 676.142895587531</t>
  </si>
  <si>
    <t>-479.681760583751 310.815854172455 746.5141419874</t>
  </si>
  <si>
    <t>-563.685561697733 -66.9837569060401 213.839573113533</t>
  </si>
  <si>
    <t>-600.306470137453 -37.4858803377513 682.158172132667</t>
  </si>
  <si>
    <t>-441.040838809115 -55.7897552261859 754.566330038333</t>
  </si>
  <si>
    <t>9763-20170724T170217.259113600.bin</t>
  </si>
  <si>
    <t>-588.567500281261 21.4827265947802 -237.443433001155</t>
  </si>
  <si>
    <t>-598.643946939723 25.1542051291249 -358.078428462187</t>
  </si>
  <si>
    <t>-595.405561530228 23.8195939143675 -479.232347237406</t>
  </si>
  <si>
    <t>-587.128298697399 20.2818289003824 -588.382928276963</t>
  </si>
  <si>
    <t>-573.720823392222 14.1696840883315 -696.908163548727</t>
  </si>
  <si>
    <t>-549.86111763276 2.79872662589332 -846.912863180839</t>
  </si>
  <si>
    <t>-503.142939438274 6.39568316501754 -937.397367165547</t>
  </si>
  <si>
    <t>-566.118866502146 38.9377706827393 -783.805092759266</t>
  </si>
  <si>
    <t>-569.637526662 185.574201130838 -773.517824355103</t>
  </si>
  <si>
    <t>-465.361425021241 258.212012822401 -483.627398504091</t>
  </si>
  <si>
    <t>-274.194049038301 239.690089055974 -308.259197717158</t>
  </si>
  <si>
    <t>-369.528715783616 15.3228079338269 -449.338603998505</t>
  </si>
  <si>
    <t>-624.092982938108 106.404935792978 -231.37852424428</t>
  </si>
  <si>
    <t>-607.824651136112 205.298403952903 213.15852413719</t>
  </si>
  <si>
    <t>-636.590012964659 273.801994935578 675.93726009764</t>
  </si>
  <si>
    <t>-479.870994146912 311.182753954854 746.54403799743</t>
  </si>
  <si>
    <t>-564.214323646795 -65.1588025275698 212.84411288987</t>
  </si>
  <si>
    <t>-600.156193705263 -37.9161440005093 681.335998705768</t>
  </si>
  <si>
    <t>-441.046751695657 -57.2060036995144 753.831508459749</t>
  </si>
  <si>
    <t>9763-20170724T170217.293207800.bin</t>
  </si>
  <si>
    <t>-588.51967185909 23.323870396302 -237.967656776055</t>
  </si>
  <si>
    <t>-598.53032942965 27.0717044420401 -358.605715446864</t>
  </si>
  <si>
    <t>-595.255980612091 25.7580860344167 -479.758959730228</t>
  </si>
  <si>
    <t>-586.960691611314 22.2143777283932 -588.907826299036</t>
  </si>
  <si>
    <t>-573.551721140332 16.0709640239641 -697.431128661378</t>
  </si>
  <si>
    <t>-549.70867125785 4.62993782759781 -847.433169220058</t>
  </si>
  <si>
    <t>-502.896068605898 8.02309303595644 -937.876899418456</t>
  </si>
  <si>
    <t>-565.739124158593 40.841357649653 -784.308961166944</t>
  </si>
  <si>
    <t>-568.47302142688 187.490509137269 -773.877027256317</t>
  </si>
  <si>
    <t>-466.140640618674 258.691475726212 -482.93926824718</t>
  </si>
  <si>
    <t>-274.015323826042 234.938449583122 -309.256650481487</t>
  </si>
  <si>
    <t>-369.054176810129 15.4804817580728 -449.735108339219</t>
  </si>
  <si>
    <t>-623.425751719878 108.58063725121 -231.900974948542</t>
  </si>
  <si>
    <t>-608.220062831108 206.30995237451 212.93101947885</t>
  </si>
  <si>
    <t>-636.704146628082 274.259518973221 675.800208104175</t>
  </si>
  <si>
    <t>-479.975986208968 311.406320244387 746.510300470053</t>
  </si>
  <si>
    <t>-564.241009315551 -64.2435129980163 212.350837481276</t>
  </si>
  <si>
    <t>-600.067501520986 -38.0709442411398 680.916268501109</t>
  </si>
  <si>
    <t>-440.990444066796 -57.5191533459947 753.440570290665</t>
  </si>
  <si>
    <t>9763-20170724T170217.366403000.bin</t>
  </si>
  <si>
    <t>-589.001117951065 26.7609389436868 -238.864167078005</t>
  </si>
  <si>
    <t>-598.837558945554 30.6071893460639 -359.513342762961</t>
  </si>
  <si>
    <t>-595.386897080747 29.3977435448305 -480.662828465993</t>
  </si>
  <si>
    <t>-586.93473911001 25.9423535642782 -589.802593651696</t>
  </si>
  <si>
    <t>-573.37414344057 19.8779912734608 -698.311497928448</t>
  </si>
  <si>
    <t>-549.328577855859 8.53321822848511 -848.288509552523</t>
  </si>
  <si>
    <t>-502.345571012803 11.7292934421805 -938.650788474848</t>
  </si>
  <si>
    <t>-565.165939118961 44.7560144351876 -785.121965134162</t>
  </si>
  <si>
    <t>-566.997283969911 191.390245724351 -774.299679408345</t>
  </si>
  <si>
    <t>-468.800401301463 258.534956223484 -480.982178305503</t>
  </si>
  <si>
    <t>-274.517660600108 227.927712374736 -310.8073210102</t>
  </si>
  <si>
    <t>-369.045156114374 17.1620422969413 -450.5122490854</t>
  </si>
  <si>
    <t>-623.326510250168 112.518793375542 -232.856827330247</t>
  </si>
  <si>
    <t>-609.475402524725 208.169183250578 212.471011433305</t>
  </si>
  <si>
    <t>-636.9344054137 274.997359029137 675.605274611622</t>
  </si>
  <si>
    <t>-480.155380823212 311.71243412592 746.427967757888</t>
  </si>
  <si>
    <t>-564.209956928782 -62.4750056499702 211.436893779639</t>
  </si>
  <si>
    <t>-599.892158023906 -38.3895246467894 680.097938148582</t>
  </si>
  <si>
    <t>-440.896649750687 -58.3125113104127 752.67220591703</t>
  </si>
  <si>
    <t>9763-20170724T170217.392471200.bin</t>
  </si>
  <si>
    <t>-589.480142649782 28.576079761734 -239.319863139712</t>
  </si>
  <si>
    <t>-599.212066149135 32.4637411965855 -359.976512026248</t>
  </si>
  <si>
    <t>-595.617114278857 31.3322192698254 -481.122434293615</t>
  </si>
  <si>
    <t>-587.01931579065 27.9576001271453 -590.253376763552</t>
  </si>
  <si>
    <t>-573.298553796526 21.9823722377243 -698.747083558052</t>
  </si>
  <si>
    <t>-549.015981122127 10.7681465399137 -848.695610506878</t>
  </si>
  <si>
    <t>-501.915882490528 13.9739516403076 -938.996729333268</t>
  </si>
  <si>
    <t>-564.898705289365 46.9456924936794 -785.514646946496</t>
  </si>
  <si>
    <t>-566.665187328126 193.556162559233 -774.405577907953</t>
  </si>
  <si>
    <t>-469.913222251219 259.126381084892 -480.252868463239</t>
  </si>
  <si>
    <t>-274.971589767762 226.842102928043 -311.144818702308</t>
  </si>
  <si>
    <t>-369.269913665298 18.8420282425502 -450.924535798086</t>
  </si>
  <si>
    <t>-623.730262717777 114.598831675099 -233.358335760284</t>
  </si>
  <si>
    <t>-610.534921423982 208.967861780047 212.262684272489</t>
  </si>
  <si>
    <t>-637.11869143201 275.378668916079 675.581306247541</t>
  </si>
  <si>
    <t>-480.272947000811 311.839521868919 746.387634087871</t>
  </si>
  <si>
    <t>-564.152185876395 -61.4774473982957 210.990463694345</t>
  </si>
  <si>
    <t>-599.803473870804 -38.5126563747658 679.685201266225</t>
  </si>
  <si>
    <t>-440.820846855155 -58.5080871248331 752.267697443422</t>
  </si>
  <si>
    <t>9763-20170724T170217.459224500.bin</t>
  </si>
  <si>
    <t>-590.61078230446 31.8207207729588 -240.082388368058</t>
  </si>
  <si>
    <t>-600.128930328323 35.7460274717416 -360.75451261061</t>
  </si>
  <si>
    <t>-596.277068288371 34.7300574589649 -481.89378347804</t>
  </si>
  <si>
    <t>-587.430296127317 31.486180463017 -591.008637923862</t>
  </si>
  <si>
    <t>-573.444419144628 25.6644141620809 -699.476867763833</t>
  </si>
  <si>
    <t>-548.777083551756 14.684512833383 -849.380048005276</t>
  </si>
  <si>
    <t>-501.392919148271 18.0483849446084 -939.526585921037</t>
  </si>
  <si>
    <t>-564.837262769616 50.760554279439 -786.185885073879</t>
  </si>
  <si>
    <t>-566.883463647215 197.347829580303 -774.763710818725</t>
  </si>
  <si>
    <t>-471.911649155762 261.044563601843 -479.620914644719</t>
  </si>
  <si>
    <t>-275.973411453207 227.289798638696 -311.957927110751</t>
  </si>
  <si>
    <t>-369.98512161581 22.5564774617442 -451.73027383764</t>
  </si>
  <si>
    <t>-625.204017961434 117.811681886482 -234.042973038418</t>
  </si>
  <si>
    <t>-612.961714477699 210.513677612324 211.954992666765</t>
  </si>
  <si>
    <t>-637.469004540126 275.862735077973 675.625524242141</t>
  </si>
  <si>
    <t>-480.509296071234 312.217618641214 746.233395815467</t>
  </si>
  <si>
    <t>-564.298862757746 -59.6843770866562 210.198324939799</t>
  </si>
  <si>
    <t>-599.612669991445 -38.6900165003863 678.945462381912</t>
  </si>
  <si>
    <t>-440.584640436707 -58.2812241848576 751.538691440124</t>
  </si>
  <si>
    <t>9763-20170724T170217.492313000.bin</t>
  </si>
  <si>
    <t>-591.235292884194 33.2158016297824 -240.390790550763</t>
  </si>
  <si>
    <t>-600.695173895002 37.1239143482053 -361.068318660086</t>
  </si>
  <si>
    <t>-596.707304655986 36.1216591251746 -482.203146633963</t>
  </si>
  <si>
    <t>-587.707137156317 32.8985966796681 -591.306152954086</t>
  </si>
  <si>
    <t>-573.538307841982 27.103005935769 -699.751968945679</t>
  </si>
  <si>
    <t>-548.586751102356 16.1631867541744 -849.610955369257</t>
  </si>
  <si>
    <t>-501.079552070273 19.620923521039 -939.689308993839</t>
  </si>
  <si>
    <t>-564.813162357033 52.2140598043077 -786.444946730475</t>
  </si>
  <si>
    <t>-567.195556631541 198.816007417271 -775.090800981716</t>
  </si>
  <si>
    <t>-472.53788432886 262.368831955498 -479.816098659522</t>
  </si>
  <si>
    <t>-276.084000505251 227.895922582825 -312.904278630375</t>
  </si>
  <si>
    <t>-370.155898331925 24.3301549993098 -452.056319935259</t>
  </si>
  <si>
    <t>-625.999164628871 119.247657866952 -234.343478765715</t>
  </si>
  <si>
    <t>-614.160432943509 211.103279531397 211.840449779986</t>
  </si>
  <si>
    <t>-637.671729955672 276.068725455222 675.688120055348</t>
  </si>
  <si>
    <t>-480.683122950425 312.648087381625 746.115550223371</t>
  </si>
  <si>
    <t>-564.29316130152 -58.9305897483487 209.895775091941</t>
  </si>
  <si>
    <t>-599.520950616145 -38.7605775418908 678.638572950897</t>
  </si>
  <si>
    <t>-440.48871664076 -58.3184844326472 751.231649691507</t>
  </si>
  <si>
    <t>9763-20170724T170217.561062000.bin</t>
  </si>
  <si>
    <t>-592.367708835527 35.3751477000988 -240.829859051453</t>
  </si>
  <si>
    <t>-601.796261419 39.2654967082744 -361.510247463176</t>
  </si>
  <si>
    <t>-597.698162347353 38.2575751997233 -482.641457944504</t>
  </si>
  <si>
    <t>-588.569283730001 35.0279105448285 -591.73352793068</t>
  </si>
  <si>
    <t>-574.24477588403 29.2192331011911 -700.15831747274</t>
  </si>
  <si>
    <t>-549.051103224547 18.2507476684827 -849.974725582652</t>
  </si>
  <si>
    <t>-501.409570258394 21.8880170028672 -939.974918606256</t>
  </si>
  <si>
    <t>-565.49286825 54.2928298804052 -786.85925775851</t>
  </si>
  <si>
    <t>-568.709737436515 200.88629924184 -775.698360487162</t>
  </si>
  <si>
    <t>-473.945053449414 265.008629418011 -480.581075552956</t>
  </si>
  <si>
    <t>-276.531418274835 228.533125010394 -315.234683686959</t>
  </si>
  <si>
    <t>-370.943438073112 27.5433431905424 -452.506652564413</t>
  </si>
  <si>
    <t>-627.700322071339 121.29582961859 -234.73839504442</t>
  </si>
  <si>
    <t>-616.54588585016 212.005334043179 211.697495378021</t>
  </si>
  <si>
    <t>-638.026622583405 276.355369401818 675.777438819487</t>
  </si>
  <si>
    <t>-480.911079341681 313.057567329674 745.857093477667</t>
  </si>
  <si>
    <t>-564.09727995242 -57.5540608842903 209.397452513429</t>
  </si>
  <si>
    <t>-599.32606674891 -38.8408243219144 678.130251852164</t>
  </si>
  <si>
    <t>-440.24273585492 -58.0365109035922 750.707985114053</t>
  </si>
  <si>
    <t>9763-20170724T170217.593153000.bin</t>
  </si>
  <si>
    <t>-592.900299155669 36.1950316455686 -241.027487142545</t>
  </si>
  <si>
    <t>-602.340164889301 40.0808022344099 -361.707246294294</t>
  </si>
  <si>
    <t>-598.229001984629 39.0529401567744 -482.837815559254</t>
  </si>
  <si>
    <t>-589.080111776692 35.7967874092783 -591.927372362896</t>
  </si>
  <si>
    <t>-574.728364590854 29.9517419242907 -700.346605557579</t>
  </si>
  <si>
    <t>-549.490838233606 18.9202064229009 -850.15103307955</t>
  </si>
  <si>
    <t>-501.843513169735 22.6116867880201 -940.145909759329</t>
  </si>
  <si>
    <t>-566.012794243101 54.9773869493185 -787.065143230502</t>
  </si>
  <si>
    <t>-569.651263509511 201.579245083436 -776.043178531655</t>
  </si>
  <si>
    <t>-474.723653349458 266.017835545039 -481.047193216134</t>
  </si>
  <si>
    <t>-276.945322091397 228.407210834419 -316.392407586955</t>
  </si>
  <si>
    <t>-371.518497052053 28.9118222344325 -452.666094836497</t>
  </si>
  <si>
    <t>-628.604768425118 122.103954204136 -234.920176687946</t>
  </si>
  <si>
    <t>-617.707628359241 212.252454109612 211.635716950527</t>
  </si>
  <si>
    <t>-638.175775623271 276.496160913131 675.81581445842</t>
  </si>
  <si>
    <t>-481.034875468683 313.331112761419 745.768807928379</t>
  </si>
  <si>
    <t>-563.973218914952 -57.0728246415961 209.16822444348</t>
  </si>
  <si>
    <t>-599.237734252877 -38.9688588710644 677.90917354921</t>
  </si>
  <si>
    <t>-440.236877168065 -58.7736282316375 750.504039162281</t>
  </si>
  <si>
    <t>9763-20170724T170217.659893500.bin</t>
  </si>
  <si>
    <t>-594.008070722763 37.5701911504341 -241.352238664502</t>
  </si>
  <si>
    <t>-603.486065554894 41.451910799248 -362.029100424773</t>
  </si>
  <si>
    <t>-599.324824920769 40.4146879767959 -483.15789212198</t>
  </si>
  <si>
    <t>-590.097033949786 37.1435319353614 -592.240431701073</t>
  </si>
  <si>
    <t>-575.634281211023 31.2735171526683 -700.64350734496</t>
  </si>
  <si>
    <t>-550.210556366823 20.1948195080656 -850.4129699891</t>
  </si>
  <si>
    <t>-502.554356764081 24.0643372875165 -940.395642053291</t>
  </si>
  <si>
    <t>-566.936933210055 56.2478807053969 -787.378605745083</t>
  </si>
  <si>
    <t>-571.202194493837 202.843218772999 -776.520417753424</t>
  </si>
  <si>
    <t>-476.162499256951 267.3706884238 -481.579879893498</t>
  </si>
  <si>
    <t>-277.852992506123 227.493810351527 -318.101345155246</t>
  </si>
  <si>
    <t>-372.470195895925 31.2734090223951 -452.965765813772</t>
  </si>
  <si>
    <t>-630.324751587803 123.466815923139 -235.18841417325</t>
  </si>
  <si>
    <t>-620.091304398454 212.538085060043 211.599262407171</t>
  </si>
  <si>
    <t>-638.477923568639 276.805783281405 675.921835317425</t>
  </si>
  <si>
    <t>-481.289137376009 313.983477437449 745.585392578747</t>
  </si>
  <si>
    <t>-563.936110560411 -56.2663022563383 208.767927387407</t>
  </si>
  <si>
    <t>-599.060196818492 -39.0661503655706 677.492410915672</t>
  </si>
  <si>
    <t>-439.915389292248 -57.8265183807737 750.049175171365</t>
  </si>
  <si>
    <t>9763-20170724T170217.692982700.bin</t>
  </si>
  <si>
    <t>-594.656178945454 37.9617813290345 -241.486380033584</t>
  </si>
  <si>
    <t>-604.215331374605 41.8401907143862 -362.157026244174</t>
  </si>
  <si>
    <t>-600.080363903297 40.8132478058976 -483.286739202404</t>
  </si>
  <si>
    <t>-590.853780017742 37.555713735308 -592.369813507612</t>
  </si>
  <si>
    <t>-576.369586955267 31.7025189459255 -700.770872232544</t>
  </si>
  <si>
    <t>-550.89255398344 20.6497400961484 -850.533178018159</t>
  </si>
  <si>
    <t>-503.256193486248 24.6090432944338 -940.522602504777</t>
  </si>
  <si>
    <t>-567.702035539058 56.6802403571689 -787.508065967862</t>
  </si>
  <si>
    <t>-572.161947633969 203.270074093274 -776.655282318676</t>
  </si>
  <si>
    <t>-477.508155643941 267.508093541605 -481.527661005508</t>
  </si>
  <si>
    <t>-279.017049495679 226.868396931882 -318.457885990945</t>
  </si>
  <si>
    <t>-373.237082450769 32.1021823562767 -453.083214958458</t>
  </si>
  <si>
    <t>-631.328779241467 123.77353376662 -235.244023987228</t>
  </si>
  <si>
    <t>-621.133772059523 212.74400194449 211.564623008878</t>
  </si>
  <si>
    <t>-638.639784235268 276.993815857607 675.964060618232</t>
  </si>
  <si>
    <t>-481.409390213539 314.23347957247 745.500658308853</t>
  </si>
  <si>
    <t>-564.083286290545 -56.0332899716209 208.59449538844</t>
  </si>
  <si>
    <t>-598.976706078522 -39.0782671854267 677.312764113963</t>
  </si>
  <si>
    <t>-439.808669677912 -57.709817209776 749.851796038274</t>
  </si>
  <si>
    <t>9763-20170724T170217.763185600.bin</t>
  </si>
  <si>
    <t>-595.904569938114 38.2112470602763 -241.673417137491</t>
  </si>
  <si>
    <t>-605.488220617296 42.0951158354023 -362.341874420354</t>
  </si>
  <si>
    <t>-601.3119317901 41.121273999772 -483.470662128698</t>
  </si>
  <si>
    <t>-592.019570752822 37.9313292272238 -592.550109622577</t>
  </si>
  <si>
    <t>-577.43989504574 32.1649028110605 -700.943060846453</t>
  </si>
  <si>
    <t>-551.798146831126 21.252806620254 -850.687554528705</t>
  </si>
  <si>
    <t>-504.127223716037 25.4090227660399 -940.649760522972</t>
  </si>
  <si>
    <t>-568.794933531615 57.2009469882098 -787.665738558256</t>
  </si>
  <si>
    <t>-573.747246259177 203.766001145558 -776.774617851868</t>
  </si>
  <si>
    <t>-480.444886175769 267.506303525447 -481.109162369084</t>
  </si>
  <si>
    <t>-281.865374600103 225.726379462679 -318.435677265906</t>
  </si>
  <si>
    <t>-374.22647553754 33.2197860799383 -453.151067696807</t>
  </si>
  <si>
    <t>-632.821098901727 124.074254827959 -235.364714284318</t>
  </si>
  <si>
    <t>-622.548811102178 212.838265119125 211.483232228455</t>
  </si>
  <si>
    <t>-638.89900563534 277.257343774725 676.006852214636</t>
  </si>
  <si>
    <t>-481.571406243178 314.442190372075 745.352629261238</t>
  </si>
  <si>
    <t>-564.584460886923 -55.8750276483941 208.343683019915</t>
  </si>
  <si>
    <t>-598.842436587319 -39.1896797657423 677.052524171001</t>
  </si>
  <si>
    <t>-439.615074755996 -57.5152623460324 749.539296189903</t>
  </si>
  <si>
    <t>9763-20170724T170217.796273400.bin</t>
  </si>
  <si>
    <t>-596.259906040622 38.02643417732 -241.700352159467</t>
  </si>
  <si>
    <t>-605.860742571945 41.9233592521384 -362.366939304074</t>
  </si>
  <si>
    <t>-601.591275666985 41.0045561090033 -483.492873450544</t>
  </si>
  <si>
    <t>-592.168736755371 37.8801594329593 -592.56307502953</t>
  </si>
  <si>
    <t>-577.412236008368 32.1943523047435 -700.936437930048</t>
  </si>
  <si>
    <t>-551.475453616301 21.4093587169493 -850.639362170945</t>
  </si>
  <si>
    <t>-503.758340481078 25.6758456679493 -940.571785569205</t>
  </si>
  <si>
    <t>-568.664369016092 57.2904371204261 -787.631310406928</t>
  </si>
  <si>
    <t>-573.829334337559 203.847459747015 -776.675870966806</t>
  </si>
  <si>
    <t>-481.628077240131 267.696341368798 -480.688564782743</t>
  </si>
  <si>
    <t>-283.047030074131 225.522017031334 -318.118767090634</t>
  </si>
  <si>
    <t>-373.986124375355 33.4727294375855 -453.006805560668</t>
  </si>
  <si>
    <t>-633.306113884627 123.826653836744 -235.334452393631</t>
  </si>
  <si>
    <t>-622.910363769305 212.78446735177 211.472193049769</t>
  </si>
  <si>
    <t>-638.985707282363 277.327718083803 676.006911436058</t>
  </si>
  <si>
    <t>-481.678337254093 314.70762558328 745.293445777691</t>
  </si>
  <si>
    <t>-564.902058518118 -56.0668873715686 208.267645246261</t>
  </si>
  <si>
    <t>-598.789509065281 -39.3439881918218 676.974100012922</t>
  </si>
  <si>
    <t>-439.619629547423 -58.1702689774033 749.458811659924</t>
  </si>
  <si>
    <t>9763-20170724T170217.858951100.bin</t>
  </si>
  <si>
    <t>-597.092526098602 37.0955696771166 -241.605648308961</t>
  </si>
  <si>
    <t>-606.971863716725 41.0384404454085 -362.248230745127</t>
  </si>
  <si>
    <t>-602.71932389528 40.2476946072754 -483.375844310498</t>
  </si>
  <si>
    <t>-593.203076871063 37.2687169772832 -592.441873978505</t>
  </si>
  <si>
    <t>-578.242351355978 31.7552871950991 -700.79603581999</t>
  </si>
  <si>
    <t>-551.905859685885 21.2356439333214 -850.448173064643</t>
  </si>
  <si>
    <t>-504.04381710617 25.7877759007208 -940.289512983573</t>
  </si>
  <si>
    <t>-569.420858107177 56.9731164031568 -787.448313653245</t>
  </si>
  <si>
    <t>-575.341904610914 203.484612007416 -776.381893716376</t>
  </si>
  <si>
    <t>-485.372018439754 267.728200398679 -479.794154618205</t>
  </si>
  <si>
    <t>-286.12804588269 225.507060093159 -318.049597239868</t>
  </si>
  <si>
    <t>-374.989934807708 33.3972004398795 -452.675185151832</t>
  </si>
  <si>
    <t>-634.554228973822 122.989364861578 -235.134962274154</t>
  </si>
  <si>
    <t>-623.315920017528 212.46195447108 211.548424784837</t>
  </si>
  <si>
    <t>-639.168343260224 277.518820875128 676.037477975238</t>
  </si>
  <si>
    <t>-481.811332638467 314.84725267401 745.239202660112</t>
  </si>
  <si>
    <t>-565.462955058314 -56.6801158208239 208.186814515711</t>
  </si>
  <si>
    <t>-598.683216973144 -39.5213569677189 676.867975351868</t>
  </si>
  <si>
    <t>-439.459912236398 -58.0887684817133 749.30214575707</t>
  </si>
  <si>
    <t>9763-20170724T170217.902066300.bin</t>
  </si>
  <si>
    <t>-597.62546937649 36.426542690632 -241.575947315624</t>
  </si>
  <si>
    <t>-607.630438624061 40.3777963327104 -362.207991095502</t>
  </si>
  <si>
    <t>-603.354162622526 39.6602121295064 -483.335043388568</t>
  </si>
  <si>
    <t>-593.754269148319 36.7707846811795 -592.396285314395</t>
  </si>
  <si>
    <t>-578.64697438391 31.3678524555639 -700.735662623334</t>
  </si>
  <si>
    <t>-552.040658134347 21.0222629953885 -850.35199387527</t>
  </si>
  <si>
    <t>-504.075957228489 25.7609530772045 -940.129021798313</t>
  </si>
  <si>
    <t>-569.779434685752 56.6636001514012 -787.360417581411</t>
  </si>
  <si>
    <t>-576.280344177201 203.143828315432 -776.226543647211</t>
  </si>
  <si>
    <t>-487.06412378916 267.661008549783 -479.47033192765</t>
  </si>
  <si>
    <t>-287.311769324673 225.792504370134 -318.262253637149</t>
  </si>
  <si>
    <t>-375.403313171204 33.208248199014 -452.37266765773</t>
  </si>
  <si>
    <t>-635.361303717323 122.225259605014 -234.981932160853</t>
  </si>
  <si>
    <t>-623.576351693523 212.216735981053 211.583060222601</t>
  </si>
  <si>
    <t>-639.255007033772 277.616725269535 676.046180116532</t>
  </si>
  <si>
    <t>-481.888494107504 314.936249081648 745.231003685154</t>
  </si>
  <si>
    <t>-565.753065115256 -57.1024817088003 208.151975588505</t>
  </si>
  <si>
    <t>-598.640897949502 -39.6456501503542 676.833013997164</t>
  </si>
  <si>
    <t>-439.403965206136 -58.2150852220004 749.236651404354</t>
  </si>
  <si>
    <t>9763-20170724T170217.962436100.bin</t>
  </si>
  <si>
    <t>-598.811458288511 34.6685347790897 -241.327377595826</t>
  </si>
  <si>
    <t>-608.780206739787 38.6546897195101 -361.961294675439</t>
  </si>
  <si>
    <t>-604.296349379985 38.1197797025536 -483.081854862684</t>
  </si>
  <si>
    <t>-594.436699754067 35.4516877076815 -592.125442953954</t>
  </si>
  <si>
    <t>-578.995655245967 30.3226505345888 -700.431119514637</t>
  </si>
  <si>
    <t>-551.846992108147 20.4100957669068 -849.979350296803</t>
  </si>
  <si>
    <t>-503.685361121843 25.6285081321112 -939.624321154919</t>
  </si>
  <si>
    <t>-570.093482529427 55.8094259107224 -786.996258942019</t>
  </si>
  <si>
    <t>-577.964738604544 202.21140415039 -775.656443927949</t>
  </si>
  <si>
    <t>-489.796150293324 267.448430288416 -478.744599837986</t>
  </si>
  <si>
    <t>-288.998822661343 226.63760833223 -318.566774996507</t>
  </si>
  <si>
    <t>-376.119290999954 33.1113903454911 -451.493804607664</t>
  </si>
  <si>
    <t>-637.28194688905 120.146365262676 -234.607855842462</t>
  </si>
  <si>
    <t>-624.496576996815 211.270690101993 211.699767364575</t>
  </si>
  <si>
    <t>-639.422228435485 277.623664783878 676.134058848847</t>
  </si>
  <si>
    <t>-482.055891199877 315.199941850967 745.180086540212</t>
  </si>
  <si>
    <t>-566.544475260422 -58.1406488625298 208.243888069309</t>
  </si>
  <si>
    <t>-598.546539596334 -39.8467802712514 676.888417167559</t>
  </si>
  <si>
    <t>-439.242335895266 -58.1043880356428 749.22339497606</t>
  </si>
  <si>
    <t>9763-20170724T170217.995524300.bin</t>
  </si>
  <si>
    <t>-599.353148295757 33.6059263807192 -241.148476258555</t>
  </si>
  <si>
    <t>-609.319944405254 37.6408902018686 -361.780842923604</t>
  </si>
  <si>
    <t>-604.727848726005 37.2000979099134 -482.897586173337</t>
  </si>
  <si>
    <t>-594.726751637737 34.6337561839002 -591.930884469903</t>
  </si>
  <si>
    <t>-579.100236684005 29.6212727926829 -700.215341872726</t>
  </si>
  <si>
    <t>-551.647751506886 19.8851664390309 -849.719849488523</t>
  </si>
  <si>
    <t>-503.386163841882 25.3560512938511 -939.295914005827</t>
  </si>
  <si>
    <t>-570.178644944419 55.1756535488851 -786.758618375864</t>
  </si>
  <si>
    <t>-578.829612781908 201.531383590776 -775.346077519397</t>
  </si>
  <si>
    <t>-491.131283880945 267.300116208469 -478.412209992027</t>
  </si>
  <si>
    <t>-289.980181728879 227.158225123885 -318.509394203358</t>
  </si>
  <si>
    <t>-376.382091932272 33.0221549530431 -450.9397145511</t>
  </si>
  <si>
    <t>-638.279965665093 118.816640564155 -234.3256655125</t>
  </si>
  <si>
    <t>-625.091425594865 210.688184162296 211.81712320458</t>
  </si>
  <si>
    <t>-639.516610357317 277.627649250786 676.187453064814</t>
  </si>
  <si>
    <t>-482.155830523815 315.402932368788 745.137677260706</t>
  </si>
  <si>
    <t>-567.070742486005 -58.8371842238737 208.349840734057</t>
  </si>
  <si>
    <t>-598.492683256165 -39.9218943283806 676.973437625286</t>
  </si>
  <si>
    <t>-439.120476228026 -57.7119435385496 749.275022653776</t>
  </si>
  <si>
    <t>9763-20170724T170218.059406500.bin</t>
  </si>
  <si>
    <t>-600.517248601822 31.1198033816365 -240.672378348827</t>
  </si>
  <si>
    <t>-610.352402022885 35.2557077122692 -361.312297840742</t>
  </si>
  <si>
    <t>-605.508189758573 34.9426567567734 -482.419709594845</t>
  </si>
  <si>
    <t>-595.231146025925 32.5023581121045 -591.430172423359</t>
  </si>
  <si>
    <t>-579.280333330991 27.6250842387763 -699.673547746982</t>
  </si>
  <si>
    <t>-551.327098714971 18.0850469235897 -849.097829274421</t>
  </si>
  <si>
    <t>-502.920223807918 24.0281090604624 -938.565261688982</t>
  </si>
  <si>
    <t>-570.403803591057 53.2162263336347 -786.210526764231</t>
  </si>
  <si>
    <t>-580.603735139637 199.476689624359 -774.805069808319</t>
  </si>
  <si>
    <t>-494.020329135904 266.377258503769 -477.796951434692</t>
  </si>
  <si>
    <t>-292.324692996183 227.598673419883 -318.243955441365</t>
  </si>
  <si>
    <t>-376.868605670878 32.7817008924358 -449.890156262938</t>
  </si>
  <si>
    <t>-640.140075348512 115.79527853225 -233.724393782325</t>
  </si>
  <si>
    <t>-626.519743155738 209.226251592471 212.081411103105</t>
  </si>
  <si>
    <t>-639.690837099397 277.536329112905 676.321181628243</t>
  </si>
  <si>
    <t>-482.269341806505 315.53577484072 745.009087164392</t>
  </si>
  <si>
    <t>-568.030178709466 -60.4086945999484 208.677760466253</t>
  </si>
  <si>
    <t>-598.401895414385 -40.0743603444648 677.25646250798</t>
  </si>
  <si>
    <t>-438.908400961525 -57.1318453043214 749.467103588258</t>
  </si>
  <si>
    <t>9763-20170724T170218.093494700.bin</t>
  </si>
  <si>
    <t>-601.081596988699 29.773276372094 -240.381533663539</t>
  </si>
  <si>
    <t>-610.939324510307 33.9585102897647 -361.017836626216</t>
  </si>
  <si>
    <t>-606.008626618908 33.7057875092316 -482.121923552091</t>
  </si>
  <si>
    <t>-595.609473930917 31.3235484531926 -591.122064800898</t>
  </si>
  <si>
    <t>-579.492691173625 26.506402303298 -699.343628264313</t>
  </si>
  <si>
    <t>-551.263413038879 17.0514969733961 -848.721353283079</t>
  </si>
  <si>
    <t>-502.775889087367 23.2175566701562 -938.130092362295</t>
  </si>
  <si>
    <t>-570.630629678304 52.105376961171 -785.879804210743</t>
  </si>
  <si>
    <t>-581.673509163323 198.295968780654 -774.552172442061</t>
  </si>
  <si>
    <t>-495.66142370141 265.707248925899 -477.493550533386</t>
  </si>
  <si>
    <t>-293.667549558074 227.681157307275 -318.136978290221</t>
  </si>
  <si>
    <t>-377.165798272776 32.796268981197 -449.436365286875</t>
  </si>
  <si>
    <t>-641.168959351287 114.161498159292 -233.355628514655</t>
  </si>
  <si>
    <t>-627.316000579988 208.304647314034 212.293134014807</t>
  </si>
  <si>
    <t>-639.735093997763 277.30564438093 676.455107276802</t>
  </si>
  <si>
    <t>-482.363639355419 315.875920195501 744.939223169668</t>
  </si>
  <si>
    <t>-568.430385389639 -61.1761143833032 208.883731972321</t>
  </si>
  <si>
    <t>-598.349182881442 -40.1633435223321 677.442103513577</t>
  </si>
  <si>
    <t>-438.784949324131 -56.7361211531397 749.609295994705</t>
  </si>
  <si>
    <t>9763-20170724T170218.163424300.bin</t>
  </si>
  <si>
    <t>-602.639668080312 26.9074001847516 -239.774879405486</t>
  </si>
  <si>
    <t>-612.582286376976 31.1455692015045 -360.402421829418</t>
  </si>
  <si>
    <t>-607.496988258658 30.9761235493504 -481.500137377758</t>
  </si>
  <si>
    <t>-596.862069089766 28.6773740127305 -590.47939885945</t>
  </si>
  <si>
    <t>-580.414151892827 23.9478398386561 -698.654925195621</t>
  </si>
  <si>
    <t>-551.62651558551 14.6164118781646 -847.933971277879</t>
  </si>
  <si>
    <t>-503.017426308293 21.1507859595297 -937.25038499599</t>
  </si>
  <si>
    <t>-571.571420645821 49.5335888822892 -785.19694497376</t>
  </si>
  <si>
    <t>-584.242015124992 195.623351458856 -774.013406974938</t>
  </si>
  <si>
    <t>-499.233772509399 264.616033006428 -477.028934515614</t>
  </si>
  <si>
    <t>-297.00958530669 227.913467715244 -317.654073222023</t>
  </si>
  <si>
    <t>-378.161516373503 32.768299501108 -448.450442396877</t>
  </si>
  <si>
    <t>-643.627253415847 110.747044064525 -232.587198869307</t>
  </si>
  <si>
    <t>-628.768296104345 206.735795580729 212.63527822119</t>
  </si>
  <si>
    <t>-639.932687902254 277.320102965297 676.572790131925</t>
  </si>
  <si>
    <t>-482.526834530365 316.194300799117 744.805461042215</t>
  </si>
  <si>
    <t>-569.278839512608 -62.8345307792488 209.35498540876</t>
  </si>
  <si>
    <t>-598.235586303414 -40.3471386865726 677.879747018033</t>
  </si>
  <si>
    <t>-438.602040893856 -56.4957289404456 749.989795188482</t>
  </si>
  <si>
    <t>9763-20170724T170218.197513200.bin</t>
  </si>
  <si>
    <t>-603.583778529627 25.6094467372757 -239.465108535528</t>
  </si>
  <si>
    <t>-613.476843534492 29.9048055351484 -360.094556791379</t>
  </si>
  <si>
    <t>-608.257657341565 29.7291713978527 -481.186658610073</t>
  </si>
  <si>
    <t>-597.470983617425 27.397197715931 -590.150373987258</t>
  </si>
  <si>
    <t>-580.842736964355 22.604858377236 -698.295602276298</t>
  </si>
  <si>
    <t>-551.777138254665 13.1537565796107 -847.513018102395</t>
  </si>
  <si>
    <t>-503.122781284538 19.7865561057163 -936.79773946966</t>
  </si>
  <si>
    <t>-571.992662146611 48.0818187527232 -784.868944885529</t>
  </si>
  <si>
    <t>-585.348279455607 194.108492420848 -773.892074554041</t>
  </si>
  <si>
    <t>-500.888412698927 263.89618964294 -476.936805504041</t>
  </si>
  <si>
    <t>-298.610599420201 228.004576507174 -317.445306097274</t>
  </si>
  <si>
    <t>-378.939577352326 32.6592742994603 -448.023626887134</t>
  </si>
  <si>
    <t>-645.016725260849 109.27788980395 -232.264039999342</t>
  </si>
  <si>
    <t>-629.510755259406 205.87868914988 212.803960057837</t>
  </si>
  <si>
    <t>-639.981632699084 277.23697147817 676.643935625493</t>
  </si>
  <si>
    <t>-482.600440813118 316.40715723802 744.764355395166</t>
  </si>
  <si>
    <t>-569.767496798194 -63.6603999430304 209.593087418384</t>
  </si>
  <si>
    <t>-598.199331778598 -40.4564016706502 678.110137946337</t>
  </si>
  <si>
    <t>-438.489340097447 -56.1158847920765 750.158817508476</t>
  </si>
  <si>
    <t>9763-20170724T170218.311396100.bin</t>
  </si>
  <si>
    <t>-604.734039911847 24.412146454375 -239.173439283577</t>
  </si>
  <si>
    <t>-614.665653607325 28.7753876682307 -359.797333016517</t>
  </si>
  <si>
    <t>-609.359500076858 28.5731589839875 -480.885593218846</t>
  </si>
  <si>
    <t>-598.447403349851 26.1767942090039 -589.835380439187</t>
  </si>
  <si>
    <t>-581.649648364462 21.2775266421934 -697.949588509868</t>
  </si>
  <si>
    <t>-552.305332784589 11.6325893216015 -847.100046738849</t>
  </si>
  <si>
    <t>-503.604861431427 18.3425186273321 -936.353807278152</t>
  </si>
  <si>
    <t>-572.790770028908 46.6019068800601 -784.566798026645</t>
  </si>
  <si>
    <t>-586.792866959145 192.578918007899 -773.881719656527</t>
  </si>
  <si>
    <t>-503.137439695995 263.172777082677 -476.889309113677</t>
  </si>
  <si>
    <t>-300.808016304455 228.421643218599 -317.210827511821</t>
  </si>
  <si>
    <t>-379.996210566089 32.6485403423599 -447.483912357919</t>
  </si>
  <si>
    <t>-646.687455489331 107.749969664965 -231.891986862811</t>
  </si>
  <si>
    <t>-630.24591946759 205.133586141059 212.971729820099</t>
  </si>
  <si>
    <t>-639.999297747873 276.999330789687 676.655798917316</t>
  </si>
  <si>
    <t>-482.699235555989 316.749554066135 744.627363397409</t>
  </si>
  <si>
    <t>-570.392263979415 -64.6603926871096 209.815515591594</t>
  </si>
  <si>
    <t>-598.193217461002 -40.6954679620244 678.329012372663</t>
  </si>
  <si>
    <t>-438.476294030184 -56.5272178756941 750.324768350673</t>
  </si>
  <si>
    <t>9763-20170724T170218.365548900.bin</t>
  </si>
  <si>
    <t>-614.148295132007 25.6704255228478 -235.015496433148</t>
  </si>
  <si>
    <t>-624.010084109976 29.0171066135495 -355.67761539485</t>
  </si>
  <si>
    <t>-617.6868959977 27.3792559375461 -476.706009114049</t>
  </si>
  <si>
    <t>-605.497168361969 23.5001053052172 -585.477549040388</t>
  </si>
  <si>
    <t>-587.081550595362 16.9197521156023 -693.238385319208</t>
  </si>
  <si>
    <t>-555.154262787409 4.72199337743837 -841.669641210533</t>
  </si>
  <si>
    <t>-505.598146277586 10.9998115151368 -930.482861443086</t>
  </si>
  <si>
    <t>-577.490885557225 40.5370931881346 -780.259062785531</t>
  </si>
  <si>
    <t>-594.899653082739 186.362667664921 -772.873788624134</t>
  </si>
  <si>
    <t>-516.792123957968 264.464086474963 -476.250047181175</t>
  </si>
  <si>
    <t>-314.942930595788 238.401091637876 -314.325335689255</t>
  </si>
  <si>
    <t>-387.969936128533 36.667729094783 -442.679339748082</t>
  </si>
  <si>
    <t>-659.192858249621 109.22801904767 -228.53822529683</t>
  </si>
  <si>
    <t>-633.465253734034 209.816954462127 215.1706781122</t>
  </si>
  <si>
    <t>-645.176701956796 282.648434550322 679.361382619937</t>
  </si>
  <si>
    <t>-487.690165455854 325.83207130955 744.757800527794</t>
  </si>
  <si>
    <t>-574.67712840317 -65.6622071977192 214.763374844934</t>
  </si>
  <si>
    <t>-598.039538834239 -41.2826804786994 683.560107254712</t>
  </si>
  <si>
    <t>-438.165584967885 -56.8753979934402 755.258745797783</t>
  </si>
  <si>
    <t>9763-20170724T170218.392620400.bin</t>
  </si>
  <si>
    <t>-619.497378520473 31.3435098169341 -233.781005103743</t>
  </si>
  <si>
    <t>-629.668862316308 33.9365718219683 -354.435958756172</t>
  </si>
  <si>
    <t>-623.089237362284 31.3988309210097 -475.435216795931</t>
  </si>
  <si>
    <t>-610.448100858105 26.637756980017 -584.119994265264</t>
  </si>
  <si>
    <t>-591.370070509916 19.1003039592872 -691.702960558266</t>
  </si>
  <si>
    <t>-558.312167510447 5.48917533139297 -839.763512406109</t>
  </si>
  <si>
    <t>-508.193860683419 11.2773930969609 -928.293877940621</t>
  </si>
  <si>
    <t>-581.335312393399 41.820634614083 -778.912136683018</t>
  </si>
  <si>
    <t>-599.705661228235 187.609733320729 -773.205474063198</t>
  </si>
  <si>
    <t>-523.280385069861 269.463593817308 -477.155940625986</t>
  </si>
  <si>
    <t>-321.997332610306 246.349895506913 -314.082526989984</t>
  </si>
  <si>
    <t>-393.184002192067 42.0090111752345 -440.877661276832</t>
  </si>
  <si>
    <t>-666.53126011139 116.602753056751 -227.738157868908</t>
  </si>
  <si>
    <t>-635.976271346532 221.168263431888 214.74354426645</t>
  </si>
  <si>
    <t>-652.175802123276 292.035235965984 679.411144176514</t>
  </si>
  <si>
    <t>-494.629485251366 337.793467247569 742.884502068637</t>
  </si>
  <si>
    <t>-576.556404938647 -62.6962445426736 216.314750963322</t>
  </si>
  <si>
    <t>-597.963937757763 -41.1902689349597 685.00766866828</t>
  </si>
  <si>
    <t>-438.073256212796 -56.6830945886602 756.690607828918</t>
  </si>
  <si>
    <t>9763-20170724T170218.464595900.bin</t>
  </si>
  <si>
    <t>-628.40741689958 40.2394373519001 -232.980261852577</t>
  </si>
  <si>
    <t>-639.692018605686 40.6752260415237 -353.56332777366</t>
  </si>
  <si>
    <t>-632.765013776749 35.6662645297458 -474.466134623675</t>
  </si>
  <si>
    <t>-619.244353148478 28.5110150324324 -582.913534870803</t>
  </si>
  <si>
    <t>-598.746582315305 18.3981623431409 -690.0229828027</t>
  </si>
  <si>
    <t>-563.182252322096 1.001986177449 -837.102975326949</t>
  </si>
  <si>
    <t>-511.703994743077 5.19662301173071 -924.940271689742</t>
  </si>
  <si>
    <t>-587.595027971496 38.7593119845253 -777.6781225095</t>
  </si>
  <si>
    <t>-607.399000967766 184.494156227859 -776.290094549325</t>
  </si>
  <si>
    <t>-533.9875834959 275.053013509417 -482.018096216013</t>
  </si>
  <si>
    <t>-334.041627568849 258.959770469261 -316.4744624577</t>
  </si>
  <si>
    <t>-402.678840352097 48.0081341346754 -438.726322896927</t>
  </si>
  <si>
    <t>-677.079772057637 125.656612874791 -227.961227954102</t>
  </si>
  <si>
    <t>-631.710032856297 241.550781947054 210.408178809847</t>
  </si>
  <si>
    <t>-657.340625267383 293.018416719678 676.596321226624</t>
  </si>
  <si>
    <t>-504.824107660175 356.882012634461 736.626768934825</t>
  </si>
  <si>
    <t>-578.869130952037 -56.893684617522 217.874826400529</t>
  </si>
  <si>
    <t>-597.793598808596 -40.6513477990782 686.664557488432</t>
  </si>
  <si>
    <t>-437.791308900186 -54.8485953524703 758.366782379742</t>
  </si>
  <si>
    <t>9763-20170724T170218.493671300.bin</t>
  </si>
  <si>
    <t>-631.895545985266 44.0296787397876 -233.074186919754</t>
  </si>
  <si>
    <t>-643.862429791349 43.2719506541184 -353.589858459829</t>
  </si>
  <si>
    <t>-636.825370323271 36.9578223885894 -474.425184378188</t>
  </si>
  <si>
    <t>-622.899032369256 28.5532036079931 -582.731513173301</t>
  </si>
  <si>
    <t>-601.704982756611 17.1061009522814 -689.570762421949</t>
  </si>
  <si>
    <t>-512.712848463165 0.95015494916106 -923.564392136218</t>
  </si>
  <si>
    <t>-589.931088395914 36.2569825435394 -777.4171360266</t>
  </si>
  <si>
    <t>-609.983129437712 181.936063907985 -778.169711418888</t>
  </si>
  <si>
    <t>-537.431742867081 277.374327431282 -485.229483110557</t>
  </si>
  <si>
    <t>-338.010096403635 264.457977699753 -318.777653236465</t>
  </si>
  <si>
    <t>-406.637566796841 49.7677994684198 -438.143327491382</t>
  </si>
  <si>
    <t>-681.090997523255 129.141562233888 -228.717973806877</t>
  </si>
  <si>
    <t>-629.164470800196 249.695868269328 207.662594848321</t>
  </si>
  <si>
    <t>-659.405228304155 289.182280497382 674.624682561135</t>
  </si>
  <si>
    <t>-512.586659889035 365.436701100549 734.399963829706</t>
  </si>
  <si>
    <t>-579.578640029934 -54.6127557127802 218.193679468019</t>
  </si>
  <si>
    <t>-597.7476621771 -40.5392643276082 687.143335719017</t>
  </si>
  <si>
    <t>-437.734735250672 -54.4788773581181 758.872468773031</t>
  </si>
  <si>
    <t>9763-20170724T170218.563863200.bin</t>
  </si>
  <si>
    <t>-637.771478931817 50.9186524448799 -233.22556783209</t>
  </si>
  <si>
    <t>-650.787657248017 48.6024200661527 -353.612523822226</t>
  </si>
  <si>
    <t>-643.49936073521 40.1823655600506 -474.304418825032</t>
  </si>
  <si>
    <t>-628.854847277079 29.6181231661546 -582.326663023702</t>
  </si>
  <si>
    <t>-606.486144695833 15.7369399499319 -688.636574676231</t>
  </si>
  <si>
    <t>-593.580305268388 32.6290271631065 -776.786740643287</t>
  </si>
  <si>
    <t>-613.578660473145 178.278723108064 -781.029601944577</t>
  </si>
  <si>
    <t>-538.994570440625 284.130710086986 -492.206515558121</t>
  </si>
  <si>
    <t>-340.568276583714 279.30352137449 -324.141843257661</t>
  </si>
  <si>
    <t>-412.298208293507 53.0864704805931 -437.017085993729</t>
  </si>
  <si>
    <t>-688.063629576147 134.611304645319 -228.898652398583</t>
  </si>
  <si>
    <t>-630.294641016268 267.462627858175 203.15568110804</t>
  </si>
  <si>
    <t>-673.685192135606 291.208261725602 669.883647766338</t>
  </si>
  <si>
    <t>-540.426996712079 388.88200145028 730.262331910474</t>
  </si>
  <si>
    <t>-580.819556885347 -50.5011121506379 218.412001131737</t>
  </si>
  <si>
    <t>-597.727528594326 -40.371223038112 687.671293250448</t>
  </si>
  <si>
    <t>-437.524314226783 -52.1163380807886 759.368510591822</t>
  </si>
  <si>
    <t>9763-20170724T170218.596951000.bin</t>
  </si>
  <si>
    <t>-640.158337076203 54.6048286673631 -233.303017857633</t>
  </si>
  <si>
    <t>-653.646818326911 51.7372717188437 -353.626045001882</t>
  </si>
  <si>
    <t>-646.408736471517 42.3518156663358 -474.249854393452</t>
  </si>
  <si>
    <t>-631.656979603517 30.7397741196007 -582.149711760471</t>
  </si>
  <si>
    <t>-609.044979449768 15.6334777549425 -688.241016728515</t>
  </si>
  <si>
    <t>-595.787668099506 31.4027375745952 -776.546862562547</t>
  </si>
  <si>
    <t>-615.345363102956 177.062272884379 -782.459939078176</t>
  </si>
  <si>
    <t>-538.353725529531 287.689061067296 -496.068203216362</t>
  </si>
  <si>
    <t>-340.336317957403 287.072278564098 -327.453998705937</t>
  </si>
  <si>
    <t>-414.756983859793 54.5406556631569 -436.450576934636</t>
  </si>
  <si>
    <t>-690.607706340394 138.364274030567 -229.043837543501</t>
  </si>
  <si>
    <t>-632.562598072622 277.009302785087 201.149118662611</t>
  </si>
  <si>
    <t>-686.380372254186 300.251629056149 667.068766485779</t>
  </si>
  <si>
    <t>-555.887526975702 401.679944253056 727.296781642778</t>
  </si>
  <si>
    <t>-581.404196928158 -48.3519784884679 218.428348549748</t>
  </si>
  <si>
    <t>-597.773755169095 -40.5210503121587 687.808010153791</t>
  </si>
  <si>
    <t>-437.55278945213 -52.0782544846447 759.496217011657</t>
  </si>
  <si>
    <t>9763-20170724T170218.659689000.bin</t>
  </si>
  <si>
    <t>-644.477961037544 63.6924900537997 -233.72147365671</t>
  </si>
  <si>
    <t>-658.136353389272 60.0494709852385 -354.004421391031</t>
  </si>
  <si>
    <t>-650.987586705546 49.0440115110664 -474.4964919677</t>
  </si>
  <si>
    <t>-636.316844112276 35.6285682197986 -582.197988843946</t>
  </si>
  <si>
    <t>-613.810998648864 18.3863640310751 -687.985781073934</t>
  </si>
  <si>
    <t>-600.227744312198 32.286202554681 -776.555745856718</t>
  </si>
  <si>
    <t>-617.688290531459 178.063690761997 -785.049817377559</t>
  </si>
  <si>
    <t>-534.649154540479 297.556801655534 -503.95903811393</t>
  </si>
  <si>
    <t>-336.743316984694 305.132879464663 -335.382838441407</t>
  </si>
  <si>
    <t>-418.897151616777 58.3678451081437 -436.768204267839</t>
  </si>
  <si>
    <t>-694.538817146705 147.569570191194 -229.75389264921</t>
  </si>
  <si>
    <t>-638.772187435154 295.949156525556 197.482905411536</t>
  </si>
  <si>
    <t>-710.905215702011 325.17975756537 660.731510953927</t>
  </si>
  <si>
    <t>-579.561607149052 425.506588936024 720.954893447691</t>
  </si>
  <si>
    <t>-582.989071525128 -42.9973478692907 218.429006332921</t>
  </si>
  <si>
    <t>-597.841225368502 -40.6578684605902 687.953169919129</t>
  </si>
  <si>
    <t>-437.607178233087 -52.2057014654333 759.613532328211</t>
  </si>
  <si>
    <t>9763-20170724T170218.696785700.bin</t>
  </si>
  <si>
    <t>-646.279820670628 69.3993718911981 -234.037427041355</t>
  </si>
  <si>
    <t>-659.704980164392 65.4212320838783 -354.335982661678</t>
  </si>
  <si>
    <t>-652.576366528351 53.7586162970031 -474.767321188683</t>
  </si>
  <si>
    <t>-638.039893187301 39.6224847883693 -582.395094507672</t>
  </si>
  <si>
    <t>-615.792423834011 21.5368423243735 -688.096576189753</t>
  </si>
  <si>
    <t>-602.158714957426 34.7576784412358 -776.762790706307</t>
  </si>
  <si>
    <t>-618.026907366474 180.647207593019 -786.08229149768</t>
  </si>
  <si>
    <t>-531.493434099257 303.494345917784 -507.502516888113</t>
  </si>
  <si>
    <t>-333.619603361721 314.976312704113 -339.109498066521</t>
  </si>
  <si>
    <t>-420.403537406691 60.5391129818747 -437.532571639919</t>
  </si>
  <si>
    <t>-695.494256127629 153.827667862127 -230.538985255014</t>
  </si>
  <si>
    <t>-644.255271493552 305.594935418622 196.074381854556</t>
  </si>
  <si>
    <t>-722.77929138868 340.459881855408 657.926028229514</t>
  </si>
  <si>
    <t>-590.179110055132 439.638173283641 717.292373706438</t>
  </si>
  <si>
    <t>-584.02387116594 -39.5417179203403 218.388563751514</t>
  </si>
  <si>
    <t>-597.858179000759 -40.7213577035568 687.994013115599</t>
  </si>
  <si>
    <t>-437.618889955563 -52.1099895697419 759.66817872109</t>
  </si>
  <si>
    <t>9763-20170724T170218.758464400.bin</t>
  </si>
  <si>
    <t>-650.207690559784 82.6921119861331 -234.266468594297</t>
  </si>
  <si>
    <t>-663.059717706552 78.6282435311721 -354.624744010094</t>
  </si>
  <si>
    <t>-656.030045742797 66.1627035339091 -474.981585851062</t>
  </si>
  <si>
    <t>-641.888661442406 51.0081824016818 -582.523286353353</t>
  </si>
  <si>
    <t>-620.361754996822 31.6158123443668 -688.142275998069</t>
  </si>
  <si>
    <t>-606.673023098165 43.8105011913217 -776.947008310508</t>
  </si>
  <si>
    <t>-618.479972222434 190.026168424349 -787.198828898188</t>
  </si>
  <si>
    <t>-524.658820017954 316.296042110016 -512.535946514956</t>
  </si>
  <si>
    <t>-326.755700933726 333.851172372822 -344.701883842134</t>
  </si>
  <si>
    <t>-423.805212595495 65.7352970796055 -439.860657020652</t>
  </si>
  <si>
    <t>-698.160272508801 168.319742383401 -231.670579930258</t>
  </si>
  <si>
    <t>-658.369429833665 321.946866003897 195.498031903499</t>
  </si>
  <si>
    <t>-745.94875403273 369.055456894386 654.870312157498</t>
  </si>
  <si>
    <t>-612.457715253295 470.01948028523 708.999353612718</t>
  </si>
  <si>
    <t>-586.868222644583 -31.7144086616445 218.370667977861</t>
  </si>
  <si>
    <t>-597.876974814672 -40.9760764831601 688.038474114151</t>
  </si>
  <si>
    <t>-437.668254659762 -52.2140961808229 759.804645132148</t>
  </si>
  <si>
    <t>9763-20170724T170218.795562600.bin</t>
  </si>
  <si>
    <t>-653.193264787316 90.2384629866999 -233.91036483871</t>
  </si>
  <si>
    <t>-665.768426752251 86.5925389207484 -354.311182159401</t>
  </si>
  <si>
    <t>-658.809502503907 74.0697137973618 -474.666230523297</t>
  </si>
  <si>
    <t>-644.895631227495 58.6655873043653 -582.20207387699</t>
  </si>
  <si>
    <t>-623.77417455623 38.8265811135814 -687.82006241703</t>
  </si>
  <si>
    <t>-587.238000552653 6.36148787068691 -832.080738942379</t>
  </si>
  <si>
    <t>-533.984503738195 0.221570864005798 -918.737132473477</t>
  </si>
  <si>
    <t>-610.039171042248 50.6593117539555 -776.66644783979</t>
  </si>
  <si>
    <t>-619.435562714444 197.048012180499 -787.067569617527</t>
  </si>
  <si>
    <t>-522.184959577006 323.803736321654 -513.824903931805</t>
  </si>
  <si>
    <t>-324.453205279248 343.171151868051 -345.988286722552</t>
  </si>
  <si>
    <t>-425.996953779342 69.2374903725631 -440.852027114032</t>
  </si>
  <si>
    <t>-700.38484963734 176.118184225616 -231.240496150274</t>
  </si>
  <si>
    <t>-666.121911545069 328.868289418582 196.721089928954</t>
  </si>
  <si>
    <t>-757.455900068727 382.568337836951 654.677937828481</t>
  </si>
  <si>
    <t>-623.278948132847 484.922859805464 704.312210580787</t>
  </si>
  <si>
    <t>-606.144290036994 4.3082912867942 -235.827247526418</t>
  </si>
  <si>
    <t>-588.528532727584 -27.5574293348723 218.410529842981</t>
  </si>
  <si>
    <t>-597.89273645982 -41.2396607265409 688.051950411903</t>
  </si>
  <si>
    <t>-437.682952843786 -52.1436442517013 759.86728994617</t>
  </si>
  <si>
    <t>9763-20170724T170218.862760400.bin</t>
  </si>
  <si>
    <t>-660.713461837115 106.979698715491 -232.077618228163</t>
  </si>
  <si>
    <t>-673.262531686275 104.801097386952 -352.516695120877</t>
  </si>
  <si>
    <t>-666.614301779938 92.6255157028331 -472.924834278917</t>
  </si>
  <si>
    <t>-653.170531358921 77.061282166404 -580.497401178919</t>
  </si>
  <si>
    <t>-632.74541974647 56.5879114436275 -686.131286068075</t>
  </si>
  <si>
    <t>-597.447021590935 22.747693307999 -830.384051979973</t>
  </si>
  <si>
    <t>-544.81371407971 14.5702284589897 -917.250905456729</t>
  </si>
  <si>
    <t>-618.59765299075 67.8743276075845 -774.984133691047</t>
  </si>
  <si>
    <t>-622.751888173963 214.538779501046 -785.347415428418</t>
  </si>
  <si>
    <t>-520.169194588203 339.767039828881 -513.353163503924</t>
  </si>
  <si>
    <t>-321.955144659421 359.460314087479 -346.12464668184</t>
  </si>
  <si>
    <t>-607.53326385577 7.56761725135311 -758.129341956964</t>
  </si>
  <si>
    <t>-431.247057730968 77.4303674749831 -441.91188658806</t>
  </si>
  <si>
    <t>-706.209106362841 193.80989708355 -228.681373868336</t>
  </si>
  <si>
    <t>-680.056266624418 339.246094393669 202.389324757608</t>
  </si>
  <si>
    <t>-776.760154897036 406.800103932463 657.142327897797</t>
  </si>
  <si>
    <t>-637.340431121491 505.062749086234 700.155230406863</t>
  </si>
  <si>
    <t>-615.604395988728 19.8105942596403 -234.783811277126</t>
  </si>
  <si>
    <t>-591.223478693078 -17.645205056587 218.713994786864</t>
  </si>
  <si>
    <t>-597.927264192311 -41.4467188215585 688.054553842782</t>
  </si>
  <si>
    <t>-437.678552588766 -51.5678608028086 759.897603624367</t>
  </si>
  <si>
    <t>9763-20170724T170218.896848600.bin</t>
  </si>
  <si>
    <t>-664.910407059325 116.661268907249 -230.646403977243</t>
  </si>
  <si>
    <t>-677.810443081223 115.281814935302 -351.060226003446</t>
  </si>
  <si>
    <t>-671.448156092617 103.466330102357 -471.519702264053</t>
  </si>
  <si>
    <t>-658.258582424157 88.0309252871923 -579.142246501297</t>
  </si>
  <si>
    <t>-638.101451918997 67.484951493574 -684.813500985481</t>
  </si>
  <si>
    <t>-603.207518787091 33.3307775660228 -829.090776193037</t>
  </si>
  <si>
    <t>-550.752788318749 24.1603590222821 -915.966491888808</t>
  </si>
  <si>
    <t>-623.548481970692 78.725533443358 -773.606568527155</t>
  </si>
  <si>
    <t>-624.684289103114 225.455979076114 -783.477267545306</t>
  </si>
  <si>
    <t>-520.865381956548 348.489331358659 -510.95091589097</t>
  </si>
  <si>
    <t>-321.840978697896 365.749939840249 -344.417450712821</t>
  </si>
  <si>
    <t>-613.745523595224 18.1602867991555 -756.898466044712</t>
  </si>
  <si>
    <t>-433.931372941599 81.9648338968746 -441.534141145791</t>
  </si>
  <si>
    <t>-709.135155696567 204.133154678359 -226.716249169836</t>
  </si>
  <si>
    <t>-685.35815927689 342.037448327143 206.95964070974</t>
  </si>
  <si>
    <t>-782.174180816104 415.921650735125 660.668227098769</t>
  </si>
  <si>
    <t>-637.499873220919 506.992622022414 702.128242747844</t>
  </si>
  <si>
    <t>-621.032338223645 28.8349013890597 -233.93034589939</t>
  </si>
  <si>
    <t>-592.309903915252 -11.8179509184304 219.037640559463</t>
  </si>
  <si>
    <t>-597.975952310199 -41.5848218534113 688.04678223155</t>
  </si>
  <si>
    <t>-437.786188856101 -52.5796671110422 759.892948304596</t>
  </si>
  <si>
    <t>9763-20170724T170218.965696000.bin</t>
  </si>
  <si>
    <t>-674.634989005755 140.78318889429 -226.81242228637</t>
  </si>
  <si>
    <t>-687.598210846222 141.271918696431 -347.226268618465</t>
  </si>
  <si>
    <t>-681.37487647844 130.543626653972 -467.79466765157</t>
  </si>
  <si>
    <t>-668.379328674601 115.749082990139 -575.530908412842</t>
  </si>
  <si>
    <t>-648.513181321622 95.5001739892325 -681.314464064273</t>
  </si>
  <si>
    <t>-614.151257146871 61.3994652911347 -825.732068459688</t>
  </si>
  <si>
    <t>-561.924638895978 50.4198558089629 -912.535364935746</t>
  </si>
  <si>
    <t>-632.925293263448 107.03471867366 -769.894045691986</t>
  </si>
  <si>
    <t>-628.146015214206 253.786684531378 -777.993478294153</t>
  </si>
  <si>
    <t>-523.584952248189 370.750279867599 -503.088685967862</t>
  </si>
  <si>
    <t>-321.800695022122 378.710055907889 -339.192861610731</t>
  </si>
  <si>
    <t>-625.785398166968 45.9412603129931 -753.76946264605</t>
  </si>
  <si>
    <t>-438.243284735275 94.4756833190427 -438.217722965317</t>
  </si>
  <si>
    <t>-715.209219376022 229.440733521827 -221.685002940383</t>
  </si>
  <si>
    <t>-693.77461506531 348.061925052117 217.777414373661</t>
  </si>
  <si>
    <t>-781.091360788439 421.222183486717 673.645998062503</t>
  </si>
  <si>
    <t>-628.035383808873 497.674796310295 714.540411909278</t>
  </si>
  <si>
    <t>-633.677757972023 51.8344391542882 -231.113023433378</t>
  </si>
  <si>
    <t>-594.700984109827 3.00012841033708 220.277794089709</t>
  </si>
  <si>
    <t>-598.046805604986 -41.8129105378371 688.044662223953</t>
  </si>
  <si>
    <t>-438.113491489116 -55.8125427072855 759.939453202775</t>
  </si>
  <si>
    <t>9763-20170724T170218.993770000.bin</t>
  </si>
  <si>
    <t>-680.50353964518 155.741370665208 -224.477094802832</t>
  </si>
  <si>
    <t>-693.071279539223 156.951359954597 -344.927988122391</t>
  </si>
  <si>
    <t>-686.511719279917 146.74713304855 -465.523983836184</t>
  </si>
  <si>
    <t>-673.251698213592 132.333443184855 -573.27949651687</t>
  </si>
  <si>
    <t>-653.171564012958 112.370930130643 -679.077154412299</t>
  </si>
  <si>
    <t>-618.57450819902 78.5675100306328 -823.508399642865</t>
  </si>
  <si>
    <t>-566.320490857727 66.6779950105699 -910.175223877095</t>
  </si>
  <si>
    <t>-636.715170147845 124.201308878938 -767.460328827792</t>
  </si>
  <si>
    <t>-628.878298053291 270.949988732422 -774.253496021269</t>
  </si>
  <si>
    <t>-525.306950079055 383.735084958749 -497.236078337696</t>
  </si>
  <si>
    <t>-321.758364500155 385.953365430119 -335.356048660435</t>
  </si>
  <si>
    <t>-631.050116598963 62.8475031545347 -751.743732269007</t>
  </si>
  <si>
    <t>-440.496865263122 102.126015134005 -435.177619009113</t>
  </si>
  <si>
    <t>-718.800296762221 245.079776176437 -219.295533415959</t>
  </si>
  <si>
    <t>-696.899757098715 354.014323738681 222.644922032912</t>
  </si>
  <si>
    <t>-777.406538981894 424.182933697075 679.425272364843</t>
  </si>
  <si>
    <t>-625.124953314043 499.241894248235 725.468600945827</t>
  </si>
  <si>
    <t>-641.248851743779 66.1217120199151 -228.973557405037</t>
  </si>
  <si>
    <t>-596.280882444902 12.6779694727354 221.336697698354</t>
  </si>
  <si>
    <t>-598.024344841935 -41.7939078232366 688.037205160918</t>
  </si>
  <si>
    <t>-438.248425269758 -57.1815038945465 759.998247555761</t>
  </si>
  <si>
    <t>9763-20170724T170219.062982700.bin</t>
  </si>
  <si>
    <t>-694.074358290629 186.99892371436 -220.752739144032</t>
  </si>
  <si>
    <t>-704.762562416272 188.017920344967 -341.386521255026</t>
  </si>
  <si>
    <t>-696.553912508333 178.28231760286 -461.920357832518</t>
  </si>
  <si>
    <t>-681.890374612711 164.540617244842 -569.581871202857</t>
  </si>
  <si>
    <t>-660.488339849205 145.492555902905 -675.288963494053</t>
  </si>
  <si>
    <t>-624.130459506717 113.201170268774 -819.633543937643</t>
  </si>
  <si>
    <t>-571.776271506894 98.7865097404183 -905.855520643559</t>
  </si>
  <si>
    <t>-641.353485693126 158.43410198333 -762.974242230146</t>
  </si>
  <si>
    <t>-627.141543574395 304.824717118202 -765.98806002024</t>
  </si>
  <si>
    <t>-529.023891143784 406.114279998083 -482.616300392035</t>
  </si>
  <si>
    <t>-320.856273762737 394.467001005464 -327.140836913525</t>
  </si>
  <si>
    <t>-639.081908082125 96.5440263601968 -748.556719052779</t>
  </si>
  <si>
    <t>-445.020258300818 113.915828270362 -428.832629633734</t>
  </si>
  <si>
    <t>-728.067614926038 278.949550914916 -217.26353157289</t>
  </si>
  <si>
    <t>-697.482103039412 382.000729480317 225.57125447704</t>
  </si>
  <si>
    <t>-780.355231848619 434.182138331176 686.132939408051</t>
  </si>
  <si>
    <t>-631.114966160936 507.579575392655 743.435923828957</t>
  </si>
  <si>
    <t>-658.944419319002 94.7826609653637 -223.625482150567</t>
  </si>
  <si>
    <t>-598.861343780253 35.4520109325554 224.177611714993</t>
  </si>
  <si>
    <t>-597.398887443977 -40.7968121955175 688.05515393445</t>
  </si>
  <si>
    <t>-438.426945720261 -60.7319113243043 760.677620705411</t>
  </si>
  <si>
    <t>9763-20170724T170219.095070200.bin</t>
  </si>
  <si>
    <t>-701.419619682976 203.132623066498 -219.091552215939</t>
  </si>
  <si>
    <t>-710.791806391322 203.121578383429 -339.839153518354</t>
  </si>
  <si>
    <t>-701.511183913859 193.38828474447 -460.295409192478</t>
  </si>
  <si>
    <t>-685.939503685994 180.068220377973 -567.882265364118</t>
  </si>
  <si>
    <t>-663.662307970259 161.86109619243 -673.556650803463</t>
  </si>
  <si>
    <t>-626.092974769946 131.168783488211 -817.939958084694</t>
  </si>
  <si>
    <t>-573.7531502702 115.186451121551 -903.894072894085</t>
  </si>
  <si>
    <t>-642.899831301012 175.837964477364 -760.711338690061</t>
  </si>
  <si>
    <t>-625.227015916251 321.744798599296 -761.221800266597</t>
  </si>
  <si>
    <t>-532.078951938331 416.947593586474 -474.087544581254</t>
  </si>
  <si>
    <t>-321.189488389704 398.69882796628 -322.976076764726</t>
  </si>
  <si>
    <t>-642.532627394534 113.660489012595 -747.398448827793</t>
  </si>
  <si>
    <t>-448.916917091038 118.829497726567 -426.122818398381</t>
  </si>
  <si>
    <t>-733.40816054143 295.930284383353 -216.765150932035</t>
  </si>
  <si>
    <t>-692.236962392091 393.587424155125 226.43420613901</t>
  </si>
  <si>
    <t>-778.056903056901 432.632548982152 687.257640337002</t>
  </si>
  <si>
    <t>-628.64792865537 504.786698064067 745.689180647269</t>
  </si>
  <si>
    <t>-669.091297383059 109.701170287813 -220.222049218478</t>
  </si>
  <si>
    <t>-599.990026367644 48.0557657316403 225.964574502531</t>
  </si>
  <si>
    <t>-596.738097354548 -39.981051633572 688.129703324193</t>
  </si>
  <si>
    <t>-438.693325562251 -64.1981187932079 761.47072812861</t>
  </si>
  <si>
    <t>9763-20170724T170219.163085000.bin</t>
  </si>
  <si>
    <t>-716.012274113754 237.248175748338 -217.358420051627</t>
  </si>
  <si>
    <t>-722.952459014255 235.721014310402 -338.26040955948</t>
  </si>
  <si>
    <t>-711.53151884228 226.585808265588 -458.579407825293</t>
  </si>
  <si>
    <t>-694.056959186342 214.669402633542 -566.03878732043</t>
  </si>
  <si>
    <t>-669.846870313387 198.735501810309 -671.655134755177</t>
  </si>
  <si>
    <t>-629.496589242153 172.100939297445 -816.093676821066</t>
  </si>
  <si>
    <t>-577.678933779508 153.030756922587 -901.733871891476</t>
  </si>
  <si>
    <t>-645.485022432054 215.187642190913 -757.435033956338</t>
  </si>
  <si>
    <t>-620.313956531885 360.010763891728 -752.491681511135</t>
  </si>
  <si>
    <t>-541.369046611158 443.367498486855 -457.524656897901</t>
  </si>
  <si>
    <t>-324.391973787344 410.855653120557 -317.860730229336</t>
  </si>
  <si>
    <t>-649.215653994705 152.584192315121 -746.933160233383</t>
  </si>
  <si>
    <t>-671.852259725836 13.1490032487297 -706.23908302056</t>
  </si>
  <si>
    <t>-692.818097185643 13.2265079363553 -390.41220927581</t>
  </si>
  <si>
    <t>-464.49646800732 132.779511802291 -425.31723868549</t>
  </si>
  <si>
    <t>-739.167439629579 332.510777633078 -218.781606095984</t>
  </si>
  <si>
    <t>-688.598127264132 406.410585882198 228.028514129648</t>
  </si>
  <si>
    <t>-778.362084967117 424.542088417201 686.079993249695</t>
  </si>
  <si>
    <t>-628.626059276991 497.620865454232 742.490274001364</t>
  </si>
  <si>
    <t>-692.387261176724 140.724606987959 -214.72104967713</t>
  </si>
  <si>
    <t>-599.62559024974 75.4885905226261 226.637377857308</t>
  </si>
  <si>
    <t>-595.1072621421 -38.9143848030267 685.03249192853</t>
  </si>
  <si>
    <t>-440.216742600918 -73.613626641278 760.850688463344</t>
  </si>
  <si>
    <t>9763-20170724T170219.197167600.bin</t>
  </si>
  <si>
    <t>-723.435816227802 253.287096780645 -217.455380357894</t>
  </si>
  <si>
    <t>-730.007100347489 250.690479795994 -338.359791592861</t>
  </si>
  <si>
    <t>-717.800381320006 241.502062509565 -458.59755067666</t>
  </si>
  <si>
    <t>-699.412237054208 229.932762073294 -565.942278794748</t>
  </si>
  <si>
    <t>-674.065103030745 214.736506336256 -671.400470840448</t>
  </si>
  <si>
    <t>-631.883275235156 189.523677885431 -815.57068715046</t>
  </si>
  <si>
    <t>-580.408409064403 168.683003897042 -901.004666795809</t>
  </si>
  <si>
    <t>-647.476130329212 231.992021147575 -756.357168411096</t>
  </si>
  <si>
    <t>-618.089419013848 375.929068776727 -748.532978263208</t>
  </si>
  <si>
    <t>-546.717854259544 454.960415315598 -450.462048689689</t>
  </si>
  <si>
    <t>-327.647323961162 417.065500810341 -315.5022372355</t>
  </si>
  <si>
    <t>-653.618693412968 169.36717149595 -747.202456590747</t>
  </si>
  <si>
    <t>-682.346428351509 30.0451279186718 -710.249396677503</t>
  </si>
  <si>
    <t>-705.946002996128 22.148322000543 -394.707142217952</t>
  </si>
  <si>
    <t>-474.873622188946 137.159997528526 -426.643696347861</t>
  </si>
  <si>
    <t>-743.560729513639 349.0528057647 -220.307981076119</t>
  </si>
  <si>
    <t>-688.271853672923 413.950571277071 227.34035012472</t>
  </si>
  <si>
    <t>-778.605029173998 423.779310405629 685.363844880881</t>
  </si>
  <si>
    <t>-628.140195325253 496.194222132426 740.67996572142</t>
  </si>
  <si>
    <t>-703.949465428638 156.197293344188 -213.984826384674</t>
  </si>
  <si>
    <t>-597.202919704906 90.5456580790715 224.139285100065</t>
  </si>
  <si>
    <t>-596.026272267745 -33.5004895608483 678.557866418188</t>
  </si>
  <si>
    <t>-444.091541605189 -76.4495750237968 756.11257960336</t>
  </si>
  <si>
    <t>9763-20170724T170219.264881700.bin</t>
  </si>
  <si>
    <t>-739.486539298981 283.46176525853 -222.030291156616</t>
  </si>
  <si>
    <t>-746.214443463622 280.156366613649 -342.908750065341</t>
  </si>
  <si>
    <t>-733.095586821257 271.260971169226 -463.072517235222</t>
  </si>
  <si>
    <t>-713.423047236792 260.324535976199 -570.255693960432</t>
  </si>
  <si>
    <t>-686.321293158925 246.121049320969 -675.415661441705</t>
  </si>
  <si>
    <t>-641.204383671463 222.647233650389 -818.989494644614</t>
  </si>
  <si>
    <t>-590.742460591475 198.244308925127 -904.084001231359</t>
  </si>
  <si>
    <t>-655.656582148378 264.165674951575 -758.820815133985</t>
  </si>
  <si>
    <t>-617.284633656488 405.435331967425 -745.639802979453</t>
  </si>
  <si>
    <t>-558.179494864216 480.032983935946 -443.765748899975</t>
  </si>
  <si>
    <t>-337.251521823312 431.19396198291 -315.517414356527</t>
  </si>
  <si>
    <t>-666.677873506889 201.901609355062 -752.104206692032</t>
  </si>
  <si>
    <t>-707.087489144833 63.9521328162648 -720.774333399008</t>
  </si>
  <si>
    <t>-734.387986139946 44.3521198366191 -406.041558019079</t>
  </si>
  <si>
    <t>-497.499248629287 148.950587236869 -430.226550964941</t>
  </si>
  <si>
    <t>-752.125790142488 380.799707258741 -224.918318937448</t>
  </si>
  <si>
    <t>-687.272420693285 427.76707933637 223.685983551768</t>
  </si>
  <si>
    <t>-778.646118712044 422.829593111981 683.452604153862</t>
  </si>
  <si>
    <t>-627.222277124598 493.837028260232 737.971120621455</t>
  </si>
  <si>
    <t>-728.263862709224 186.911055324688 -219.904449828842</t>
  </si>
  <si>
    <t>-592.955482334335 122.192267963946 210.398752917172</t>
  </si>
  <si>
    <t>-624.742561238104 0.86386247311475 662.797756286136</t>
  </si>
  <si>
    <t>-491.208308622186 -94.4357033324022 726.280970024592</t>
  </si>
  <si>
    <t>9763-20170724T170219.297969200.bin</t>
  </si>
  <si>
    <t>-747.208884489968 296.28189284005 -225.269802168076</t>
  </si>
  <si>
    <t>-754.374710735206 294.592626981891 -346.156406628134</t>
  </si>
  <si>
    <t>-741.159039219405 286.710706952105 -466.380431564606</t>
  </si>
  <si>
    <t>-721.206556032455 276.431114287019 -573.57684052849</t>
  </si>
  <si>
    <t>-693.651625792585 262.627555821933 -678.672236541795</t>
  </si>
  <si>
    <t>-647.744264224693 239.443413639276 -822.042386226886</t>
  </si>
  <si>
    <t>-598.093255011996 213.259953051154 -907.084639651434</t>
  </si>
  <si>
    <t>-661.375885869507 280.653208172565 -761.471487240186</t>
  </si>
  <si>
    <t>-618.647341489658 420.389600774788 -746.236070680271</t>
  </si>
  <si>
    <t>-564.970003403704 493.932282161157 -443.091811689563</t>
  </si>
  <si>
    <t>-344.150719833311 440.851757522089 -316.350514484048</t>
  </si>
  <si>
    <t>-674.737841045317 218.750055502931 -755.739623177505</t>
  </si>
  <si>
    <t>-720.694384123076 81.9224668017428 -726.970886442446</t>
  </si>
  <si>
    <t>-750.594886188914 59.8817281453771 -412.6360259865</t>
  </si>
  <si>
    <t>-510.679897400469 158.343198076745 -432.339081952558</t>
  </si>
  <si>
    <t>-755.651853336489 394.137377886628 -226.341362377437</t>
  </si>
  <si>
    <t>-686.847648929304 432.292618721985 222.51027115239</t>
  </si>
  <si>
    <t>-777.979363691116 422.364822818063 682.665504331534</t>
  </si>
  <si>
    <t>-626.362515462443 492.547396499966 737.713491299198</t>
  </si>
  <si>
    <t>-739.991563790157 200.090243252196 -224.796003249432</t>
  </si>
  <si>
    <t>-591.913288832579 131.844363512507 200.730731668071</t>
  </si>
  <si>
    <t>-638.000676232965 26.9834888993307 656.620362378809</t>
  </si>
  <si>
    <t>-528.211936153951 -98.7157901009273 712.204902135948</t>
  </si>
  <si>
    <t>9763-20170724T170219.360168700.bin</t>
  </si>
  <si>
    <t>-757.676418639828 320.308059943654 -232.367172303519</t>
  </si>
  <si>
    <t>-765.405754888189 321.377966482092 -353.226302398721</t>
  </si>
  <si>
    <t>-752.554478214145 314.861401290415 -473.571358712084</t>
  </si>
  <si>
    <t>-732.904665936295 305.222636220484 -580.883287387037</t>
  </si>
  <si>
    <t>-705.662498660943 291.471941921671 -686.067034507662</t>
  </si>
  <si>
    <t>-660.237249315442 267.751367567819 -829.503032533124</t>
  </si>
  <si>
    <t>-613.372450671822 237.981821466116 -914.945754531435</t>
  </si>
  <si>
    <t>-671.308607083658 308.65484108771 -768.206622259933</t>
  </si>
  <si>
    <t>-618.86839716268 444.886225366716 -750.051945679258</t>
  </si>
  <si>
    <t>-577.100804635263 516.465795950551 -444.572035807929</t>
  </si>
  <si>
    <t>-356.876116930685 455.305222236297 -320.465151466588</t>
  </si>
  <si>
    <t>-689.364451406252 247.839055157016 -763.867606114535</t>
  </si>
  <si>
    <t>-745.534462215983 114.303211498877 -738.912602921251</t>
  </si>
  <si>
    <t>-780.240735171057 89.0338770241258 -425.315535554963</t>
  </si>
  <si>
    <t>-534.777286363294 174.346393286126 -435.875970147851</t>
  </si>
  <si>
    <t>-757.403926483723 418.265624072235 -230.532277632593</t>
  </si>
  <si>
    <t>-691.479035339919 438.833354934063 219.899157755587</t>
  </si>
  <si>
    <t>-776.770619642929 422.589014237116 681.856354193262</t>
  </si>
  <si>
    <t>-624.559082181425 490.051467637563 738.636557917103</t>
  </si>
  <si>
    <t>-757.462183535628 221.315625626994 -233.738991603146</t>
  </si>
  <si>
    <t>-588.791195513404 150.283421129569 183.588523219007</t>
  </si>
  <si>
    <t>-685.279005631851 104.869499684462 640.600604151791</t>
  </si>
  <si>
    <t>-615.863272716058 -43.4478798672776 704.841469706424</t>
  </si>
  <si>
    <t>9763-20170724T170219.395261100.bin</t>
  </si>
  <si>
    <t>-759.862409377347 330.612204205521 -235.417807743262</t>
  </si>
  <si>
    <t>-768.008434641101 332.48680001752 -356.239686160084</t>
  </si>
  <si>
    <t>-755.782104265324 326.323676020215 -476.668545420398</t>
  </si>
  <si>
    <t>-736.80335526369 316.796195968303 -584.111002469011</t>
  </si>
  <si>
    <t>-710.352715377593 302.942679318323 -689.483163634119</t>
  </si>
  <si>
    <t>-666.167208288754 278.850366720659 -833.244062461265</t>
  </si>
  <si>
    <t>-621.315123134244 247.522661638179 -919.208383220605</t>
  </si>
  <si>
    <t>-675.530432943885 319.567534310249 -771.540334766747</t>
  </si>
  <si>
    <t>-618.215809654027 453.690818584826 -752.608197915842</t>
  </si>
  <si>
    <t>-583.447458556588 524.831635292021 -446.150426880246</t>
  </si>
  <si>
    <t>-363.094941443771 460.445555398167 -323.915979900492</t>
  </si>
  <si>
    <t>-695.905445107567 259.45331821566 -767.728398282675</t>
  </si>
  <si>
    <t>-757.214743832294 127.895046121226 -744.180597670823</t>
  </si>
  <si>
    <t>-793.903823006404 100.191616353244 -431.015025120588</t>
  </si>
  <si>
    <t>-546.710780576745 180.71893158554 -438.298749883307</t>
  </si>
  <si>
    <t>-756.473661763056 428.660732353136 -232.939188192912</t>
  </si>
  <si>
    <t>-695.484851523928 441.416256775356 218.475691937396</t>
  </si>
  <si>
    <t>-776.379436800821 422.766137339315 681.554549770213</t>
  </si>
  <si>
    <t>-623.761627133361 488.771036504472 738.95362822622</t>
  </si>
  <si>
    <t>-763.243135098213 232.010986629657 -236.854510962834</t>
  </si>
  <si>
    <t>-593.146618060539 166.722875320475 180.832353940137</t>
  </si>
  <si>
    <t>-711.248701056796 157.193558107867 634.978151243606</t>
  </si>
  <si>
    <t>-651.013826165891 8.5160311803329 707.160451104361</t>
  </si>
  <si>
    <t>9763-20170724T170219.460042900.bin</t>
  </si>
  <si>
    <t>-763.836891306388 347.777130954177 -237.833628783998</t>
  </si>
  <si>
    <t>-770.370282746531 349.557200496102 -358.754939328711</t>
  </si>
  <si>
    <t>-758.4543946164 343.337214110574 -479.211882613787</t>
  </si>
  <si>
    <t>-740.540466084866 333.780030554044 -586.834378255908</t>
  </si>
  <si>
    <t>-715.927753809067 319.930875737628 -692.651553046981</t>
  </si>
  <si>
    <t>-675.086252228106 295.883872739988 -837.405504159466</t>
  </si>
  <si>
    <t>-634.443401795237 262.486126624049 -924.673693821512</t>
  </si>
  <si>
    <t>-680.898422699936 335.8254981177 -774.765332022174</t>
  </si>
  <si>
    <t>-614.267195305498 465.253380736242 -754.18964966535</t>
  </si>
  <si>
    <t>-591.805491736997 537.634341272484 -446.874437892582</t>
  </si>
  <si>
    <t>-370.381095879657 469.729830912337 -328.543257587905</t>
  </si>
  <si>
    <t>-705.416296524382 277.222302555012 -771.947472901526</t>
  </si>
  <si>
    <t>-775.550859246853 149.662200879534 -750.913539698148</t>
  </si>
  <si>
    <t>-816.469789477128 118.743698645038 -438.574147162948</t>
  </si>
  <si>
    <t>-566.033748106823 188.756506600241 -443.272106664596</t>
  </si>
  <si>
    <t>-755.889363531226 444.81279052002 -235.940854064104</t>
  </si>
  <si>
    <t>-702.599888273381 446.984974296835 216.622041794886</t>
  </si>
  <si>
    <t>-775.386631030473 423.713352242722 681.302879390044</t>
  </si>
  <si>
    <t>-621.725200210559 485.604925234011 740.472700928142</t>
  </si>
  <si>
    <t>-771.791390149586 251.320943771122 -238.222571760153</t>
  </si>
  <si>
    <t>-614.434673043716 193.724907165428 185.545376664007</t>
  </si>
  <si>
    <t>-763.100649480176 262.942943483788 626.139445161129</t>
  </si>
  <si>
    <t>-708.205926159479 120.455345792716 713.473952125215</t>
  </si>
  <si>
    <t>9763-20170724T170219.497143800.bin</t>
  </si>
  <si>
    <t>-766.23307871293 354.880774274956 -237.62073401916</t>
  </si>
  <si>
    <t>-772.593941294506 356.114279431338 -358.557883637201</t>
  </si>
  <si>
    <t>-761.322515036554 349.758996842964 -479.069888875908</t>
  </si>
  <si>
    <t>-744.294990375413 340.265969212949 -586.841850774538</t>
  </si>
  <si>
    <t>-720.848474883835 326.681172128701 -692.957672973411</t>
  </si>
  <si>
    <t>-681.894529772282 303.21775643144 -838.326413060433</t>
  </si>
  <si>
    <t>-643.171518582496 269.399725332801 -926.302761369132</t>
  </si>
  <si>
    <t>-686.031543160784 342.546393966346 -775.167288621873</t>
  </si>
  <si>
    <t>-615.613197696389 469.738218560111 -753.545772509511</t>
  </si>
  <si>
    <t>-596.533633251958 544.732483684097 -446.628858137178</t>
  </si>
  <si>
    <t>-373.981891114083 476.272246892735 -330.758207551442</t>
  </si>
  <si>
    <t>-712.229342941158 284.652778619855 -772.843082438384</t>
  </si>
  <si>
    <t>-786.060493588721 159.0561293116 -752.667120063955</t>
  </si>
  <si>
    <t>-828.109367469339 126.612383418598 -440.632703876212</t>
  </si>
  <si>
    <t>-576.432406946578 192.027996620557 -445.275725156792</t>
  </si>
  <si>
    <t>-756.004838314872 451.528273822169 -236.408716459194</t>
  </si>
  <si>
    <t>-705.340296612853 449.933821778872 216.458018141004</t>
  </si>
  <si>
    <t>-774.825629088875 424.440954881043 681.401425473445</t>
  </si>
  <si>
    <t>-620.761800440661 484.240767829182 741.666003548673</t>
  </si>
  <si>
    <t>-776.655293041557 259.126926758457 -237.466898208126</t>
  </si>
  <si>
    <t>-633.140205471627 204.135090930513 191.528476647803</t>
  </si>
  <si>
    <t>-788.878426353254 313.276390051601 621.732920125251</t>
  </si>
  <si>
    <t>-739.882794103062 173.079100733807 716.007236200448</t>
  </si>
  <si>
    <t>9763-20170724T170219.563837800.bin</t>
  </si>
  <si>
    <t>-771.3267991363 366.696261936566 -236.179182747465</t>
  </si>
  <si>
    <t>-778.940421435596 367.071489245439 -357.049833754406</t>
  </si>
  <si>
    <t>-769.957292965028 360.690000802615 -477.752482627889</t>
  </si>
  <si>
    <t>-755.341735475904 351.569147853314 -585.909872990413</t>
  </si>
  <si>
    <t>-734.590871605098 338.792038077073 -692.685406454194</t>
  </si>
  <si>
    <t>-699.620410660284 316.930665269559 -839.311251446766</t>
  </si>
  <si>
    <t>-664.028882496006 283.063524581999 -928.5819402516</t>
  </si>
  <si>
    <t>-700.731456772142 354.957352496308 -775.235922212923</t>
  </si>
  <si>
    <t>-624.379046404631 478.474514025445 -752.019314917353</t>
  </si>
  <si>
    <t>-606.376770285226 557.196835643486 -445.972182006938</t>
  </si>
  <si>
    <t>-381.007110780667 490.757709372112 -334.453467700479</t>
  </si>
  <si>
    <t>-729.456044388775 298.24995699063 -773.63189783742</t>
  </si>
  <si>
    <t>-809.072240087041 176.131482545179 -754.199956562129</t>
  </si>
  <si>
    <t>-851.174625987772 141.637792122037 -442.392688631459</t>
  </si>
  <si>
    <t>-597.688903617985 199.674534110536 -446.726098324472</t>
  </si>
  <si>
    <t>-754.578356333091 462.749300420737 -236.547936642447</t>
  </si>
  <si>
    <t>-710.033631051399 455.126635244368 216.900399569956</t>
  </si>
  <si>
    <t>-773.568612446864 426.216570384152 682.00076016517</t>
  </si>
  <si>
    <t>-618.760225760451 481.302720954022 744.797255797189</t>
  </si>
  <si>
    <t>-788.31035762994 270.817901463148 -235.289773481991</t>
  </si>
  <si>
    <t>-683.09189518342 227.31282343714 205.951675261416</t>
  </si>
  <si>
    <t>-840.452653520359 402.804514045746 613.542615673047</t>
  </si>
  <si>
    <t>-803.853824118552 266.859899570511 719.008561160665</t>
  </si>
  <si>
    <t>9763-20170724T170219.595918600.bin</t>
  </si>
  <si>
    <t>-773.260652839101 371.994692991448 -235.470053472761</t>
  </si>
  <si>
    <t>-781.606356773085 372.188243944287 -356.292789072864</t>
  </si>
  <si>
    <t>-773.82732335115 365.767114554209 -477.077020940623</t>
  </si>
  <si>
    <t>-760.460376260412 356.709306843663 -585.40112843558</t>
  </si>
  <si>
    <t>-741.092805439111 344.120967500168 -692.458547303432</t>
  </si>
  <si>
    <t>-708.159802691069 322.673569835762 -839.616371849338</t>
  </si>
  <si>
    <t>-673.840651719935 288.811011536901 -929.385563397312</t>
  </si>
  <si>
    <t>-707.889315605662 360.269657514623 -775.278239273326</t>
  </si>
  <si>
    <t>-629.33104114749 482.333543412854 -751.806576818071</t>
  </si>
  <si>
    <t>-609.76830268728 561.345669659803 -445.930030692802</t>
  </si>
  <si>
    <t>-382.65361562826 496.179118925492 -337.236428693354</t>
  </si>
  <si>
    <t>-737.573926334983 304.057189319997 -773.728870440513</t>
  </si>
  <si>
    <t>-819.163510733641 183.268774208692 -754.327765574251</t>
  </si>
  <si>
    <t>-860.172474320587 147.592340147942 -442.507960720543</t>
  </si>
  <si>
    <t>-606.116817785746 203.103479789969 -446.541094469584</t>
  </si>
  <si>
    <t>-752.918944288445 467.719174765572 -236.358625649316</t>
  </si>
  <si>
    <t>-711.001529513974 457.367028651119 217.285963021523</t>
  </si>
  <si>
    <t>-772.921585514044 427.126319306955 682.389945212164</t>
  </si>
  <si>
    <t>-617.910979531822 480.086692833054 746.502371848704</t>
  </si>
  <si>
    <t>-793.957035559519 276.704427049415 -234.150160403723</t>
  </si>
  <si>
    <t>-709.823454719367 242.069649551872 212.369359263584</t>
  </si>
  <si>
    <t>-862.605202395695 440.661380408507 611.08880054308</t>
  </si>
  <si>
    <t>-828.861168602839 305.558635857975 718.569465318719</t>
  </si>
  <si>
    <t>9763-20170724T170219.664214500.bin</t>
  </si>
  <si>
    <t>-778.971644296782 383.676011715479 -233.770230757623</t>
  </si>
  <si>
    <t>-788.212081080225 383.65946654007 -354.527982873647</t>
  </si>
  <si>
    <t>-782.500324082455 377.015693554134 -475.415494055345</t>
  </si>
  <si>
    <t>-771.421612430363 367.856032652802 -583.989002500202</t>
  </si>
  <si>
    <t>-754.713529003547 355.331781752622 -691.500962246358</t>
  </si>
  <si>
    <t>-725.814778719976 334.198956403435 -839.549133167415</t>
  </si>
  <si>
    <t>-693.832371025373 300.300018627909 -930.163628732284</t>
  </si>
  <si>
    <t>-723.047395096585 371.263546607431 -774.962348515334</t>
  </si>
  <si>
    <t>-640.863324720127 491.050070665443 -752.215454129427</t>
  </si>
  <si>
    <t>-615.013216366608 570.050895704958 -446.802812900677</t>
  </si>
  <si>
    <t>-384.495515630351 507.398875047606 -343.951625124781</t>
  </si>
  <si>
    <t>-754.155796406766 315.835500065619 -773.122621230082</t>
  </si>
  <si>
    <t>-838.436700944577 196.963529403187 -753.177471012442</t>
  </si>
  <si>
    <t>-876.153460331032 159.712880365148 -441.126132989432</t>
  </si>
  <si>
    <t>-621.210189676963 210.980166865341 -445.32444489525</t>
  </si>
  <si>
    <t>-752.479067212231 478.288314963331 -235.450459170491</t>
  </si>
  <si>
    <t>-711.943964063364 462.195125823756 218.15245420392</t>
  </si>
  <si>
    <t>-771.469322392341 428.744991032666 683.219318867186</t>
  </si>
  <si>
    <t>-616.107804698638 477.126786367668 750.043761238582</t>
  </si>
  <si>
    <t>-805.602327207182 289.155108162804 -231.85318657143</t>
  </si>
  <si>
    <t>-763.379387979408 276.518442801864 221.705212816159</t>
  </si>
  <si>
    <t>-904.353487288672 498.421273824257 612.360621899454</t>
  </si>
  <si>
    <t>-868.497302938137 363.959428662704 719.961171639673</t>
  </si>
  <si>
    <t>9763-20170724T170219.712343500.bin</t>
  </si>
  <si>
    <t>-783.82116460643 390.890177932763 -232.611709587103</t>
  </si>
  <si>
    <t>-793.598948010744 390.551092341583 -353.326622554084</t>
  </si>
  <si>
    <t>-789.001885521292 383.516128763757 -474.239553323318</t>
  </si>
  <si>
    <t>-779.136714043743 374.030880796689 -582.902240252301</t>
  </si>
  <si>
    <t>-763.824101604992 361.245249425068 -690.591079931007</t>
  </si>
  <si>
    <t>-737.030816972822 339.844303529474 -838.996299437387</t>
  </si>
  <si>
    <t>-706.348444732787 305.723883801609 -929.976477249691</t>
  </si>
  <si>
    <t>-732.983498924904 376.822777234232 -774.427455978132</t>
  </si>
  <si>
    <t>-649.133592239141 495.651643175653 -752.478535012874</t>
  </si>
  <si>
    <t>-619.844873545111 575.594579651511 -447.622018685975</t>
  </si>
  <si>
    <t>-387.588319565405 513.246701581315 -348.568106694717</t>
  </si>
  <si>
    <t>-764.788546130347 321.804282487339 -772.235675498257</t>
  </si>
  <si>
    <t>-850.16234558156 203.935251156802 -751.4392689407</t>
  </si>
  <si>
    <t>-885.391291210128 166.109833616166 -439.166373335582</t>
  </si>
  <si>
    <t>-630.038088542356 215.202705218421 -444.332821949049</t>
  </si>
  <si>
    <t>-754.501255164602 484.568037064275 -234.757861325835</t>
  </si>
  <si>
    <t>-712.261379248562 465.350184582313 218.567795119026</t>
  </si>
  <si>
    <t>-770.714266683046 429.599828878675 683.655255174313</t>
  </si>
  <si>
    <t>-615.302818788746 475.815771358959 751.88203326987</t>
  </si>
  <si>
    <t>-812.922832579345 296.310058072161 -230.135624728746</t>
  </si>
  <si>
    <t>-789.597107774904 298.110207183676 224.958209780911</t>
  </si>
  <si>
    <t>-928.484253982335 518.536389831759 616.675274594825</t>
  </si>
  <si>
    <t>-885.826472615685 383.902875107003 721.54495235156</t>
  </si>
  <si>
    <t>9763-20170724T170219.764054100.bin</t>
  </si>
  <si>
    <t>-799.719343562873 412.561081275831 -231.295539141737</t>
  </si>
  <si>
    <t>-811.281120217719 410.920731035737 -351.842000988241</t>
  </si>
  <si>
    <t>-809.175501600874 402.151900035965 -472.710707274273</t>
  </si>
  <si>
    <t>-801.809793135099 391.01029429604 -581.414231424498</t>
  </si>
  <si>
    <t>-789.210884283131 376.537339990019 -689.241108640116</t>
  </si>
  <si>
    <t>-766.381577490958 352.804954320781 -837.954409906448</t>
  </si>
  <si>
    <t>-738.701215184611 317.351172031531 -929.386419460901</t>
  </si>
  <si>
    <t>-759.723216551937 390.268274706008 -773.883284076479</t>
  </si>
  <si>
    <t>-672.308355153183 506.937942501458 -754.62395200437</t>
  </si>
  <si>
    <t>-636.845273590187 590.549352022811 -451.411599874732</t>
  </si>
  <si>
    <t>-401.70300580941 528.722157788375 -359.066816237312</t>
  </si>
  <si>
    <t>-793.242465565711 336.343292488657 -770.423415216775</t>
  </si>
  <si>
    <t>-881.243373207828 221.032403132159 -746.268590839075</t>
  </si>
  <si>
    <t>-908.905060487018 184.479471237816 -433.083539599515</t>
  </si>
  <si>
    <t>-652.851759097117 229.18009671956 -442.064439408468</t>
  </si>
  <si>
    <t>-764.482702681988 504.319572952658 -235.411388563081</t>
  </si>
  <si>
    <t>-717.356257633701 474.867692213766 216.882055517681</t>
  </si>
  <si>
    <t>-770.637844492526 433.527217044729 681.454505383495</t>
  </si>
  <si>
    <t>-614.905281634189 473.798686398556 752.651999956499</t>
  </si>
  <si>
    <t>-835.906512441654 320.131542460879 -226.799471959847</t>
  </si>
  <si>
    <t>-836.268367370393 342.120909129601 228.364252113084</t>
  </si>
  <si>
    <t>-963.575909319299 529.666133977973 639.339506343787</t>
  </si>
  <si>
    <t>-909.752827746653 392.428705700127 735.321110855748</t>
  </si>
  <si>
    <t>9763-20170724T170219.797127100.bin</t>
  </si>
  <si>
    <t>-811.86555539997 425.807656806105 -231.807053766156</t>
  </si>
  <si>
    <t>-824.655639848799 425.248746542155 -352.239311992928</t>
  </si>
  <si>
    <t>-823.782148874974 416.099088779303 -473.094888016539</t>
  </si>
  <si>
    <t>-817.538868771373 404.05820042084 -581.772792983357</t>
  </si>
  <si>
    <t>-806.074616754574 388.159136068152 -689.525452347992</t>
  </si>
  <si>
    <t>-784.840024701877 361.920475385911 -838.053669541843</t>
  </si>
  <si>
    <t>-758.596388317363 325.195019378601 -929.407364319767</t>
  </si>
  <si>
    <t>-777.013017174582 400.161184799633 -774.576899470846</t>
  </si>
  <si>
    <t>-687.480227981046 515.574979291636 -757.495419253658</t>
  </si>
  <si>
    <t>-649.289788615542 600.61894169977 -455.013615573801</t>
  </si>
  <si>
    <t>-413.272070863063 539.238118448717 -364.625142350912</t>
  </si>
  <si>
    <t>-811.458276898076 346.899551913868 -770.092261855442</t>
  </si>
  <si>
    <t>-901.021442327987 233.418982360804 -743.163548285109</t>
  </si>
  <si>
    <t>-924.058486007972 198.784840815254 -429.386648866774</t>
  </si>
  <si>
    <t>-667.569814490563 240.257154368843 -441.034333731067</t>
  </si>
  <si>
    <t>-773.967918770638 516.954970608728 -235.999437508789</t>
  </si>
  <si>
    <t>-723.413643436535 480.615155312824 215.422049782137</t>
  </si>
  <si>
    <t>-771.057908310155 436.106899018805 680.224586103122</t>
  </si>
  <si>
    <t>-614.953747354166 472.5683749467 752.65091480748</t>
  </si>
  <si>
    <t>-850.442726389764 335.441001027978 -227.177889324631</t>
  </si>
  <si>
    <t>-858.469995220795 360.486593162132 227.757182559578</t>
  </si>
  <si>
    <t>-970.177055032207 529.420373585434 651.566047775261</t>
  </si>
  <si>
    <t>-917.748654483385 387.151558703552 740.753176547076</t>
  </si>
  <si>
    <t>9763-20170724T170219.858862600.bin</t>
  </si>
  <si>
    <t>-844.999900191212 455.360530190753 -235.978770878946</t>
  </si>
  <si>
    <t>-857.014432570383 459.78810586008 -356.410676741716</t>
  </si>
  <si>
    <t>-856.573416482098 450.422521737238 -477.252101021514</t>
  </si>
  <si>
    <t>-851.271817831076 436.162156351714 -585.711329867097</t>
  </si>
  <si>
    <t>-841.33892650527 416.087943128408 -692.917697574218</t>
  </si>
  <si>
    <t>-822.887542825911 382.073601332133 -840.235640207425</t>
  </si>
  <si>
    <t>-799.399274687535 341.350918553338 -930.640028363231</t>
  </si>
  <si>
    <t>-812.985866180666 423.021103696508 -778.768647451806</t>
  </si>
  <si>
    <t>-720.049291394727 536.401057883141 -767.499090061607</t>
  </si>
  <si>
    <t>-674.926608726268 623.338932956891 -466.514000207739</t>
  </si>
  <si>
    <t>-439.101978151614 561.037279327581 -376.251714974012</t>
  </si>
  <si>
    <t>-849.117529778226 371.226729528071 -771.335396057873</t>
  </si>
  <si>
    <t>-941.292860767103 261.709348217216 -737.642465642746</t>
  </si>
  <si>
    <t>-955.935698143634 234.905500791174 -422.597468800656</t>
  </si>
  <si>
    <t>-698.47212718767 267.816100504306 -439.072916301267</t>
  </si>
  <si>
    <t>-801.202009179508 544.204679648299 -236.818164982993</t>
  </si>
  <si>
    <t>-734.472896610898 493.395335581816 211.091803235569</t>
  </si>
  <si>
    <t>-771.165653165227 442.784777436787 676.198746097152</t>
  </si>
  <si>
    <t>-615.365629581779 471.981997774897 752.470642335407</t>
  </si>
  <si>
    <t>-887.692047209124 368.0017862568 -234.117517062063</t>
  </si>
  <si>
    <t>-895.004547176082 391.965299373072 220.887966226438</t>
  </si>
  <si>
    <t>-981.658160046938 533.509747742568 660.815951109996</t>
  </si>
  <si>
    <t>-933.651115347281 383.410368775666 738.976318259232</t>
  </si>
  <si>
    <t>9763-20170724T170219.895993500.bin</t>
  </si>
  <si>
    <t>-861.193654427449 472.297534006386 -239.462624066487</t>
  </si>
  <si>
    <t>-870.798513587389 479.047269903679 -360.003040928789</t>
  </si>
  <si>
    <t>-869.401088247169 469.359480481784 -480.811860544281</t>
  </si>
  <si>
    <t>-863.870612573364 453.779800559374 -589.077902999687</t>
  </si>
  <si>
    <t>-854.373106588718 431.394662316247 -695.865281452484</t>
  </si>
  <si>
    <t>-837.245693015592 393.173404796366 -842.309116019352</t>
  </si>
  <si>
    <t>-815.046249819706 350.242906229443 -932.015028837964</t>
  </si>
  <si>
    <t>-826.405512917597 435.605791692517 -782.018860593484</t>
  </si>
  <si>
    <t>-731.354389769427 547.638854706527 -774.134164136665</t>
  </si>
  <si>
    <t>-684.211297969596 636.439162355763 -474.003845758527</t>
  </si>
  <si>
    <t>-449.391860856222 572.097565553897 -382.559694617212</t>
  </si>
  <si>
    <t>-863.242540883992 384.564555687802 -773.005654457143</t>
  </si>
  <si>
    <t>-956.25049476299 276.779632065746 -736.397851774312</t>
  </si>
  <si>
    <t>-968.377101401854 256.146603256975 -420.782093565735</t>
  </si>
  <si>
    <t>-710.373032562628 283.819271259621 -438.3941948513</t>
  </si>
  <si>
    <t>-815.637801757515 560.900032658311 -238.232327399628</t>
  </si>
  <si>
    <t>-737.699207694844 503.052046924654 207.005728846032</t>
  </si>
  <si>
    <t>-769.842918030506 449.35210666716 671.626640108174</t>
  </si>
  <si>
    <t>-615.241551111403 472.780361066848 752.20612003424</t>
  </si>
  <si>
    <t>-906.109446297079 384.84966473443 -239.894130767331</t>
  </si>
  <si>
    <t>-907.974230716396 404.123398735226 215.389075965835</t>
  </si>
  <si>
    <t>-983.377801236129 535.382454548874 659.863411584498</t>
  </si>
  <si>
    <t>-933.758102605837 385.427202007974 737.289500713081</t>
  </si>
  <si>
    <t>9763-20170724T170219.964165700.bin</t>
  </si>
  <si>
    <t>-884.556600223763 499.035493948174 -231.281530861067</t>
  </si>
  <si>
    <t>-892.457847030599 506.908684451757 -351.877440517141</t>
  </si>
  <si>
    <t>-890.928184480941 495.061679891586 -472.492040958447</t>
  </si>
  <si>
    <t>-886.003586299011 476.251928971512 -580.27331092606</t>
  </si>
  <si>
    <t>-877.893184314207 449.411899391405 -686.144355263979</t>
  </si>
  <si>
    <t>-863.561538408655 403.779288082935 -830.755060402697</t>
  </si>
  <si>
    <t>-843.727551305404 356.702438234411 -918.921863328665</t>
  </si>
  <si>
    <t>-850.750746414289 448.654897051379 -772.660734869795</t>
  </si>
  <si>
    <t>-752.466381573558 558.03262897415 -770.638550392928</t>
  </si>
  <si>
    <t>-701.190379954009 654.246522182394 -473.485692336481</t>
  </si>
  <si>
    <t>-468.568842697407 584.177822643192 -380.643560292247</t>
  </si>
  <si>
    <t>-889.055000565909 399.285489243356 -760.877978297181</t>
  </si>
  <si>
    <t>-984.143725183842 295.438046754732 -718.578933761606</t>
  </si>
  <si>
    <t>-991.071967754519 286.623794479616 -402.255515306283</t>
  </si>
  <si>
    <t>-732.489280968095 305.645673458983 -422.632334512347</t>
  </si>
  <si>
    <t>-836.674554796452 585.599779027064 -230.402446847268</t>
  </si>
  <si>
    <t>-743.273205332579 524.255886837968 211.378898480645</t>
  </si>
  <si>
    <t>-771.087483087162 474.908945114252 677.14533731934</t>
  </si>
  <si>
    <t>-617.704909913146 476.495952262427 763.254325163671</t>
  </si>
  <si>
    <t>-930.601352064502 411.265595079696 -231.97790031119</t>
  </si>
  <si>
    <t>-928.402386528478 424.716881037479 223.512972425292</t>
  </si>
  <si>
    <t>-985.845016435287 535.164123777056 676.822885847137</t>
  </si>
  <si>
    <t>-934.637587914953 385.161239050624 753.114596211311</t>
  </si>
  <si>
    <t>9763-20170724T170219.996249200.bin</t>
  </si>
  <si>
    <t>-892.948138094041 508.386293278294 -230.013893130513</t>
  </si>
  <si>
    <t>-900.761911381475 515.785447415473 -350.645699906156</t>
  </si>
  <si>
    <t>-899.619163465502 502.795046713903 -471.146658704723</t>
  </si>
  <si>
    <t>-895.271677763524 482.694740078034 -578.719621374905</t>
  </si>
  <si>
    <t>-887.987261266004 454.321714359446 -684.25044975776</t>
  </si>
  <si>
    <t>-875.083187850049 406.321920259888 -828.227860477269</t>
  </si>
  <si>
    <t>-856.254577085781 357.637979493468 -915.739817742504</t>
  </si>
  <si>
    <t>-861.330635862879 451.882501446313 -770.886560986912</t>
  </si>
  <si>
    <t>-761.914360965866 560.058011342074 -770.843650918512</t>
  </si>
  <si>
    <t>-707.534778665719 659.345750759686 -475.257858471509</t>
  </si>
  <si>
    <t>-476.066558116736 586.836313244477 -381.412801940477</t>
  </si>
  <si>
    <t>-900.255070008108 403.238158495259 -758.157939666576</t>
  </si>
  <si>
    <t>-996.52006216634 301.239157878196 -713.576541944074</t>
  </si>
  <si>
    <t>-1000.96171081504 296.693626415343 -397.118485162854</t>
  </si>
  <si>
    <t>-742.153096397353 312.081156071515 -417.6945155736</t>
  </si>
  <si>
    <t>-845.644509383515 593.346004363605 -227.761856973297</t>
  </si>
  <si>
    <t>-744.024912262502 536.384417073603 212.790660100248</t>
  </si>
  <si>
    <t>-774.324738705906 498.261749115678 680.67395682267</t>
  </si>
  <si>
    <t>-622.575614231798 482.537337424378 768.243712625771</t>
  </si>
  <si>
    <t>-939.555662990474 421.334557738068 -231.430648129643</t>
  </si>
  <si>
    <t>-935.758469127603 434.527253400512 224.057120148359</t>
  </si>
  <si>
    <t>-986.241375448454 535.372165391704 679.798413941943</t>
  </si>
  <si>
    <t>-934.675974699874 385.277627557753 755.667675184203</t>
  </si>
  <si>
    <t>9763-20170724T170220.061933300.bin</t>
  </si>
  <si>
    <t>-905.362580397703 527.076566471642 -230.432850404737</t>
  </si>
  <si>
    <t>-912.463321577371 533.427094454069 -351.168315721641</t>
  </si>
  <si>
    <t>-911.587960603631 518.995737599445 -471.507582708539</t>
  </si>
  <si>
    <t>-907.916686032233 497.457687326576 -578.827061625477</t>
  </si>
  <si>
    <t>-901.762604412382 467.529786952877 -683.999785264767</t>
  </si>
  <si>
    <t>-890.920006154776 417.262983358497 -827.372336262663</t>
  </si>
  <si>
    <t>-873.495188165107 366.800664206897 -914.164671502003</t>
  </si>
  <si>
    <t>-875.733883592548 463.273529058032 -770.756535049248</t>
  </si>
  <si>
    <t>-773.551874494792 568.977800699692 -772.96972550681</t>
  </si>
  <si>
    <t>-714.948356502016 671.623986904967 -479.3448219559</t>
  </si>
  <si>
    <t>-485.055110508526 594.958106568887 -384.933468367146</t>
  </si>
  <si>
    <t>-915.701135432348 415.735530240028 -757.112265739063</t>
  </si>
  <si>
    <t>-1014.00744263058 316.680049094269 -710.733745821566</t>
  </si>
  <si>
    <t>-1016.14285065082 321.75738539594 -394.259590564035</t>
  </si>
  <si>
    <t>-756.865800002621 329.974645050051 -412.966166604583</t>
  </si>
  <si>
    <t>-858.19743085518 611.974966083288 -227.727845467435</t>
  </si>
  <si>
    <t>-735.91730652395 566.584284717611 208.901240183695</t>
  </si>
  <si>
    <t>-778.194555572321 562.446399257358 677.281014065836</t>
  </si>
  <si>
    <t>-630.6406081504 518.358663758571 762.296403171227</t>
  </si>
  <si>
    <t>-952.990646329073 442.009678664256 -232.272684013739</t>
  </si>
  <si>
    <t>-949.894618770857 451.872929336592 223.304858116338</t>
  </si>
  <si>
    <t>-987.245034477145 535.241794184968 683.512143456351</t>
  </si>
  <si>
    <t>-934.821227822769 385.359555000019 759.212532366682</t>
  </si>
  <si>
    <t>9763-20170724T170220.096026100.bin</t>
  </si>
  <si>
    <t>-910.258064962262 536.939847114723 -230.847308617396</t>
  </si>
  <si>
    <t>-917.655396060483 543.144430870175 -351.572574052435</t>
  </si>
  <si>
    <t>-917.209507006846 528.360603546539 -471.871368644673</t>
  </si>
  <si>
    <t>-913.992817102973 506.423416154727 -579.124655284638</t>
  </si>
  <si>
    <t>-908.366781113857 476.02189040951 -684.191002236749</t>
  </si>
  <si>
    <t>-898.341841880262 425.024987335908 -827.365043320624</t>
  </si>
  <si>
    <t>-881.597455170011 374.067365015067 -914.001895807474</t>
  </si>
  <si>
    <t>-882.555085929323 471.11434719507 -770.978273368841</t>
  </si>
  <si>
    <t>-779.326303581087 575.827712410424 -773.695996174578</t>
  </si>
  <si>
    <t>-719.312051050586 678.755787747978 -480.455080769254</t>
  </si>
  <si>
    <t>-489.850733160964 600.267948076962 -386.491086124722</t>
  </si>
  <si>
    <t>-923.000049862181 424.064747010692 -757.051761090218</t>
  </si>
  <si>
    <t>-1022.34094374632 326.28723279022 -710.284639302368</t>
  </si>
  <si>
    <t>-1025.04853941506 334.537930035601 -393.881765601222</t>
  </si>
  <si>
    <t>-765.639509248727 339.720061085871 -411.830612681403</t>
  </si>
  <si>
    <t>-863.151862467186 622.534032186496 -228.232370994632</t>
  </si>
  <si>
    <t>-730.245719124827 580.818052793912 205.649331612514</t>
  </si>
  <si>
    <t>-780.413017309641 596.282542315771 672.354930094366</t>
  </si>
  <si>
    <t>-633.21206443572 547.902452889027 755.63010837032</t>
  </si>
  <si>
    <t>-958.561421905711 452.077010292209 -232.848194613799</t>
  </si>
  <si>
    <t>-956.61735049562 459.586214116174 222.780577263457</t>
  </si>
  <si>
    <t>-988.163441026106 534.917604289706 684.718620208143</t>
  </si>
  <si>
    <t>-934.645297333596 385.439156393634 760.451800579882</t>
  </si>
  <si>
    <t>9763-20170724T170220.160918200.bin</t>
  </si>
  <si>
    <t>-918.958600997749 555.798874934796 -232.385732971308</t>
  </si>
  <si>
    <t>-926.344765051661 561.456288478684 -353.138411851872</t>
  </si>
  <si>
    <t>-926.426591246988 546.129608410675 -473.370081996674</t>
  </si>
  <si>
    <t>-923.927743198916 523.708977709755 -580.542620509787</t>
  </si>
  <si>
    <t>-919.270961270003 492.838116375793 -685.519412226689</t>
  </si>
  <si>
    <t>-910.865259426979 441.207412611782 -828.5705733086</t>
  </si>
  <si>
    <t>-895.507642234174 389.830520426245 -915.216666054167</t>
  </si>
  <si>
    <t>-893.827335164123 487.068671075551 -772.362462152786</t>
  </si>
  <si>
    <t>-788.252629815523 589.393526854845 -775.331472037279</t>
  </si>
  <si>
    <t>-727.525671861316 691.201537555798 -481.846320563894</t>
  </si>
  <si>
    <t>-499.224797236721 607.862891289682 -389.242680979395</t>
  </si>
  <si>
    <t>-935.34171547395 441.036033470644 -758.187354116333</t>
  </si>
  <si>
    <t>-1037.18827932993 345.875383201159 -711.328262163294</t>
  </si>
  <si>
    <t>-1041.79733328011 357.106823190592 -395.039110541185</t>
  </si>
  <si>
    <t>-782.251054634161 355.074030166126 -411.581491877764</t>
  </si>
  <si>
    <t>-869.1466576089 640.634834028198 -230.035722743742</t>
  </si>
  <si>
    <t>-721.504583225051 611.551856557246 200.096431718712</t>
  </si>
  <si>
    <t>-784.006228862243 671.151111426362 661.523242349673</t>
  </si>
  <si>
    <t>-632.445641464703 626.765626474901 739.001133927034</t>
  </si>
  <si>
    <t>-968.628768075277 471.066069344956 -233.833821053111</t>
  </si>
  <si>
    <t>-968.690959309569 474.547401616241 221.847556102502</t>
  </si>
  <si>
    <t>-989.787336672368 534.201479376501 686.288701627363</t>
  </si>
  <si>
    <t>-934.626411495309 385.481275102538 762.335522369211</t>
  </si>
  <si>
    <t>9763-20170724T170220.193999300.bin</t>
  </si>
  <si>
    <t>-921.89605140757 563.013040717285 -232.989776555664</t>
  </si>
  <si>
    <t>-928.706483343047 568.753179242323 -353.772595308334</t>
  </si>
  <si>
    <t>-928.68478778571 553.493118398935 -474.012685792054</t>
  </si>
  <si>
    <t>-926.303556455312 531.130136293742 -581.199749358365</t>
  </si>
  <si>
    <t>-921.985806500672 500.316784468137 -686.208006529384</t>
  </si>
  <si>
    <t>-914.290626336232 448.768783380415 -829.329094677461</t>
  </si>
  <si>
    <t>-899.556725227158 397.358202232238 -916.063389126694</t>
  </si>
  <si>
    <t>-896.622880608317 494.314939876256 -773.058813304885</t>
  </si>
  <si>
    <t>-789.744556756262 595.270042311578 -775.873036687039</t>
  </si>
  <si>
    <t>-729.331327305665 696.202846029378 -482.021025016301</t>
  </si>
  <si>
    <t>-501.992249760003 609.823384974392 -389.838833643104</t>
  </si>
  <si>
    <t>-938.768150137657 448.839361106659 -758.946002361531</t>
  </si>
  <si>
    <t>-1042.02717959932 355.127063825218 -712.247021002392</t>
  </si>
  <si>
    <t>-1047.21200176641 366.559342660498 -395.974054089009</t>
  </si>
  <si>
    <t>-787.677374230201 360.286703975724 -411.610405014547</t>
  </si>
  <si>
    <t>-870.773357542229 647.334409582012 -231.244568376972</t>
  </si>
  <si>
    <t>-723.994103419008 628.39066779103 199.748035151031</t>
  </si>
  <si>
    <t>-789.812489711052 709.954083302472 657.607214114323</t>
  </si>
  <si>
    <t>-635.654736832873 667.760526849078 731.082420757798</t>
  </si>
  <si>
    <t>-971.682114827147 478.521032036003 -234.601155717245</t>
  </si>
  <si>
    <t>-972.319773376885 481.701012565526 221.082028309745</t>
  </si>
  <si>
    <t>-990.942042792969 533.416709736034 686.917258989943</t>
  </si>
  <si>
    <t>-935.548600716312 385.13311452478 763.644575470028</t>
  </si>
  <si>
    <t>9763-20170724T170220.261733200.bin</t>
  </si>
  <si>
    <t>-924.984189860913 575.460155950562 -233.636518267474</t>
  </si>
  <si>
    <t>-930.318113951531 581.6103208116 -354.473303187981</t>
  </si>
  <si>
    <t>-929.846259574552 566.949075026813 -474.786993862995</t>
  </si>
  <si>
    <t>-927.517149159792 545.20568090473 -582.10270071862</t>
  </si>
  <si>
    <t>-923.731290326171 515.094280618733 -687.334932719327</t>
  </si>
  <si>
    <t>-917.292876948931 464.610231164291 -830.896381254639</t>
  </si>
  <si>
    <t>-903.579942849362 413.478822649503 -917.962738949708</t>
  </si>
  <si>
    <t>-898.41658797178 509.134602750868 -774.202677914531</t>
  </si>
  <si>
    <t>-788.760250123666 607.068482219965 -775.874975560952</t>
  </si>
  <si>
    <t>-729.797091344986 705.276060577247 -480.807601809172</t>
  </si>
  <si>
    <t>-505.269210794928 610.642665760696 -389.847083309529</t>
  </si>
  <si>
    <t>-941.866823509025 464.760952957249 -760.547186536941</t>
  </si>
  <si>
    <t>-1047.9974431663 373.833127279828 -714.746738043461</t>
  </si>
  <si>
    <t>-1053.84157129325 385.61441820233 -398.497984928219</t>
  </si>
  <si>
    <t>-794.636660235946 369.900484670654 -412.917692807124</t>
  </si>
  <si>
    <t>-874.466349343627 659.949605051455 -231.327456446372</t>
  </si>
  <si>
    <t>-742.086216125423 661.251035440999 204.713237371525</t>
  </si>
  <si>
    <t>-812.823890193587 777.848039941688 654.700983319925</t>
  </si>
  <si>
    <t>-655.934858954355 733.519262758681 720.763830446377</t>
  </si>
  <si>
    <t>-976.202849552414 491.29887528707 -235.594693213279</t>
  </si>
  <si>
    <t>-975.508021408628 491.947685898197 220.09907898301</t>
  </si>
  <si>
    <t>-992.470141168769 532.581078213379 687.640065186153</t>
  </si>
  <si>
    <t>-936.817752654024 384.692300475734 764.939778881372</t>
  </si>
  <si>
    <t>9763-20170724T170220.297822100.bin</t>
  </si>
  <si>
    <t>-925.705781243615 580.878774344926 -233.929971860658</t>
  </si>
  <si>
    <t>-930.61839204516 587.234761423966 -354.773857335902</t>
  </si>
  <si>
    <t>-930.112102416112 573.03554714309 -475.142916058812</t>
  </si>
  <si>
    <t>-927.915872901146 551.81115377917 -582.565249874981</t>
  </si>
  <si>
    <t>-924.428553797271 522.319184052635 -687.982999939115</t>
  </si>
  <si>
    <t>-918.579183823066 472.797152362112 -831.904486341222</t>
  </si>
  <si>
    <t>-905.247500571896 421.938422459734 -919.189236567973</t>
  </si>
  <si>
    <t>-899.128207202459 516.638705358723 -774.873676013758</t>
  </si>
  <si>
    <t>-788.090163326733 613.055473608346 -775.804826285072</t>
  </si>
  <si>
    <t>-730.04135021932 708.780769551812 -479.742108457661</t>
  </si>
  <si>
    <t>-507.080263116301 609.369645471617 -390.032640455514</t>
  </si>
  <si>
    <t>-943.206461201464 472.779643534379 -761.573757463859</t>
  </si>
  <si>
    <t>-1050.70060052628 383.122948891461 -716.497113149549</t>
  </si>
  <si>
    <t>-1056.97658516561 394.686637842533 -400.24860636937</t>
  </si>
  <si>
    <t>-798.118765378164 373.697225687165 -414.181260727095</t>
  </si>
  <si>
    <t>-875.375704110005 664.671202858608 -230.952400064308</t>
  </si>
  <si>
    <t>-756.89773554909 677.178540760073 208.893245898207</t>
  </si>
  <si>
    <t>-821.513886207201 802.430679749054 657.224534369656</t>
  </si>
  <si>
    <t>-665.986792152853 752.46471207639 722.479701112356</t>
  </si>
  <si>
    <t>-977.83752270941 497.097303812023 -235.946153034444</t>
  </si>
  <si>
    <t>-974.492808059546 495.578127775059 219.733792211514</t>
  </si>
  <si>
    <t>-992.795801408718 532.559343513857 687.686224060028</t>
  </si>
  <si>
    <t>-936.962845048153 384.701567081009 764.91492298388</t>
  </si>
  <si>
    <t>9763-20170724T170220.360521300.bin</t>
  </si>
  <si>
    <t>-924.896348835958 589.653961153983 -233.90410618383</t>
  </si>
  <si>
    <t>-929.769718096833 597.501693218505 -354.661949036461</t>
  </si>
  <si>
    <t>-929.836442666318 584.95719829019 -475.215714231098</t>
  </si>
  <si>
    <t>-928.435889370251 565.283230399581 -582.946094300472</t>
  </si>
  <si>
    <t>-926.036326560324 537.39382146236 -688.829368092704</t>
  </si>
  <si>
    <t>-922.016511060032 490.151644904847 -833.577567660065</t>
  </si>
  <si>
    <t>-909.693204220561 440.230939894953 -921.549346926402</t>
  </si>
  <si>
    <t>-901.045827006969 532.347973096423 -775.848846127409</t>
  </si>
  <si>
    <t>-787.224185054081 625.663990070238 -775.308512273754</t>
  </si>
  <si>
    <t>-732.715836298212 715.922696323601 -476.86524397563</t>
  </si>
  <si>
    <t>-513.363623507607 604.978052684738 -391.906725022428</t>
  </si>
  <si>
    <t>-946.544500725704 489.761597814231 -763.213111994207</t>
  </si>
  <si>
    <t>-1056.66600602284 402.965073971877 -719.200063676696</t>
  </si>
  <si>
    <t>-1064.18863689846 412.634823146699 -402.915276088087</t>
  </si>
  <si>
    <t>-806.55989550213 379.970229070015 -417.14651144254</t>
  </si>
  <si>
    <t>-872.728940603578 670.870081557415 -230.666313155202</t>
  </si>
  <si>
    <t>-805.783726606577 722.9076316367 217.070224130153</t>
  </si>
  <si>
    <t>-828.126148269737 834.991843936763 672.545855282875</t>
  </si>
  <si>
    <t>-678.521695649114 769.453525967926 737.866236209163</t>
  </si>
  <si>
    <t>-978.200000042474 507.191440930633 -236.146857325396</t>
  </si>
  <si>
    <t>-967.705418550498 499.467803026077 219.361531939481</t>
  </si>
  <si>
    <t>-991.94669582722 532.640161851743 687.610954942887</t>
  </si>
  <si>
    <t>-936.382632652937 384.893150181203 765.244681045042</t>
  </si>
  <si>
    <t>9763-20170724T170220.397590200.bin</t>
  </si>
  <si>
    <t>-922.787900025671 593.266677401033 -235.294934169196</t>
  </si>
  <si>
    <t>-927.948599792393 600.140727026622 -356.100278807295</t>
  </si>
  <si>
    <t>-928.167278086202 587.271696136347 -476.619552201962</t>
  </si>
  <si>
    <t>-926.871037456953 567.550803186689 -584.34269816089</t>
  </si>
  <si>
    <t>-924.554760397892 539.850720666204 -690.277533530853</t>
  </si>
  <si>
    <t>-920.640293178671 493.107055227251 -835.19024706409</t>
  </si>
  <si>
    <t>-908.656243340663 442.945692247088 -923.072087793298</t>
  </si>
  <si>
    <t>-899.184190477146 534.666984966351 -777.178757996383</t>
  </si>
  <si>
    <t>-784.28304973453 626.46148461359 -775.379068800816</t>
  </si>
  <si>
    <t>-731.556724195317 714.376634003815 -475.917678379492</t>
  </si>
  <si>
    <t>-514.622941868836 598.57635916283 -391.229568796366</t>
  </si>
  <si>
    <t>-945.5604024196 492.912582691639 -764.96299284089</t>
  </si>
  <si>
    <t>-1057.86718322914 409.462262347748 -720.211557074969</t>
  </si>
  <si>
    <t>-1064.4264408457 417.455541387144 -403.858415222278</t>
  </si>
  <si>
    <t>-807.65548886425 378.377016549508 -417.408143217571</t>
  </si>
  <si>
    <t>-869.664095404143 673.975317905408 -233.880160119386</t>
  </si>
  <si>
    <t>-818.859747945407 742.389600283535 213.776102386707</t>
  </si>
  <si>
    <t>-821.461513890997 831.2822984325 675.438407708945</t>
  </si>
  <si>
    <t>-674.837383951199 762.195483834963 743.789537801013</t>
  </si>
  <si>
    <t>-975.492679479286 510.728535908661 -236.30727967006</t>
  </si>
  <si>
    <t>-961.997821256162 501.523889265025 219.094551021372</t>
  </si>
  <si>
    <t>-991.08787610727 532.643724142901 687.485778839616</t>
  </si>
  <si>
    <t>-936.046719893243 384.944081689577 765.580697187269</t>
  </si>
  <si>
    <t>9763-20170724T170220.463307100.bin</t>
  </si>
  <si>
    <t>-917.159458377922 603.893495796367 -236.229857905722</t>
  </si>
  <si>
    <t>-921.244766980061 607.324077438434 -357.223060190491</t>
  </si>
  <si>
    <t>-921.389794570071 593.708282590605 -477.660332598693</t>
  </si>
  <si>
    <t>-920.415222079253 574.402445610308 -585.462033223022</t>
  </si>
  <si>
    <t>-918.793559113943 548.190575261227 -691.787689189424</t>
  </si>
  <si>
    <t>-916.218093213135 504.606400757271 -837.711615184637</t>
  </si>
  <si>
    <t>-904.367348376171 456.006242671613 -926.484011191568</t>
  </si>
  <si>
    <t>-893.72827581554 544.38430223391 -778.848593802656</t>
  </si>
  <si>
    <t>-776.156641452874 632.360284994736 -775.97490528443</t>
  </si>
  <si>
    <t>-727.671824519478 715.136687406563 -474.340063053416</t>
  </si>
  <si>
    <t>-516.239971653884 589.764587368413 -389.366785750908</t>
  </si>
  <si>
    <t>-940.987032359994 503.397814915924 -767.441061150624</t>
  </si>
  <si>
    <t>-1054.71880308631 420.118352271073 -724.925125956324</t>
  </si>
  <si>
    <t>-1063.13866368129 430.105725285765 -408.672699807159</t>
  </si>
  <si>
    <t>-808.075540129314 380.53057571635 -419.948919755385</t>
  </si>
  <si>
    <t>-864.313897898944 686.683385640929 -234.563239874307</t>
  </si>
  <si>
    <t>-839.321356342039 750.075257230155 216.008129382167</t>
  </si>
  <si>
    <t>-820.027356706803 821.468778208652 679.760443532921</t>
  </si>
  <si>
    <t>-674.647810431345 750.61131069866 748.952392027421</t>
  </si>
  <si>
    <t>-969.275728704898 521.134861883864 -235.579776264808</t>
  </si>
  <si>
    <t>-950.799738226681 502.712128591702 219.367449512673</t>
  </si>
  <si>
    <t>-989.444086228311 532.482737823331 687.477775624261</t>
  </si>
  <si>
    <t>-935.272529500649 385.108267051946 766.785581442694</t>
  </si>
  <si>
    <t>9763-20170724T170220.498403000.bin</t>
  </si>
  <si>
    <t>-914.903984308449 608.426742062052 -233.013658674751</t>
  </si>
  <si>
    <t>-918.471404650438 612.962441251174 -353.986935238936</t>
  </si>
  <si>
    <t>-917.865746178827 599.997002455215 -474.494416770625</t>
  </si>
  <si>
    <t>-916.138909404787 581.085937516869 -582.356599042406</t>
  </si>
  <si>
    <t>-913.703085146333 555.075955296485 -688.716365443435</t>
  </si>
  <si>
    <t>-909.942639544867 511.573011564354 -834.638840102876</t>
  </si>
  <si>
    <t>-897.675600369582 463.204653854111 -923.481413318041</t>
  </si>
  <si>
    <t>-887.828855362136 551.208107155793 -775.537678540735</t>
  </si>
  <si>
    <t>-769.567617057479 638.387628104841 -771.947041178982</t>
  </si>
  <si>
    <t>-720.993310881275 721.184706498753 -470.332447307818</t>
  </si>
  <si>
    <t>-512.088179406623 590.231922256098 -387.555296409032</t>
  </si>
  <si>
    <t>-935.384234438593 510.435182027177 -764.6077324454</t>
  </si>
  <si>
    <t>-1049.47802786481 427.490998854135 -723.109744130204</t>
  </si>
  <si>
    <t>-1060.98436486189 440.459333799104 -407.063059766707</t>
  </si>
  <si>
    <t>-806.574061153903 387.842309899798 -419.265354735188</t>
  </si>
  <si>
    <t>-861.213964612793 690.132782774767 -232.160822073299</t>
  </si>
  <si>
    <t>-842.502794020508 760.610641173425 217.661894301387</t>
  </si>
  <si>
    <t>-821.18074800323 824.863061156449 681.872800686323</t>
  </si>
  <si>
    <t>-678.131180911342 752.105948999324 753.891795651637</t>
  </si>
  <si>
    <t>-968.144702744329 526.132722110719 -234.337749842842</t>
  </si>
  <si>
    <t>-947.06737210438 504.015339549334 220.331666332096</t>
  </si>
  <si>
    <t>-989.488396167872 531.986882587493 687.668988612543</t>
  </si>
  <si>
    <t>-934.748178445602 385.305129788675 767.865294967827</t>
  </si>
  <si>
    <t>9763-20170724T170220.566207000.bin</t>
  </si>
  <si>
    <t>-910.819703804562 616.929234879916 -235.736574085039</t>
  </si>
  <si>
    <t>-916.90882538581 625.676724399008 -356.377438577817</t>
  </si>
  <si>
    <t>-917.347690595087 615.297904935358 -477.136013735568</t>
  </si>
  <si>
    <t>-915.998068730684 598.01536667268 -585.276464299067</t>
  </si>
  <si>
    <t>-913.396967816906 572.908163950409 -691.849026989358</t>
  </si>
  <si>
    <t>-908.867009159174 529.899483622307 -837.89610539418</t>
  </si>
  <si>
    <t>-896.169845050119 481.883387596259 -926.869216239158</t>
  </si>
  <si>
    <t>-886.988977451569 569.2516080137 -778.518696968576</t>
  </si>
  <si>
    <t>-768.770853484049 656.699236105702 -773.51689635852</t>
  </si>
  <si>
    <t>-716.137206671214 734.870212585568 -471.34950805995</t>
  </si>
  <si>
    <t>-511.632162333415 595.610998890191 -391.183120574967</t>
  </si>
  <si>
    <t>-934.753740058008 528.607466937342 -768.03102835134</t>
  </si>
  <si>
    <t>-1049.79736839115 446.868293354898 -726.805030268293</t>
  </si>
  <si>
    <t>-1063.30209649285 456.538467708418 -410.719186647523</t>
  </si>
  <si>
    <t>-809.10839861362 402.663483228501 -421.904898739644</t>
  </si>
  <si>
    <t>-855.868885951329 700.730858130849 -234.715222655832</t>
  </si>
  <si>
    <t>-843.327429363296 764.501618748716 216.320944637489</t>
  </si>
  <si>
    <t>-821.657764387895 824.606506806843 679.820080168828</t>
  </si>
  <si>
    <t>-679.905695762306 750.479333372339 752.998020789869</t>
  </si>
  <si>
    <t>-965.963338356331 535.137331730593 -236.989141793016</t>
  </si>
  <si>
    <t>-940.422730675785 507.872184027993 217.171523304247</t>
  </si>
  <si>
    <t>-987.78043480188 531.886899273436 685.435526947058</t>
  </si>
  <si>
    <t>-932.689656898719 385.841024158528 766.547285867552</t>
  </si>
  <si>
    <t>9763-20170724T170220.593280300.bin</t>
  </si>
  <si>
    <t>-907.591702419648 623.713613449409 -239.922404650639</t>
  </si>
  <si>
    <t>-913.048701990221 632.217911741554 -360.610881867133</t>
  </si>
  <si>
    <t>-913.233704630803 621.94971648841 -481.379684200358</t>
  </si>
  <si>
    <t>-911.795840314992 604.918967976168 -589.558932757403</t>
  </si>
  <si>
    <t>-909.238039018078 580.217890171236 -696.227378566559</t>
  </si>
  <si>
    <t>-904.896304750319 537.932648871052 -842.491171577533</t>
  </si>
  <si>
    <t>-891.953887495031 489.988227523976 -931.467637586145</t>
  </si>
  <si>
    <t>-882.868980454199 576.911364738687 -782.922682543791</t>
  </si>
  <si>
    <t>-764.325330738113 663.664251242451 -777.72554909576</t>
  </si>
  <si>
    <t>-711.756310517852 739.35417143038 -474.915951471911</t>
  </si>
  <si>
    <t>-509.429752687549 596.608139329116 -395.357207375176</t>
  </si>
  <si>
    <t>-930.765766983185 536.373816007558 -772.625193800783</t>
  </si>
  <si>
    <t>-1046.23629428501 454.774973496579 -731.956091352203</t>
  </si>
  <si>
    <t>-1058.88126794648 463.999439020503 -415.82135404103</t>
  </si>
  <si>
    <t>-804.740557650626 409.590595438671 -425.528696015791</t>
  </si>
  <si>
    <t>-850.445265092859 707.768458266906 -238.550395461296</t>
  </si>
  <si>
    <t>-842.958181820677 766.872566291888 213.233020615666</t>
  </si>
  <si>
    <t>-820.930313689197 825.234617029746 677.026990897083</t>
  </si>
  <si>
    <t>-679.930911524158 750.3181425102 750.852423700234</t>
  </si>
  <si>
    <t>-963.842913893865 540.455219118393 -240.61186813742</t>
  </si>
  <si>
    <t>-936.539907986694 510.949511759476 213.30628503637</t>
  </si>
  <si>
    <t>-986.803769352395 532.593461434909 682.368124459534</t>
  </si>
  <si>
    <t>-932.013548172109 386.11274024867 762.897357476395</t>
  </si>
  <si>
    <t>9763-20170724T170220.662146000.bin</t>
  </si>
  <si>
    <t>-902.344964794602 632.314767170462 -244.613250792141</t>
  </si>
  <si>
    <t>-907.872591848591 640.196045055902 -365.340803955404</t>
  </si>
  <si>
    <t>-908.054538102112 630.129189998456 -486.126479817037</t>
  </si>
  <si>
    <t>-906.544532733796 613.606051143713 -594.383442148247</t>
  </si>
  <si>
    <t>-903.819697383518 589.726425115218 -701.23465859889</t>
  </si>
  <si>
    <t>-899.12355806204 548.895000075918 -847.900040717284</t>
  </si>
  <si>
    <t>-885.916962618767 501.639287109749 -937.205682112362</t>
  </si>
  <si>
    <t>-877.220760585143 587.25773267074 -787.8878277326</t>
  </si>
  <si>
    <t>-758.158610489367 673.31529597767 -782.076044558863</t>
  </si>
  <si>
    <t>-705.694623515369 747.611865151033 -478.903393615416</t>
  </si>
  <si>
    <t>-506.880737890239 599.355924147844 -400.575198990422</t>
  </si>
  <si>
    <t>-925.18218065262 546.665435307573 -778.122630561817</t>
  </si>
  <si>
    <t>-1040.46012796664 464.534350939393 -738.191469576672</t>
  </si>
  <si>
    <t>-1052.73947557231 473.57353903553 -422.037005629895</t>
  </si>
  <si>
    <t>-799.067187121106 416.861596470295 -430.765294040555</t>
  </si>
  <si>
    <t>-846.250002851903 715.37551583792 -243.071552226726</t>
  </si>
  <si>
    <t>-838.025129554727 774.05515684458 208.754481865052</t>
  </si>
  <si>
    <t>-819.811173705358 826.414781278432 673.860369861746</t>
  </si>
  <si>
    <t>-679.849990627556 750.483466987832 748.618709294647</t>
  </si>
  <si>
    <t>-959.107971836923 548.746218195984 -245.239322064711</t>
  </si>
  <si>
    <t>-932.412184489729 515.005363075021 208.41972819861</t>
  </si>
  <si>
    <t>-986.107842958365 532.236449650933 677.245495158443</t>
  </si>
  <si>
    <t>-932.317230705675 385.801097060879 758.527211381416</t>
  </si>
  <si>
    <t>9763-20170724T170220.697240600.bin</t>
  </si>
  <si>
    <t>-899.663178257198 635.555227480465 -246.463735336206</t>
  </si>
  <si>
    <t>-905.59736187519 643.98787960346 -367.134705877247</t>
  </si>
  <si>
    <t>-906.021342291671 634.480699752528 -487.965174067145</t>
  </si>
  <si>
    <t>-904.641298436637 618.461289433965 -596.299535606209</t>
  </si>
  <si>
    <t>-901.943871989246 595.079448784049 -703.261524005402</t>
  </si>
  <si>
    <t>-897.16676687698 554.929974648126 -850.112427389826</t>
  </si>
  <si>
    <t>-883.987444180301 508.249009061811 -939.723648353251</t>
  </si>
  <si>
    <t>-875.355261749028 593.07716976039 -789.92975046215</t>
  </si>
  <si>
    <t>-756.822538101712 679.847172558713 -783.776218964555</t>
  </si>
  <si>
    <t>-703.450508089431 753.62301296196 -480.634803273195</t>
  </si>
  <si>
    <t>-505.753689086309 603.457043539443 -403.12191143172</t>
  </si>
  <si>
    <t>-923.205792761771 552.312321030109 -780.341133988422</t>
  </si>
  <si>
    <t>-1038.27534151181 469.764176496741 -740.666586388616</t>
  </si>
  <si>
    <t>-1050.71394632038 478.617520996845 -424.51301705274</t>
  </si>
  <si>
    <t>-797.271713506148 420.988806496164 -433.894367727445</t>
  </si>
  <si>
    <t>-841.353602488916 719.009986551803 -245.060538887401</t>
  </si>
  <si>
    <t>-837.148139058129 776.376816345673 206.989246959079</t>
  </si>
  <si>
    <t>-819.284977075302 827.16554854591 672.623263657696</t>
  </si>
  <si>
    <t>-679.913924488495 750.534817703713 747.769480669015</t>
  </si>
  <si>
    <t>-957.340706796577 552.742034815029 -247.440390728528</t>
  </si>
  <si>
    <t>-931.717791271566 516.952157540365 206.12356974303</t>
  </si>
  <si>
    <t>-985.826676066725 533.19327508189 674.115730070313</t>
  </si>
  <si>
    <t>-932.624398269644 387.150769101969 756.484530189474</t>
  </si>
  <si>
    <t>9763-20170724T170220.764457200.bin</t>
  </si>
  <si>
    <t>-893.494581892312 641.692260013091 -251.049237109281</t>
  </si>
  <si>
    <t>-899.203663758475 650.553221492999 -371.700408717854</t>
  </si>
  <si>
    <t>-899.667531461802 641.697891719928 -492.580340056683</t>
  </si>
  <si>
    <t>-898.391843501445 626.366702289784 -601.015337841806</t>
  </si>
  <si>
    <t>-895.841440439514 603.773409166427 -708.150396751691</t>
  </si>
  <si>
    <t>-891.28936033473 564.823094673002 -855.331096581613</t>
  </si>
  <si>
    <t>-878.205417256659 519.011243642554 -945.403474992649</t>
  </si>
  <si>
    <t>-869.469297112837 602.570376935537 -794.899480868723</t>
  </si>
  <si>
    <t>-751.571822195398 690.243635767128 -788.364475281247</t>
  </si>
  <si>
    <t>-698.43826088375 761.292456006549 -484.530650748352</t>
  </si>
  <si>
    <t>-500.993231789881 610.375098084687 -407.839654566392</t>
  </si>
  <si>
    <t>-917.137620675934 561.544826237689 -785.516742117589</t>
  </si>
  <si>
    <t>-1032.02883087794 478.615903210319 -746.241350840925</t>
  </si>
  <si>
    <t>-1043.51801577767 485.088975982719 -429.994183095305</t>
  </si>
  <si>
    <t>-790.124556741448 427.454260501305 -440.579733216016</t>
  </si>
  <si>
    <t>-834.872908724184 723.676405603501 -248.282306239927</t>
  </si>
  <si>
    <t>-835.748863857805 780.002747258211 203.916983316872</t>
  </si>
  <si>
    <t>-818.527101091739 828.261338243485 670.517784567985</t>
  </si>
  <si>
    <t>-680.296416322649 750.220319555384 746.31599543105</t>
  </si>
  <si>
    <t>-952.113581630041 559.794658342005 -252.742446837286</t>
  </si>
  <si>
    <t>-930.777062529284 522.243378901098 200.90090654385</t>
  </si>
  <si>
    <t>-985.431008556586 534.637656806783 669.269376353182</t>
  </si>
  <si>
    <t>-932.624987698313 388.618573628832 751.934185707595</t>
  </si>
  <si>
    <t>9763-20170724T170220.798547800.bin</t>
  </si>
  <si>
    <t>-892.347895764819 643.669540481134 -252.601183044401</t>
  </si>
  <si>
    <t>-897.544708239025 651.847232340444 -373.323706481759</t>
  </si>
  <si>
    <t>-897.853032159182 642.841764032288 -494.192945214828</t>
  </si>
  <si>
    <t>-896.561874146824 627.599392030958 -602.640426283954</t>
  </si>
  <si>
    <t>-894.107590847884 605.320833897619 -709.843466290216</t>
  </si>
  <si>
    <t>-889.792656993021 567.040473205202 -857.206953749702</t>
  </si>
  <si>
    <t>-876.813783903619 521.562647165874 -947.46378788883</t>
  </si>
  <si>
    <t>-867.87889611128 604.516009977441 -796.640633412604</t>
  </si>
  <si>
    <t>-749.803028928307 691.962552198015 -789.858421068961</t>
  </si>
  <si>
    <t>-697.893784204854 761.707536470266 -485.51123382704</t>
  </si>
  <si>
    <t>-500.149744326045 611.390437444635 -408.412818163847</t>
  </si>
  <si>
    <t>-915.524981334588 563.440332966049 -787.365700537116</t>
  </si>
  <si>
    <t>-1030.31551517727 480.318601258529 -748.271170183607</t>
  </si>
  <si>
    <t>-1040.65984493499 484.834648726624 -431.950497746124</t>
  </si>
  <si>
    <t>-787.194298388285 427.617520050572 -443.061799684411</t>
  </si>
  <si>
    <t>-834.645958625092 725.2730034807 -249.611992902103</t>
  </si>
  <si>
    <t>-833.692207414719 780.567678664679 202.714469448648</t>
  </si>
  <si>
    <t>-818.355696071555 828.356507145933 669.696936716795</t>
  </si>
  <si>
    <t>-680.295625172691 750.233809823395 745.721725390932</t>
  </si>
  <si>
    <t>-950.667547168348 561.512159869381 -254.221170294506</t>
  </si>
  <si>
    <t>-930.90002750276 523.40589664576 199.447059700684</t>
  </si>
  <si>
    <t>-985.182843710835 534.901149785947 667.760111384766</t>
  </si>
  <si>
    <t>-932.393428257602 388.745728758385 750.193978002518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</si>
</sst>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21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>
        <f>-584.248346642304 -2.06301335032776 -240.734652897214</f>
        <v>-827.04601288984577</v>
      </c>
      <c r="D1">
        <f>-599.845266376357 -14.4741433603278 -360.193941313977</f>
        <v>-974.51335105066187</v>
      </c>
      <c r="E1">
        <f>-602.239472139541 -24.3464137156207 -480.972065964422</f>
        <v>-1107.5579518195836</v>
      </c>
      <c r="F1">
        <f>-598.925618797225 -32.1728567645773 -590.162799005562</f>
        <v>-1221.2612745673641</v>
      </c>
      <c r="G1">
        <f>-590.244834312422 -38.8486173235974 -699.135046960515</f>
        <v>-1328.2284985965343</v>
      </c>
      <c r="H1">
        <f>-572.598474147141 -46.8906525539214 -850.21080872212</f>
        <v>-1469.6999354231825</v>
      </c>
      <c r="I1">
        <f>-530.095799199352 -53.3915153135652 -942.591910541435</f>
        <v>-1526.0792250543523</v>
      </c>
      <c r="J1">
        <f>-578.24973592319 -11.644089089006 -784.799314863474</f>
        <v>-1374.6931398756701</v>
      </c>
      <c r="K1" t="s">
        <v>1</v>
      </c>
      <c r="L1" t="s">
        <v>2</v>
      </c>
      <c r="M1" t="s">
        <v>3</v>
      </c>
      <c r="N1">
        <f>-582.563136608197 -75.0204488369614 -781.929597734578</f>
        <v>-1439.5131831797364</v>
      </c>
      <c r="O1">
        <f>-605.993204261704 -217.79457633944 -755.64531562291</f>
        <v>-1579.433096224054</v>
      </c>
      <c r="P1">
        <f>-661.460768184407 -218.63714799282 -444.022457108653</f>
        <v>-1324.1203732858801</v>
      </c>
      <c r="Q1">
        <f>-405.677605564357 -212.169382487596 -397.383278725862</f>
        <v>-1015.2302667778151</v>
      </c>
      <c r="R1" t="s">
        <v>4</v>
      </c>
      <c r="S1" t="s">
        <v>5</v>
      </c>
      <c r="T1" t="s">
        <v>6</v>
      </c>
      <c r="U1" t="s">
        <v>7</v>
      </c>
      <c r="V1">
        <f>-595.355355271533 -101.412817995953 -228.857433720384</f>
        <v>-925.62560698787001</v>
      </c>
      <c r="W1" t="s">
        <v>8</v>
      </c>
      <c r="X1" t="s">
        <v>9</v>
      </c>
      <c r="Y1" t="s">
        <v>10</v>
      </c>
    </row>
    <row r="2" spans="1:25" x14ac:dyDescent="0.3">
      <c r="A2">
        <v>50</v>
      </c>
      <c r="B2" t="s">
        <v>11</v>
      </c>
      <c r="C2">
        <f>-583.642858309964 -1.80254960026105 -240.826069400757</f>
        <v>-826.27147731098205</v>
      </c>
      <c r="D2">
        <f>-599.327026666677 -14.20830301776 -360.274498613583</f>
        <v>-973.80982829802008</v>
      </c>
      <c r="E2">
        <f>-601.89765412425 -24.1199766594191 -481.045741094022</f>
        <v>-1107.0633718776912</v>
      </c>
      <c r="F2">
        <f>-598.778792027822 -32.0001194028832 -590.23836858487</f>
        <v>-1221.0172800155751</v>
      </c>
      <c r="G2">
        <f>-590.327908754398 -38.746803549798 -699.224188421923</f>
        <v>-1328.298900726119</v>
      </c>
      <c r="H2">
        <f>-573.037142712813 -46.905805449413 -850.335008066745</f>
        <v>-1470.2779562289711</v>
      </c>
      <c r="I2">
        <f>-530.818864149113 -53.2834056676925 -942.854821423587</f>
        <v>-1526.9570912403924</v>
      </c>
      <c r="J2">
        <f>-578.49127384876 -11.6114489661688 -784.932546623438</f>
        <v>-1375.0352694383669</v>
      </c>
      <c r="K2" t="s">
        <v>12</v>
      </c>
      <c r="L2" t="s">
        <v>13</v>
      </c>
      <c r="M2" t="s">
        <v>14</v>
      </c>
      <c r="N2">
        <f>-582.884285316166 -74.9800767844888 -782.013807609581</f>
        <v>-1439.8781697102359</v>
      </c>
      <c r="O2">
        <f>-606.369765407697 -217.742213270748 -755.716030404747</f>
        <v>-1579.828009083192</v>
      </c>
      <c r="P2">
        <f>-661.69110501029 -218.820051583814 -444.067979539582</f>
        <v>-1324.579136133686</v>
      </c>
      <c r="Q2">
        <f>-405.932625336568 -211.948583655521 -397.351656222983</f>
        <v>-1015.232865215072</v>
      </c>
      <c r="R2" t="s">
        <v>15</v>
      </c>
      <c r="S2" t="s">
        <v>16</v>
      </c>
      <c r="T2" t="s">
        <v>17</v>
      </c>
      <c r="U2" t="s">
        <v>18</v>
      </c>
      <c r="V2">
        <f>-594.866753524003 -100.627502917047 -228.887813253793</f>
        <v>-924.38206969484304</v>
      </c>
      <c r="W2" t="s">
        <v>19</v>
      </c>
      <c r="X2" t="s">
        <v>20</v>
      </c>
      <c r="Y2" t="s">
        <v>21</v>
      </c>
    </row>
    <row r="3" spans="1:25" x14ac:dyDescent="0.3">
      <c r="A3">
        <v>100</v>
      </c>
      <c r="B3" t="s">
        <v>22</v>
      </c>
      <c r="C3">
        <f>-583.270198779014 -1.60977425268038 -240.792969757564</f>
        <v>-825.6729427892584</v>
      </c>
      <c r="D3">
        <f>-598.967905236152 -14.0388796459317 -360.237056951088</f>
        <v>-973.2438418331717</v>
      </c>
      <c r="E3">
        <f>-601.61048635539 -23.9854984059893 -481.004076836751</f>
        <v>-1106.6000615981302</v>
      </c>
      <c r="F3">
        <f>-598.580098489247 -31.9021083530013 -590.1965101898</f>
        <v>-1220.6787170320483</v>
      </c>
      <c r="G3">
        <f>-590.240916063148 -38.6904518030806 -699.18840623127</f>
        <v>-1328.1197740974985</v>
      </c>
      <c r="H3">
        <f>-573.129201090889 -46.9120039113059 -850.316122993573</f>
        <v>-1470.3573279957677</v>
      </c>
      <c r="I3">
        <f>-531.023583123572 -53.2445727241507 -942.890401989461</f>
        <v>-1527.1585578371837</v>
      </c>
      <c r="J3">
        <f>-578.479020746391 -11.5923241776275 -784.918902097556</f>
        <v>-1374.9902470215745</v>
      </c>
      <c r="K3" t="s">
        <v>23</v>
      </c>
      <c r="L3" t="s">
        <v>24</v>
      </c>
      <c r="M3" t="s">
        <v>25</v>
      </c>
      <c r="N3">
        <f>-582.922217619392 -74.956213155185 -781.974822021984</f>
        <v>-1439.8532527965608</v>
      </c>
      <c r="O3">
        <f>-606.484592270274 -217.695821333289 -755.640330628404</f>
        <v>-1579.820744231967</v>
      </c>
      <c r="P3">
        <f>-661.819833057072 -218.782692447239 -443.994628039795</f>
        <v>-1324.5971535441058</v>
      </c>
      <c r="Q3">
        <f>-406.060952132213 -212.046839306407 -397.260712892236</f>
        <v>-1015.368504330856</v>
      </c>
      <c r="R3" t="s">
        <v>26</v>
      </c>
      <c r="S3" t="s">
        <v>27</v>
      </c>
      <c r="T3" t="s">
        <v>28</v>
      </c>
      <c r="U3" t="s">
        <v>29</v>
      </c>
      <c r="V3">
        <f>-594.487414440198 -100.206097856233 -228.829738714244</f>
        <v>-923.52325101067504</v>
      </c>
      <c r="W3" t="s">
        <v>30</v>
      </c>
      <c r="X3" t="s">
        <v>31</v>
      </c>
      <c r="Y3" t="s">
        <v>32</v>
      </c>
    </row>
    <row r="4" spans="1:25" x14ac:dyDescent="0.3">
      <c r="A4">
        <v>150</v>
      </c>
      <c r="B4" t="s">
        <v>33</v>
      </c>
      <c r="C4">
        <f>-582.411393850653 -1.44082810175132 -240.776764240668</f>
        <v>-824.62898619307225</v>
      </c>
      <c r="D4">
        <f>-598.155869876398 -13.9348698992796 -360.207979637156</f>
        <v>-972.29871941283363</v>
      </c>
      <c r="E4">
        <f>-600.939094682348 -23.9818268603553 -480.963359266519</f>
        <v>-1105.8842808092222</v>
      </c>
      <c r="F4">
        <f>-598.072843672275 -32.0058631299139 -590.15244418511</f>
        <v>-1220.2311509872989</v>
      </c>
      <c r="G4">
        <f>-589.934098483713 -38.9195770249403 -699.151625608285</f>
        <v>-1328.0053011169384</v>
      </c>
      <c r="H4">
        <f>-573.137918120809 -47.3351042835284 -850.304023411762</f>
        <v>-1470.7770458160994</v>
      </c>
      <c r="I4">
        <f>-531.152014388814 -53.6156165351238 -942.936358509386</f>
        <v>-1527.7039894333238</v>
      </c>
      <c r="J4">
        <f>-578.258471103023 -11.937481734489 -784.930400707293</f>
        <v>-1375.1263535448049</v>
      </c>
      <c r="K4" t="s">
        <v>34</v>
      </c>
      <c r="L4" t="s">
        <v>35</v>
      </c>
      <c r="M4" t="s">
        <v>36</v>
      </c>
      <c r="N4">
        <f>-582.880918769043 -75.2852775445019 -781.917160194195</f>
        <v>-1440.0833565077401</v>
      </c>
      <c r="O4">
        <f>-606.816963892112 -217.92533827058 -755.375819059935</f>
        <v>-1580.118121222627</v>
      </c>
      <c r="P4">
        <f>-661.543826215692 -218.81633545596 -443.622123705726</f>
        <v>-1323.982285377378</v>
      </c>
      <c r="Q4">
        <f>-405.795650331949 -212.737388837484 -396.739720127608</f>
        <v>-1015.2727592970409</v>
      </c>
      <c r="R4" t="s">
        <v>37</v>
      </c>
      <c r="S4" t="s">
        <v>38</v>
      </c>
      <c r="T4" t="s">
        <v>39</v>
      </c>
      <c r="U4" t="s">
        <v>40</v>
      </c>
      <c r="V4">
        <f>-593.674425171607 -99.7433311330419 -228.7892928901</f>
        <v>-922.20704919474895</v>
      </c>
      <c r="W4" t="s">
        <v>41</v>
      </c>
      <c r="X4" t="s">
        <v>42</v>
      </c>
      <c r="Y4" t="s">
        <v>43</v>
      </c>
    </row>
    <row r="5" spans="1:25" x14ac:dyDescent="0.3">
      <c r="A5">
        <v>200</v>
      </c>
      <c r="B5" t="s">
        <v>44</v>
      </c>
      <c r="C5">
        <f>-582.007264052896 -1.57255675593683 -240.762133888073</f>
        <v>-824.34195469690576</v>
      </c>
      <c r="D5">
        <f>-597.727258174663 -14.1225808529377 -360.190761011849</f>
        <v>-972.04060003944983</v>
      </c>
      <c r="E5">
        <f>-600.534404590624 -24.2408872044898 -480.939653167802</f>
        <v>-1105.714944962916</v>
      </c>
      <c r="F5">
        <f>-597.709115564529 -32.3368284879796 -590.12445178275</f>
        <v>-1220.1703958352587</v>
      </c>
      <c r="G5">
        <f>-589.630273296837 -39.3303840067751 -699.123012011738</f>
        <v>-1328.0836693153501</v>
      </c>
      <c r="H5">
        <f>-572.936870582826 -47.866028700111 -850.280126844577</f>
        <v>-1471.0830261275141</v>
      </c>
      <c r="I5">
        <f>-530.974230715906 -54.1301062864372 -942.924024005109</f>
        <v>-1528.0283610074521</v>
      </c>
      <c r="J5">
        <f>-577.971436487332 -12.4193786422661 -784.926466980817</f>
        <v>-1375.3172821104151</v>
      </c>
      <c r="K5" t="s">
        <v>45</v>
      </c>
      <c r="L5" t="s">
        <v>46</v>
      </c>
      <c r="M5" t="s">
        <v>47</v>
      </c>
      <c r="N5">
        <f>-582.674930471555 -75.759087889629 -781.86917250647</f>
        <v>-1440.3031908676539</v>
      </c>
      <c r="O5">
        <f>-606.768344405511 -218.345335792102 -755.212461351063</f>
        <v>-1580.3261415486759</v>
      </c>
      <c r="P5">
        <f>-661.413804552273 -218.959401963442 -443.443812474542</f>
        <v>-1323.8170189902571</v>
      </c>
      <c r="Q5">
        <f>-405.56167447168 -212.615854189167 -397.167622685935</f>
        <v>-1015.3451513467819</v>
      </c>
      <c r="R5" t="s">
        <v>48</v>
      </c>
      <c r="S5" t="s">
        <v>49</v>
      </c>
      <c r="T5" t="s">
        <v>50</v>
      </c>
      <c r="U5" t="s">
        <v>51</v>
      </c>
      <c r="V5">
        <f>-593.270552086927 -99.8108307262235 -228.766202685325</f>
        <v>-921.84758549847538</v>
      </c>
      <c r="W5" t="s">
        <v>52</v>
      </c>
      <c r="X5" t="s">
        <v>53</v>
      </c>
      <c r="Y5" t="s">
        <v>54</v>
      </c>
    </row>
    <row r="6" spans="1:25" x14ac:dyDescent="0.3">
      <c r="A6">
        <v>250</v>
      </c>
      <c r="B6" t="s">
        <v>55</v>
      </c>
      <c r="C6">
        <f>-581.184524887685 -1.97971720170744 -240.782531103898</f>
        <v>-823.94677319329048</v>
      </c>
      <c r="D6">
        <f>-596.856966010455 -14.640035482194 -360.205606620136</f>
        <v>-971.70260811278501</v>
      </c>
      <c r="E6">
        <f>-599.64159908222 -24.8997812625537 -480.943157737425</f>
        <v>-1105.4845380821987</v>
      </c>
      <c r="F6">
        <f>-596.805663928546 -33.1369390453276 -590.117183535224</f>
        <v>-1220.0597865090976</v>
      </c>
      <c r="G6">
        <f>-588.725777691777 -40.2859269892122 -699.105510193337</f>
        <v>-1328.1172148743262</v>
      </c>
      <c r="H6">
        <f>-572.040576408873 -49.053072335782 -850.25033358604</f>
        <v>-1471.3439823306949</v>
      </c>
      <c r="I6">
        <f>-529.990473929988 -55.2814036929426 -942.856862319552</f>
        <v>-1528.1287399424825</v>
      </c>
      <c r="J6">
        <f>-577.028025221187 -13.5093570285717 -784.945652353555</f>
        <v>-1375.4830346033136</v>
      </c>
      <c r="K6" t="s">
        <v>56</v>
      </c>
      <c r="L6" t="s">
        <v>57</v>
      </c>
      <c r="M6" t="s">
        <v>58</v>
      </c>
      <c r="N6">
        <f>-581.818452840547 -76.838260350612 -781.801156818212</f>
        <v>-1440.4578700093712</v>
      </c>
      <c r="O6">
        <f>-606.183537471177 -219.350350659806 -754.928810833338</f>
        <v>-1580.4626989643211</v>
      </c>
      <c r="P6">
        <f>-660.624510918735 -218.81322246419 -443.124300987903</f>
        <v>-1322.5620343708279</v>
      </c>
      <c r="Q6">
        <f>-404.668099361979 -212.908759090946 -397.369225183897</f>
        <v>-1014.946083636822</v>
      </c>
      <c r="R6" t="s">
        <v>59</v>
      </c>
      <c r="S6" t="s">
        <v>60</v>
      </c>
      <c r="T6" t="s">
        <v>61</v>
      </c>
      <c r="U6" t="s">
        <v>62</v>
      </c>
      <c r="V6">
        <f>-592.408237890789 -100.023757411882 -228.737803994346</f>
        <v>-921.16979929701699</v>
      </c>
      <c r="W6" t="s">
        <v>63</v>
      </c>
      <c r="X6" t="s">
        <v>64</v>
      </c>
      <c r="Y6" t="s">
        <v>65</v>
      </c>
    </row>
    <row r="7" spans="1:25" x14ac:dyDescent="0.3">
      <c r="A7">
        <v>300</v>
      </c>
      <c r="B7" t="s">
        <v>66</v>
      </c>
      <c r="C7">
        <f>-580.78406149493 -2.13159560588883 -240.842299969774</f>
        <v>-823.75795707059285</v>
      </c>
      <c r="D7">
        <f>-596.420939132989 -14.8325614755615 -360.265748046152</f>
        <v>-971.51924865470255</v>
      </c>
      <c r="E7">
        <f>-599.167138578547 -25.1639742202688 -480.998127515717</f>
        <v>-1105.3292403145329</v>
      </c>
      <c r="F7">
        <f>-596.295220931926 -33.4799189048683 -590.165256029837</f>
        <v>-1219.9403958666312</v>
      </c>
      <c r="G7">
        <f>-588.177720159971 -40.7218861101167 -699.144563247687</f>
        <v>-1328.0441695177747</v>
      </c>
      <c r="H7">
        <f>-571.438586445527 -49.6343684297801 -850.274894155442</f>
        <v>-1471.3478490307491</v>
      </c>
      <c r="I7">
        <f>-529.322029297103 -55.8707893887256 -942.850680763014</f>
        <v>-1528.0434994488426</v>
      </c>
      <c r="J7">
        <f>-576.430946342458 -14.0292427798947 -785.004162848838</f>
        <v>-1375.4643519711908</v>
      </c>
      <c r="K7" t="s">
        <v>67</v>
      </c>
      <c r="L7" t="s">
        <v>68</v>
      </c>
      <c r="M7" t="s">
        <v>69</v>
      </c>
      <c r="N7">
        <f>-581.259350823255 -77.3526081251314 -781.804715792141</f>
        <v>-1440.4166747405275</v>
      </c>
      <c r="O7">
        <f>-605.788712634214 -219.804356789762 -754.811663983657</f>
        <v>-1580.4047334076331</v>
      </c>
      <c r="P7">
        <f>-660.341245301907 -218.66300813343 -443.028147372922</f>
        <v>-1322.0324008082589</v>
      </c>
      <c r="Q7">
        <f>-404.37840300155 -213.103006386245 -397.266109018586</f>
        <v>-1014.747518406381</v>
      </c>
      <c r="R7" t="s">
        <v>70</v>
      </c>
      <c r="S7" t="s">
        <v>71</v>
      </c>
      <c r="T7" t="s">
        <v>72</v>
      </c>
      <c r="U7" t="s">
        <v>73</v>
      </c>
      <c r="V7">
        <f>-591.952718128287 -100.126019500055 -228.783663638253</f>
        <v>-920.86240126659493</v>
      </c>
      <c r="W7" t="s">
        <v>74</v>
      </c>
      <c r="X7" t="s">
        <v>75</v>
      </c>
      <c r="Y7" t="s">
        <v>76</v>
      </c>
    </row>
    <row r="8" spans="1:25" x14ac:dyDescent="0.3">
      <c r="A8">
        <v>350</v>
      </c>
      <c r="B8" t="s">
        <v>77</v>
      </c>
      <c r="C8">
        <f>-579.899274956422 -2.42166539928007 -241.065535011978</f>
        <v>-823.38647536768008</v>
      </c>
      <c r="D8">
        <f>-595.444965372827 -15.1707779808939 -360.49575909362</f>
        <v>-971.11150244734097</v>
      </c>
      <c r="E8">
        <f>-598.05022135726 -25.6241948190902 -481.220677138738</f>
        <v>-1104.8950933150882</v>
      </c>
      <c r="F8">
        <f>-595.030891038945 -34.0806656662669 -590.373031606883</f>
        <v>-1219.484588312095</v>
      </c>
      <c r="G8">
        <f>-586.746001243859 -41.4935911390419 -699.328356300258</f>
        <v>-1327.5679486831589</v>
      </c>
      <c r="H8">
        <f>-569.753438046503 -50.6757987532533 -850.414284870112</f>
        <v>-1470.8435216698683</v>
      </c>
      <c r="I8">
        <f>-527.401323182879 -56.8637232885769 -942.885857874847</f>
        <v>-1527.1509043463029</v>
      </c>
      <c r="J8">
        <f>-574.859358017703 -14.9539025338602 -785.216111359087</f>
        <v>-1375.0293719106503</v>
      </c>
      <c r="K8" t="s">
        <v>78</v>
      </c>
      <c r="L8" t="s">
        <v>79</v>
      </c>
      <c r="M8" t="s">
        <v>80</v>
      </c>
      <c r="N8">
        <f>-579.684877057825 -78.2720435667618 -781.910595055552</f>
        <v>-1439.8675156801387</v>
      </c>
      <c r="O8">
        <f>-604.50779743473 -220.667648304481 -754.813232695261</f>
        <v>-1579.9886784344721</v>
      </c>
      <c r="P8">
        <f>-659.171777311022 -218.773159092582 -443.053004708412</f>
        <v>-1320.997941112016</v>
      </c>
      <c r="Q8">
        <f>-403.038673506763 -214.72880623408 -398.091602529531</f>
        <v>-1015.859082270374</v>
      </c>
      <c r="R8" t="s">
        <v>81</v>
      </c>
      <c r="S8" t="s">
        <v>82</v>
      </c>
      <c r="T8" t="s">
        <v>83</v>
      </c>
      <c r="U8" t="s">
        <v>84</v>
      </c>
      <c r="V8">
        <f>-590.959999638169 -100.329786051543 -228.993166866791</f>
        <v>-920.28295255650301</v>
      </c>
      <c r="W8" t="s">
        <v>85</v>
      </c>
      <c r="X8" t="s">
        <v>86</v>
      </c>
      <c r="Y8" t="s">
        <v>87</v>
      </c>
    </row>
    <row r="9" spans="1:25" x14ac:dyDescent="0.3">
      <c r="A9">
        <v>400</v>
      </c>
      <c r="B9" t="s">
        <v>88</v>
      </c>
      <c r="C9">
        <f>-579.447658638048 -2.51667947380383 -241.205575782833</f>
        <v>-823.16991389468478</v>
      </c>
      <c r="D9">
        <f>-594.94814594151 -15.2847700457708 -360.639726245313</f>
        <v>-970.87264223259376</v>
      </c>
      <c r="E9">
        <f>-597.493181298883 -25.7574962883987 -481.364200083521</f>
        <v>-1104.6148776708026</v>
      </c>
      <c r="F9">
        <f>-594.413445373297 -34.2313370655097 -590.513476169776</f>
        <v>-1219.1582586085829</v>
      </c>
      <c r="G9">
        <f>-586.062388060277 -41.6619762654027 -699.462494351401</f>
        <v>-1327.1868586770806</v>
      </c>
      <c r="H9">
        <f>-568.971797636418 -50.8691014473231 -850.535722935502</f>
        <v>-1470.3766220192433</v>
      </c>
      <c r="I9">
        <f>-526.449614255885 -56.9770342052841 -942.934551766484</f>
        <v>-1526.3612002276532</v>
      </c>
      <c r="J9">
        <f>-574.132639644259 -15.1355452340979 -785.348377436791</f>
        <v>-1374.6165623151478</v>
      </c>
      <c r="K9" t="s">
        <v>89</v>
      </c>
      <c r="L9" t="s">
        <v>90</v>
      </c>
      <c r="M9" t="s">
        <v>91</v>
      </c>
      <c r="N9">
        <f>-578.935117732721 -78.4550286711226 -782.032759347014</f>
        <v>-1439.4229057508576</v>
      </c>
      <c r="O9">
        <f>-603.85568591591 -220.825452284444 -754.900099468899</f>
        <v>-1579.5812376692531</v>
      </c>
      <c r="P9">
        <f>-658.639456428871 -218.528586105138 -443.163591421131</f>
        <v>-1320.33163395514</v>
      </c>
      <c r="Q9">
        <f>-402.528272915924 -215.495923761973 -397.998341204038</f>
        <v>-1016.022537881935</v>
      </c>
      <c r="R9" t="s">
        <v>92</v>
      </c>
      <c r="S9" t="s">
        <v>93</v>
      </c>
      <c r="T9" t="s">
        <v>94</v>
      </c>
      <c r="U9" t="s">
        <v>95</v>
      </c>
      <c r="V9">
        <f>-590.42550474786 -100.344880660987 -229.138360083642</f>
        <v>-919.90874549248906</v>
      </c>
      <c r="W9" t="s">
        <v>96</v>
      </c>
      <c r="X9" t="s">
        <v>97</v>
      </c>
      <c r="Y9" t="s">
        <v>98</v>
      </c>
    </row>
    <row r="10" spans="1:25" x14ac:dyDescent="0.3">
      <c r="A10">
        <v>450</v>
      </c>
      <c r="B10" t="s">
        <v>99</v>
      </c>
      <c r="C10">
        <f>-578.496235027848 -2.60720440649197 -241.391170134293</f>
        <v>-822.494609568633</v>
      </c>
      <c r="D10">
        <f>-593.920702502146 -15.4243675925197 -360.829955657379</f>
        <v>-970.1750257520448</v>
      </c>
      <c r="E10">
        <f>-596.281168266988 -25.9473827633442 -481.55378645525</f>
        <v>-1103.782337485582</v>
      </c>
      <c r="F10">
        <f>-592.991354526962 -34.4671114359242 -590.693399405539</f>
        <v>-1218.1518653684252</v>
      </c>
      <c r="G10">
        <f>-584.387273817959 -41.9436678852624 -699.619592620572</f>
        <v>-1325.9505343237934</v>
      </c>
      <c r="H10">
        <f>-566.90073994074 -51.214453280619 -850.643767422121</f>
        <v>-1468.7589606434799</v>
      </c>
      <c r="I10">
        <f>-523.695574933508 -57.0892095363499 -942.740309648692</f>
        <v>-1523.52509411855</v>
      </c>
      <c r="J10">
        <f>-572.251169491296 -15.4520503088038 -785.487400187849</f>
        <v>-1373.1906199879486</v>
      </c>
      <c r="K10" t="s">
        <v>100</v>
      </c>
      <c r="L10" t="s">
        <v>101</v>
      </c>
      <c r="M10" t="s">
        <v>102</v>
      </c>
      <c r="N10">
        <f>-577.024703427783 -78.7725696313203 -782.153097023631</f>
        <v>-1437.9503700827343</v>
      </c>
      <c r="O10">
        <f>-602.398748680301 -221.06981148182 -755.067590821812</f>
        <v>-1578.5361509839331</v>
      </c>
      <c r="P10">
        <f>-657.914416457994 -217.621591012381 -443.471191552503</f>
        <v>-1319.007199022878</v>
      </c>
      <c r="Q10">
        <f>-401.751296551733 -216.604809163141 -398.510603763492</f>
        <v>-1016.866709478366</v>
      </c>
      <c r="R10" t="s">
        <v>103</v>
      </c>
      <c r="S10" t="s">
        <v>104</v>
      </c>
      <c r="T10" t="s">
        <v>105</v>
      </c>
      <c r="U10" t="s">
        <v>106</v>
      </c>
      <c r="V10">
        <f>-589.262434194688 -100.305574459975 -229.3327477413</f>
        <v>-918.90075639596307</v>
      </c>
      <c r="W10" t="s">
        <v>107</v>
      </c>
      <c r="X10" t="s">
        <v>108</v>
      </c>
      <c r="Y10" t="s">
        <v>109</v>
      </c>
    </row>
    <row r="11" spans="1:25" x14ac:dyDescent="0.3">
      <c r="A11">
        <v>500</v>
      </c>
      <c r="B11" t="s">
        <v>110</v>
      </c>
      <c r="C11">
        <f>-577.984808487532 -2.63803385936558 -241.482574174675</f>
        <v>-822.10541652157258</v>
      </c>
      <c r="D11">
        <f>-593.456513767675 -15.4867896799831 -360.911851338655</f>
        <v>-969.85515478631305</v>
      </c>
      <c r="E11">
        <f>-595.769099623088 -26.0475597013435 -481.633378971067</f>
        <v>-1103.4500382954984</v>
      </c>
      <c r="F11">
        <f>-592.397268103723 -34.6041160644083 -590.767505729967</f>
        <v>-1217.7688898980982</v>
      </c>
      <c r="G11">
        <f>-583.672759107042 -42.1211799524419 -699.6814011247</f>
        <v>-1325.475340184184</v>
      </c>
      <c r="H11">
        <f>-565.9789413604 -51.4522933915659 -850.677502016686</f>
        <v>-1468.1087367686519</v>
      </c>
      <c r="I11">
        <f>-522.282278069971 -57.1943705015428 -942.550339446293</f>
        <v>-1522.0269880178068</v>
      </c>
      <c r="J11">
        <f>-571.407888498685 -15.6645535205926 -785.541613227319</f>
        <v>-1372.6140552465965</v>
      </c>
      <c r="K11" t="s">
        <v>111</v>
      </c>
      <c r="L11" t="s">
        <v>112</v>
      </c>
      <c r="M11" t="s">
        <v>113</v>
      </c>
      <c r="N11">
        <f>-576.207889199811 -78.9823994895676 -782.191300047504</f>
        <v>-1437.3815887368826</v>
      </c>
      <c r="O11">
        <f>-601.784712603498 -221.217121209269 -755.029247275522</f>
        <v>-1578.0310810882891</v>
      </c>
      <c r="P11">
        <f>-657.649093798388 -216.937848864209 -443.505462556437</f>
        <v>-1318.0924052190339</v>
      </c>
      <c r="Q11">
        <f>-401.424749188443 -217.147494193389 -398.883739975824</f>
        <v>-1017.455983357656</v>
      </c>
      <c r="R11" t="s">
        <v>114</v>
      </c>
      <c r="S11" t="s">
        <v>115</v>
      </c>
      <c r="T11" t="s">
        <v>116</v>
      </c>
      <c r="U11" t="s">
        <v>117</v>
      </c>
      <c r="V11">
        <f>-588.6493651272 -100.282694625615 -229.399019111107</f>
        <v>-918.33107886392202</v>
      </c>
      <c r="W11" t="s">
        <v>118</v>
      </c>
      <c r="X11" t="s">
        <v>119</v>
      </c>
      <c r="Y11" t="s">
        <v>120</v>
      </c>
    </row>
    <row r="12" spans="1:25" x14ac:dyDescent="0.3">
      <c r="A12">
        <v>550</v>
      </c>
      <c r="B12" t="s">
        <v>121</v>
      </c>
      <c r="C12">
        <f>-576.923964512134 -2.68902806553638 -241.564582289099</f>
        <v>-821.17757486676942</v>
      </c>
      <c r="D12">
        <f>-592.419133787377 -15.616809431305 -360.982068969326</f>
        <v>-969.01801218800802</v>
      </c>
      <c r="E12">
        <f>-594.609548673203 -26.3066324609897 -481.694696234563</f>
        <v>-1102.6108773687556</v>
      </c>
      <c r="F12">
        <f>-591.068101571672 -35.0015664098919 -590.81243360052</f>
        <v>-1216.8821015820838</v>
      </c>
      <c r="G12">
        <f>-582.114820379192 -42.6796368366101 -699.696548156948</f>
        <v>-1324.4910053727501</v>
      </c>
      <c r="H12">
        <f>-564.041630028092 -52.2592743235061 -850.632272066819</f>
        <v>-1466.9331764184171</v>
      </c>
      <c r="I12">
        <f>-519.240030147913 -57.7150526719315 -941.988918934476</f>
        <v>-1518.9440017543207</v>
      </c>
      <c r="J12">
        <f>-569.589266378499 -16.3677346121835 -785.563557957779</f>
        <v>-1371.5205589484617</v>
      </c>
      <c r="K12" t="s">
        <v>122</v>
      </c>
      <c r="L12" t="s">
        <v>123</v>
      </c>
      <c r="M12" t="s">
        <v>124</v>
      </c>
      <c r="N12">
        <f>-574.48769918224 -79.6735751385077 -782.132146816307</f>
        <v>-1436.2934211370548</v>
      </c>
      <c r="O12">
        <f>-600.663185407996 -221.793245321077 -754.900545675635</f>
        <v>-1577.3569764047079</v>
      </c>
      <c r="P12">
        <f>-657.126823990384 -216.708109670662 -443.497064572242</f>
        <v>-1317.331998233288</v>
      </c>
      <c r="Q12">
        <f>-400.587480341963 -218.522863899386 -400.761376807206</f>
        <v>-1019.8717210485549</v>
      </c>
      <c r="R12" t="s">
        <v>125</v>
      </c>
      <c r="S12" t="s">
        <v>126</v>
      </c>
      <c r="T12" t="s">
        <v>127</v>
      </c>
      <c r="U12" t="s">
        <v>128</v>
      </c>
      <c r="V12">
        <f>-587.319351262551 -100.237629264072 -229.463393145689</f>
        <v>-917.02037367231196</v>
      </c>
      <c r="W12" t="s">
        <v>129</v>
      </c>
      <c r="X12" t="s">
        <v>130</v>
      </c>
      <c r="Y12" t="s">
        <v>131</v>
      </c>
    </row>
    <row r="13" spans="1:25" x14ac:dyDescent="0.3">
      <c r="A13">
        <v>600</v>
      </c>
      <c r="B13" t="s">
        <v>132</v>
      </c>
      <c r="C13">
        <f>-576.397044560291 -2.69767351618771 -241.608074623365</f>
        <v>-820.70279269984371</v>
      </c>
      <c r="D13">
        <f>-591.946519010365 -15.6622692319133 -361.014701070239</f>
        <v>-968.62348931251745</v>
      </c>
      <c r="E13">
        <f>-594.114096126924 -26.4406469323258 -481.719611108635</f>
        <v>-1102.2743541678847</v>
      </c>
      <c r="F13">
        <f>-590.520337627412 -35.2375458400052 -590.827645769172</f>
        <v>-1216.5855292365891</v>
      </c>
      <c r="G13">
        <f>-581.483024327241 -43.0403374058624 -699.69576834693</f>
        <v>-1324.2191300800332</v>
      </c>
      <c r="H13">
        <f>-563.259892218199 -52.8178139209213 -850.600867891995</f>
        <v>-1466.6785740311152</v>
      </c>
      <c r="I13">
        <f>-517.952071792444 -58.1391646461755 -941.715428999574</f>
        <v>-1517.8066654381935</v>
      </c>
      <c r="J13">
        <f>-568.853279862293 -16.842208343221 -785.582457265437</f>
        <v>-1371.2779454709512</v>
      </c>
      <c r="K13" t="s">
        <v>133</v>
      </c>
      <c r="L13" t="s">
        <v>134</v>
      </c>
      <c r="M13" t="s">
        <v>135</v>
      </c>
      <c r="N13">
        <f>-573.792839010987 -80.140885685774 -782.0776970529</f>
        <v>-1436.0114217496612</v>
      </c>
      <c r="O13">
        <f>-600.180524355155 -222.190493745736 -754.736293172706</f>
        <v>-1577.1073112735971</v>
      </c>
      <c r="P13">
        <f>-656.933422498899 -216.431771345901 -443.397062230974</f>
        <v>-1316.7622560757738</v>
      </c>
      <c r="Q13">
        <f>-400.280145493288 -218.80154271318 -401.378662101785</f>
        <v>-1020.4603503082531</v>
      </c>
      <c r="R13" t="s">
        <v>136</v>
      </c>
      <c r="S13" t="s">
        <v>137</v>
      </c>
      <c r="T13" t="s">
        <v>138</v>
      </c>
      <c r="U13" t="s">
        <v>139</v>
      </c>
      <c r="V13">
        <f>-586.652688963354 -100.182989431598 -229.490098937014</f>
        <v>-916.32577733196604</v>
      </c>
      <c r="W13" t="s">
        <v>140</v>
      </c>
      <c r="X13" t="s">
        <v>141</v>
      </c>
      <c r="Y13" t="s">
        <v>142</v>
      </c>
    </row>
    <row r="14" spans="1:25" x14ac:dyDescent="0.3">
      <c r="A14">
        <v>650</v>
      </c>
      <c r="B14" t="s">
        <v>143</v>
      </c>
      <c r="C14">
        <f>-575.622115958924 -2.53248056548 -241.587258280787</f>
        <v>-819.741854805191</v>
      </c>
      <c r="D14">
        <f>-591.223658408775 -15.5660711868538 -360.979506901751</f>
        <v>-967.76923649737978</v>
      </c>
      <c r="E14">
        <f>-593.260409778941 -26.5208528524245 -481.670875435101</f>
        <v>-1101.4521380664664</v>
      </c>
      <c r="F14">
        <f>-589.473859174487 -35.5235183538507 -590.75569855673</f>
        <v>-1215.7530760850677</v>
      </c>
      <c r="G14">
        <f>-580.16907988751 -43.5803938795691 -699.582856910633</f>
        <v>-1323.332330677712</v>
      </c>
      <c r="H14">
        <f>-561.496572531709 -53.7630346363494 -850.406041715536</f>
        <v>-1465.6656488835945</v>
      </c>
      <c r="I14">
        <f>-515.387943522758 -58.6948560184749 -941.139990404043</f>
        <v>-1515.222789945276</v>
      </c>
      <c r="J14">
        <f>-567.239160535801 -17.6161366551207 -785.495829240125</f>
        <v>-1370.3511264310469</v>
      </c>
      <c r="K14" t="s">
        <v>144</v>
      </c>
      <c r="L14" t="s">
        <v>145</v>
      </c>
      <c r="M14" t="s">
        <v>146</v>
      </c>
      <c r="N14">
        <f>-572.277973233519 -80.8987917030463 -781.847117125922</f>
        <v>-1435.0238820624872</v>
      </c>
      <c r="O14">
        <f>-599.07700409825 -222.825505568543 -754.220898498524</f>
        <v>-1576.123408165317</v>
      </c>
      <c r="P14">
        <f>-656.05228823967 -216.069542411768 -442.942226902546</f>
        <v>-1315.064057553984</v>
      </c>
      <c r="Q14">
        <f>-399.148281506431 -220.261136082019 -402.632982321502</f>
        <v>-1022.042399909952</v>
      </c>
      <c r="R14" t="s">
        <v>147</v>
      </c>
      <c r="S14" t="s">
        <v>148</v>
      </c>
      <c r="T14" t="s">
        <v>149</v>
      </c>
      <c r="U14" t="s">
        <v>150</v>
      </c>
      <c r="V14">
        <f>-585.570931162443 -99.9990375404809 -229.435865791125</f>
        <v>-915.00583449404894</v>
      </c>
      <c r="W14" t="s">
        <v>151</v>
      </c>
      <c r="X14" t="s">
        <v>152</v>
      </c>
      <c r="Y14" t="s">
        <v>153</v>
      </c>
    </row>
    <row r="15" spans="1:25" x14ac:dyDescent="0.3">
      <c r="A15">
        <v>700</v>
      </c>
      <c r="B15" t="s">
        <v>154</v>
      </c>
      <c r="C15">
        <f>-575.312241701063 -2.40370755494655 -241.606727840622</f>
        <v>-819.32267709663165</v>
      </c>
      <c r="D15">
        <f>-590.935191592222 -15.454911429716 -360.994255200564</f>
        <v>-967.3843582225021</v>
      </c>
      <c r="E15">
        <f>-592.913020315839 -26.446069926988 -481.683373526056</f>
        <v>-1101.042463768883</v>
      </c>
      <c r="F15">
        <f>-589.040174009772 -35.4932894317753 -590.761327328416</f>
        <v>-1215.2947907699634</v>
      </c>
      <c r="G15">
        <f>-579.615789630121 -43.6083614930762 -699.573894550292</f>
        <v>-1322.7980456734892</v>
      </c>
      <c r="H15">
        <f>-560.742306374195 -53.8890052678123 -850.365543858317</f>
        <v>-1464.9968555003243</v>
      </c>
      <c r="I15">
        <f>-514.308928835086 -58.5819362813443 -940.94635137047</f>
        <v>-1513.8372164869002</v>
      </c>
      <c r="J15">
        <f>-566.521489911538 -17.7036721182972 -785.47991588794</f>
        <v>-1369.7050779177753</v>
      </c>
      <c r="K15" t="s">
        <v>155</v>
      </c>
      <c r="L15" t="s">
        <v>156</v>
      </c>
      <c r="M15" t="s">
        <v>157</v>
      </c>
      <c r="N15">
        <f>-571.665025153834 -80.9767704861156 -781.809817177791</f>
        <v>-1434.4516128177406</v>
      </c>
      <c r="O15">
        <f>-598.758598480521 -222.839735320048 -754.046328182128</f>
        <v>-1575.644661982697</v>
      </c>
      <c r="P15">
        <f>-655.251455427585 -216.939050159443 -442.662346384783</f>
        <v>-1314.8528519718111</v>
      </c>
      <c r="Q15">
        <f>-398.5257362894 -219.766750183816 -401.117547549016</f>
        <v>-1019.4100340222321</v>
      </c>
      <c r="R15" t="s">
        <v>158</v>
      </c>
      <c r="S15" t="s">
        <v>159</v>
      </c>
      <c r="T15" t="s">
        <v>160</v>
      </c>
      <c r="U15" t="s">
        <v>161</v>
      </c>
      <c r="V15">
        <f>-585.091170975528 -99.8463450699696 -229.452753016751</f>
        <v>-914.39026906224865</v>
      </c>
      <c r="W15" t="s">
        <v>162</v>
      </c>
      <c r="X15" t="s">
        <v>163</v>
      </c>
      <c r="Y15" t="s">
        <v>164</v>
      </c>
    </row>
    <row r="16" spans="1:25" x14ac:dyDescent="0.3">
      <c r="A16">
        <v>750</v>
      </c>
      <c r="B16" t="s">
        <v>165</v>
      </c>
      <c r="C16">
        <f>-575.002869956907 -2.06375786442686 -241.595291688027</f>
        <v>-818.66191950936093</v>
      </c>
      <c r="D16">
        <f>-590.617949622421 -15.1090890882524 -360.984581410266</f>
        <v>-966.71162012093941</v>
      </c>
      <c r="E16">
        <f>-592.455750778897 -26.1730535743047 -481.669117878179</f>
        <v>-1100.2979222313807</v>
      </c>
      <c r="F16">
        <f>-588.402913185964 -35.3189996992908 -590.732379351432</f>
        <v>-1214.4542922366868</v>
      </c>
      <c r="G16">
        <f>-578.745441744971 -43.5667197736771 -699.514420446188</f>
        <v>-1321.8265819648359</v>
      </c>
      <c r="H16">
        <f>-559.493012959725 -54.0679226785687 -850.242939461903</f>
        <v>-1463.8038751001968</v>
      </c>
      <c r="I16">
        <f>-512.519839947386 -58.3475009884869 -940.565573893254</f>
        <v>-1511.432914829127</v>
      </c>
      <c r="J16">
        <f>-565.414016446299 -17.7891701621531 -785.422324885896</f>
        <v>-1368.6255114943483</v>
      </c>
      <c r="K16" t="s">
        <v>166</v>
      </c>
      <c r="L16" t="s">
        <v>167</v>
      </c>
      <c r="M16" t="s">
        <v>168</v>
      </c>
      <c r="N16">
        <f>-570.60919671174 -81.0536916478238 -781.678177524018</f>
        <v>-1433.3410658835819</v>
      </c>
      <c r="O16">
        <f>-597.897553527177 -222.870430184557 -754.039378093018</f>
        <v>-1574.807361804752</v>
      </c>
      <c r="P16">
        <f>-655.3941758963 -218.955577489243 -442.808019874169</f>
        <v>-1317.157773259712</v>
      </c>
      <c r="Q16">
        <f>-398.639852299673 -216.801969525793 -401.399753915952</f>
        <v>-1016.841575741418</v>
      </c>
      <c r="R16" t="s">
        <v>169</v>
      </c>
      <c r="S16" t="s">
        <v>170</v>
      </c>
      <c r="T16" t="s">
        <v>171</v>
      </c>
      <c r="U16" t="s">
        <v>172</v>
      </c>
      <c r="V16">
        <f>-584.594115992494 -99.4257578273334 -229.470614319143</f>
        <v>-913.49048813897048</v>
      </c>
      <c r="W16" t="s">
        <v>173</v>
      </c>
      <c r="X16" t="s">
        <v>174</v>
      </c>
      <c r="Y16" t="s">
        <v>175</v>
      </c>
    </row>
    <row r="17" spans="1:25" x14ac:dyDescent="0.3">
      <c r="A17">
        <v>800</v>
      </c>
      <c r="B17" t="s">
        <v>176</v>
      </c>
      <c r="C17">
        <f>-574.929624325694 -1.77767464885233 -241.578810407317</f>
        <v>-818.2861093818633</v>
      </c>
      <c r="D17">
        <f>-590.567534240844 -14.8255735579241 -360.96479607802</f>
        <v>-966.35790387678821</v>
      </c>
      <c r="E17">
        <f>-592.346129631072 -25.8634537567636 -481.652649022901</f>
        <v>-1099.8622324107366</v>
      </c>
      <c r="F17">
        <f>-588.207155655698 -34.9708823976068 -590.715828633309</f>
        <v>-1213.8938666866138</v>
      </c>
      <c r="G17">
        <f>-578.431763800001 -43.1635773447936 -699.491604053036</f>
        <v>-1321.0869451978306</v>
      </c>
      <c r="H17">
        <f>-558.982767643252 -53.568750355849 -850.201600798262</f>
        <v>-1462.7531187973632</v>
      </c>
      <c r="I17">
        <f>-511.804752570543 -57.5520685564541 -940.430983680502</f>
        <v>-1509.787804807499</v>
      </c>
      <c r="J17">
        <f>-565.050131848401 -17.3269394920603 -785.373870558399</f>
        <v>-1367.7509418988602</v>
      </c>
      <c r="K17" t="s">
        <v>177</v>
      </c>
      <c r="L17" t="s">
        <v>178</v>
      </c>
      <c r="M17" t="s">
        <v>179</v>
      </c>
      <c r="N17">
        <f>-570.126580476422 -80.6028012578734 -781.66035280672</f>
        <v>-1432.3897345410153</v>
      </c>
      <c r="O17">
        <f>-597.149118152597 -222.489963468088 -754.011528471093</f>
        <v>-1573.6506100917782</v>
      </c>
      <c r="P17">
        <f>-654.254423686427 -218.245521870692 -442.712331034738</f>
        <v>-1315.2122765918571</v>
      </c>
      <c r="Q17">
        <f>-397.514713195985 -213.996041355948 -401.375612308196</f>
        <v>-1012.8863668601291</v>
      </c>
      <c r="R17" t="s">
        <v>180</v>
      </c>
      <c r="S17" t="s">
        <v>181</v>
      </c>
      <c r="T17" t="s">
        <v>182</v>
      </c>
      <c r="U17" t="s">
        <v>183</v>
      </c>
      <c r="V17">
        <f>-584.446479273196 -99.117926431237 -229.47626253867</f>
        <v>-913.04066824310303</v>
      </c>
      <c r="W17" t="s">
        <v>184</v>
      </c>
      <c r="X17" t="s">
        <v>185</v>
      </c>
      <c r="Y17" t="s">
        <v>186</v>
      </c>
    </row>
    <row r="18" spans="1:25" x14ac:dyDescent="0.3">
      <c r="A18">
        <v>850</v>
      </c>
      <c r="B18" t="s">
        <v>187</v>
      </c>
      <c r="C18">
        <f>-574.996157892692 -1.22895549430632 -241.576196714627</f>
        <v>-817.8013101016254</v>
      </c>
      <c r="D18">
        <f>-590.529001124805 -14.2394948779731 -360.979961269182</f>
        <v>-965.74845727196009</v>
      </c>
      <c r="E18">
        <f>-592.149060584635 -25.2630704478481 -481.671381617865</f>
        <v>-1099.083512650348</v>
      </c>
      <c r="F18">
        <f>-587.846821826347 -34.3599852548705 -590.729159922469</f>
        <v>-1212.9359670036865</v>
      </c>
      <c r="G18">
        <f>-577.889102997927 -42.5406271685779 -699.489241387495</f>
        <v>-1319.9189715539999</v>
      </c>
      <c r="H18">
        <f>-558.168013188278 -52.9245079610873 -850.165280332033</f>
        <v>-1461.2578014813985</v>
      </c>
      <c r="I18">
        <f>-510.711107884173 -56.4637331318402 -940.267043874643</f>
        <v>-1507.4418848906562</v>
      </c>
      <c r="J18">
        <f>-564.527290114581 -16.6796050122477 -785.36725648073</f>
        <v>-1366.5741516075586</v>
      </c>
      <c r="K18" t="s">
        <v>188</v>
      </c>
      <c r="L18" t="s">
        <v>189</v>
      </c>
      <c r="M18" t="s">
        <v>190</v>
      </c>
      <c r="N18">
        <f>-569.260662326793 -79.9803332783083 -781.624433297158</f>
        <v>-1430.8654289022593</v>
      </c>
      <c r="O18">
        <f>-595.367835898089 -221.94867017456 -753.603269842233</f>
        <v>-1570.9197759148819</v>
      </c>
      <c r="P18">
        <f>-653.050807888542 -215.803836463632 -442.442442375265</f>
        <v>-1311.2970867274389</v>
      </c>
      <c r="Q18">
        <f>-395.829513087665 -211.018969297103 -404.28007567333</f>
        <v>-1011.128558058098</v>
      </c>
      <c r="R18" t="s">
        <v>191</v>
      </c>
      <c r="S18" t="s">
        <v>192</v>
      </c>
      <c r="T18" t="s">
        <v>193</v>
      </c>
      <c r="U18" t="s">
        <v>194</v>
      </c>
      <c r="V18">
        <f>-584.306907153913 -98.6482457439115 -229.513315182339</f>
        <v>-912.46846808016357</v>
      </c>
      <c r="W18" t="s">
        <v>195</v>
      </c>
      <c r="X18" t="s">
        <v>196</v>
      </c>
      <c r="Y18" t="s">
        <v>197</v>
      </c>
    </row>
    <row r="19" spans="1:25" x14ac:dyDescent="0.3">
      <c r="A19">
        <v>900</v>
      </c>
      <c r="B19" t="s">
        <v>198</v>
      </c>
      <c r="C19">
        <f>-574.976323896053 -0.820975682846665 -241.569866269567</f>
        <v>-817.3671658484667</v>
      </c>
      <c r="D19">
        <f>-590.457542826293 -13.786253301118 -360.985214506968</f>
        <v>-965.22901063437894</v>
      </c>
      <c r="E19">
        <f>-591.968148371878 -24.7820849550867 -481.680648012198</f>
        <v>-1098.4308813391626</v>
      </c>
      <c r="F19">
        <f>-587.544167911803 -33.8590947175703 -590.735102243102</f>
        <v>-1212.1383648724754</v>
      </c>
      <c r="G19">
        <f>-577.442450203753 -42.0243025794607 -699.483242440506</f>
        <v>-1318.9499952237197</v>
      </c>
      <c r="H19">
        <f>-557.498539638764 -52.3905573678849 -850.130965417524</f>
        <v>-1460.0200624241729</v>
      </c>
      <c r="I19">
        <f>-509.903000318426 -55.7143762498488 -940.167690306076</f>
        <v>-1505.7850668743508</v>
      </c>
      <c r="J19">
        <f>-564.040794608469 -16.1475694391761 -785.350204254912</f>
        <v>-1365.538568302557</v>
      </c>
      <c r="K19" t="s">
        <v>199</v>
      </c>
      <c r="L19" t="s">
        <v>200</v>
      </c>
      <c r="M19" t="s">
        <v>201</v>
      </c>
      <c r="N19">
        <f>-568.60544208806 -79.4601898892352 -781.597835953469</f>
        <v>-1429.6634679307642</v>
      </c>
      <c r="O19">
        <f>-594.385879218721 -221.489155062631 -753.494851359141</f>
        <v>-1569.3698856404931</v>
      </c>
      <c r="P19">
        <f>-652.727289827162 -214.738400434019 -442.469126780628</f>
        <v>-1309.9348170418091</v>
      </c>
      <c r="Q19">
        <f>-395.293679779992 -211.371961144003 -405.609371680438</f>
        <v>-1012.275012604433</v>
      </c>
      <c r="R19" t="s">
        <v>202</v>
      </c>
      <c r="S19" t="s">
        <v>203</v>
      </c>
      <c r="T19" t="s">
        <v>204</v>
      </c>
      <c r="U19" t="s">
        <v>205</v>
      </c>
      <c r="V19">
        <f>-584.147073300233 -98.280711019572 -229.54962075282</f>
        <v>-911.97740507262506</v>
      </c>
      <c r="W19" t="s">
        <v>206</v>
      </c>
      <c r="X19" t="s">
        <v>207</v>
      </c>
      <c r="Y19" t="s">
        <v>208</v>
      </c>
    </row>
    <row r="20" spans="1:25" x14ac:dyDescent="0.3">
      <c r="A20">
        <v>950</v>
      </c>
      <c r="B20" t="s">
        <v>209</v>
      </c>
      <c r="C20">
        <f>-574.946550143113 -0.306373075206011 -241.574427817178</f>
        <v>-816.82735103549703</v>
      </c>
      <c r="D20">
        <f>-590.390152623882 -13.2234749665563 -360.999841774146</f>
        <v>-964.61346936458426</v>
      </c>
      <c r="E20">
        <f>-591.790810298785 -24.2079881061559 -481.697560722956</f>
        <v>-1097.6963591278968</v>
      </c>
      <c r="F20">
        <f>-587.238453300872 -33.2899175593416 -590.746483973849</f>
        <v>-1211.2748548340626</v>
      </c>
      <c r="G20">
        <f>-576.979620876828 -41.4758638955279 -699.478226174066</f>
        <v>-1317.9337109464218</v>
      </c>
      <c r="H20">
        <f>-556.787579571909 -51.8873718177983 -850.089896051486</f>
        <v>-1458.7648474411933</v>
      </c>
      <c r="I20">
        <f>-509.041653455013 -55.04448721366 -940.052862239087</f>
        <v>-1504.13900290776</v>
      </c>
      <c r="J20">
        <f>-563.501052249954 -15.6208577306713 -785.339647703991</f>
        <v>-1364.4615576846163</v>
      </c>
      <c r="K20" t="s">
        <v>210</v>
      </c>
      <c r="L20" t="s">
        <v>211</v>
      </c>
      <c r="M20" t="s">
        <v>212</v>
      </c>
      <c r="N20">
        <f>-567.942846536224 -78.9404971132142 -781.558045393554</f>
        <v>-1428.4413890429923</v>
      </c>
      <c r="O20">
        <f>-593.511861203672 -220.985710653375 -753.393996860023</f>
        <v>-1567.89156871707</v>
      </c>
      <c r="P20">
        <f>-653.184196937886 -214.401212472922 -442.617418155705</f>
        <v>-1310.202827566513</v>
      </c>
      <c r="Q20">
        <f>-395.530082982602 -212.19358509392 -407.240518014572</f>
        <v>-1014.964186091094</v>
      </c>
      <c r="R20" t="s">
        <v>213</v>
      </c>
      <c r="S20" t="s">
        <v>214</v>
      </c>
      <c r="T20" t="s">
        <v>215</v>
      </c>
      <c r="U20" t="s">
        <v>216</v>
      </c>
      <c r="V20">
        <f>-583.980470938807 -97.8608323781332 -229.605156930247</f>
        <v>-911.44646024718713</v>
      </c>
      <c r="W20" t="s">
        <v>217</v>
      </c>
      <c r="X20" t="s">
        <v>218</v>
      </c>
      <c r="Y20" t="s">
        <v>219</v>
      </c>
    </row>
    <row r="21" spans="1:25" x14ac:dyDescent="0.3">
      <c r="A21">
        <v>1000</v>
      </c>
      <c r="B21" t="s">
        <v>220</v>
      </c>
      <c r="C21" t="s">
        <v>221</v>
      </c>
      <c r="D21">
        <f>-590.238651301816 -11.8397147638343 -361.017901085013</f>
        <v>-963.09626715066338</v>
      </c>
      <c r="E21">
        <f>-591.39428991185 -22.7274179715519 -481.727033675732</f>
        <v>-1095.8487415591339</v>
      </c>
      <c r="F21">
        <f>-586.532500736821 -31.7302468493206 -590.769151287783</f>
        <v>-1209.0318988739245</v>
      </c>
      <c r="G21">
        <f>-575.877123714997 -39.8469994190129 -699.467932991285</f>
        <v>-1315.192056125295</v>
      </c>
      <c r="H21">
        <f>-555.04414058954 -50.1743080961421 -849.998123388728</f>
        <v>-1455.2165720744101</v>
      </c>
      <c r="I21">
        <f>-506.917653303216 -52.9476698164424 -939.770793840267</f>
        <v>-1499.6361169599254</v>
      </c>
      <c r="J21">
        <f>-562.128412141426 -13.9382637065796 -785.270462381382</f>
        <v>-1361.3371382293876</v>
      </c>
      <c r="K21" t="s">
        <v>222</v>
      </c>
      <c r="L21" t="s">
        <v>223</v>
      </c>
      <c r="M21" t="s">
        <v>224</v>
      </c>
      <c r="N21">
        <f>-566.395756919504 -77.2714851106025 -781.515883723621</f>
        <v>-1425.1831257537274</v>
      </c>
      <c r="O21">
        <f>-591.948342566938 -219.366194941694 -753.614745706955</f>
        <v>-1564.929283215587</v>
      </c>
      <c r="P21">
        <f>-653.766347472617 -214.751808789969 -443.222393396568</f>
        <v>-1311.7405496591541</v>
      </c>
      <c r="Q21">
        <f>-395.689510554968 -214.617529067407 -410.998333139916</f>
        <v>-1021.305372762291</v>
      </c>
      <c r="R21" t="s">
        <v>225</v>
      </c>
      <c r="S21" t="s">
        <v>226</v>
      </c>
      <c r="T21" t="s">
        <v>227</v>
      </c>
      <c r="U21" t="s">
        <v>228</v>
      </c>
      <c r="V21">
        <f>-583.52139722235 -96.6044672807818 -229.755967094018</f>
        <v>-909.88183159714981</v>
      </c>
      <c r="W21" t="s">
        <v>229</v>
      </c>
      <c r="X21" t="s">
        <v>230</v>
      </c>
      <c r="Y21" t="s">
        <v>231</v>
      </c>
    </row>
    <row r="22" spans="1:25" x14ac:dyDescent="0.3">
      <c r="A22">
        <v>1050</v>
      </c>
      <c r="B22" t="s">
        <v>232</v>
      </c>
      <c r="C22" t="s">
        <v>233</v>
      </c>
      <c r="D22">
        <f>-590.759281579497 -10.2667181906213 -360.873531267602</f>
        <v>-961.89953103772041</v>
      </c>
      <c r="E22">
        <f>-591.619298858868 -20.9253827674263 -481.605549264405</f>
        <v>-1094.1502308906993</v>
      </c>
      <c r="F22">
        <f>-586.377579489498 -29.686056012782 -590.649748769792</f>
        <v>-1206.7133842720721</v>
      </c>
      <c r="G22">
        <f>-575.231306908886 -37.5254195866387 -699.319672997151</f>
        <v>-1312.0763994926756</v>
      </c>
      <c r="H22">
        <f>-553.602451653686 -47.4298755800392 -849.766059109106</f>
        <v>-1450.7983863428312</v>
      </c>
      <c r="I22">
        <f>-504.942991620728 -49.737629282057 -939.263999657467</f>
        <v>-1493.9446205602521</v>
      </c>
      <c r="J22">
        <f>-561.174553084342 -11.3675149704552 -784.996463496891</f>
        <v>-1357.5385315516883</v>
      </c>
      <c r="K22" t="s">
        <v>234</v>
      </c>
      <c r="L22" t="s">
        <v>235</v>
      </c>
      <c r="M22" t="s">
        <v>236</v>
      </c>
      <c r="N22">
        <f>-565.17060373903 -74.7275764092074 -781.399648136395</f>
        <v>-1421.2978282846323</v>
      </c>
      <c r="O22">
        <f>-592.136033781004 -216.708351880755 -754.130150837656</f>
        <v>-1562.9745364994151</v>
      </c>
      <c r="P22">
        <f>-653.57756234867 -216.09290340294 -443.629383147631</f>
        <v>-1313.2998488992409</v>
      </c>
      <c r="Q22">
        <f>-395.670969596121 -217.324381774003 -410.092783113315</f>
        <v>-1023.088134483439</v>
      </c>
      <c r="R22" t="s">
        <v>237</v>
      </c>
      <c r="S22" t="s">
        <v>238</v>
      </c>
      <c r="T22" t="s">
        <v>239</v>
      </c>
      <c r="U22" t="s">
        <v>240</v>
      </c>
      <c r="V22">
        <f>-583.618954429334 -95.1839321589025 -229.824685124123</f>
        <v>-908.62757171235955</v>
      </c>
      <c r="W22" t="s">
        <v>241</v>
      </c>
      <c r="X22" t="s">
        <v>242</v>
      </c>
      <c r="Y22" t="s">
        <v>243</v>
      </c>
    </row>
    <row r="23" spans="1:25" x14ac:dyDescent="0.3">
      <c r="A23">
        <v>1100</v>
      </c>
      <c r="B23" t="s">
        <v>244</v>
      </c>
      <c r="C23" t="s">
        <v>245</v>
      </c>
      <c r="D23">
        <f>-591.137845573482 -9.49125744900084 -360.841480032477</f>
        <v>-961.47058305495989</v>
      </c>
      <c r="E23">
        <f>-591.837070567174 -20.0012547783367 -481.587510870814</f>
        <v>-1093.4258362163248</v>
      </c>
      <c r="F23">
        <f>-586.400804999161 -28.6017044861733 -590.634966661734</f>
        <v>-1205.6374761470684</v>
      </c>
      <c r="G23">
        <f>-575.011971415579 -36.2534470851435 -699.293144038181</f>
        <v>-1310.5585625389035</v>
      </c>
      <c r="H23">
        <f>-552.997095957786 -45.8664178042427 -849.702342762887</f>
        <v>-1448.5658565249157</v>
      </c>
      <c r="I23">
        <f>-504.065177942346 -47.9357434771027 -939.057643983904</f>
        <v>-1491.0585654033525</v>
      </c>
      <c r="J23">
        <f>-560.849413583162 -9.92346801929489 -784.899758548435</f>
        <v>-1355.6726401508918</v>
      </c>
      <c r="K23" t="s">
        <v>246</v>
      </c>
      <c r="L23" t="s">
        <v>247</v>
      </c>
      <c r="M23" t="s">
        <v>248</v>
      </c>
      <c r="N23">
        <f>-564.626596676398 -73.3024797000883 -781.402008577229</f>
        <v>-1419.3310849537152</v>
      </c>
      <c r="O23">
        <f>-591.835175832336 -215.277345004242 -754.427290781437</f>
        <v>-1561.5398116180149</v>
      </c>
      <c r="P23">
        <f>-653.458808636584 -217.144503674083 -443.967562146491</f>
        <v>-1314.570874457158</v>
      </c>
      <c r="Q23">
        <f>-395.527259233909 -216.63086634077 -410.604559217018</f>
        <v>-1022.762684791697</v>
      </c>
      <c r="R23" t="s">
        <v>249</v>
      </c>
      <c r="S23" t="s">
        <v>250</v>
      </c>
      <c r="T23" t="s">
        <v>251</v>
      </c>
      <c r="U23" t="s">
        <v>252</v>
      </c>
      <c r="V23">
        <f>-583.832623046013 -94.5770621133574 -229.935093857049</f>
        <v>-908.34477901641947</v>
      </c>
      <c r="W23" t="s">
        <v>253</v>
      </c>
      <c r="X23" t="s">
        <v>254</v>
      </c>
      <c r="Y23" t="s">
        <v>255</v>
      </c>
    </row>
    <row r="24" spans="1:25" x14ac:dyDescent="0.3">
      <c r="A24">
        <v>1150</v>
      </c>
      <c r="B24" t="s">
        <v>256</v>
      </c>
      <c r="C24" t="s">
        <v>257</v>
      </c>
      <c r="D24">
        <f>-591.860421823744 -8.13455207577817 -360.796447156362</f>
        <v>-960.79142105588414</v>
      </c>
      <c r="E24">
        <f>-592.097745538555 -18.399298014361 -481.565338184355</f>
        <v>-1092.0623817372712</v>
      </c>
      <c r="F24">
        <f>-586.166754314253 -26.7277913707253 -590.608129578868</f>
        <v>-1203.5026752638464</v>
      </c>
      <c r="G24">
        <f>-574.208593774823 -34.0550733113409 -699.227410537533</f>
        <v>-1307.491077623697</v>
      </c>
      <c r="H24">
        <f>-551.327128452623 -43.1588508180359 -849.538934437385</f>
        <v>-1444.0249137080441</v>
      </c>
      <c r="I24">
        <f>-501.807136157091 -44.684232435382 -938.58058008917</f>
        <v>-1485.0719486816429</v>
      </c>
      <c r="J24">
        <f>-559.8374062881 -7.42196421040353 -784.705518839385</f>
        <v>-1351.9648893378885</v>
      </c>
      <c r="K24" t="s">
        <v>258</v>
      </c>
      <c r="L24" t="s">
        <v>259</v>
      </c>
      <c r="M24" t="s">
        <v>260</v>
      </c>
      <c r="N24">
        <f>-563.065505939595 -70.8393428124743 -781.355897155102</f>
        <v>-1415.2607459071714</v>
      </c>
      <c r="O24">
        <f>-589.58446641889 -213.037458203973 -754.79728162781</f>
        <v>-1557.4192062506729</v>
      </c>
      <c r="P24">
        <f>-650.870601978341 -216.16144208002 -444.280910129501</f>
        <v>-1311.312954187862</v>
      </c>
      <c r="Q24">
        <f>-392.728762164968 -217.467945640249 -412.608585382887</f>
        <v>-1022.805293188104</v>
      </c>
      <c r="R24" t="s">
        <v>261</v>
      </c>
      <c r="S24" t="s">
        <v>262</v>
      </c>
      <c r="T24" t="s">
        <v>263</v>
      </c>
      <c r="U24" t="s">
        <v>264</v>
      </c>
      <c r="V24">
        <f>-584.486313324625 -93.7386897862111 -230.078908573084</f>
        <v>-908.30391168392021</v>
      </c>
      <c r="W24" t="s">
        <v>265</v>
      </c>
      <c r="X24" t="s">
        <v>266</v>
      </c>
      <c r="Y24" t="s">
        <v>267</v>
      </c>
    </row>
    <row r="25" spans="1:25" x14ac:dyDescent="0.3">
      <c r="A25">
        <v>1200</v>
      </c>
      <c r="B25" t="s">
        <v>268</v>
      </c>
      <c r="C25" t="s">
        <v>269</v>
      </c>
      <c r="D25">
        <f>-592.333556785707 -7.12015247751447 -360.66404786593</f>
        <v>-960.11775712915141</v>
      </c>
      <c r="E25">
        <f>-592.358856191049 -17.251593689107 -481.444579260391</f>
        <v>-1091.055029140547</v>
      </c>
      <c r="F25">
        <f>-586.218090063978 -25.4312986489654 -590.48684793384</f>
        <v>-1202.1362366467833</v>
      </c>
      <c r="G25">
        <f>-574.032749921157 -32.5812209577473 -699.092738807246</f>
        <v>-1305.7067096861501</v>
      </c>
      <c r="H25">
        <f>-550.818399521031 -41.4095679984937 -849.369713959992</f>
        <v>-1441.5976814795167</v>
      </c>
      <c r="I25">
        <f>-501.053159596148 -42.6159859616132 -938.279510032217</f>
        <v>-1481.9486555899782</v>
      </c>
      <c r="J25">
        <f>-559.603505721511 -5.78622399968458 -784.510483424869</f>
        <v>-1349.9002131460647</v>
      </c>
      <c r="K25" t="s">
        <v>270</v>
      </c>
      <c r="L25" t="s">
        <v>271</v>
      </c>
      <c r="M25" t="s">
        <v>272</v>
      </c>
      <c r="N25">
        <f>-562.57651548712 -69.2203456533769 -781.243163898519</f>
        <v>-1413.0400250390157</v>
      </c>
      <c r="O25">
        <f>-588.739113553044 -211.48020886032 -754.781753054898</f>
        <v>-1555.0010754682621</v>
      </c>
      <c r="P25">
        <f>-649.824406277557 -215.056502910566 -444.230690143092</f>
        <v>-1309.1115993312151</v>
      </c>
      <c r="Q25">
        <f>-391.585511938628 -216.175884187204 -413.352194004046</f>
        <v>-1021.113590129878</v>
      </c>
      <c r="R25" t="s">
        <v>273</v>
      </c>
      <c r="S25" t="s">
        <v>274</v>
      </c>
      <c r="T25" t="s">
        <v>275</v>
      </c>
      <c r="U25" t="s">
        <v>276</v>
      </c>
      <c r="V25">
        <f>-584.952851369615 -92.8072701092328 -229.933106862281</f>
        <v>-907.69322834112882</v>
      </c>
      <c r="W25" t="s">
        <v>277</v>
      </c>
      <c r="X25" t="s">
        <v>278</v>
      </c>
      <c r="Y25" t="s">
        <v>279</v>
      </c>
    </row>
    <row r="26" spans="1:25" x14ac:dyDescent="0.3">
      <c r="A26">
        <v>1250</v>
      </c>
      <c r="B26" t="s">
        <v>280</v>
      </c>
      <c r="C26" t="s">
        <v>281</v>
      </c>
      <c r="D26">
        <f>-593.567850971661 -4.57967932801444 -360.240274782383</f>
        <v>-958.38780508205832</v>
      </c>
      <c r="E26">
        <f>-593.211511537006 -14.5188057078465 -481.036148427375</f>
        <v>-1088.7664656722275</v>
      </c>
      <c r="F26">
        <f>-586.717412012935 -22.5035969242742 -590.072551661814</f>
        <v>-1199.2935605990233</v>
      </c>
      <c r="G26">
        <f>-574.171621292687 -29.4390670465386 -698.651310156013</f>
        <v>-1302.2619984952385</v>
      </c>
      <c r="H26">
        <f>-550.449725541369 -37.9491827275242 -848.867284669943</f>
        <v>-1437.2661929388364</v>
      </c>
      <c r="I26">
        <f>-500.284239327149 -38.5621471754525 -937.558014820598</f>
        <v>-1476.4044013231996</v>
      </c>
      <c r="J26">
        <f>-559.672199126232 -2.45550682913972 -783.997669906726</f>
        <v>-1346.1253758620978</v>
      </c>
      <c r="K26" t="s">
        <v>282</v>
      </c>
      <c r="L26" t="s">
        <v>283</v>
      </c>
      <c r="M26" t="s">
        <v>284</v>
      </c>
      <c r="N26">
        <f>-562.219671828477 -65.9119668942017 -780.805154043681</f>
        <v>-1408.9367927663598</v>
      </c>
      <c r="O26">
        <f>-587.552442845742 -208.326340924593 -754.441665253122</f>
        <v>-1550.3204490234571</v>
      </c>
      <c r="P26">
        <f>-649.599305814915 -214.396989857455 -444.120012242185</f>
        <v>-1308.1163079145549</v>
      </c>
      <c r="Q26">
        <f>-390.966534672323 -213.056182050902 -416.745940357038</f>
        <v>-1020.768657080263</v>
      </c>
      <c r="R26" t="s">
        <v>285</v>
      </c>
      <c r="S26" t="s">
        <v>286</v>
      </c>
      <c r="T26" t="s">
        <v>287</v>
      </c>
      <c r="U26" t="s">
        <v>288</v>
      </c>
      <c r="V26">
        <f>-586.226937830407 -90.4873165638867 -229.513128638373</f>
        <v>-906.22738303266669</v>
      </c>
      <c r="W26" t="s">
        <v>289</v>
      </c>
      <c r="X26" t="s">
        <v>290</v>
      </c>
      <c r="Y26" t="s">
        <v>291</v>
      </c>
    </row>
    <row r="27" spans="1:25" x14ac:dyDescent="0.3">
      <c r="A27">
        <v>1300</v>
      </c>
      <c r="B27" t="s">
        <v>292</v>
      </c>
      <c r="C27" t="s">
        <v>293</v>
      </c>
      <c r="D27">
        <f>-594.25384933789 -3.51046266761955 -360.060356309618</f>
        <v>-957.8246683151275</v>
      </c>
      <c r="E27">
        <f>-593.794149898419 -13.2893008067642 -480.869130569797</f>
        <v>-1087.9525812749803</v>
      </c>
      <c r="F27">
        <f>-587.183946118514 -21.0961796224065 -589.911368204425</f>
        <v>-1198.1914939453454</v>
      </c>
      <c r="G27">
        <f>-574.500233387538 -27.8207042227418 -698.487388840388</f>
        <v>-1300.8083264506677</v>
      </c>
      <c r="H27">
        <f>-550.564605044323 -36.0026597867743 -848.68768661745</f>
        <v>-1435.2549514485472</v>
      </c>
      <c r="I27">
        <f>-500.238764211088 -36.2191186501275 -937.289234640833</f>
        <v>-1473.7471175020485</v>
      </c>
      <c r="J27">
        <f>-559.998231046654 -0.647219400383619 -783.772986126105</f>
        <v>-1344.4184365731426</v>
      </c>
      <c r="K27" t="s">
        <v>294</v>
      </c>
      <c r="L27" t="s">
        <v>295</v>
      </c>
      <c r="M27" t="s">
        <v>296</v>
      </c>
      <c r="N27">
        <f>-562.312589938971 -64.1177368011236 -780.684307057616</f>
        <v>-1407.1146337977107</v>
      </c>
      <c r="O27">
        <f>-587.415554929614 -206.59843784609 -754.330527961687</f>
        <v>-1548.3445207373911</v>
      </c>
      <c r="P27">
        <f>-648.765290381136 -214.235823386823 -443.904939303446</f>
        <v>-1306.906053071405</v>
      </c>
      <c r="Q27">
        <f>-389.922236461393 -212.867002653217 -418.597529423873</f>
        <v>-1021.386768538483</v>
      </c>
      <c r="R27" t="s">
        <v>297</v>
      </c>
      <c r="S27" t="s">
        <v>298</v>
      </c>
      <c r="T27" t="s">
        <v>299</v>
      </c>
      <c r="U27" t="s">
        <v>300</v>
      </c>
      <c r="V27">
        <f>-586.649309852957 -89.654938641693 -229.449535558238</f>
        <v>-905.75378405288802</v>
      </c>
      <c r="W27" t="s">
        <v>301</v>
      </c>
      <c r="X27" t="s">
        <v>302</v>
      </c>
      <c r="Y27" t="s">
        <v>303</v>
      </c>
    </row>
    <row r="28" spans="1:25" x14ac:dyDescent="0.3">
      <c r="A28">
        <v>1350</v>
      </c>
      <c r="B28" t="s">
        <v>304</v>
      </c>
      <c r="C28" t="s">
        <v>305</v>
      </c>
      <c r="D28">
        <f>-595.955261480702 -1.41184916267866 -360.16344357321</f>
        <v>-957.53055421659064</v>
      </c>
      <c r="E28">
        <f>-595.457912751152 -10.7697184634292 -481.00531405469</f>
        <v>-1087.2329452692711</v>
      </c>
      <c r="F28">
        <f>-588.721970363021 -18.157176628712 -590.069026435935</f>
        <v>-1196.9481734276681</v>
      </c>
      <c r="G28">
        <f>-575.822165164348 -24.4227489996033 -698.647063095634</f>
        <v>-1298.8919772595855</v>
      </c>
      <c r="H28">
        <f>-551.493946770265 -31.924922307931 -848.819760056812</f>
        <v>-1432.2386291350081</v>
      </c>
      <c r="I28">
        <f>-500.92404364923 -31.4333939971884 -937.281197735969</f>
        <v>-1469.6386353823873</v>
      </c>
      <c r="J28" t="s">
        <v>306</v>
      </c>
      <c r="K28" t="s">
        <v>307</v>
      </c>
      <c r="L28" t="s">
        <v>308</v>
      </c>
      <c r="M28" t="s">
        <v>309</v>
      </c>
      <c r="N28">
        <f>-563.227689419694 -60.3524316432506 -780.944016812569</f>
        <v>-1404.5241378755136</v>
      </c>
      <c r="O28">
        <f>-587.964495071358 -202.972934713422 -755.091031976784</f>
        <v>-1546.0284617615639</v>
      </c>
      <c r="P28">
        <f>-648.570256772505 -214.875050410313 -444.653550323763</f>
        <v>-1308.098857506581</v>
      </c>
      <c r="Q28">
        <f>-389.737849414839 -211.533103675795 -419.421183182985</f>
        <v>-1020.6921362736189</v>
      </c>
      <c r="R28" t="s">
        <v>310</v>
      </c>
      <c r="S28" t="s">
        <v>311</v>
      </c>
      <c r="T28" t="s">
        <v>312</v>
      </c>
      <c r="U28" t="s">
        <v>313</v>
      </c>
      <c r="V28">
        <f>-587.942480936759 -87.6878822893898 -229.912320112861</f>
        <v>-905.54268333900984</v>
      </c>
      <c r="W28" t="s">
        <v>314</v>
      </c>
      <c r="X28" t="s">
        <v>315</v>
      </c>
      <c r="Y28" t="s">
        <v>316</v>
      </c>
    </row>
    <row r="29" spans="1:25" x14ac:dyDescent="0.3">
      <c r="A29">
        <v>1400</v>
      </c>
      <c r="B29" t="s">
        <v>317</v>
      </c>
      <c r="C29" t="s">
        <v>318</v>
      </c>
      <c r="D29">
        <f>-597.348234923365 -0.546904570674087 -360.275782261372</f>
        <v>-958.17092175541109</v>
      </c>
      <c r="E29">
        <f>-596.890009688223 -9.70665886555116 -481.132851486521</f>
        <v>-1087.7295200402953</v>
      </c>
      <c r="F29">
        <f>-590.074769122094 -16.9347817894104 -590.202247018016</f>
        <v>-1197.2117979295203</v>
      </c>
      <c r="G29">
        <f>-576.982440037143 -23.0587227357332 -698.765421337273</f>
        <v>-1298.8065841101493</v>
      </c>
      <c r="H29">
        <f>-552.270359209129 -30.3792649999236 -848.884489439562</f>
        <v>-1431.5341136486145</v>
      </c>
      <c r="I29">
        <f>-501.523380429977 -29.634646833292 -937.242587505114</f>
        <v>-1468.4006147683831</v>
      </c>
      <c r="J29" t="s">
        <v>319</v>
      </c>
      <c r="K29" t="s">
        <v>320</v>
      </c>
      <c r="L29" t="s">
        <v>321</v>
      </c>
      <c r="M29" t="s">
        <v>322</v>
      </c>
      <c r="N29">
        <f>-564.086681804225 -58.8907952859076 -781.058302307538</f>
        <v>-1404.0357793976707</v>
      </c>
      <c r="O29">
        <f>-588.446409516553 -201.648098268184 -755.600024572461</f>
        <v>-1545.6945323571981</v>
      </c>
      <c r="P29">
        <f>-650.602468405537 -215.175126372504 -445.535680387559</f>
        <v>-1311.3132751656001</v>
      </c>
      <c r="Q29">
        <f>-391.766470251715 -210.719921556731 -420.512910092397</f>
        <v>-1022.999301900843</v>
      </c>
      <c r="R29" t="s">
        <v>323</v>
      </c>
      <c r="S29" t="s">
        <v>324</v>
      </c>
      <c r="T29" t="s">
        <v>325</v>
      </c>
      <c r="U29" t="s">
        <v>326</v>
      </c>
      <c r="V29">
        <f>-588.968538247507 -87.0577022891246 -230.230598474619</f>
        <v>-906.25683901125058</v>
      </c>
      <c r="W29" t="s">
        <v>327</v>
      </c>
      <c r="X29" t="s">
        <v>328</v>
      </c>
      <c r="Y29" t="s">
        <v>329</v>
      </c>
    </row>
    <row r="30" spans="1:25" x14ac:dyDescent="0.3">
      <c r="A30">
        <v>1450</v>
      </c>
      <c r="B30" t="s">
        <v>330</v>
      </c>
      <c r="C30" t="s">
        <v>331</v>
      </c>
      <c r="D30" t="s">
        <v>332</v>
      </c>
      <c r="E30">
        <f>-601.113659566561 -7.98098923339012 -481.303645695303</f>
        <v>-1090.398294495254</v>
      </c>
      <c r="F30">
        <f>-593.964636353926 -14.7700912298342 -590.379904881578</f>
        <v>-1199.1146324653382</v>
      </c>
      <c r="G30">
        <f>-580.199185359118 -20.4860172090737 -698.881992076687</f>
        <v>-1299.5671946448788</v>
      </c>
      <c r="H30">
        <f>-554.20353319234 -27.2682459063551 -848.809436656158</f>
        <v>-1430.2812157548533</v>
      </c>
      <c r="I30">
        <f>-502.85369798442 -25.9990957532386 -936.812624554244</f>
        <v>-1465.6654182919028</v>
      </c>
      <c r="J30" t="s">
        <v>333</v>
      </c>
      <c r="K30" t="s">
        <v>334</v>
      </c>
      <c r="L30" t="s">
        <v>335</v>
      </c>
      <c r="M30" t="s">
        <v>336</v>
      </c>
      <c r="N30">
        <f>-566.500150043347 -56.0247541493429 -781.172348529948</f>
        <v>-1403.697252722638</v>
      </c>
      <c r="O30">
        <f>-590.533814361815 -198.9904425164 -756.570880158365</f>
        <v>-1546.0951370365799</v>
      </c>
      <c r="P30">
        <f>-656.088467488623 -213.533438174951 -447.253434946193</f>
        <v>-1316.8753406097671</v>
      </c>
      <c r="Q30">
        <f>-397.574894803127 -209.948341863248 -418.970008638232</f>
        <v>-1026.4932453046069</v>
      </c>
      <c r="R30" t="s">
        <v>337</v>
      </c>
      <c r="S30" t="s">
        <v>338</v>
      </c>
      <c r="T30" t="s">
        <v>339</v>
      </c>
      <c r="U30" t="s">
        <v>340</v>
      </c>
      <c r="V30">
        <f>-592.370605320355 -86.9870352631619 -230.932427266696</f>
        <v>-910.29006785021295</v>
      </c>
      <c r="W30" t="s">
        <v>341</v>
      </c>
      <c r="X30" t="s">
        <v>342</v>
      </c>
      <c r="Y30" t="s">
        <v>343</v>
      </c>
    </row>
    <row r="31" spans="1:25" x14ac:dyDescent="0.3">
      <c r="A31">
        <v>1500</v>
      </c>
      <c r="B31" t="s">
        <v>344</v>
      </c>
      <c r="C31" t="s">
        <v>345</v>
      </c>
      <c r="D31" t="s">
        <v>346</v>
      </c>
      <c r="E31">
        <f>-604.687348009254 -8.20284100341951 -481.592804192712</f>
        <v>-1094.4829932053856</v>
      </c>
      <c r="F31">
        <f>-597.401168289901 -14.7955542845848 -590.672052466334</f>
        <v>-1202.8687750408199</v>
      </c>
      <c r="G31">
        <f>-583.284535011418 -20.3722880659932 -699.136293481642</f>
        <v>-1302.7931165590533</v>
      </c>
      <c r="H31">
        <f>-556.580603771867 -27.0206470637197 -848.945137751018</f>
        <v>-1432.5463885866047</v>
      </c>
      <c r="I31">
        <f>-504.83552530207 -25.67601311003 -936.715340495758</f>
        <v>-1467.226878907858</v>
      </c>
      <c r="J31" t="s">
        <v>347</v>
      </c>
      <c r="K31" t="s">
        <v>348</v>
      </c>
      <c r="L31" t="s">
        <v>349</v>
      </c>
      <c r="M31" t="s">
        <v>350</v>
      </c>
      <c r="N31">
        <f>-569.253191836104 -55.8364025392825 -781.402695859384</f>
        <v>-1406.4922902347705</v>
      </c>
      <c r="O31">
        <f>-593.621536197858 -198.768999853421 -757.071357428853</f>
        <v>-1549.4618934801319</v>
      </c>
      <c r="P31">
        <f>-660.913036078925 -213.097736623827 -448.117045669525</f>
        <v>-1322.127818372277</v>
      </c>
      <c r="Q31">
        <f>-402.594174570182 -210.960935003424 -417.969738523028</f>
        <v>-1031.5248480966341</v>
      </c>
      <c r="R31" t="s">
        <v>351</v>
      </c>
      <c r="S31" t="s">
        <v>352</v>
      </c>
      <c r="T31" t="s">
        <v>353</v>
      </c>
      <c r="U31" t="s">
        <v>354</v>
      </c>
      <c r="V31">
        <f>-595.787836742804 -88.972937526371 -231.692384199107</f>
        <v>-916.45315846828191</v>
      </c>
      <c r="W31" t="s">
        <v>355</v>
      </c>
      <c r="X31" t="s">
        <v>356</v>
      </c>
      <c r="Y31" t="s">
        <v>357</v>
      </c>
    </row>
    <row r="32" spans="1:25" x14ac:dyDescent="0.3">
      <c r="A32">
        <v>1550</v>
      </c>
      <c r="B32" t="s">
        <v>358</v>
      </c>
      <c r="C32" t="s">
        <v>359</v>
      </c>
      <c r="D32" t="s">
        <v>360</v>
      </c>
      <c r="E32">
        <f>-611.83250900634 -6.83011611584743 -481.333027129405</f>
        <v>-1099.9956522515924</v>
      </c>
      <c r="F32">
        <f>-604.334837907061 -13.0831176931672 -590.417939692868</f>
        <v>-1207.8358952930962</v>
      </c>
      <c r="G32">
        <f>-589.603395711672 -18.5398488068695 -698.806404634769</f>
        <v>-1306.9496491533105</v>
      </c>
      <c r="H32">
        <f>-561.630421357938 -25.2515535002306 -848.380694776459</f>
        <v>-1435.2626696346274</v>
      </c>
      <c r="I32">
        <f>-509.029987535039 -24.388371115569 -935.647074551241</f>
        <v>-1469.0654332018489</v>
      </c>
      <c r="J32" t="s">
        <v>361</v>
      </c>
      <c r="K32" t="s">
        <v>362</v>
      </c>
      <c r="L32" t="s">
        <v>363</v>
      </c>
      <c r="M32" t="s">
        <v>364</v>
      </c>
      <c r="N32">
        <f>-575.23277148639 -54.0295767774319 -781.003275305156</f>
        <v>-1410.2656235689778</v>
      </c>
      <c r="O32">
        <f>-601.181873203077 -196.806408193146 -757.201475295223</f>
        <v>-1555.1897566914458</v>
      </c>
      <c r="P32">
        <f>-671.048078989236 -211.373518451025 -448.830460589935</f>
        <v>-1331.2520580301962</v>
      </c>
      <c r="Q32">
        <f>-413.369413295012 -212.255992634743 -413.574716369335</f>
        <v>-1039.20012229909</v>
      </c>
      <c r="R32" t="s">
        <v>365</v>
      </c>
      <c r="S32" t="s">
        <v>366</v>
      </c>
      <c r="T32" t="s">
        <v>367</v>
      </c>
      <c r="U32" t="s">
        <v>368</v>
      </c>
      <c r="V32">
        <f>-602.253181020671 -89.6833252922481 -231.832714664461</f>
        <v>-923.7692209773802</v>
      </c>
      <c r="W32" t="s">
        <v>369</v>
      </c>
      <c r="X32" t="s">
        <v>370</v>
      </c>
      <c r="Y32" t="s">
        <v>371</v>
      </c>
    </row>
    <row r="33" spans="1:25" x14ac:dyDescent="0.3">
      <c r="A33">
        <v>1600</v>
      </c>
      <c r="B33" t="s">
        <v>372</v>
      </c>
      <c r="C33" t="s">
        <v>373</v>
      </c>
      <c r="D33" t="s">
        <v>374</v>
      </c>
      <c r="E33">
        <f>-612.538486779191 -2.87078391823911 -481.381922309147</f>
        <v>-1096.791193006577</v>
      </c>
      <c r="F33">
        <f>-604.939884367277 -8.98193964071811 -590.467959737336</f>
        <v>-1204.389783745331</v>
      </c>
      <c r="G33">
        <f>-589.965239758131 -14.4491818068416 -698.82263585761</f>
        <v>-1303.2370574225824</v>
      </c>
      <c r="H33">
        <f>-561.508229108497 -21.3350322969973 -848.297670202395</f>
        <v>-1431.1409316078893</v>
      </c>
      <c r="I33">
        <f>-508.609140958272 -21.1518105665416 -935.387443643466</f>
        <v>-1465.1483951682796</v>
      </c>
      <c r="J33" t="s">
        <v>375</v>
      </c>
      <c r="K33" t="s">
        <v>376</v>
      </c>
      <c r="L33" t="s">
        <v>377</v>
      </c>
      <c r="M33" t="s">
        <v>378</v>
      </c>
      <c r="N33">
        <f>-575.62569600715 -50.0239040853953 -780.988121752969</f>
        <v>-1406.6377218455145</v>
      </c>
      <c r="O33">
        <f>-602.755413853678 -192.622501595345 -757.578275040375</f>
        <v>-1552.9561904893981</v>
      </c>
      <c r="P33">
        <f>-673.766623949984 -207.718704624275 -449.494364890846</f>
        <v>-1330.9796934651049</v>
      </c>
      <c r="Q33">
        <f>-416.315826035382 -210.193644202993 -412.683578586808</f>
        <v>-1039.193048825183</v>
      </c>
      <c r="R33" t="s">
        <v>379</v>
      </c>
      <c r="S33" t="s">
        <v>380</v>
      </c>
      <c r="T33" t="s">
        <v>381</v>
      </c>
      <c r="U33" t="s">
        <v>382</v>
      </c>
      <c r="V33">
        <f>-601.458531386649 -85.1741834286909 -232.475839972948</f>
        <v>-919.10855478828785</v>
      </c>
      <c r="W33" t="s">
        <v>383</v>
      </c>
      <c r="X33" t="s">
        <v>384</v>
      </c>
      <c r="Y33" t="s">
        <v>385</v>
      </c>
    </row>
    <row r="34" spans="1:25" x14ac:dyDescent="0.3">
      <c r="A34">
        <v>1650</v>
      </c>
      <c r="B34" t="s">
        <v>386</v>
      </c>
      <c r="C34" t="s">
        <v>387</v>
      </c>
      <c r="D34" t="s">
        <v>388</v>
      </c>
      <c r="E34" t="s">
        <v>389</v>
      </c>
      <c r="F34">
        <f>-605.706353099567 -2.27784621054025 -590.665563163622</f>
        <v>-1198.6497624737292</v>
      </c>
      <c r="G34">
        <f>-590.794970445586 -7.68755531581769 -699.031895741534</f>
        <v>-1297.5144215029377</v>
      </c>
      <c r="H34">
        <f>-562.322342612396 -14.6507539055776 -848.500455943027</f>
        <v>-1425.4735524610005</v>
      </c>
      <c r="I34">
        <f>-509.594665873227 -16.5285052452402 -935.674068735589</f>
        <v>-1461.7972398540562</v>
      </c>
      <c r="J34" t="s">
        <v>390</v>
      </c>
      <c r="K34" t="s">
        <v>391</v>
      </c>
      <c r="L34" t="s">
        <v>392</v>
      </c>
      <c r="M34" t="s">
        <v>393</v>
      </c>
      <c r="N34">
        <f>-577.193581083743 -43.2651468305319 -781.321557112095</f>
        <v>-1401.7802850263697</v>
      </c>
      <c r="O34">
        <f>-607.210832907311 -185.432628748067 -758.71839135809</f>
        <v>-1551.3618530134681</v>
      </c>
      <c r="P34">
        <f>-678.678610728208 -200.32630057771 -450.730135985866</f>
        <v>-1329.735047291784</v>
      </c>
      <c r="Q34">
        <f>-421.666851488978 -207.74911533112 -411.59031259589</f>
        <v>-1041.006279415988</v>
      </c>
      <c r="R34" t="s">
        <v>394</v>
      </c>
      <c r="S34" t="s">
        <v>395</v>
      </c>
      <c r="T34" t="s">
        <v>396</v>
      </c>
      <c r="U34" t="s">
        <v>397</v>
      </c>
      <c r="V34">
        <f>-601.734202179782 -77.6325855943305 -232.64200607039</f>
        <v>-912.00879384450252</v>
      </c>
      <c r="W34" t="s">
        <v>398</v>
      </c>
      <c r="X34" t="s">
        <v>399</v>
      </c>
      <c r="Y34" t="s">
        <v>400</v>
      </c>
    </row>
    <row r="35" spans="1:25" x14ac:dyDescent="0.3">
      <c r="A35">
        <v>1700</v>
      </c>
      <c r="B35" t="s">
        <v>401</v>
      </c>
      <c r="C35" t="s">
        <v>402</v>
      </c>
      <c r="D35" t="s">
        <v>403</v>
      </c>
      <c r="E35" t="s">
        <v>404</v>
      </c>
      <c r="F35">
        <f>-606.97363964551 -0.718751948973022 -590.770404634366</f>
        <v>-1198.4627962288491</v>
      </c>
      <c r="G35">
        <f>-592.501519521605 -5.93272350272241 -699.205706610754</f>
        <v>-1297.6399496350814</v>
      </c>
      <c r="H35">
        <f>-564.72852813871 -12.6216980755999 -848.818282048407</f>
        <v>-1426.1685082627168</v>
      </c>
      <c r="I35">
        <f>-512.55610504097 -15.7960124519386 -936.288079793022</f>
        <v>-1464.6401972859308</v>
      </c>
      <c r="J35" t="s">
        <v>405</v>
      </c>
      <c r="K35" t="s">
        <v>406</v>
      </c>
      <c r="L35" t="s">
        <v>407</v>
      </c>
      <c r="M35" t="s">
        <v>408</v>
      </c>
      <c r="N35">
        <f>-579.716996670857 -41.3279221550733 -781.70488762907</f>
        <v>-1402.7498064550005</v>
      </c>
      <c r="O35">
        <f>-611.438176627232 -183.231282273216 -759.575108813101</f>
        <v>-1554.244567713549</v>
      </c>
      <c r="P35">
        <f>-681.892583468063 -197.059387353757 -451.303725100534</f>
        <v>-1330.2556959223539</v>
      </c>
      <c r="Q35">
        <f>-425.100896527276 -207.343955457319 -411.374889239437</f>
        <v>-1043.819741224032</v>
      </c>
      <c r="R35" t="s">
        <v>409</v>
      </c>
      <c r="S35" t="s">
        <v>410</v>
      </c>
      <c r="T35" t="s">
        <v>411</v>
      </c>
      <c r="U35" t="s">
        <v>412</v>
      </c>
      <c r="V35">
        <f>-603.123876945378 -76.4181907344337 -232.517345654252</f>
        <v>-912.05941333406372</v>
      </c>
      <c r="W35" t="s">
        <v>413</v>
      </c>
      <c r="X35" t="s">
        <v>414</v>
      </c>
      <c r="Y35" t="s">
        <v>415</v>
      </c>
    </row>
    <row r="36" spans="1:25" x14ac:dyDescent="0.3">
      <c r="A36">
        <v>1750</v>
      </c>
      <c r="B36" t="s">
        <v>416</v>
      </c>
      <c r="C36" t="s">
        <v>417</v>
      </c>
      <c r="D36" t="s">
        <v>418</v>
      </c>
      <c r="E36" t="s">
        <v>419</v>
      </c>
      <c r="F36" t="s">
        <v>420</v>
      </c>
      <c r="G36">
        <f>-596.570164949479 -3.52304393739291 -699.458239655837</f>
        <v>-1299.5514485427088</v>
      </c>
      <c r="H36">
        <f>-570.944785463597 -8.96304089424871 -849.504113022735</f>
        <v>-1429.4119393805809</v>
      </c>
      <c r="I36">
        <f>-520.781917383802 -15.0427090428536 -937.989699235439</f>
        <v>-1473.8143256620947</v>
      </c>
      <c r="J36" t="s">
        <v>421</v>
      </c>
      <c r="K36" t="s">
        <v>422</v>
      </c>
      <c r="L36" t="s">
        <v>423</v>
      </c>
      <c r="M36" t="s">
        <v>424</v>
      </c>
      <c r="N36">
        <f>-585.865171229931 -38.1429125631757 -782.580079184885</f>
        <v>-1406.5881629779917</v>
      </c>
      <c r="O36">
        <f>-621.107881882436 -179.422878712906 -761.829779029089</f>
        <v>-1562.3605396244311</v>
      </c>
      <c r="P36">
        <f>-688.119213745555 -189.929326714104 -452.66101870183</f>
        <v>-1330.7095591614891</v>
      </c>
      <c r="Q36">
        <f>-431.92333079425 -206.788423688207 -411.170340307532</f>
        <v>-1049.882094789989</v>
      </c>
      <c r="R36" t="s">
        <v>425</v>
      </c>
      <c r="S36" t="s">
        <v>426</v>
      </c>
      <c r="T36" t="s">
        <v>427</v>
      </c>
      <c r="U36" t="s">
        <v>428</v>
      </c>
      <c r="V36">
        <f>-606.589353239034 -76.3091689530929 -232.671806405331</f>
        <v>-915.570328597458</v>
      </c>
      <c r="W36" t="s">
        <v>429</v>
      </c>
      <c r="X36" t="s">
        <v>430</v>
      </c>
      <c r="Y36" t="s">
        <v>431</v>
      </c>
    </row>
    <row r="37" spans="1:25" x14ac:dyDescent="0.3">
      <c r="A37">
        <v>1800</v>
      </c>
      <c r="B37" t="s">
        <v>432</v>
      </c>
      <c r="C37" t="s">
        <v>433</v>
      </c>
      <c r="D37" t="s">
        <v>434</v>
      </c>
      <c r="E37" t="s">
        <v>435</v>
      </c>
      <c r="F37" t="s">
        <v>436</v>
      </c>
      <c r="G37">
        <f>-598.957730793478 -2.41479971774788 -699.540053765093</f>
        <v>-1300.912584276319</v>
      </c>
      <c r="H37">
        <f>-574.609668580072 -7.09419205270387 -849.824018203183</f>
        <v>-1431.5278788359587</v>
      </c>
      <c r="I37">
        <f>-525.931161046074 -14.6114911720617 -939.025493832529</f>
        <v>-1479.5681460506648</v>
      </c>
      <c r="J37" t="s">
        <v>437</v>
      </c>
      <c r="K37" t="s">
        <v>438</v>
      </c>
      <c r="L37" t="s">
        <v>439</v>
      </c>
      <c r="M37" t="s">
        <v>440</v>
      </c>
      <c r="N37">
        <f>-589.398344829428 -36.5612941822537 -782.996541431925</f>
        <v>-1408.9561804436066</v>
      </c>
      <c r="O37">
        <f>-626.411357899573 -177.482500870387 -763.010166042185</f>
        <v>-1566.9040248121451</v>
      </c>
      <c r="P37">
        <f>-691.314806180168 -187.025748244433 -453.360901723176</f>
        <v>-1331.701456147777</v>
      </c>
      <c r="Q37">
        <f>-435.420708331407 -206.361514892585 -411.09496504014</f>
        <v>-1052.877188264132</v>
      </c>
      <c r="R37" t="s">
        <v>441</v>
      </c>
      <c r="S37" t="s">
        <v>442</v>
      </c>
      <c r="T37" t="s">
        <v>443</v>
      </c>
      <c r="U37" t="s">
        <v>444</v>
      </c>
      <c r="V37">
        <f>-608.501182159206 -76.6631712168648 -232.474423592467</f>
        <v>-917.63877696853785</v>
      </c>
      <c r="W37" t="s">
        <v>445</v>
      </c>
      <c r="X37" t="s">
        <v>446</v>
      </c>
      <c r="Y37" t="s">
        <v>447</v>
      </c>
    </row>
    <row r="38" spans="1:25" x14ac:dyDescent="0.3">
      <c r="A38">
        <v>1850</v>
      </c>
      <c r="B38" t="s">
        <v>448</v>
      </c>
      <c r="C38" t="s">
        <v>449</v>
      </c>
      <c r="D38" t="s">
        <v>450</v>
      </c>
      <c r="E38" t="s">
        <v>451</v>
      </c>
      <c r="F38" t="s">
        <v>452</v>
      </c>
      <c r="G38" t="s">
        <v>453</v>
      </c>
      <c r="H38">
        <f>-581.971358481437 -3.47081989345884 -850.355457242911</f>
        <v>-1435.7976356178069</v>
      </c>
      <c r="I38">
        <f>-537.036597019135 -13.806474910303 -941.22375420735</f>
        <v>-1492.066826136788</v>
      </c>
      <c r="J38" t="s">
        <v>454</v>
      </c>
      <c r="K38" t="s">
        <v>455</v>
      </c>
      <c r="L38" t="s">
        <v>456</v>
      </c>
      <c r="M38" t="s">
        <v>457</v>
      </c>
      <c r="N38">
        <f>-596.353791479504 -33.3508636622828 -783.622875402459</f>
        <v>-1413.3275305442457</v>
      </c>
      <c r="O38">
        <f>-636.963772315525 -173.417920411589 -764.684321782604</f>
        <v>-1575.0660145097181</v>
      </c>
      <c r="P38">
        <f>-697.43812962784 -183.1764563718 -454.146269719954</f>
        <v>-1334.760855719594</v>
      </c>
      <c r="Q38">
        <f>-441.438020986397 -205.674198140345 -414.148081897491</f>
        <v>-1061.2603010242331</v>
      </c>
      <c r="R38" t="s">
        <v>458</v>
      </c>
      <c r="S38" t="s">
        <v>459</v>
      </c>
      <c r="T38" t="s">
        <v>460</v>
      </c>
      <c r="U38" t="s">
        <v>461</v>
      </c>
      <c r="V38">
        <f>-613.493781204821 -75.6806953673008 -231.654584732798</f>
        <v>-920.82906130491983</v>
      </c>
      <c r="W38" t="s">
        <v>462</v>
      </c>
      <c r="X38" t="s">
        <v>463</v>
      </c>
      <c r="Y38" t="s">
        <v>464</v>
      </c>
    </row>
    <row r="39" spans="1:25" x14ac:dyDescent="0.3">
      <c r="A39">
        <v>1900</v>
      </c>
      <c r="B39" t="s">
        <v>465</v>
      </c>
      <c r="C39" t="s">
        <v>466</v>
      </c>
      <c r="D39" t="s">
        <v>467</v>
      </c>
      <c r="E39" t="s">
        <v>468</v>
      </c>
      <c r="F39" t="s">
        <v>469</v>
      </c>
      <c r="G39" t="s">
        <v>470</v>
      </c>
      <c r="H39">
        <f>-585.423369466072 -1.57651951902699 -850.557697618676</f>
        <v>-1437.557586603775</v>
      </c>
      <c r="I39">
        <f>-542.606920761234 -13.3329215585416 -942.272015493444</f>
        <v>-1498.2118578132195</v>
      </c>
      <c r="J39" t="s">
        <v>471</v>
      </c>
      <c r="K39" t="s">
        <v>472</v>
      </c>
      <c r="L39" t="s">
        <v>473</v>
      </c>
      <c r="M39" t="s">
        <v>474</v>
      </c>
      <c r="N39">
        <f>-599.650569134245 -31.5723846046992 -783.843718293477</f>
        <v>-1415.0666720324211</v>
      </c>
      <c r="O39">
        <f>-642.115674112942 -171.123538730111 -765.160344155675</f>
        <v>-1578.399556998728</v>
      </c>
      <c r="P39">
        <f>-699.775554896082 -181.375777763312 -454.103421216416</f>
        <v>-1335.2547538758099</v>
      </c>
      <c r="Q39">
        <f>-443.909310237592 -205.340695147003 -414.101026666091</f>
        <v>-1063.3510320506862</v>
      </c>
      <c r="R39" t="s">
        <v>475</v>
      </c>
      <c r="S39" t="s">
        <v>476</v>
      </c>
      <c r="T39" t="s">
        <v>477</v>
      </c>
      <c r="U39" t="s">
        <v>478</v>
      </c>
      <c r="V39">
        <f>-616.914056634018 -73.8811781669147 -230.940788733653</f>
        <v>-921.73602353458568</v>
      </c>
      <c r="W39" t="s">
        <v>479</v>
      </c>
      <c r="X39" t="s">
        <v>480</v>
      </c>
      <c r="Y39" t="s">
        <v>481</v>
      </c>
    </row>
    <row r="40" spans="1:25" x14ac:dyDescent="0.3">
      <c r="A40">
        <v>1950</v>
      </c>
      <c r="B40" t="s">
        <v>482</v>
      </c>
      <c r="C40" t="s">
        <v>483</v>
      </c>
      <c r="D40" t="s">
        <v>484</v>
      </c>
      <c r="E40" t="s">
        <v>485</v>
      </c>
      <c r="F40" t="s">
        <v>486</v>
      </c>
      <c r="G40" t="s">
        <v>487</v>
      </c>
      <c r="H40" t="s">
        <v>488</v>
      </c>
      <c r="I40">
        <f>-555.723999036451 -12.8134059640545 -944.010343010375</f>
        <v>-1512.5477480108805</v>
      </c>
      <c r="J40" t="s">
        <v>489</v>
      </c>
      <c r="K40" t="s">
        <v>490</v>
      </c>
      <c r="L40" t="s">
        <v>491</v>
      </c>
      <c r="M40" t="s">
        <v>492</v>
      </c>
      <c r="N40">
        <f>-608.081419342304 -27.7590903746143 -783.883644387429</f>
        <v>-1419.7241541043472</v>
      </c>
      <c r="O40">
        <f>-654.406584692263 -166.028957360419 -765.057815611134</f>
        <v>-1585.4933576638159</v>
      </c>
      <c r="P40">
        <f>-707.392029884774 -177.507875823849 -453.213403689837</f>
        <v>-1338.1133093984599</v>
      </c>
      <c r="Q40">
        <f>-451.743721890704 -202.100106035947 -412.210874893476</f>
        <v>-1066.054702820127</v>
      </c>
      <c r="R40" t="s">
        <v>493</v>
      </c>
      <c r="S40" t="s">
        <v>494</v>
      </c>
      <c r="T40" t="s">
        <v>495</v>
      </c>
      <c r="U40" t="s">
        <v>496</v>
      </c>
      <c r="V40">
        <f>-626.794134834689 -68.5116591201652 -230.21512469844</f>
        <v>-925.52091865329419</v>
      </c>
      <c r="W40" t="s">
        <v>497</v>
      </c>
      <c r="X40" t="s">
        <v>498</v>
      </c>
      <c r="Y40" t="s">
        <v>499</v>
      </c>
    </row>
    <row r="41" spans="1:25" x14ac:dyDescent="0.3">
      <c r="A41">
        <v>2000</v>
      </c>
      <c r="B41" t="s">
        <v>500</v>
      </c>
      <c r="C41" t="s">
        <v>501</v>
      </c>
      <c r="D41" t="s">
        <v>502</v>
      </c>
      <c r="E41" t="s">
        <v>503</v>
      </c>
      <c r="F41" t="s">
        <v>504</v>
      </c>
      <c r="G41" t="s">
        <v>505</v>
      </c>
      <c r="H41" t="s">
        <v>506</v>
      </c>
      <c r="I41">
        <f>-563.446901064037 -12.7814392016605 -944.916282259961</f>
        <v>-1521.1446225256586</v>
      </c>
      <c r="J41" t="s">
        <v>507</v>
      </c>
      <c r="K41" t="s">
        <v>508</v>
      </c>
      <c r="L41" t="s">
        <v>509</v>
      </c>
      <c r="M41" t="s">
        <v>510</v>
      </c>
      <c r="N41">
        <f>-613.475145294767 -25.747186419932 -783.984375226687</f>
        <v>-1423.2067069413861</v>
      </c>
      <c r="O41">
        <f>-661.872335192863 -163.218802672418 -764.694492239175</f>
        <v>-1589.7856301044562</v>
      </c>
      <c r="P41">
        <f>-711.668263565102 -174.669172748442 -452.32370813207</f>
        <v>-1338.6611444456139</v>
      </c>
      <c r="Q41">
        <f>-456.29275477441 -199.65383188201 -409.883421563602</f>
        <v>-1065.8300082200219</v>
      </c>
      <c r="R41" t="s">
        <v>511</v>
      </c>
      <c r="S41" t="s">
        <v>512</v>
      </c>
      <c r="T41" t="s">
        <v>513</v>
      </c>
      <c r="U41" t="s">
        <v>514</v>
      </c>
      <c r="V41">
        <f>-632.541167688586 -65.3719593985866 -230.52011744462</f>
        <v>-928.43324453179264</v>
      </c>
      <c r="W41" t="s">
        <v>515</v>
      </c>
      <c r="X41" t="s">
        <v>516</v>
      </c>
      <c r="Y41" t="s">
        <v>517</v>
      </c>
    </row>
    <row r="42" spans="1:25" x14ac:dyDescent="0.3">
      <c r="A42">
        <v>2050</v>
      </c>
      <c r="B42" t="s">
        <v>518</v>
      </c>
      <c r="C42" t="s">
        <v>519</v>
      </c>
      <c r="D42" t="s">
        <v>520</v>
      </c>
      <c r="E42" t="s">
        <v>521</v>
      </c>
      <c r="F42" t="s">
        <v>522</v>
      </c>
      <c r="G42" t="s">
        <v>523</v>
      </c>
      <c r="H42" t="s">
        <v>524</v>
      </c>
      <c r="I42">
        <f>-581.277744749093 -15.2322097084352 -946.584653903806</f>
        <v>-1543.0946083613344</v>
      </c>
      <c r="J42" t="s">
        <v>525</v>
      </c>
      <c r="K42" t="s">
        <v>526</v>
      </c>
      <c r="L42" t="s">
        <v>527</v>
      </c>
      <c r="M42" t="s">
        <v>528</v>
      </c>
      <c r="N42">
        <f>-626.820805106445 -23.1678622208192 -784.190817957718</f>
        <v>-1434.1794852849821</v>
      </c>
      <c r="O42">
        <f>-679.699857761884 -158.706229002458 -763.074144092468</f>
        <v>-1601.4802308568101</v>
      </c>
      <c r="P42">
        <f>-721.110189495955 -168.798580670538 -449.435061612842</f>
        <v>-1339.343831779335</v>
      </c>
      <c r="Q42">
        <f>-466.471392995457 -196.995181181215 -404.645665303737</f>
        <v>-1068.112239480409</v>
      </c>
      <c r="R42" t="s">
        <v>529</v>
      </c>
      <c r="S42" t="s">
        <v>530</v>
      </c>
      <c r="T42" t="s">
        <v>531</v>
      </c>
      <c r="U42" t="s">
        <v>532</v>
      </c>
      <c r="V42">
        <f>-647.158657844269 -58.5800176401415 -231.38468477631</f>
        <v>-937.12336026072046</v>
      </c>
      <c r="W42" t="s">
        <v>533</v>
      </c>
      <c r="X42" t="s">
        <v>534</v>
      </c>
      <c r="Y42" t="s">
        <v>535</v>
      </c>
    </row>
    <row r="43" spans="1:25" x14ac:dyDescent="0.3">
      <c r="A43">
        <v>2100</v>
      </c>
      <c r="B43" t="s">
        <v>536</v>
      </c>
      <c r="C43" t="s">
        <v>537</v>
      </c>
      <c r="D43" t="s">
        <v>538</v>
      </c>
      <c r="E43" t="s">
        <v>539</v>
      </c>
      <c r="F43" t="s">
        <v>540</v>
      </c>
      <c r="G43" t="s">
        <v>541</v>
      </c>
      <c r="H43" t="s">
        <v>542</v>
      </c>
      <c r="I43">
        <f>-591.3161788836 -18.0633227863673 -947.095304130676</f>
        <v>-1556.4748058006433</v>
      </c>
      <c r="J43" t="s">
        <v>543</v>
      </c>
      <c r="K43" t="s">
        <v>544</v>
      </c>
      <c r="L43" t="s">
        <v>545</v>
      </c>
      <c r="M43" t="s">
        <v>546</v>
      </c>
      <c r="N43">
        <f>-635.006397824713 -22.770261633186 -784.122696065433</f>
        <v>-1441.8993555233319</v>
      </c>
      <c r="O43">
        <f>-690.519380263283 -157.031418434236 -761.773814908314</f>
        <v>-1609.3246136058328</v>
      </c>
      <c r="P43">
        <f>-725.585025699739 -167.019330673298 -447.358683939389</f>
        <v>-1339.9630403124261</v>
      </c>
      <c r="Q43">
        <f>-471.457606705764 -196.620365054604 -400.613673229496</f>
        <v>-1068.691644989864</v>
      </c>
      <c r="R43" t="s">
        <v>547</v>
      </c>
      <c r="S43" t="s">
        <v>548</v>
      </c>
      <c r="T43" t="s">
        <v>549</v>
      </c>
      <c r="U43" t="s">
        <v>550</v>
      </c>
      <c r="V43">
        <f>-656.474133864471 -54.7544668207211 -231.933489969839</f>
        <v>-943.16209065503108</v>
      </c>
      <c r="W43" t="s">
        <v>551</v>
      </c>
      <c r="X43" t="s">
        <v>552</v>
      </c>
      <c r="Y43" t="s">
        <v>553</v>
      </c>
    </row>
    <row r="44" spans="1:25" x14ac:dyDescent="0.3">
      <c r="A44">
        <v>2150</v>
      </c>
      <c r="B44" t="s">
        <v>554</v>
      </c>
      <c r="C44" t="s">
        <v>555</v>
      </c>
      <c r="D44" t="s">
        <v>556</v>
      </c>
      <c r="E44" t="s">
        <v>557</v>
      </c>
      <c r="F44" t="s">
        <v>558</v>
      </c>
      <c r="G44" t="s">
        <v>559</v>
      </c>
      <c r="H44" t="s">
        <v>560</v>
      </c>
      <c r="I44">
        <f>-613.978812229744 -25.7299736881316 -947.239222734661</f>
        <v>-1586.9480086525366</v>
      </c>
      <c r="J44" t="s">
        <v>561</v>
      </c>
      <c r="K44" t="s">
        <v>562</v>
      </c>
      <c r="L44" t="s">
        <v>563</v>
      </c>
      <c r="M44" t="s">
        <v>564</v>
      </c>
      <c r="N44">
        <f>-654.909651628817 -22.8178189595549 -783.560709712913</f>
        <v>-1461.2881803012847</v>
      </c>
      <c r="O44">
        <f>-717.772192238185 -153.204443350603 -757.692430958007</f>
        <v>-1628.669066546795</v>
      </c>
      <c r="P44">
        <f>-734.993327924198 -165.058594811132 -441.861642394557</f>
        <v>-1341.913565129887</v>
      </c>
      <c r="Q44">
        <f>-481.630070497985 -194.566982878556 -391.083916586636</f>
        <v>-1067.2809699631771</v>
      </c>
      <c r="R44" t="s">
        <v>565</v>
      </c>
      <c r="S44" t="s">
        <v>566</v>
      </c>
      <c r="T44" t="s">
        <v>567</v>
      </c>
      <c r="U44" t="s">
        <v>568</v>
      </c>
      <c r="V44">
        <f>-680.075900907512 -44.3901889338629 -232.357638160098</f>
        <v>-956.82372800147289</v>
      </c>
      <c r="W44" t="s">
        <v>569</v>
      </c>
      <c r="X44" t="s">
        <v>570</v>
      </c>
      <c r="Y44" t="s">
        <v>571</v>
      </c>
    </row>
    <row r="45" spans="1:25" x14ac:dyDescent="0.3">
      <c r="A45">
        <v>2200</v>
      </c>
      <c r="B45" t="s">
        <v>572</v>
      </c>
      <c r="C45" t="s">
        <v>573</v>
      </c>
      <c r="D45" t="s">
        <v>574</v>
      </c>
      <c r="E45" t="s">
        <v>575</v>
      </c>
      <c r="F45" t="s">
        <v>576</v>
      </c>
      <c r="G45" t="s">
        <v>577</v>
      </c>
      <c r="H45" t="s">
        <v>578</v>
      </c>
      <c r="I45">
        <f>-627.700680902569 -29.0497731997871 -947.035960719373</f>
        <v>-1603.7864148217291</v>
      </c>
      <c r="J45" t="s">
        <v>579</v>
      </c>
      <c r="K45" t="s">
        <v>580</v>
      </c>
      <c r="L45" t="s">
        <v>581</v>
      </c>
      <c r="M45" t="s">
        <v>582</v>
      </c>
      <c r="N45">
        <f>-667.588214667653 -22.0215206910484 -783.229375473466</f>
        <v>-1472.8391108321675</v>
      </c>
      <c r="O45">
        <f>-734.398094418281 -149.944718312225 -754.981045009983</f>
        <v>-1639.3238577404891</v>
      </c>
      <c r="P45">
        <f>-742.283104942397 -161.811509149615 -438.779864815829</f>
        <v>-1342.874478907841</v>
      </c>
      <c r="Q45">
        <f>-489.265002512913 -190.889613772427 -386.069509387933</f>
        <v>-1066.224125673273</v>
      </c>
      <c r="R45" t="s">
        <v>583</v>
      </c>
      <c r="S45" t="s">
        <v>584</v>
      </c>
      <c r="T45" t="s">
        <v>585</v>
      </c>
      <c r="U45" t="s">
        <v>586</v>
      </c>
      <c r="V45">
        <f>-694.092507381932 -37.7820413606776 -233.208475198393</f>
        <v>-965.08302394100258</v>
      </c>
      <c r="W45" t="s">
        <v>587</v>
      </c>
      <c r="X45" t="s">
        <v>588</v>
      </c>
      <c r="Y45" t="s">
        <v>589</v>
      </c>
    </row>
    <row r="46" spans="1:25" x14ac:dyDescent="0.3">
      <c r="A46">
        <v>2250</v>
      </c>
      <c r="B46" t="s">
        <v>590</v>
      </c>
      <c r="C46" t="s">
        <v>591</v>
      </c>
      <c r="D46" t="s">
        <v>592</v>
      </c>
      <c r="E46" t="s">
        <v>593</v>
      </c>
      <c r="F46" t="s">
        <v>594</v>
      </c>
      <c r="G46" t="s">
        <v>595</v>
      </c>
      <c r="H46" t="s">
        <v>596</v>
      </c>
      <c r="I46">
        <f>-656.747687796899 -28.5650875341732 -946.397162778771</f>
        <v>-1631.7099381098433</v>
      </c>
      <c r="J46" t="s">
        <v>597</v>
      </c>
      <c r="K46" t="s">
        <v>598</v>
      </c>
      <c r="L46" t="s">
        <v>599</v>
      </c>
      <c r="M46" t="s">
        <v>600</v>
      </c>
      <c r="N46">
        <f>-695.166966200827 -12.7269863580298 -782.817363155189</f>
        <v>-1490.7113157140457</v>
      </c>
      <c r="O46">
        <f>-768.467084488882 -135.808559461675 -749.436964057206</f>
        <v>-1653.712608007763</v>
      </c>
      <c r="P46">
        <f>-763.329617352891 -143.624734947371 -433.053075751235</f>
        <v>-1340.0074280514968</v>
      </c>
      <c r="Q46">
        <f>-510.726174501199 -173.659533502202 -378.910178151903</f>
        <v>-1063.2958861553041</v>
      </c>
      <c r="R46" t="s">
        <v>601</v>
      </c>
      <c r="S46" t="s">
        <v>602</v>
      </c>
      <c r="T46" t="s">
        <v>603</v>
      </c>
      <c r="U46" t="s">
        <v>604</v>
      </c>
      <c r="V46">
        <f>-726.793848597056 -19.5818125973028 -236.867036062344</f>
        <v>-983.24269725670285</v>
      </c>
      <c r="W46" t="s">
        <v>605</v>
      </c>
      <c r="X46" t="s">
        <v>606</v>
      </c>
      <c r="Y46" t="s">
        <v>607</v>
      </c>
    </row>
    <row r="47" spans="1:25" x14ac:dyDescent="0.3">
      <c r="A47">
        <v>2300</v>
      </c>
      <c r="B47" t="s">
        <v>608</v>
      </c>
      <c r="C47" t="s">
        <v>609</v>
      </c>
      <c r="D47" t="s">
        <v>610</v>
      </c>
      <c r="E47" t="s">
        <v>611</v>
      </c>
      <c r="F47" t="s">
        <v>612</v>
      </c>
      <c r="G47" t="s">
        <v>613</v>
      </c>
      <c r="H47" t="s">
        <v>614</v>
      </c>
      <c r="I47">
        <f>-672.887613077266 -26.0052651738579 -945.012681467049</f>
        <v>-1643.9055597181728</v>
      </c>
      <c r="J47" t="s">
        <v>615</v>
      </c>
      <c r="K47" t="s">
        <v>616</v>
      </c>
      <c r="L47" t="s">
        <v>617</v>
      </c>
      <c r="M47" t="s">
        <v>618</v>
      </c>
      <c r="N47">
        <f>-710.794886077554 -5.39806126791382 -781.785168084997</f>
        <v>-1497.9781154304649</v>
      </c>
      <c r="O47">
        <f>-786.56499147423 -126.169547559319 -745.92145815933</f>
        <v>-1658.6559971928791</v>
      </c>
      <c r="P47">
        <f>-779.25485831056 -129.95960536943 -429.506510253945</f>
        <v>-1338.7209739339351</v>
      </c>
      <c r="Q47">
        <f>-526.699514793316 -162.064266829706 -376.335768862368</f>
        <v>-1065.09955048539</v>
      </c>
      <c r="R47" t="s">
        <v>619</v>
      </c>
      <c r="S47" t="s">
        <v>620</v>
      </c>
      <c r="T47" t="s">
        <v>621</v>
      </c>
      <c r="U47" t="s">
        <v>622</v>
      </c>
      <c r="V47">
        <f>-746.000971758537 -7.53743767268543 -238.412564055673</f>
        <v>-991.95097348689546</v>
      </c>
      <c r="W47" t="s">
        <v>623</v>
      </c>
      <c r="X47" t="s">
        <v>624</v>
      </c>
      <c r="Y47" t="s">
        <v>625</v>
      </c>
    </row>
    <row r="48" spans="1:25" x14ac:dyDescent="0.3">
      <c r="A48">
        <v>2350</v>
      </c>
      <c r="B48" t="s">
        <v>626</v>
      </c>
      <c r="C48" t="s">
        <v>627</v>
      </c>
      <c r="D48" t="s">
        <v>628</v>
      </c>
      <c r="E48" t="s">
        <v>629</v>
      </c>
      <c r="F48" t="s">
        <v>630</v>
      </c>
      <c r="G48" t="s">
        <v>631</v>
      </c>
      <c r="H48" t="s">
        <v>632</v>
      </c>
      <c r="I48">
        <f>-699.044017119206 -29.4777338261674 -939.296648907261</f>
        <v>-1667.8183998526345</v>
      </c>
      <c r="J48" t="s">
        <v>633</v>
      </c>
      <c r="K48" t="s">
        <v>634</v>
      </c>
      <c r="L48" t="s">
        <v>635</v>
      </c>
      <c r="M48" t="s">
        <v>636</v>
      </c>
      <c r="N48" t="s">
        <v>637</v>
      </c>
      <c r="O48">
        <f>-817.469643847711 -113.744218519053 -735.684659933328</f>
        <v>-1666.8985223000921</v>
      </c>
      <c r="P48">
        <f>-810.638128185395 -107.021522886747 -419.307784170302</f>
        <v>-1336.967435242444</v>
      </c>
      <c r="Q48">
        <f>-558.377387555123 -146.220186867063 -369.608129020647</f>
        <v>-1074.2057034428331</v>
      </c>
      <c r="R48" t="s">
        <v>638</v>
      </c>
      <c r="S48" t="s">
        <v>639</v>
      </c>
      <c r="T48" t="s">
        <v>640</v>
      </c>
      <c r="U48" t="s">
        <v>641</v>
      </c>
      <c r="V48" t="s">
        <v>642</v>
      </c>
      <c r="W48" t="s">
        <v>643</v>
      </c>
      <c r="X48" t="s">
        <v>644</v>
      </c>
      <c r="Y48" t="s">
        <v>645</v>
      </c>
    </row>
    <row r="49" spans="1:25" x14ac:dyDescent="0.3">
      <c r="A49">
        <v>2400</v>
      </c>
      <c r="B49" t="s">
        <v>646</v>
      </c>
      <c r="C49" t="s">
        <v>647</v>
      </c>
      <c r="D49" t="s">
        <v>648</v>
      </c>
      <c r="E49" t="s">
        <v>649</v>
      </c>
      <c r="F49" t="s">
        <v>650</v>
      </c>
      <c r="G49" t="s">
        <v>651</v>
      </c>
      <c r="H49" t="s">
        <v>652</v>
      </c>
      <c r="I49">
        <f>-708.376128904488 -32.4970917773903 -936.56563609587</f>
        <v>-1677.4388567777482</v>
      </c>
      <c r="J49" t="s">
        <v>653</v>
      </c>
      <c r="K49" t="s">
        <v>654</v>
      </c>
      <c r="L49" t="s">
        <v>655</v>
      </c>
      <c r="M49" t="s">
        <v>656</v>
      </c>
      <c r="N49" t="s">
        <v>657</v>
      </c>
      <c r="O49">
        <f>-829.004556663662 -108.738643212738 -731.293502260508</f>
        <v>-1669.0367021369079</v>
      </c>
      <c r="P49">
        <f>-822.664921569422 -97.2318396410292 -415.044209083536</f>
        <v>-1334.940970293987</v>
      </c>
      <c r="Q49">
        <f>-570.805577509375 -139.869757040574 -366.147043522775</f>
        <v>-1076.822378072724</v>
      </c>
      <c r="R49" t="s">
        <v>658</v>
      </c>
      <c r="S49" t="s">
        <v>659</v>
      </c>
      <c r="T49" t="s">
        <v>660</v>
      </c>
      <c r="U49" t="s">
        <v>661</v>
      </c>
      <c r="V49" t="s">
        <v>662</v>
      </c>
      <c r="W49" t="s">
        <v>663</v>
      </c>
      <c r="X49" t="s">
        <v>664</v>
      </c>
      <c r="Y49" t="s">
        <v>665</v>
      </c>
    </row>
    <row r="50" spans="1:25" x14ac:dyDescent="0.3">
      <c r="A50">
        <v>2450</v>
      </c>
      <c r="B50" t="s">
        <v>666</v>
      </c>
      <c r="C50" t="s">
        <v>667</v>
      </c>
      <c r="D50" t="s">
        <v>668</v>
      </c>
      <c r="E50" t="s">
        <v>669</v>
      </c>
      <c r="F50" t="s">
        <v>670</v>
      </c>
      <c r="G50" t="s">
        <v>671</v>
      </c>
      <c r="H50" t="s">
        <v>672</v>
      </c>
      <c r="I50">
        <f>-728.540730196649 -35.831931603896 -917.433390059956</f>
        <v>-1681.8060518605009</v>
      </c>
      <c r="J50" t="s">
        <v>673</v>
      </c>
      <c r="K50" t="s">
        <v>674</v>
      </c>
      <c r="L50" t="s">
        <v>675</v>
      </c>
      <c r="M50" t="s">
        <v>676</v>
      </c>
      <c r="N50" t="s">
        <v>677</v>
      </c>
      <c r="O50">
        <f>-851.876468129914 -99.0043835001511 -709.98704113086</f>
        <v>-1660.8678927609251</v>
      </c>
      <c r="P50">
        <f>-846.514164829236 -77.7881598987626 -394.222375669634</f>
        <v>-1318.5247003976326</v>
      </c>
      <c r="Q50">
        <f>-595.689592077916 -126.974972091039 -346.162465730031</f>
        <v>-1068.827029898986</v>
      </c>
      <c r="R50" t="s">
        <v>678</v>
      </c>
      <c r="S50" t="s">
        <v>679</v>
      </c>
      <c r="T50" t="s">
        <v>680</v>
      </c>
      <c r="U50" t="s">
        <v>681</v>
      </c>
      <c r="V50" t="s">
        <v>682</v>
      </c>
      <c r="W50" t="s">
        <v>683</v>
      </c>
      <c r="X50" t="s">
        <v>684</v>
      </c>
      <c r="Y50" t="s">
        <v>685</v>
      </c>
    </row>
    <row r="51" spans="1:25" x14ac:dyDescent="0.3">
      <c r="A51">
        <v>2500</v>
      </c>
      <c r="B51" t="s">
        <v>686</v>
      </c>
      <c r="C51" t="s">
        <v>687</v>
      </c>
      <c r="D51" t="s">
        <v>688</v>
      </c>
      <c r="E51" t="s">
        <v>689</v>
      </c>
      <c r="F51" t="s">
        <v>690</v>
      </c>
      <c r="G51" t="s">
        <v>691</v>
      </c>
      <c r="H51" t="s">
        <v>692</v>
      </c>
      <c r="I51">
        <f>-736.640406952031 -34.0730904448289 -908.856761818883</f>
        <v>-1679.5702592157429</v>
      </c>
      <c r="J51" t="s">
        <v>693</v>
      </c>
      <c r="K51" t="s">
        <v>694</v>
      </c>
      <c r="L51" t="s">
        <v>695</v>
      </c>
      <c r="M51" t="s">
        <v>696</v>
      </c>
      <c r="N51" t="s">
        <v>697</v>
      </c>
      <c r="O51">
        <f>-860.537072206703 -92.5563968873555 -700.497290520836</f>
        <v>-1653.5907596148945</v>
      </c>
      <c r="P51">
        <f>-854.784040916213 -68.202185518493 -384.966079584673</f>
        <v>-1307.9523060193792</v>
      </c>
      <c r="Q51">
        <f>-604.630179805229 -119.911004155811 -336.065108566897</f>
        <v>-1060.6062925279371</v>
      </c>
      <c r="R51" t="s">
        <v>698</v>
      </c>
      <c r="S51" t="s">
        <v>699</v>
      </c>
      <c r="T51" t="s">
        <v>700</v>
      </c>
      <c r="U51" t="s">
        <v>701</v>
      </c>
      <c r="V51" t="s">
        <v>702</v>
      </c>
      <c r="W51" t="s">
        <v>703</v>
      </c>
      <c r="X51" t="s">
        <v>704</v>
      </c>
      <c r="Y51" t="s">
        <v>705</v>
      </c>
    </row>
    <row r="52" spans="1:25" x14ac:dyDescent="0.3">
      <c r="A52">
        <v>2550</v>
      </c>
      <c r="B52" t="s">
        <v>706</v>
      </c>
      <c r="C52" t="s">
        <v>707</v>
      </c>
      <c r="D52" t="s">
        <v>708</v>
      </c>
      <c r="E52" t="s">
        <v>709</v>
      </c>
      <c r="F52" t="s">
        <v>710</v>
      </c>
      <c r="G52" t="s">
        <v>711</v>
      </c>
      <c r="H52" t="s">
        <v>712</v>
      </c>
      <c r="I52">
        <f>-754.290919343609 -24.9518818622425 -900.727266641854</f>
        <v>-1679.9700678477056</v>
      </c>
      <c r="J52" t="s">
        <v>713</v>
      </c>
      <c r="K52" t="s">
        <v>714</v>
      </c>
      <c r="L52" t="s">
        <v>715</v>
      </c>
      <c r="M52" t="s">
        <v>716</v>
      </c>
      <c r="N52" t="s">
        <v>717</v>
      </c>
      <c r="O52">
        <f>-877.580832916188 -79.0749802001269 -691.35817682053</f>
        <v>-1648.0139899368451</v>
      </c>
      <c r="P52">
        <f>-869.571392447659 -48.9037284695778 -376.379172501027</f>
        <v>-1294.8542934182638</v>
      </c>
      <c r="Q52">
        <f>-620.881570608335 -104.8127492528 -324.710930953898</f>
        <v>-1050.405250815033</v>
      </c>
      <c r="R52" t="s">
        <v>718</v>
      </c>
      <c r="S52" t="s">
        <v>719</v>
      </c>
      <c r="T52" t="s">
        <v>720</v>
      </c>
      <c r="U52" t="s">
        <v>721</v>
      </c>
      <c r="V52" t="s">
        <v>722</v>
      </c>
      <c r="W52" t="s">
        <v>723</v>
      </c>
      <c r="X52" t="s">
        <v>724</v>
      </c>
      <c r="Y52" t="s">
        <v>725</v>
      </c>
    </row>
    <row r="53" spans="1:25" x14ac:dyDescent="0.3">
      <c r="A53">
        <v>2600</v>
      </c>
      <c r="B53" t="s">
        <v>726</v>
      </c>
      <c r="C53" t="s">
        <v>727</v>
      </c>
      <c r="D53" t="s">
        <v>728</v>
      </c>
      <c r="E53" t="s">
        <v>729</v>
      </c>
      <c r="F53" t="s">
        <v>730</v>
      </c>
      <c r="G53" t="s">
        <v>731</v>
      </c>
      <c r="H53" t="s">
        <v>732</v>
      </c>
      <c r="I53">
        <f>-761.649540207255 -18.6711598837912 -899.923732972429</f>
        <v>-1680.2444330634753</v>
      </c>
      <c r="J53" t="s">
        <v>733</v>
      </c>
      <c r="K53" t="s">
        <v>734</v>
      </c>
      <c r="L53" t="s">
        <v>735</v>
      </c>
      <c r="M53" t="s">
        <v>736</v>
      </c>
      <c r="N53" t="s">
        <v>737</v>
      </c>
      <c r="O53">
        <f>-884.358411227228 -72.2742428604693 -690.223052361433</f>
        <v>-1646.8557064491301</v>
      </c>
      <c r="P53">
        <f>-875.397554293029 -41.0978872381193 -375.367685338483</f>
        <v>-1291.8631268696313</v>
      </c>
      <c r="Q53">
        <f>-627.325162050935 -98.5439938415479 -322.432951403496</f>
        <v>-1048.3021072959789</v>
      </c>
      <c r="R53" t="s">
        <v>738</v>
      </c>
      <c r="S53" t="s">
        <v>739</v>
      </c>
      <c r="T53" t="s">
        <v>740</v>
      </c>
      <c r="U53" t="s">
        <v>741</v>
      </c>
      <c r="V53" t="s">
        <v>742</v>
      </c>
      <c r="W53" t="s">
        <v>743</v>
      </c>
      <c r="X53" t="s">
        <v>744</v>
      </c>
      <c r="Y53" t="s">
        <v>745</v>
      </c>
    </row>
    <row r="54" spans="1:25" x14ac:dyDescent="0.3">
      <c r="A54">
        <v>2650</v>
      </c>
      <c r="B54" t="s">
        <v>746</v>
      </c>
      <c r="C54" t="s">
        <v>747</v>
      </c>
      <c r="D54" t="s">
        <v>748</v>
      </c>
      <c r="E54" t="s">
        <v>749</v>
      </c>
      <c r="F54" t="s">
        <v>750</v>
      </c>
      <c r="G54" t="s">
        <v>751</v>
      </c>
      <c r="H54" t="s">
        <v>752</v>
      </c>
      <c r="I54">
        <f>-772.788077397746 -5.94947677717414 -902.378882098046</f>
        <v>-1681.116436272966</v>
      </c>
      <c r="J54" t="s">
        <v>753</v>
      </c>
      <c r="K54" t="s">
        <v>754</v>
      </c>
      <c r="L54" t="s">
        <v>755</v>
      </c>
      <c r="M54" t="s">
        <v>756</v>
      </c>
      <c r="N54" t="s">
        <v>757</v>
      </c>
      <c r="O54">
        <f>-893.622253733698 -60.2867217403866 -691.882246730365</f>
        <v>-1645.7912222044497</v>
      </c>
      <c r="P54">
        <f>-882.494827015297 -30.0863655534588 -377.000807146395</f>
        <v>-1289.5819997151507</v>
      </c>
      <c r="Q54">
        <f>-634.95276291426 -91.4729780003827 -326.043331596407</f>
        <v>-1052.4690725110497</v>
      </c>
      <c r="R54" t="s">
        <v>758</v>
      </c>
      <c r="S54" t="s">
        <v>759</v>
      </c>
      <c r="T54" t="s">
        <v>760</v>
      </c>
      <c r="U54" t="s">
        <v>761</v>
      </c>
      <c r="V54" t="s">
        <v>762</v>
      </c>
      <c r="W54" t="s">
        <v>763</v>
      </c>
      <c r="X54" t="s">
        <v>764</v>
      </c>
      <c r="Y54" t="s">
        <v>765</v>
      </c>
    </row>
    <row r="55" spans="1:25" x14ac:dyDescent="0.3">
      <c r="A55">
        <v>2700</v>
      </c>
      <c r="B55" t="s">
        <v>766</v>
      </c>
      <c r="C55" t="s">
        <v>767</v>
      </c>
      <c r="D55" t="s">
        <v>768</v>
      </c>
      <c r="E55" t="s">
        <v>769</v>
      </c>
      <c r="F55" t="s">
        <v>770</v>
      </c>
      <c r="G55" t="s">
        <v>771</v>
      </c>
      <c r="H55" t="s">
        <v>772</v>
      </c>
      <c r="I55" t="s">
        <v>773</v>
      </c>
      <c r="J55" t="s">
        <v>774</v>
      </c>
      <c r="K55" t="s">
        <v>775</v>
      </c>
      <c r="L55" t="s">
        <v>776</v>
      </c>
      <c r="M55" t="s">
        <v>777</v>
      </c>
      <c r="N55" t="s">
        <v>778</v>
      </c>
      <c r="O55">
        <f>-896.756935736894 -54.4955149829173 -693.312941391778</f>
        <v>-1644.5653921115893</v>
      </c>
      <c r="P55">
        <f>-883.720884484697 -24.8569133038097 -378.451491299351</f>
        <v>-1287.0292890878577</v>
      </c>
      <c r="Q55">
        <f>-636.530150361089 -88.7801199548021 -328.927653232497</f>
        <v>-1054.2379235483882</v>
      </c>
      <c r="R55" t="s">
        <v>779</v>
      </c>
      <c r="S55" t="s">
        <v>780</v>
      </c>
      <c r="T55" t="s">
        <v>781</v>
      </c>
      <c r="U55" t="s">
        <v>782</v>
      </c>
      <c r="V55" t="s">
        <v>783</v>
      </c>
      <c r="W55" t="s">
        <v>784</v>
      </c>
      <c r="X55" t="s">
        <v>785</v>
      </c>
      <c r="Y55" t="s">
        <v>786</v>
      </c>
    </row>
    <row r="56" spans="1:25" x14ac:dyDescent="0.3">
      <c r="A56">
        <v>2750</v>
      </c>
      <c r="B56" t="s">
        <v>787</v>
      </c>
      <c r="C56" t="s">
        <v>788</v>
      </c>
      <c r="D56" t="s">
        <v>789</v>
      </c>
      <c r="E56" t="s">
        <v>790</v>
      </c>
      <c r="F56" t="s">
        <v>791</v>
      </c>
      <c r="G56" t="s">
        <v>792</v>
      </c>
      <c r="H56" t="s">
        <v>793</v>
      </c>
      <c r="I56" t="s">
        <v>794</v>
      </c>
      <c r="J56" t="s">
        <v>795</v>
      </c>
      <c r="K56" t="s">
        <v>796</v>
      </c>
      <c r="L56" t="s">
        <v>797</v>
      </c>
      <c r="M56" t="s">
        <v>798</v>
      </c>
      <c r="N56" t="s">
        <v>799</v>
      </c>
      <c r="O56">
        <f>-901.048642076237 -43.1901146786836 -695.842393871011</f>
        <v>-1640.0811506259315</v>
      </c>
      <c r="P56">
        <f>-883.906766535528 -15.0085945134829 -381.043756032779</f>
        <v>-1279.9591170817898</v>
      </c>
      <c r="Q56">
        <f>-637.534785983286 -85.032563480853 -335.882505308056</f>
        <v>-1058.4498547721951</v>
      </c>
      <c r="R56" t="s">
        <v>800</v>
      </c>
      <c r="S56" t="s">
        <v>801</v>
      </c>
      <c r="T56" t="s">
        <v>802</v>
      </c>
      <c r="U56" t="s">
        <v>803</v>
      </c>
      <c r="V56" t="s">
        <v>804</v>
      </c>
      <c r="W56" t="s">
        <v>805</v>
      </c>
      <c r="X56" t="s">
        <v>806</v>
      </c>
      <c r="Y56" t="s">
        <v>807</v>
      </c>
    </row>
    <row r="57" spans="1:25" x14ac:dyDescent="0.3">
      <c r="A57">
        <v>2800</v>
      </c>
      <c r="B57" t="s">
        <v>808</v>
      </c>
      <c r="C57" t="s">
        <v>809</v>
      </c>
      <c r="D57" t="s">
        <v>810</v>
      </c>
      <c r="E57" t="s">
        <v>811</v>
      </c>
      <c r="F57" t="s">
        <v>812</v>
      </c>
      <c r="G57" t="s">
        <v>813</v>
      </c>
      <c r="H57" t="s">
        <v>814</v>
      </c>
      <c r="I57" t="s">
        <v>815</v>
      </c>
      <c r="J57" t="s">
        <v>816</v>
      </c>
      <c r="K57" t="s">
        <v>817</v>
      </c>
      <c r="L57" t="s">
        <v>818</v>
      </c>
      <c r="M57" t="s">
        <v>819</v>
      </c>
      <c r="N57" t="s">
        <v>820</v>
      </c>
      <c r="O57">
        <f>-902.01109678584 -38.3391244213374 -697.06958052597</f>
        <v>-1637.4198017331473</v>
      </c>
      <c r="P57">
        <f>-883.263221155223 -10.8692167417744 -382.299547244229</f>
        <v>-1276.4319851412265</v>
      </c>
      <c r="Q57">
        <f>-637.376551092997 -84.1105569100469 -339.667368916165</f>
        <v>-1061.1544769192089</v>
      </c>
      <c r="R57" t="s">
        <v>821</v>
      </c>
      <c r="S57" t="s">
        <v>822</v>
      </c>
      <c r="T57" t="s">
        <v>823</v>
      </c>
      <c r="U57" t="s">
        <v>824</v>
      </c>
      <c r="V57" t="s">
        <v>825</v>
      </c>
      <c r="W57" t="s">
        <v>826</v>
      </c>
      <c r="X57" t="s">
        <v>827</v>
      </c>
      <c r="Y57" t="s">
        <v>828</v>
      </c>
    </row>
    <row r="58" spans="1:25" x14ac:dyDescent="0.3">
      <c r="A58">
        <v>2850</v>
      </c>
      <c r="B58" t="s">
        <v>829</v>
      </c>
      <c r="C58" t="s">
        <v>830</v>
      </c>
      <c r="D58" t="s">
        <v>831</v>
      </c>
      <c r="E58" t="s">
        <v>832</v>
      </c>
      <c r="F58" t="s">
        <v>833</v>
      </c>
      <c r="G58" t="s">
        <v>834</v>
      </c>
      <c r="H58" t="s">
        <v>835</v>
      </c>
      <c r="I58" t="s">
        <v>836</v>
      </c>
      <c r="J58" t="s">
        <v>837</v>
      </c>
      <c r="K58" t="s">
        <v>838</v>
      </c>
      <c r="L58" t="s">
        <v>839</v>
      </c>
      <c r="M58" t="s">
        <v>840</v>
      </c>
      <c r="N58" t="s">
        <v>841</v>
      </c>
      <c r="O58">
        <f>-902.661578320719 -29.360912177397 -699.325392486273</f>
        <v>-1631.3478829843889</v>
      </c>
      <c r="P58">
        <f>-882.04011373115 -3.97822391177124 -384.497419989005</f>
        <v>-1270.5157576319261</v>
      </c>
      <c r="Q58">
        <f>-637.3230445186 -83.2703427431118 -346.178180494726</f>
        <v>-1066.7715677564379</v>
      </c>
      <c r="R58" t="s">
        <v>842</v>
      </c>
      <c r="S58" t="s">
        <v>843</v>
      </c>
      <c r="T58" t="s">
        <v>844</v>
      </c>
      <c r="U58" t="s">
        <v>845</v>
      </c>
      <c r="V58" t="s">
        <v>846</v>
      </c>
      <c r="W58" t="s">
        <v>847</v>
      </c>
      <c r="X58" t="s">
        <v>848</v>
      </c>
      <c r="Y58" t="s">
        <v>849</v>
      </c>
    </row>
    <row r="59" spans="1:25" x14ac:dyDescent="0.3">
      <c r="A59">
        <v>2900</v>
      </c>
      <c r="B59" t="s">
        <v>850</v>
      </c>
      <c r="C59" t="s">
        <v>851</v>
      </c>
      <c r="D59" t="s">
        <v>852</v>
      </c>
      <c r="E59" t="s">
        <v>853</v>
      </c>
      <c r="F59" t="s">
        <v>854</v>
      </c>
      <c r="G59" t="s">
        <v>855</v>
      </c>
      <c r="H59" t="s">
        <v>856</v>
      </c>
      <c r="I59" t="s">
        <v>857</v>
      </c>
      <c r="J59" t="s">
        <v>858</v>
      </c>
      <c r="K59" t="s">
        <v>859</v>
      </c>
      <c r="L59" t="s">
        <v>860</v>
      </c>
      <c r="M59" t="s">
        <v>861</v>
      </c>
      <c r="N59" t="s">
        <v>862</v>
      </c>
      <c r="O59">
        <f>-901.81873156409 -25.9047638327193 -700.173035885169</f>
        <v>-1627.8965312819782</v>
      </c>
      <c r="P59">
        <f>-881.216003232154 -1.23080301895425 -385.287520400863</f>
        <v>-1267.7343266519713</v>
      </c>
      <c r="Q59">
        <f>-637.129610274057 -83.3433461297411 -348.93614326603</f>
        <v>-1069.409099669828</v>
      </c>
      <c r="R59" t="s">
        <v>863</v>
      </c>
      <c r="S59" t="s">
        <v>864</v>
      </c>
      <c r="T59" t="s">
        <v>865</v>
      </c>
      <c r="U59" t="s">
        <v>866</v>
      </c>
      <c r="V59" t="s">
        <v>867</v>
      </c>
      <c r="W59" t="s">
        <v>868</v>
      </c>
      <c r="X59" t="s">
        <v>869</v>
      </c>
      <c r="Y59" t="s">
        <v>870</v>
      </c>
    </row>
    <row r="60" spans="1:25" x14ac:dyDescent="0.3">
      <c r="A60">
        <v>2950</v>
      </c>
      <c r="B60" t="s">
        <v>871</v>
      </c>
      <c r="C60" t="s">
        <v>872</v>
      </c>
      <c r="D60" t="s">
        <v>873</v>
      </c>
      <c r="E60" t="s">
        <v>874</v>
      </c>
      <c r="F60" t="s">
        <v>875</v>
      </c>
      <c r="G60" t="s">
        <v>876</v>
      </c>
      <c r="H60" t="s">
        <v>877</v>
      </c>
      <c r="I60" t="s">
        <v>878</v>
      </c>
      <c r="J60" t="s">
        <v>879</v>
      </c>
      <c r="K60" t="s">
        <v>880</v>
      </c>
      <c r="L60" t="s">
        <v>881</v>
      </c>
      <c r="M60" t="s">
        <v>882</v>
      </c>
      <c r="N60" t="s">
        <v>883</v>
      </c>
      <c r="O60">
        <f>-897.02597805288 -19.7011672578583 -702.19613284973</f>
        <v>-1618.9232781604683</v>
      </c>
      <c r="P60" t="s">
        <v>884</v>
      </c>
      <c r="Q60">
        <f>-635.147336429418 -83.033684940835 -354.161071470813</f>
        <v>-1072.342092841066</v>
      </c>
      <c r="R60" t="s">
        <v>885</v>
      </c>
      <c r="S60" t="s">
        <v>886</v>
      </c>
      <c r="T60" t="s">
        <v>887</v>
      </c>
      <c r="U60" t="s">
        <v>888</v>
      </c>
      <c r="V60" t="s">
        <v>889</v>
      </c>
      <c r="W60" t="s">
        <v>890</v>
      </c>
      <c r="X60" t="s">
        <v>891</v>
      </c>
      <c r="Y60" t="s">
        <v>892</v>
      </c>
    </row>
    <row r="61" spans="1:25" x14ac:dyDescent="0.3">
      <c r="A61">
        <v>3000</v>
      </c>
      <c r="B61" t="s">
        <v>893</v>
      </c>
      <c r="C61" t="s">
        <v>894</v>
      </c>
      <c r="D61" t="s">
        <v>895</v>
      </c>
      <c r="E61" t="s">
        <v>896</v>
      </c>
      <c r="F61" t="s">
        <v>897</v>
      </c>
      <c r="G61" t="s">
        <v>898</v>
      </c>
      <c r="H61" t="s">
        <v>899</v>
      </c>
      <c r="I61" t="s">
        <v>900</v>
      </c>
      <c r="J61" t="s">
        <v>901</v>
      </c>
      <c r="K61" t="s">
        <v>902</v>
      </c>
      <c r="L61" t="s">
        <v>903</v>
      </c>
      <c r="M61" t="s">
        <v>904</v>
      </c>
      <c r="N61" t="s">
        <v>905</v>
      </c>
      <c r="O61">
        <f>-893.750818503102 -16.1974483309089 -703.529705340037</f>
        <v>-1613.4779721740479</v>
      </c>
      <c r="P61" t="s">
        <v>906</v>
      </c>
      <c r="Q61">
        <f>-633.992769874745 -82.2605338279388 -357.403597126213</f>
        <v>-1073.6569008288968</v>
      </c>
      <c r="R61" t="s">
        <v>907</v>
      </c>
      <c r="S61" t="s">
        <v>908</v>
      </c>
      <c r="T61" t="s">
        <v>909</v>
      </c>
      <c r="U61" t="s">
        <v>910</v>
      </c>
      <c r="V61" t="s">
        <v>911</v>
      </c>
      <c r="W61" t="s">
        <v>912</v>
      </c>
      <c r="X61" t="s">
        <v>913</v>
      </c>
      <c r="Y61" t="s">
        <v>914</v>
      </c>
    </row>
    <row r="62" spans="1:25" x14ac:dyDescent="0.3">
      <c r="A62">
        <v>3050</v>
      </c>
      <c r="B62" t="s">
        <v>915</v>
      </c>
      <c r="C62" t="s">
        <v>916</v>
      </c>
      <c r="D62" t="s">
        <v>917</v>
      </c>
      <c r="E62" t="s">
        <v>918</v>
      </c>
      <c r="F62" t="s">
        <v>919</v>
      </c>
      <c r="G62" t="s">
        <v>920</v>
      </c>
      <c r="H62" t="s">
        <v>921</v>
      </c>
      <c r="I62" t="s">
        <v>922</v>
      </c>
      <c r="J62" t="s">
        <v>923</v>
      </c>
      <c r="K62" t="s">
        <v>924</v>
      </c>
      <c r="L62" t="s">
        <v>925</v>
      </c>
      <c r="M62" t="s">
        <v>926</v>
      </c>
      <c r="N62" t="s">
        <v>927</v>
      </c>
      <c r="O62">
        <f>-879.838360970806 -10.5214390923391 -705.714291843527</f>
        <v>-1596.074091906672</v>
      </c>
      <c r="P62" t="s">
        <v>928</v>
      </c>
      <c r="Q62">
        <f>-624.323903925936 -81.5326577930985 -362.807867990796</f>
        <v>-1068.6644297098305</v>
      </c>
      <c r="R62" t="s">
        <v>929</v>
      </c>
      <c r="S62" t="s">
        <v>930</v>
      </c>
      <c r="T62" t="s">
        <v>931</v>
      </c>
      <c r="U62" t="s">
        <v>932</v>
      </c>
      <c r="V62" t="s">
        <v>933</v>
      </c>
      <c r="W62" t="s">
        <v>934</v>
      </c>
      <c r="X62" t="s">
        <v>935</v>
      </c>
      <c r="Y62" t="s">
        <v>936</v>
      </c>
    </row>
    <row r="63" spans="1:25" x14ac:dyDescent="0.3">
      <c r="A63">
        <v>3100</v>
      </c>
      <c r="B63" t="s">
        <v>937</v>
      </c>
      <c r="C63" t="s">
        <v>938</v>
      </c>
      <c r="D63" t="s">
        <v>939</v>
      </c>
      <c r="E63" t="s">
        <v>940</v>
      </c>
      <c r="F63" t="s">
        <v>941</v>
      </c>
      <c r="G63" t="s">
        <v>942</v>
      </c>
      <c r="H63" t="s">
        <v>943</v>
      </c>
      <c r="I63" t="s">
        <v>944</v>
      </c>
      <c r="J63" t="s">
        <v>945</v>
      </c>
      <c r="K63" t="s">
        <v>946</v>
      </c>
      <c r="L63" t="s">
        <v>947</v>
      </c>
      <c r="M63" t="s">
        <v>948</v>
      </c>
      <c r="N63" t="s">
        <v>949</v>
      </c>
      <c r="O63">
        <f>-871.340911754885 -7.47781581583445 -706.653046817233</f>
        <v>-1585.4717743879523</v>
      </c>
      <c r="P63" t="s">
        <v>950</v>
      </c>
      <c r="Q63">
        <f>-617.540154387079 -81.7527528267062 -365.394089119215</f>
        <v>-1064.6869963330003</v>
      </c>
      <c r="R63" t="s">
        <v>951</v>
      </c>
      <c r="S63" t="s">
        <v>952</v>
      </c>
      <c r="T63" t="s">
        <v>953</v>
      </c>
      <c r="U63" t="s">
        <v>954</v>
      </c>
      <c r="V63" t="s">
        <v>955</v>
      </c>
      <c r="W63" t="s">
        <v>956</v>
      </c>
      <c r="X63" t="s">
        <v>957</v>
      </c>
      <c r="Y63" t="s">
        <v>958</v>
      </c>
    </row>
    <row r="64" spans="1:25" x14ac:dyDescent="0.3">
      <c r="A64">
        <v>3150</v>
      </c>
      <c r="B64" t="s">
        <v>959</v>
      </c>
      <c r="C64" t="s">
        <v>960</v>
      </c>
      <c r="D64" t="s">
        <v>961</v>
      </c>
      <c r="E64" t="s">
        <v>962</v>
      </c>
      <c r="F64" t="s">
        <v>963</v>
      </c>
      <c r="G64" t="s">
        <v>964</v>
      </c>
      <c r="H64" t="s">
        <v>965</v>
      </c>
      <c r="I64" t="s">
        <v>966</v>
      </c>
      <c r="J64" t="s">
        <v>967</v>
      </c>
      <c r="K64" t="s">
        <v>968</v>
      </c>
      <c r="L64" t="s">
        <v>969</v>
      </c>
      <c r="M64" t="s">
        <v>970</v>
      </c>
      <c r="N64" t="s">
        <v>971</v>
      </c>
      <c r="O64">
        <f>-855.431708860871 -0.0785770156833223 -709.276429167492</f>
        <v>-1564.7867150440463</v>
      </c>
      <c r="P64" t="s">
        <v>972</v>
      </c>
      <c r="Q64">
        <f>-603.658588407225 -83.9935613949838 -369.202018312772</f>
        <v>-1056.8541681149809</v>
      </c>
      <c r="R64" t="s">
        <v>973</v>
      </c>
      <c r="S64" t="s">
        <v>974</v>
      </c>
      <c r="T64" t="s">
        <v>975</v>
      </c>
      <c r="U64" t="s">
        <v>976</v>
      </c>
      <c r="V64" t="s">
        <v>977</v>
      </c>
      <c r="W64" t="s">
        <v>978</v>
      </c>
      <c r="X64" t="s">
        <v>979</v>
      </c>
      <c r="Y64" t="s">
        <v>980</v>
      </c>
    </row>
    <row r="65" spans="1:25" x14ac:dyDescent="0.3">
      <c r="A65">
        <v>3200</v>
      </c>
      <c r="B65" t="s">
        <v>981</v>
      </c>
      <c r="C65" t="s">
        <v>982</v>
      </c>
      <c r="D65" t="s">
        <v>983</v>
      </c>
      <c r="E65" t="s">
        <v>984</v>
      </c>
      <c r="F65" t="s">
        <v>985</v>
      </c>
      <c r="G65" t="s">
        <v>986</v>
      </c>
      <c r="H65" t="s">
        <v>987</v>
      </c>
      <c r="I65" t="s">
        <v>988</v>
      </c>
      <c r="J65" t="s">
        <v>989</v>
      </c>
      <c r="K65" t="s">
        <v>990</v>
      </c>
      <c r="L65" t="s">
        <v>991</v>
      </c>
      <c r="M65" t="s">
        <v>992</v>
      </c>
      <c r="N65" t="s">
        <v>993</v>
      </c>
      <c r="O65" t="s">
        <v>994</v>
      </c>
      <c r="P65" t="s">
        <v>995</v>
      </c>
      <c r="Q65">
        <f>-596.209129740068 -84.7933804859674 -372.126871210605</f>
        <v>-1053.1293814366404</v>
      </c>
      <c r="R65" t="s">
        <v>996</v>
      </c>
      <c r="S65" t="s">
        <v>997</v>
      </c>
      <c r="T65" t="s">
        <v>998</v>
      </c>
      <c r="U65" t="s">
        <v>999</v>
      </c>
      <c r="V65" t="s">
        <v>1000</v>
      </c>
      <c r="W65" t="s">
        <v>1001</v>
      </c>
      <c r="X65" t="s">
        <v>1002</v>
      </c>
      <c r="Y65" t="s">
        <v>1003</v>
      </c>
    </row>
    <row r="66" spans="1:25" x14ac:dyDescent="0.3">
      <c r="A66">
        <v>3250</v>
      </c>
      <c r="B66" t="s">
        <v>1004</v>
      </c>
      <c r="C66" t="s">
        <v>1005</v>
      </c>
      <c r="D66" t="s">
        <v>1006</v>
      </c>
      <c r="E66" t="s">
        <v>1007</v>
      </c>
      <c r="F66" t="s">
        <v>1008</v>
      </c>
      <c r="G66" t="s">
        <v>1009</v>
      </c>
      <c r="H66" t="s">
        <v>1010</v>
      </c>
      <c r="I66" t="s">
        <v>1011</v>
      </c>
      <c r="J66" t="s">
        <v>1012</v>
      </c>
      <c r="K66" t="s">
        <v>1013</v>
      </c>
      <c r="L66" t="s">
        <v>1014</v>
      </c>
      <c r="M66" t="s">
        <v>1015</v>
      </c>
      <c r="N66" t="s">
        <v>1016</v>
      </c>
      <c r="O66" t="s">
        <v>1017</v>
      </c>
      <c r="P66" t="s">
        <v>1018</v>
      </c>
      <c r="Q66">
        <f>-579.016558731041 -79.7457092124932 -380.703918845157</f>
        <v>-1039.4661867886912</v>
      </c>
      <c r="R66" t="s">
        <v>1019</v>
      </c>
      <c r="S66" t="s">
        <v>1020</v>
      </c>
      <c r="T66" t="s">
        <v>1021</v>
      </c>
      <c r="U66" t="s">
        <v>1022</v>
      </c>
      <c r="V66" t="s">
        <v>1023</v>
      </c>
      <c r="W66" t="s">
        <v>1024</v>
      </c>
      <c r="X66" t="s">
        <v>1025</v>
      </c>
      <c r="Y66" t="s">
        <v>1026</v>
      </c>
    </row>
    <row r="67" spans="1:25" x14ac:dyDescent="0.3">
      <c r="A67">
        <v>3300</v>
      </c>
      <c r="B67" t="s">
        <v>1027</v>
      </c>
      <c r="C67" t="s">
        <v>1028</v>
      </c>
      <c r="D67" t="s">
        <v>1029</v>
      </c>
      <c r="E67" t="s">
        <v>1030</v>
      </c>
      <c r="F67" t="s">
        <v>1031</v>
      </c>
      <c r="G67" t="s">
        <v>1032</v>
      </c>
      <c r="H67" t="s">
        <v>1033</v>
      </c>
      <c r="I67" t="s">
        <v>1034</v>
      </c>
      <c r="J67" t="s">
        <v>1035</v>
      </c>
      <c r="K67" t="s">
        <v>1036</v>
      </c>
      <c r="L67" t="s">
        <v>1037</v>
      </c>
      <c r="M67" t="s">
        <v>1038</v>
      </c>
      <c r="N67" t="s">
        <v>1039</v>
      </c>
      <c r="O67" t="s">
        <v>1040</v>
      </c>
      <c r="P67" t="s">
        <v>1041</v>
      </c>
      <c r="Q67">
        <f>-571.090719598487 -75.3749994449554 -380.735317689842</f>
        <v>-1027.2010367332844</v>
      </c>
      <c r="R67" t="s">
        <v>1042</v>
      </c>
      <c r="S67" t="s">
        <v>1043</v>
      </c>
      <c r="T67" t="s">
        <v>1044</v>
      </c>
      <c r="U67" t="s">
        <v>1045</v>
      </c>
      <c r="V67" t="s">
        <v>1046</v>
      </c>
      <c r="W67" t="s">
        <v>1047</v>
      </c>
      <c r="X67" t="s">
        <v>1048</v>
      </c>
      <c r="Y67" t="s">
        <v>1049</v>
      </c>
    </row>
    <row r="68" spans="1:25" x14ac:dyDescent="0.3">
      <c r="A68">
        <v>3350</v>
      </c>
      <c r="B68" t="s">
        <v>1050</v>
      </c>
      <c r="C68" t="s">
        <v>1051</v>
      </c>
      <c r="D68" t="s">
        <v>1052</v>
      </c>
      <c r="E68" t="s">
        <v>1053</v>
      </c>
      <c r="F68" t="s">
        <v>1054</v>
      </c>
      <c r="G68" t="s">
        <v>1055</v>
      </c>
      <c r="H68" t="s">
        <v>1056</v>
      </c>
      <c r="I68" t="s">
        <v>1057</v>
      </c>
      <c r="J68" t="s">
        <v>1058</v>
      </c>
      <c r="K68" t="s">
        <v>1059</v>
      </c>
      <c r="L68" t="s">
        <v>1060</v>
      </c>
      <c r="M68" t="s">
        <v>1061</v>
      </c>
      <c r="N68" t="s">
        <v>1062</v>
      </c>
      <c r="O68" t="s">
        <v>1063</v>
      </c>
      <c r="P68" t="s">
        <v>1064</v>
      </c>
      <c r="Q68">
        <f>-556.735782367689 -69.1646710371874 -377.961463256822</f>
        <v>-1003.8619166616984</v>
      </c>
      <c r="R68" t="s">
        <v>1065</v>
      </c>
      <c r="S68" t="s">
        <v>1066</v>
      </c>
      <c r="T68" t="s">
        <v>1067</v>
      </c>
      <c r="U68" t="s">
        <v>1068</v>
      </c>
      <c r="V68" t="s">
        <v>1069</v>
      </c>
      <c r="W68" t="s">
        <v>1070</v>
      </c>
      <c r="X68" t="s">
        <v>1071</v>
      </c>
      <c r="Y68" t="s">
        <v>1072</v>
      </c>
    </row>
    <row r="69" spans="1:25" x14ac:dyDescent="0.3">
      <c r="A69">
        <v>3400</v>
      </c>
      <c r="B69" t="s">
        <v>1073</v>
      </c>
      <c r="C69" t="s">
        <v>1074</v>
      </c>
      <c r="D69" t="s">
        <v>1075</v>
      </c>
      <c r="E69" t="s">
        <v>1076</v>
      </c>
      <c r="F69" t="s">
        <v>1077</v>
      </c>
      <c r="G69" t="s">
        <v>1078</v>
      </c>
      <c r="H69" t="s">
        <v>1079</v>
      </c>
      <c r="I69" t="s">
        <v>1080</v>
      </c>
      <c r="J69" t="s">
        <v>1081</v>
      </c>
      <c r="K69" t="s">
        <v>1082</v>
      </c>
      <c r="L69" t="s">
        <v>1083</v>
      </c>
      <c r="M69" t="s">
        <v>1084</v>
      </c>
      <c r="N69" t="s">
        <v>1085</v>
      </c>
      <c r="O69" t="s">
        <v>1086</v>
      </c>
      <c r="P69" t="s">
        <v>1087</v>
      </c>
      <c r="Q69">
        <f>-548.678692067007 -65.836802012552 -376.139395097078</f>
        <v>-990.65488917663697</v>
      </c>
      <c r="R69" t="s">
        <v>1088</v>
      </c>
      <c r="S69" t="s">
        <v>1089</v>
      </c>
      <c r="T69" t="s">
        <v>1090</v>
      </c>
      <c r="U69" t="s">
        <v>1091</v>
      </c>
      <c r="V69" t="s">
        <v>1092</v>
      </c>
      <c r="W69" t="s">
        <v>1093</v>
      </c>
      <c r="X69" t="s">
        <v>1094</v>
      </c>
      <c r="Y69" t="s">
        <v>1095</v>
      </c>
    </row>
    <row r="70" spans="1:25" x14ac:dyDescent="0.3">
      <c r="A70">
        <v>3450</v>
      </c>
      <c r="B70" t="s">
        <v>1096</v>
      </c>
      <c r="C70" t="s">
        <v>1097</v>
      </c>
      <c r="D70" t="s">
        <v>1098</v>
      </c>
      <c r="E70" t="s">
        <v>1099</v>
      </c>
      <c r="F70" t="s">
        <v>1100</v>
      </c>
      <c r="G70" t="s">
        <v>1101</v>
      </c>
      <c r="H70" t="s">
        <v>1102</v>
      </c>
      <c r="I70" t="s">
        <v>1103</v>
      </c>
      <c r="J70" t="s">
        <v>1104</v>
      </c>
      <c r="K70" t="s">
        <v>1105</v>
      </c>
      <c r="L70" t="s">
        <v>1106</v>
      </c>
      <c r="M70" t="s">
        <v>1107</v>
      </c>
      <c r="N70" t="s">
        <v>1108</v>
      </c>
      <c r="O70" t="s">
        <v>1109</v>
      </c>
      <c r="P70" t="s">
        <v>1110</v>
      </c>
      <c r="Q70">
        <f>-537.020701163368 -61.0174727250908 -374.593434002554</f>
        <v>-972.63160789101278</v>
      </c>
      <c r="R70" t="s">
        <v>1111</v>
      </c>
      <c r="S70" t="s">
        <v>1112</v>
      </c>
      <c r="T70" t="s">
        <v>1113</v>
      </c>
      <c r="U70" t="s">
        <v>1114</v>
      </c>
      <c r="V70" t="s">
        <v>1115</v>
      </c>
      <c r="W70" t="s">
        <v>1116</v>
      </c>
      <c r="X70" t="s">
        <v>1117</v>
      </c>
      <c r="Y70" t="s">
        <v>1118</v>
      </c>
    </row>
    <row r="71" spans="1:25" x14ac:dyDescent="0.3">
      <c r="A71">
        <v>3500</v>
      </c>
      <c r="B71" t="s">
        <v>1119</v>
      </c>
      <c r="C71" t="s">
        <v>1120</v>
      </c>
      <c r="D71" t="s">
        <v>1121</v>
      </c>
      <c r="E71" t="s">
        <v>1122</v>
      </c>
      <c r="F71" t="s">
        <v>1123</v>
      </c>
      <c r="G71" t="s">
        <v>1124</v>
      </c>
      <c r="H71" t="s">
        <v>1125</v>
      </c>
      <c r="I71" t="s">
        <v>1126</v>
      </c>
      <c r="J71" t="s">
        <v>1127</v>
      </c>
      <c r="K71" t="s">
        <v>1128</v>
      </c>
      <c r="L71" t="s">
        <v>1129</v>
      </c>
      <c r="M71" t="s">
        <v>1130</v>
      </c>
      <c r="N71" t="s">
        <v>1131</v>
      </c>
      <c r="O71" t="s">
        <v>1132</v>
      </c>
      <c r="P71" t="s">
        <v>1133</v>
      </c>
      <c r="Q71">
        <f>-532.292795105508 -58.5309636737722 -378.209378362518</f>
        <v>-969.03313714179831</v>
      </c>
      <c r="R71" t="s">
        <v>1134</v>
      </c>
      <c r="S71" t="s">
        <v>1135</v>
      </c>
      <c r="T71" t="s">
        <v>1136</v>
      </c>
      <c r="U71" t="s">
        <v>1137</v>
      </c>
      <c r="V71" t="s">
        <v>1138</v>
      </c>
      <c r="W71" t="s">
        <v>1139</v>
      </c>
      <c r="X71" t="s">
        <v>1140</v>
      </c>
      <c r="Y71" t="s">
        <v>1141</v>
      </c>
    </row>
    <row r="72" spans="1:25" x14ac:dyDescent="0.3">
      <c r="A72">
        <v>3550</v>
      </c>
      <c r="B72" t="s">
        <v>1142</v>
      </c>
      <c r="C72" t="s">
        <v>1143</v>
      </c>
      <c r="D72" t="s">
        <v>1144</v>
      </c>
      <c r="E72" t="s">
        <v>1145</v>
      </c>
      <c r="F72" t="s">
        <v>1146</v>
      </c>
      <c r="G72" t="s">
        <v>1147</v>
      </c>
      <c r="H72" t="s">
        <v>1148</v>
      </c>
      <c r="I72" t="s">
        <v>1149</v>
      </c>
      <c r="J72" t="s">
        <v>1150</v>
      </c>
      <c r="K72" t="s">
        <v>1151</v>
      </c>
      <c r="L72" t="s">
        <v>1152</v>
      </c>
      <c r="M72" t="s">
        <v>1153</v>
      </c>
      <c r="N72" t="s">
        <v>1154</v>
      </c>
      <c r="O72" t="s">
        <v>1155</v>
      </c>
      <c r="P72" t="s">
        <v>1156</v>
      </c>
      <c r="Q72">
        <f>-525.171067066941 -53.8194543069051 -381.838294634229</f>
        <v>-960.82881600807502</v>
      </c>
      <c r="R72" t="s">
        <v>1157</v>
      </c>
      <c r="S72" t="s">
        <v>1158</v>
      </c>
      <c r="T72" t="s">
        <v>1159</v>
      </c>
      <c r="U72" t="s">
        <v>1160</v>
      </c>
      <c r="V72" t="s">
        <v>1161</v>
      </c>
      <c r="W72" t="s">
        <v>1162</v>
      </c>
      <c r="X72" t="s">
        <v>1163</v>
      </c>
      <c r="Y72" t="s">
        <v>1164</v>
      </c>
    </row>
    <row r="73" spans="1:25" x14ac:dyDescent="0.3">
      <c r="A73">
        <v>3600</v>
      </c>
      <c r="B73" t="s">
        <v>1165</v>
      </c>
      <c r="C73" t="s">
        <v>1166</v>
      </c>
      <c r="D73" t="s">
        <v>1167</v>
      </c>
      <c r="E73" t="s">
        <v>1168</v>
      </c>
      <c r="F73" t="s">
        <v>1169</v>
      </c>
      <c r="G73" t="s">
        <v>1170</v>
      </c>
      <c r="H73" t="s">
        <v>1171</v>
      </c>
      <c r="I73" t="s">
        <v>1172</v>
      </c>
      <c r="J73" t="s">
        <v>1173</v>
      </c>
      <c r="K73" t="s">
        <v>1174</v>
      </c>
      <c r="L73" t="s">
        <v>1175</v>
      </c>
      <c r="M73" t="s">
        <v>1176</v>
      </c>
      <c r="N73" t="s">
        <v>1177</v>
      </c>
      <c r="O73" t="s">
        <v>1178</v>
      </c>
      <c r="P73" t="s">
        <v>1179</v>
      </c>
      <c r="Q73">
        <f>-521.876226756555 -53.1879986581271 -384.016840330864</f>
        <v>-959.08106574554608</v>
      </c>
      <c r="R73" t="s">
        <v>1180</v>
      </c>
      <c r="S73" t="s">
        <v>1181</v>
      </c>
      <c r="T73" t="s">
        <v>1182</v>
      </c>
      <c r="U73" t="s">
        <v>1183</v>
      </c>
      <c r="V73" t="s">
        <v>1184</v>
      </c>
      <c r="W73" t="s">
        <v>1185</v>
      </c>
      <c r="X73" t="s">
        <v>1186</v>
      </c>
      <c r="Y73" t="s">
        <v>1187</v>
      </c>
    </row>
    <row r="74" spans="1:25" x14ac:dyDescent="0.3">
      <c r="A74">
        <v>3650</v>
      </c>
      <c r="B74" t="s">
        <v>1188</v>
      </c>
      <c r="C74" t="s">
        <v>1189</v>
      </c>
      <c r="D74" t="s">
        <v>1190</v>
      </c>
      <c r="E74" t="s">
        <v>1191</v>
      </c>
      <c r="F74" t="s">
        <v>1192</v>
      </c>
      <c r="G74" t="s">
        <v>1193</v>
      </c>
      <c r="H74" t="s">
        <v>1194</v>
      </c>
      <c r="I74" t="s">
        <v>1195</v>
      </c>
      <c r="J74" t="s">
        <v>1196</v>
      </c>
      <c r="K74" t="s">
        <v>1197</v>
      </c>
      <c r="L74" t="s">
        <v>1198</v>
      </c>
      <c r="M74" t="s">
        <v>1199</v>
      </c>
      <c r="N74" t="s">
        <v>1200</v>
      </c>
      <c r="O74" t="s">
        <v>1201</v>
      </c>
      <c r="P74" t="s">
        <v>1202</v>
      </c>
      <c r="Q74">
        <f>-515.661239720526 -31.3257679918916 -392.410510684187</f>
        <v>-939.3975183966046</v>
      </c>
      <c r="R74" t="s">
        <v>1203</v>
      </c>
      <c r="S74" t="s">
        <v>1204</v>
      </c>
      <c r="T74" t="s">
        <v>1205</v>
      </c>
      <c r="U74" t="s">
        <v>1206</v>
      </c>
      <c r="V74" t="s">
        <v>1207</v>
      </c>
      <c r="W74" t="s">
        <v>1208</v>
      </c>
      <c r="X74" t="s">
        <v>1209</v>
      </c>
      <c r="Y74" t="s">
        <v>1210</v>
      </c>
    </row>
    <row r="75" spans="1:25" x14ac:dyDescent="0.3">
      <c r="A75">
        <v>3700</v>
      </c>
      <c r="B75" t="s">
        <v>1211</v>
      </c>
      <c r="C75" t="s">
        <v>1212</v>
      </c>
      <c r="D75" t="s">
        <v>1213</v>
      </c>
      <c r="E75" t="s">
        <v>1214</v>
      </c>
      <c r="F75" t="s">
        <v>1215</v>
      </c>
      <c r="G75" t="s">
        <v>1216</v>
      </c>
      <c r="H75" t="s">
        <v>1217</v>
      </c>
      <c r="I75" t="s">
        <v>1218</v>
      </c>
      <c r="J75" t="s">
        <v>1219</v>
      </c>
      <c r="K75" t="s">
        <v>1220</v>
      </c>
      <c r="L75" t="s">
        <v>1221</v>
      </c>
      <c r="M75" t="s">
        <v>1222</v>
      </c>
      <c r="N75" t="s">
        <v>1223</v>
      </c>
      <c r="O75" t="s">
        <v>1224</v>
      </c>
      <c r="P75" t="s">
        <v>1225</v>
      </c>
      <c r="Q75">
        <f>-515.045205349249 -22.3624458954901 -396.838121411497</f>
        <v>-934.24577265623611</v>
      </c>
      <c r="R75" t="s">
        <v>1226</v>
      </c>
      <c r="S75" t="s">
        <v>1227</v>
      </c>
      <c r="T75" t="s">
        <v>1228</v>
      </c>
      <c r="U75" t="s">
        <v>1229</v>
      </c>
      <c r="V75" t="s">
        <v>1230</v>
      </c>
      <c r="W75" t="s">
        <v>1231</v>
      </c>
      <c r="X75" t="s">
        <v>1232</v>
      </c>
      <c r="Y75" t="s">
        <v>1233</v>
      </c>
    </row>
    <row r="76" spans="1:25" x14ac:dyDescent="0.3">
      <c r="A76">
        <v>3750</v>
      </c>
      <c r="B76" t="s">
        <v>1234</v>
      </c>
      <c r="C76" t="s">
        <v>1235</v>
      </c>
      <c r="D76" t="s">
        <v>1236</v>
      </c>
      <c r="E76" t="s">
        <v>1237</v>
      </c>
      <c r="F76" t="s">
        <v>1238</v>
      </c>
      <c r="G76" t="s">
        <v>1239</v>
      </c>
      <c r="H76" t="s">
        <v>1240</v>
      </c>
      <c r="I76" t="s">
        <v>1241</v>
      </c>
      <c r="J76" t="s">
        <v>1242</v>
      </c>
      <c r="K76" t="s">
        <v>1243</v>
      </c>
      <c r="L76" t="s">
        <v>1244</v>
      </c>
      <c r="M76" t="s">
        <v>1245</v>
      </c>
      <c r="N76" t="s">
        <v>1246</v>
      </c>
      <c r="O76" t="s">
        <v>1247</v>
      </c>
      <c r="P76" t="s">
        <v>1248</v>
      </c>
      <c r="Q76">
        <f>-513.027071425579 -11.2627287993996 -404.363494189759</f>
        <v>-928.65329441473773</v>
      </c>
      <c r="R76" t="s">
        <v>1249</v>
      </c>
      <c r="S76" t="s">
        <v>1250</v>
      </c>
      <c r="T76" t="s">
        <v>1251</v>
      </c>
      <c r="U76" t="s">
        <v>1252</v>
      </c>
      <c r="V76" t="s">
        <v>1253</v>
      </c>
      <c r="W76" t="s">
        <v>1254</v>
      </c>
      <c r="X76" t="s">
        <v>1255</v>
      </c>
      <c r="Y76" t="s">
        <v>1256</v>
      </c>
    </row>
    <row r="77" spans="1:25" x14ac:dyDescent="0.3">
      <c r="A77">
        <v>3800</v>
      </c>
      <c r="B77" t="s">
        <v>1257</v>
      </c>
      <c r="C77" t="s">
        <v>1258</v>
      </c>
      <c r="D77" t="s">
        <v>1259</v>
      </c>
      <c r="E77" t="s">
        <v>1260</v>
      </c>
      <c r="F77" t="s">
        <v>1261</v>
      </c>
      <c r="G77" t="s">
        <v>1262</v>
      </c>
      <c r="H77" t="s">
        <v>1263</v>
      </c>
      <c r="I77" t="s">
        <v>1264</v>
      </c>
      <c r="J77" t="s">
        <v>1265</v>
      </c>
      <c r="K77" t="s">
        <v>1266</v>
      </c>
      <c r="L77" t="s">
        <v>1267</v>
      </c>
      <c r="M77" t="s">
        <v>1268</v>
      </c>
      <c r="N77" t="s">
        <v>1269</v>
      </c>
      <c r="O77" t="s">
        <v>1270</v>
      </c>
      <c r="P77" t="s">
        <v>1271</v>
      </c>
      <c r="Q77">
        <f>-511.942316705636 -7.77770239893835 -407.162975856476</f>
        <v>-926.88299496105037</v>
      </c>
      <c r="R77" t="s">
        <v>1272</v>
      </c>
      <c r="S77" t="s">
        <v>1273</v>
      </c>
      <c r="T77" t="s">
        <v>1274</v>
      </c>
      <c r="U77" t="s">
        <v>1275</v>
      </c>
      <c r="V77" t="s">
        <v>1276</v>
      </c>
      <c r="W77" t="s">
        <v>1277</v>
      </c>
      <c r="X77" t="s">
        <v>1278</v>
      </c>
      <c r="Y77" t="s">
        <v>1279</v>
      </c>
    </row>
    <row r="78" spans="1:25" x14ac:dyDescent="0.3">
      <c r="A78">
        <v>3850</v>
      </c>
      <c r="B78" t="s">
        <v>1280</v>
      </c>
      <c r="C78" t="s">
        <v>1281</v>
      </c>
      <c r="D78" t="s">
        <v>1282</v>
      </c>
      <c r="E78" t="s">
        <v>1283</v>
      </c>
      <c r="F78" t="s">
        <v>1284</v>
      </c>
      <c r="G78" t="s">
        <v>1285</v>
      </c>
      <c r="H78" t="s">
        <v>1286</v>
      </c>
      <c r="I78" t="s">
        <v>1287</v>
      </c>
      <c r="J78" t="s">
        <v>1288</v>
      </c>
      <c r="K78" t="s">
        <v>1289</v>
      </c>
      <c r="L78" t="s">
        <v>1290</v>
      </c>
      <c r="M78" t="s">
        <v>1291</v>
      </c>
      <c r="N78" t="s">
        <v>1292</v>
      </c>
      <c r="O78" t="s">
        <v>1293</v>
      </c>
      <c r="P78" t="s">
        <v>1294</v>
      </c>
      <c r="Q78">
        <f>-509.08331567551 -5.0945131264948 -412.016103530461</f>
        <v>-926.19393233246581</v>
      </c>
      <c r="R78" t="s">
        <v>1295</v>
      </c>
      <c r="S78" t="s">
        <v>1296</v>
      </c>
      <c r="T78" t="s">
        <v>1297</v>
      </c>
      <c r="U78" t="s">
        <v>1298</v>
      </c>
      <c r="V78" t="s">
        <v>1299</v>
      </c>
      <c r="W78" t="s">
        <v>1300</v>
      </c>
      <c r="X78" t="s">
        <v>1301</v>
      </c>
      <c r="Y78" t="s">
        <v>1302</v>
      </c>
    </row>
    <row r="79" spans="1:25" x14ac:dyDescent="0.3">
      <c r="A79">
        <v>3900</v>
      </c>
      <c r="B79" t="s">
        <v>1303</v>
      </c>
      <c r="C79" t="s">
        <v>1304</v>
      </c>
      <c r="D79" t="s">
        <v>1305</v>
      </c>
      <c r="E79" t="s">
        <v>1306</v>
      </c>
      <c r="F79" t="s">
        <v>1307</v>
      </c>
      <c r="G79" t="s">
        <v>1308</v>
      </c>
      <c r="H79" t="s">
        <v>1309</v>
      </c>
      <c r="I79" t="s">
        <v>1310</v>
      </c>
      <c r="J79" t="s">
        <v>1311</v>
      </c>
      <c r="K79" t="s">
        <v>1312</v>
      </c>
      <c r="L79" t="s">
        <v>1313</v>
      </c>
      <c r="M79" t="s">
        <v>1314</v>
      </c>
      <c r="N79" t="s">
        <v>1315</v>
      </c>
      <c r="O79" t="s">
        <v>1316</v>
      </c>
      <c r="P79" t="s">
        <v>1317</v>
      </c>
      <c r="Q79">
        <f>-506.769806889571 -5.79552875296849 -413.188257396836</f>
        <v>-925.75359303937546</v>
      </c>
      <c r="R79" t="s">
        <v>1318</v>
      </c>
      <c r="S79" t="s">
        <v>1319</v>
      </c>
      <c r="T79" t="s">
        <v>1320</v>
      </c>
      <c r="U79" t="s">
        <v>1321</v>
      </c>
      <c r="V79" t="s">
        <v>1322</v>
      </c>
      <c r="W79" t="s">
        <v>1323</v>
      </c>
      <c r="X79" t="s">
        <v>1324</v>
      </c>
      <c r="Y79" t="s">
        <v>1325</v>
      </c>
    </row>
    <row r="80" spans="1:25" x14ac:dyDescent="0.3">
      <c r="A80">
        <v>3950</v>
      </c>
      <c r="B80" t="s">
        <v>1326</v>
      </c>
      <c r="C80" t="s">
        <v>1327</v>
      </c>
      <c r="D80" t="s">
        <v>1328</v>
      </c>
      <c r="E80" t="s">
        <v>1329</v>
      </c>
      <c r="F80" t="s">
        <v>1330</v>
      </c>
      <c r="G80" t="s">
        <v>1331</v>
      </c>
      <c r="H80" t="s">
        <v>1332</v>
      </c>
      <c r="I80" t="s">
        <v>1333</v>
      </c>
      <c r="J80" t="s">
        <v>1334</v>
      </c>
      <c r="K80" t="s">
        <v>1335</v>
      </c>
      <c r="L80" t="s">
        <v>1336</v>
      </c>
      <c r="M80" t="s">
        <v>1337</v>
      </c>
      <c r="N80" t="s">
        <v>1338</v>
      </c>
      <c r="O80" t="s">
        <v>1339</v>
      </c>
      <c r="P80" t="s">
        <v>1340</v>
      </c>
      <c r="Q80">
        <f>-501.479859635957 -9.93534928021472 -412.403819797703</f>
        <v>-923.81902871387479</v>
      </c>
      <c r="R80" t="s">
        <v>1341</v>
      </c>
      <c r="S80" t="s">
        <v>1342</v>
      </c>
      <c r="T80" t="s">
        <v>1343</v>
      </c>
      <c r="U80" t="s">
        <v>1344</v>
      </c>
      <c r="V80" t="s">
        <v>1345</v>
      </c>
      <c r="W80" t="s">
        <v>1346</v>
      </c>
      <c r="X80" t="s">
        <v>1347</v>
      </c>
      <c r="Y80" t="s">
        <v>1348</v>
      </c>
    </row>
    <row r="81" spans="1:25" x14ac:dyDescent="0.3">
      <c r="A81">
        <v>4000</v>
      </c>
      <c r="B81" t="s">
        <v>1349</v>
      </c>
      <c r="C81" t="s">
        <v>1350</v>
      </c>
      <c r="D81" t="s">
        <v>1351</v>
      </c>
      <c r="E81" t="s">
        <v>1352</v>
      </c>
      <c r="F81" t="s">
        <v>1353</v>
      </c>
      <c r="G81" t="s">
        <v>1354</v>
      </c>
      <c r="H81" t="s">
        <v>1355</v>
      </c>
      <c r="I81" t="s">
        <v>1356</v>
      </c>
      <c r="J81" t="s">
        <v>1357</v>
      </c>
      <c r="K81" t="s">
        <v>1358</v>
      </c>
      <c r="L81" t="s">
        <v>1359</v>
      </c>
      <c r="M81" t="s">
        <v>1360</v>
      </c>
      <c r="N81" t="s">
        <v>1361</v>
      </c>
      <c r="O81" t="s">
        <v>1362</v>
      </c>
      <c r="P81" t="s">
        <v>1363</v>
      </c>
      <c r="Q81">
        <f>-499.717765134964 -10.9297436153995 -410.523483097787</f>
        <v>-921.17099184815049</v>
      </c>
      <c r="R81" t="s">
        <v>1364</v>
      </c>
      <c r="S81" t="s">
        <v>1365</v>
      </c>
      <c r="T81" t="s">
        <v>1366</v>
      </c>
      <c r="U81" t="s">
        <v>1367</v>
      </c>
      <c r="V81" t="s">
        <v>1368</v>
      </c>
      <c r="W81" t="s">
        <v>1369</v>
      </c>
      <c r="X81" t="s">
        <v>1370</v>
      </c>
      <c r="Y81" t="s">
        <v>1371</v>
      </c>
    </row>
    <row r="82" spans="1:25" x14ac:dyDescent="0.3">
      <c r="A82">
        <v>4050</v>
      </c>
      <c r="B82" t="s">
        <v>1372</v>
      </c>
      <c r="C82" t="s">
        <v>1373</v>
      </c>
      <c r="D82" t="s">
        <v>1374</v>
      </c>
      <c r="E82" t="s">
        <v>1375</v>
      </c>
      <c r="F82" t="s">
        <v>1376</v>
      </c>
      <c r="G82" t="s">
        <v>1377</v>
      </c>
      <c r="H82" t="s">
        <v>1378</v>
      </c>
      <c r="I82" t="s">
        <v>1379</v>
      </c>
      <c r="J82" t="s">
        <v>1380</v>
      </c>
      <c r="K82" t="s">
        <v>1381</v>
      </c>
      <c r="L82" t="s">
        <v>1382</v>
      </c>
      <c r="M82" t="s">
        <v>1383</v>
      </c>
      <c r="N82" t="s">
        <v>1384</v>
      </c>
      <c r="O82" t="s">
        <v>1385</v>
      </c>
      <c r="P82" t="s">
        <v>1386</v>
      </c>
      <c r="Q82">
        <f>-498.445306149864 -9.53830683186288 -407.000990892724</f>
        <v>-914.98460387445084</v>
      </c>
      <c r="R82" t="s">
        <v>1387</v>
      </c>
      <c r="S82" t="s">
        <v>1388</v>
      </c>
      <c r="T82" t="s">
        <v>1389</v>
      </c>
      <c r="U82" t="s">
        <v>1390</v>
      </c>
      <c r="V82" t="s">
        <v>1391</v>
      </c>
      <c r="W82" t="s">
        <v>1392</v>
      </c>
      <c r="X82" t="s">
        <v>1393</v>
      </c>
      <c r="Y82" t="s">
        <v>1394</v>
      </c>
    </row>
    <row r="83" spans="1:25" x14ac:dyDescent="0.3">
      <c r="A83">
        <v>4100</v>
      </c>
      <c r="B83" t="s">
        <v>1395</v>
      </c>
      <c r="C83" t="s">
        <v>1396</v>
      </c>
      <c r="D83" t="s">
        <v>1397</v>
      </c>
      <c r="E83" t="s">
        <v>1398</v>
      </c>
      <c r="F83" t="s">
        <v>1399</v>
      </c>
      <c r="G83" t="s">
        <v>1400</v>
      </c>
      <c r="H83" t="s">
        <v>1401</v>
      </c>
      <c r="I83" t="s">
        <v>1402</v>
      </c>
      <c r="J83" t="s">
        <v>1403</v>
      </c>
      <c r="K83" t="s">
        <v>1404</v>
      </c>
      <c r="L83" t="s">
        <v>1405</v>
      </c>
      <c r="M83" t="s">
        <v>1406</v>
      </c>
      <c r="N83" t="s">
        <v>1407</v>
      </c>
      <c r="O83" t="s">
        <v>1408</v>
      </c>
      <c r="P83" t="s">
        <v>1409</v>
      </c>
      <c r="Q83">
        <f>-498.242024818313 -9.4548823267537 -406.107944944795</f>
        <v>-913.8048520898617</v>
      </c>
      <c r="R83" t="s">
        <v>1410</v>
      </c>
      <c r="S83" t="s">
        <v>1411</v>
      </c>
      <c r="T83" t="s">
        <v>1412</v>
      </c>
      <c r="U83" t="s">
        <v>1413</v>
      </c>
      <c r="V83" t="s">
        <v>1414</v>
      </c>
      <c r="W83" t="s">
        <v>1415</v>
      </c>
      <c r="X83" t="s">
        <v>1416</v>
      </c>
      <c r="Y83" t="s">
        <v>1417</v>
      </c>
    </row>
    <row r="84" spans="1:25" x14ac:dyDescent="0.3">
      <c r="A84">
        <v>4150</v>
      </c>
      <c r="B84" t="s">
        <v>1418</v>
      </c>
      <c r="C84" t="s">
        <v>1419</v>
      </c>
      <c r="D84" t="s">
        <v>1420</v>
      </c>
      <c r="E84" t="s">
        <v>1421</v>
      </c>
      <c r="F84" t="s">
        <v>1422</v>
      </c>
      <c r="G84" t="s">
        <v>1423</v>
      </c>
      <c r="H84" t="s">
        <v>1424</v>
      </c>
      <c r="I84" t="s">
        <v>1425</v>
      </c>
      <c r="J84" t="s">
        <v>1426</v>
      </c>
      <c r="K84" t="s">
        <v>1427</v>
      </c>
      <c r="L84" t="s">
        <v>1428</v>
      </c>
      <c r="M84" t="s">
        <v>1429</v>
      </c>
      <c r="N84" t="s">
        <v>1430</v>
      </c>
      <c r="O84" t="s">
        <v>1431</v>
      </c>
      <c r="P84" t="s">
        <v>1432</v>
      </c>
      <c r="Q84">
        <f>-498.566690697065 -13.4500030419074 -405.370448543404</f>
        <v>-917.38714228237643</v>
      </c>
      <c r="R84" t="s">
        <v>1433</v>
      </c>
      <c r="S84" t="s">
        <v>1434</v>
      </c>
      <c r="T84" t="s">
        <v>1435</v>
      </c>
      <c r="U84" t="s">
        <v>1436</v>
      </c>
      <c r="V84" t="s">
        <v>1437</v>
      </c>
      <c r="W84" t="s">
        <v>1438</v>
      </c>
      <c r="X84" t="s">
        <v>1439</v>
      </c>
      <c r="Y84" t="s">
        <v>1440</v>
      </c>
    </row>
    <row r="85" spans="1:25" x14ac:dyDescent="0.3">
      <c r="A85">
        <v>4200</v>
      </c>
      <c r="B85" t="s">
        <v>1441</v>
      </c>
      <c r="C85" t="s">
        <v>1442</v>
      </c>
      <c r="D85" t="s">
        <v>1443</v>
      </c>
      <c r="E85" t="s">
        <v>1444</v>
      </c>
      <c r="F85" t="s">
        <v>1445</v>
      </c>
      <c r="G85" t="s">
        <v>1446</v>
      </c>
      <c r="H85" t="s">
        <v>1447</v>
      </c>
      <c r="I85" t="s">
        <v>1448</v>
      </c>
      <c r="J85" t="s">
        <v>1449</v>
      </c>
      <c r="K85" t="s">
        <v>1450</v>
      </c>
      <c r="L85" t="s">
        <v>1451</v>
      </c>
      <c r="M85" t="s">
        <v>1452</v>
      </c>
      <c r="N85" t="s">
        <v>1453</v>
      </c>
      <c r="O85" t="s">
        <v>1454</v>
      </c>
      <c r="P85" t="s">
        <v>1455</v>
      </c>
      <c r="Q85">
        <f>-499.760808607436 -13.628403939 -406.110848065143</f>
        <v>-919.50006061157887</v>
      </c>
      <c r="R85" t="s">
        <v>1456</v>
      </c>
      <c r="S85" t="s">
        <v>1457</v>
      </c>
      <c r="T85" t="s">
        <v>1458</v>
      </c>
      <c r="U85" t="s">
        <v>1459</v>
      </c>
      <c r="V85" t="s">
        <v>1460</v>
      </c>
      <c r="W85" t="s">
        <v>1461</v>
      </c>
      <c r="X85" t="s">
        <v>1462</v>
      </c>
      <c r="Y85" t="s">
        <v>1463</v>
      </c>
    </row>
    <row r="86" spans="1:25" x14ac:dyDescent="0.3">
      <c r="A86">
        <v>4250</v>
      </c>
      <c r="B86" t="s">
        <v>1464</v>
      </c>
      <c r="C86" t="s">
        <v>1465</v>
      </c>
      <c r="D86" t="s">
        <v>1466</v>
      </c>
      <c r="E86" t="s">
        <v>1467</v>
      </c>
      <c r="F86" t="s">
        <v>1468</v>
      </c>
      <c r="G86" t="s">
        <v>1469</v>
      </c>
      <c r="H86" t="s">
        <v>1470</v>
      </c>
      <c r="I86" t="s">
        <v>1471</v>
      </c>
      <c r="J86" t="s">
        <v>1472</v>
      </c>
      <c r="K86" t="s">
        <v>1473</v>
      </c>
      <c r="L86" t="s">
        <v>1474</v>
      </c>
      <c r="M86" t="s">
        <v>1475</v>
      </c>
      <c r="N86" t="s">
        <v>1476</v>
      </c>
      <c r="O86" t="s">
        <v>1477</v>
      </c>
      <c r="P86" t="s">
        <v>1478</v>
      </c>
      <c r="Q86">
        <f>-501.095110841066 -14.5090803865098 -407.55325065196</f>
        <v>-923.15744187953578</v>
      </c>
      <c r="R86" t="s">
        <v>1479</v>
      </c>
      <c r="S86" t="s">
        <v>1480</v>
      </c>
      <c r="T86" t="s">
        <v>1481</v>
      </c>
      <c r="U86" t="s">
        <v>1482</v>
      </c>
      <c r="V86" t="s">
        <v>1483</v>
      </c>
      <c r="W86" t="s">
        <v>1484</v>
      </c>
      <c r="X86" t="s">
        <v>1485</v>
      </c>
      <c r="Y86" t="s">
        <v>1486</v>
      </c>
    </row>
    <row r="87" spans="1:25" x14ac:dyDescent="0.3">
      <c r="A87">
        <v>4300</v>
      </c>
      <c r="B87" t="s">
        <v>1487</v>
      </c>
      <c r="C87" t="s">
        <v>1488</v>
      </c>
      <c r="D87" t="s">
        <v>1489</v>
      </c>
      <c r="E87" t="s">
        <v>1490</v>
      </c>
      <c r="F87" t="s">
        <v>1491</v>
      </c>
      <c r="G87" t="s">
        <v>1492</v>
      </c>
      <c r="H87" t="s">
        <v>1493</v>
      </c>
      <c r="I87" t="s">
        <v>1494</v>
      </c>
      <c r="J87" t="s">
        <v>1495</v>
      </c>
      <c r="K87" t="s">
        <v>1496</v>
      </c>
      <c r="L87" t="s">
        <v>1497</v>
      </c>
      <c r="M87" t="s">
        <v>1498</v>
      </c>
      <c r="N87" t="s">
        <v>1499</v>
      </c>
      <c r="O87" t="s">
        <v>1500</v>
      </c>
      <c r="P87" t="s">
        <v>1501</v>
      </c>
      <c r="Q87">
        <f>-500.82366079136 -14.435715965911 -409.555102218075</f>
        <v>-924.81447897534599</v>
      </c>
      <c r="R87" t="s">
        <v>1502</v>
      </c>
      <c r="S87" t="s">
        <v>1503</v>
      </c>
      <c r="T87" t="s">
        <v>1504</v>
      </c>
      <c r="U87" t="s">
        <v>1505</v>
      </c>
      <c r="V87" t="s">
        <v>1506</v>
      </c>
      <c r="W87" t="s">
        <v>1507</v>
      </c>
      <c r="X87" t="s">
        <v>1508</v>
      </c>
      <c r="Y87" t="s">
        <v>1509</v>
      </c>
    </row>
    <row r="88" spans="1:25" x14ac:dyDescent="0.3">
      <c r="A88">
        <v>4350</v>
      </c>
      <c r="B88" t="s">
        <v>1510</v>
      </c>
      <c r="C88" t="s">
        <v>1511</v>
      </c>
      <c r="D88" t="s">
        <v>1512</v>
      </c>
      <c r="E88" t="s">
        <v>1513</v>
      </c>
      <c r="F88" t="s">
        <v>1514</v>
      </c>
      <c r="G88" t="s">
        <v>1515</v>
      </c>
      <c r="H88" t="s">
        <v>1516</v>
      </c>
      <c r="I88" t="s">
        <v>1517</v>
      </c>
      <c r="J88" t="s">
        <v>1518</v>
      </c>
      <c r="K88" t="s">
        <v>1519</v>
      </c>
      <c r="L88" t="s">
        <v>1520</v>
      </c>
      <c r="M88" t="s">
        <v>1521</v>
      </c>
      <c r="N88" t="s">
        <v>1522</v>
      </c>
      <c r="O88" t="s">
        <v>1523</v>
      </c>
      <c r="P88" t="s">
        <v>1524</v>
      </c>
      <c r="Q88">
        <f>-498.958603465333 -12.811240919074 -411.127324680524</f>
        <v>-922.89716906493095</v>
      </c>
      <c r="R88" t="s">
        <v>1525</v>
      </c>
      <c r="S88" t="s">
        <v>1526</v>
      </c>
      <c r="T88" t="s">
        <v>1527</v>
      </c>
      <c r="U88" t="s">
        <v>1528</v>
      </c>
      <c r="V88" t="s">
        <v>1529</v>
      </c>
      <c r="W88" t="s">
        <v>1530</v>
      </c>
      <c r="X88" t="s">
        <v>1531</v>
      </c>
      <c r="Y88" t="s">
        <v>1532</v>
      </c>
    </row>
    <row r="89" spans="1:25" x14ac:dyDescent="0.3">
      <c r="A89">
        <v>4400</v>
      </c>
      <c r="B89" t="s">
        <v>1533</v>
      </c>
      <c r="C89" t="s">
        <v>1534</v>
      </c>
      <c r="D89" t="s">
        <v>1535</v>
      </c>
      <c r="E89" t="s">
        <v>1536</v>
      </c>
      <c r="F89" t="s">
        <v>1537</v>
      </c>
      <c r="G89" t="s">
        <v>1538</v>
      </c>
      <c r="H89" t="s">
        <v>1539</v>
      </c>
      <c r="I89" t="s">
        <v>1540</v>
      </c>
      <c r="J89" t="s">
        <v>1541</v>
      </c>
      <c r="K89" t="s">
        <v>1542</v>
      </c>
      <c r="L89" t="s">
        <v>1543</v>
      </c>
      <c r="M89" t="s">
        <v>1544</v>
      </c>
      <c r="N89" t="s">
        <v>1545</v>
      </c>
      <c r="O89" t="s">
        <v>1546</v>
      </c>
      <c r="P89" t="s">
        <v>1547</v>
      </c>
      <c r="Q89">
        <f>-498.104166462226 -10.8752013197238 -408.658066290186</f>
        <v>-917.63743407213587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</row>
    <row r="90" spans="1:25" x14ac:dyDescent="0.3">
      <c r="A90">
        <v>4450</v>
      </c>
      <c r="B90" t="s">
        <v>1556</v>
      </c>
      <c r="C90" t="s">
        <v>1557</v>
      </c>
      <c r="D90" t="s">
        <v>1558</v>
      </c>
      <c r="E90" t="s">
        <v>1559</v>
      </c>
      <c r="F90" t="s">
        <v>1560</v>
      </c>
      <c r="G90" t="s">
        <v>1561</v>
      </c>
      <c r="H90" t="s">
        <v>1562</v>
      </c>
      <c r="I90" t="s">
        <v>1563</v>
      </c>
      <c r="J90" t="s">
        <v>1564</v>
      </c>
      <c r="K90" t="s">
        <v>1565</v>
      </c>
      <c r="L90" t="s">
        <v>1566</v>
      </c>
      <c r="M90" t="s">
        <v>1567</v>
      </c>
      <c r="N90" t="s">
        <v>1568</v>
      </c>
      <c r="O90" t="s">
        <v>1569</v>
      </c>
      <c r="P90" t="s">
        <v>1570</v>
      </c>
      <c r="Q90">
        <f>-499.848962738008 -1.17020278932955 -402.760638155646</f>
        <v>-903.77980368298358</v>
      </c>
      <c r="R90" t="s">
        <v>1571</v>
      </c>
      <c r="S90" t="s">
        <v>1572</v>
      </c>
      <c r="T90" t="s">
        <v>1573</v>
      </c>
      <c r="U90" t="s">
        <v>1574</v>
      </c>
      <c r="V90" t="s">
        <v>1575</v>
      </c>
      <c r="W90" t="s">
        <v>1576</v>
      </c>
      <c r="X90" t="s">
        <v>1577</v>
      </c>
      <c r="Y90" t="s">
        <v>1578</v>
      </c>
    </row>
    <row r="91" spans="1:25" x14ac:dyDescent="0.3">
      <c r="A91">
        <v>4500</v>
      </c>
      <c r="B91" t="s">
        <v>1579</v>
      </c>
      <c r="C91" t="s">
        <v>1580</v>
      </c>
      <c r="D91" t="s">
        <v>1581</v>
      </c>
      <c r="E91" t="s">
        <v>1582</v>
      </c>
      <c r="F91" t="s">
        <v>1583</v>
      </c>
      <c r="G91" t="s">
        <v>1584</v>
      </c>
      <c r="H91" t="s">
        <v>1585</v>
      </c>
      <c r="I91" t="s">
        <v>1586</v>
      </c>
      <c r="J91" t="s">
        <v>1587</v>
      </c>
      <c r="K91" t="s">
        <v>1588</v>
      </c>
      <c r="L91" t="s">
        <v>1589</v>
      </c>
      <c r="M91" t="s">
        <v>1590</v>
      </c>
      <c r="N91" t="s">
        <v>1591</v>
      </c>
      <c r="O91" t="s">
        <v>1592</v>
      </c>
      <c r="P91" t="s">
        <v>1593</v>
      </c>
      <c r="Q91" t="s">
        <v>1594</v>
      </c>
      <c r="R91" t="s">
        <v>1595</v>
      </c>
      <c r="S91" t="s">
        <v>1596</v>
      </c>
      <c r="T91" t="s">
        <v>1597</v>
      </c>
      <c r="U91" t="s">
        <v>1598</v>
      </c>
      <c r="V91" t="s">
        <v>1599</v>
      </c>
      <c r="W91" t="s">
        <v>1600</v>
      </c>
      <c r="X91" t="s">
        <v>1601</v>
      </c>
      <c r="Y91" t="s">
        <v>1602</v>
      </c>
    </row>
    <row r="92" spans="1:25" x14ac:dyDescent="0.3">
      <c r="A92">
        <v>4550</v>
      </c>
      <c r="B92" t="s">
        <v>1603</v>
      </c>
      <c r="C92" t="s">
        <v>1604</v>
      </c>
      <c r="D92" t="s">
        <v>1605</v>
      </c>
      <c r="E92" t="s">
        <v>1606</v>
      </c>
      <c r="F92" t="s">
        <v>1607</v>
      </c>
      <c r="G92" t="s">
        <v>1608</v>
      </c>
      <c r="H92" t="s">
        <v>1609</v>
      </c>
      <c r="I92" t="s">
        <v>1610</v>
      </c>
      <c r="J92" t="s">
        <v>1611</v>
      </c>
      <c r="K92" t="s">
        <v>1612</v>
      </c>
      <c r="L92" t="s">
        <v>1613</v>
      </c>
      <c r="M92" t="s">
        <v>1614</v>
      </c>
      <c r="N92" t="s">
        <v>1615</v>
      </c>
      <c r="O92" t="s">
        <v>1616</v>
      </c>
      <c r="P92" t="s">
        <v>1617</v>
      </c>
      <c r="Q92" t="s">
        <v>1618</v>
      </c>
      <c r="R92" t="s">
        <v>1619</v>
      </c>
      <c r="S92" t="s">
        <v>1620</v>
      </c>
      <c r="T92" t="s">
        <v>1621</v>
      </c>
      <c r="U92" t="s">
        <v>1622</v>
      </c>
      <c r="V92" t="s">
        <v>1623</v>
      </c>
      <c r="W92" t="s">
        <v>1624</v>
      </c>
      <c r="X92" t="s">
        <v>1625</v>
      </c>
      <c r="Y92" t="s">
        <v>1626</v>
      </c>
    </row>
    <row r="93" spans="1:25" x14ac:dyDescent="0.3">
      <c r="A93">
        <v>4600</v>
      </c>
      <c r="B93" t="s">
        <v>1627</v>
      </c>
      <c r="C93" t="s">
        <v>1628</v>
      </c>
      <c r="D93" t="s">
        <v>1629</v>
      </c>
      <c r="E93" t="s">
        <v>1630</v>
      </c>
      <c r="F93" t="s">
        <v>1631</v>
      </c>
      <c r="G93" t="s">
        <v>1632</v>
      </c>
      <c r="H93" t="s">
        <v>1633</v>
      </c>
      <c r="I93" t="s">
        <v>1634</v>
      </c>
      <c r="J93" t="s">
        <v>1635</v>
      </c>
      <c r="K93" t="s">
        <v>1636</v>
      </c>
      <c r="L93" t="s">
        <v>1637</v>
      </c>
      <c r="M93" t="s">
        <v>1638</v>
      </c>
      <c r="N93" t="s">
        <v>1639</v>
      </c>
      <c r="O93" t="s">
        <v>1640</v>
      </c>
      <c r="P93" t="s">
        <v>1641</v>
      </c>
      <c r="Q93" t="s">
        <v>1642</v>
      </c>
      <c r="R93" t="s">
        <v>1643</v>
      </c>
      <c r="S93" t="s">
        <v>1644</v>
      </c>
      <c r="T93" t="s">
        <v>1645</v>
      </c>
      <c r="U93" t="s">
        <v>1646</v>
      </c>
      <c r="V93" t="s">
        <v>1647</v>
      </c>
      <c r="W93" t="s">
        <v>1648</v>
      </c>
      <c r="X93" t="s">
        <v>1649</v>
      </c>
      <c r="Y93" t="s">
        <v>1650</v>
      </c>
    </row>
    <row r="94" spans="1:25" x14ac:dyDescent="0.3">
      <c r="A94">
        <v>4650</v>
      </c>
      <c r="B94" t="s">
        <v>1651</v>
      </c>
      <c r="C94" t="s">
        <v>1652</v>
      </c>
      <c r="D94" t="s">
        <v>1653</v>
      </c>
      <c r="E94" t="s">
        <v>1654</v>
      </c>
      <c r="F94" t="s">
        <v>1655</v>
      </c>
      <c r="G94" t="s">
        <v>1656</v>
      </c>
      <c r="H94" t="s">
        <v>1657</v>
      </c>
      <c r="I94" t="s">
        <v>1658</v>
      </c>
      <c r="J94" t="s">
        <v>1659</v>
      </c>
      <c r="K94" t="s">
        <v>1660</v>
      </c>
      <c r="L94" t="s">
        <v>1661</v>
      </c>
      <c r="M94" t="s">
        <v>1662</v>
      </c>
      <c r="N94" t="s">
        <v>1663</v>
      </c>
      <c r="O94" t="s">
        <v>1664</v>
      </c>
      <c r="P94" t="s">
        <v>1665</v>
      </c>
      <c r="Q94" t="s">
        <v>1666</v>
      </c>
      <c r="R94" t="s">
        <v>1667</v>
      </c>
      <c r="S94" t="s">
        <v>1668</v>
      </c>
      <c r="T94" t="s">
        <v>1669</v>
      </c>
      <c r="U94" t="s">
        <v>1670</v>
      </c>
      <c r="V94" t="s">
        <v>1671</v>
      </c>
      <c r="W94" t="s">
        <v>1672</v>
      </c>
      <c r="X94" t="s">
        <v>1673</v>
      </c>
      <c r="Y94" t="s">
        <v>1674</v>
      </c>
    </row>
    <row r="95" spans="1:25" x14ac:dyDescent="0.3">
      <c r="A95">
        <v>4700</v>
      </c>
      <c r="B95" t="s">
        <v>1675</v>
      </c>
      <c r="C95" t="s">
        <v>1676</v>
      </c>
      <c r="D95" t="s">
        <v>1677</v>
      </c>
      <c r="E95" t="s">
        <v>1678</v>
      </c>
      <c r="F95" t="s">
        <v>1679</v>
      </c>
      <c r="G95" t="s">
        <v>1680</v>
      </c>
      <c r="H95" t="s">
        <v>1681</v>
      </c>
      <c r="I95" t="s">
        <v>1682</v>
      </c>
      <c r="J95" t="s">
        <v>1683</v>
      </c>
      <c r="K95" t="s">
        <v>1684</v>
      </c>
      <c r="L95" t="s">
        <v>1685</v>
      </c>
      <c r="M95" t="s">
        <v>1686</v>
      </c>
      <c r="N95" t="s">
        <v>1687</v>
      </c>
      <c r="O95" t="s">
        <v>1688</v>
      </c>
      <c r="P95" t="s">
        <v>1689</v>
      </c>
      <c r="Q95" t="s">
        <v>1690</v>
      </c>
      <c r="R95" t="s">
        <v>1691</v>
      </c>
      <c r="S95" t="s">
        <v>1692</v>
      </c>
      <c r="T95" t="s">
        <v>1693</v>
      </c>
      <c r="U95" t="s">
        <v>1694</v>
      </c>
      <c r="V95" t="s">
        <v>1695</v>
      </c>
      <c r="W95" t="s">
        <v>1696</v>
      </c>
      <c r="X95" t="s">
        <v>1697</v>
      </c>
      <c r="Y95" t="s">
        <v>1698</v>
      </c>
    </row>
    <row r="96" spans="1:25" x14ac:dyDescent="0.3">
      <c r="A96">
        <v>4750</v>
      </c>
      <c r="B96" t="s">
        <v>1699</v>
      </c>
      <c r="C96" t="s">
        <v>1700</v>
      </c>
      <c r="D96" t="s">
        <v>1701</v>
      </c>
      <c r="E96" t="s">
        <v>1702</v>
      </c>
      <c r="F96" t="s">
        <v>1703</v>
      </c>
      <c r="G96" t="s">
        <v>1704</v>
      </c>
      <c r="H96" t="s">
        <v>1705</v>
      </c>
      <c r="I96" t="s">
        <v>1706</v>
      </c>
      <c r="J96" t="s">
        <v>1707</v>
      </c>
      <c r="K96" t="s">
        <v>1708</v>
      </c>
      <c r="L96" t="s">
        <v>1709</v>
      </c>
      <c r="M96" t="s">
        <v>1710</v>
      </c>
      <c r="N96" t="s">
        <v>1711</v>
      </c>
      <c r="O96" t="s">
        <v>1712</v>
      </c>
      <c r="P96" t="s">
        <v>1713</v>
      </c>
      <c r="Q96" t="s">
        <v>1714</v>
      </c>
      <c r="R96" t="s">
        <v>1715</v>
      </c>
      <c r="S96" t="s">
        <v>1716</v>
      </c>
      <c r="T96" t="s">
        <v>1717</v>
      </c>
      <c r="U96" t="s">
        <v>1718</v>
      </c>
      <c r="V96" t="s">
        <v>1719</v>
      </c>
      <c r="W96" t="s">
        <v>1720</v>
      </c>
      <c r="X96" t="s">
        <v>1721</v>
      </c>
      <c r="Y96" t="s">
        <v>1722</v>
      </c>
    </row>
    <row r="97" spans="1:25" x14ac:dyDescent="0.3">
      <c r="A97">
        <v>4800</v>
      </c>
      <c r="B97" t="s">
        <v>1723</v>
      </c>
      <c r="C97" t="s">
        <v>1724</v>
      </c>
      <c r="D97" t="s">
        <v>1725</v>
      </c>
      <c r="E97" t="s">
        <v>1726</v>
      </c>
      <c r="F97" t="s">
        <v>1727</v>
      </c>
      <c r="G97" t="s">
        <v>1728</v>
      </c>
      <c r="H97" t="s">
        <v>1729</v>
      </c>
      <c r="I97" t="s">
        <v>1730</v>
      </c>
      <c r="J97" t="s">
        <v>1731</v>
      </c>
      <c r="K97" t="s">
        <v>1732</v>
      </c>
      <c r="L97" t="s">
        <v>1733</v>
      </c>
      <c r="M97" t="s">
        <v>1734</v>
      </c>
      <c r="N97" t="s">
        <v>1735</v>
      </c>
      <c r="O97" t="s">
        <v>1736</v>
      </c>
      <c r="P97" t="s">
        <v>1737</v>
      </c>
      <c r="Q97" t="s">
        <v>1738</v>
      </c>
      <c r="R97" t="s">
        <v>1739</v>
      </c>
      <c r="S97" t="s">
        <v>1740</v>
      </c>
      <c r="T97" t="s">
        <v>1741</v>
      </c>
      <c r="U97" t="s">
        <v>1742</v>
      </c>
      <c r="V97" t="s">
        <v>1743</v>
      </c>
      <c r="W97" t="s">
        <v>1744</v>
      </c>
      <c r="X97" t="s">
        <v>1745</v>
      </c>
      <c r="Y97" t="s">
        <v>1746</v>
      </c>
    </row>
    <row r="98" spans="1:25" x14ac:dyDescent="0.3">
      <c r="A98">
        <v>4850</v>
      </c>
      <c r="B98" t="s">
        <v>1747</v>
      </c>
      <c r="C98" t="s">
        <v>1748</v>
      </c>
      <c r="D98" t="s">
        <v>1749</v>
      </c>
      <c r="E98" t="s">
        <v>1750</v>
      </c>
      <c r="F98" t="s">
        <v>1751</v>
      </c>
      <c r="G98" t="s">
        <v>1752</v>
      </c>
      <c r="H98" t="s">
        <v>1753</v>
      </c>
      <c r="I98" t="s">
        <v>1754</v>
      </c>
      <c r="J98" t="s">
        <v>1755</v>
      </c>
      <c r="K98" t="s">
        <v>1756</v>
      </c>
      <c r="L98" t="s">
        <v>1757</v>
      </c>
      <c r="M98" t="s">
        <v>1758</v>
      </c>
      <c r="N98" t="s">
        <v>1759</v>
      </c>
      <c r="O98" t="s">
        <v>1760</v>
      </c>
      <c r="P98" t="s">
        <v>1761</v>
      </c>
      <c r="Q98" t="s">
        <v>1762</v>
      </c>
      <c r="R98" t="s">
        <v>1763</v>
      </c>
      <c r="S98" t="s">
        <v>1764</v>
      </c>
      <c r="T98" t="s">
        <v>1765</v>
      </c>
      <c r="U98" t="s">
        <v>1766</v>
      </c>
      <c r="V98" t="s">
        <v>1767</v>
      </c>
      <c r="W98" t="s">
        <v>1768</v>
      </c>
      <c r="X98" t="s">
        <v>1769</v>
      </c>
      <c r="Y98" t="s">
        <v>1770</v>
      </c>
    </row>
    <row r="99" spans="1:25" x14ac:dyDescent="0.3">
      <c r="A99">
        <v>4900</v>
      </c>
      <c r="B99" t="s">
        <v>1771</v>
      </c>
      <c r="C99" t="s">
        <v>1772</v>
      </c>
      <c r="D99" t="s">
        <v>1773</v>
      </c>
      <c r="E99" t="s">
        <v>1774</v>
      </c>
      <c r="F99" t="s">
        <v>1775</v>
      </c>
      <c r="G99" t="s">
        <v>1776</v>
      </c>
      <c r="H99" t="s">
        <v>1777</v>
      </c>
      <c r="I99" t="s">
        <v>1778</v>
      </c>
      <c r="J99" t="s">
        <v>1779</v>
      </c>
      <c r="K99" t="s">
        <v>1780</v>
      </c>
      <c r="L99" t="s">
        <v>1781</v>
      </c>
      <c r="M99" t="s">
        <v>1782</v>
      </c>
      <c r="N99" t="s">
        <v>1783</v>
      </c>
      <c r="O99" t="s">
        <v>1784</v>
      </c>
      <c r="P99" t="s">
        <v>1785</v>
      </c>
      <c r="Q99" t="s">
        <v>1786</v>
      </c>
      <c r="R99" t="s">
        <v>1787</v>
      </c>
      <c r="S99" t="s">
        <v>1788</v>
      </c>
      <c r="T99" t="s">
        <v>1789</v>
      </c>
      <c r="U99" t="s">
        <v>1790</v>
      </c>
      <c r="V99" t="s">
        <v>1791</v>
      </c>
      <c r="W99" t="s">
        <v>1792</v>
      </c>
      <c r="X99" t="s">
        <v>1793</v>
      </c>
      <c r="Y99" t="s">
        <v>1794</v>
      </c>
    </row>
    <row r="100" spans="1:25" x14ac:dyDescent="0.3">
      <c r="A100">
        <v>4950</v>
      </c>
      <c r="B100" t="s">
        <v>1795</v>
      </c>
      <c r="C100" t="s">
        <v>1796</v>
      </c>
      <c r="D100" t="s">
        <v>1797</v>
      </c>
      <c r="E100" t="s">
        <v>1798</v>
      </c>
      <c r="F100" t="s">
        <v>1799</v>
      </c>
      <c r="G100" t="s">
        <v>1800</v>
      </c>
      <c r="H100" t="s">
        <v>1801</v>
      </c>
      <c r="I100" t="s">
        <v>1802</v>
      </c>
      <c r="J100" t="s">
        <v>1803</v>
      </c>
      <c r="K100" t="s">
        <v>1804</v>
      </c>
      <c r="L100" t="s">
        <v>1805</v>
      </c>
      <c r="M100" t="s">
        <v>1806</v>
      </c>
      <c r="N100" t="s">
        <v>1807</v>
      </c>
      <c r="O100" t="s">
        <v>1808</v>
      </c>
      <c r="P100" t="s">
        <v>1809</v>
      </c>
      <c r="Q100" t="s">
        <v>1810</v>
      </c>
      <c r="R100" t="s">
        <v>1811</v>
      </c>
      <c r="S100" t="s">
        <v>1812</v>
      </c>
      <c r="T100" t="s">
        <v>1813</v>
      </c>
      <c r="U100" t="s">
        <v>1814</v>
      </c>
      <c r="V100" t="s">
        <v>1815</v>
      </c>
      <c r="W100" t="s">
        <v>1816</v>
      </c>
      <c r="X100" t="s">
        <v>1817</v>
      </c>
      <c r="Y100" t="s">
        <v>1818</v>
      </c>
    </row>
    <row r="101" spans="1:25" x14ac:dyDescent="0.3">
      <c r="A101">
        <v>5000</v>
      </c>
      <c r="B101" t="s">
        <v>1819</v>
      </c>
      <c r="C101" t="s">
        <v>1820</v>
      </c>
      <c r="D101" t="s">
        <v>1821</v>
      </c>
      <c r="E101" t="s">
        <v>1822</v>
      </c>
      <c r="F101" t="s">
        <v>1823</v>
      </c>
      <c r="G101" t="s">
        <v>1824</v>
      </c>
      <c r="H101" t="s">
        <v>1825</v>
      </c>
      <c r="I101" t="s">
        <v>1826</v>
      </c>
      <c r="J101" t="s">
        <v>1827</v>
      </c>
      <c r="K101" t="s">
        <v>1828</v>
      </c>
      <c r="L101" t="s">
        <v>1829</v>
      </c>
      <c r="M101" t="s">
        <v>1830</v>
      </c>
      <c r="N101" t="s">
        <v>1831</v>
      </c>
      <c r="O101" t="s">
        <v>1832</v>
      </c>
      <c r="P101" t="s">
        <v>1833</v>
      </c>
      <c r="Q101" t="s">
        <v>1834</v>
      </c>
      <c r="R101" t="s">
        <v>1835</v>
      </c>
      <c r="S101" t="s">
        <v>1836</v>
      </c>
      <c r="T101" t="s">
        <v>1837</v>
      </c>
      <c r="U101" t="s">
        <v>1838</v>
      </c>
      <c r="V101" t="s">
        <v>1839</v>
      </c>
      <c r="W101" t="s">
        <v>1840</v>
      </c>
      <c r="X101" t="s">
        <v>1841</v>
      </c>
      <c r="Y101" t="s">
        <v>1842</v>
      </c>
    </row>
    <row r="102" spans="1:25" x14ac:dyDescent="0.3">
      <c r="A102">
        <v>5050</v>
      </c>
      <c r="B102" t="s">
        <v>1843</v>
      </c>
      <c r="C102" t="s">
        <v>1844</v>
      </c>
      <c r="D102" t="s">
        <v>1845</v>
      </c>
      <c r="E102" t="s">
        <v>1846</v>
      </c>
      <c r="F102" t="s">
        <v>1847</v>
      </c>
      <c r="G102" t="s">
        <v>1848</v>
      </c>
      <c r="H102" t="s">
        <v>1849</v>
      </c>
      <c r="I102" t="s">
        <v>1850</v>
      </c>
      <c r="J102" t="s">
        <v>1851</v>
      </c>
      <c r="K102" t="s">
        <v>1852</v>
      </c>
      <c r="L102" t="s">
        <v>1853</v>
      </c>
      <c r="M102" t="s">
        <v>1854</v>
      </c>
      <c r="N102" t="s">
        <v>1855</v>
      </c>
      <c r="O102" t="s">
        <v>1856</v>
      </c>
      <c r="P102" t="s">
        <v>1857</v>
      </c>
      <c r="Q102" t="s">
        <v>1858</v>
      </c>
      <c r="R102" t="s">
        <v>1859</v>
      </c>
      <c r="S102" t="s">
        <v>1860</v>
      </c>
      <c r="T102" t="s">
        <v>1861</v>
      </c>
      <c r="U102" t="s">
        <v>1862</v>
      </c>
      <c r="V102" t="s">
        <v>1863</v>
      </c>
      <c r="W102" t="s">
        <v>1864</v>
      </c>
      <c r="X102" t="s">
        <v>1865</v>
      </c>
      <c r="Y102" t="s">
        <v>1866</v>
      </c>
    </row>
    <row r="103" spans="1:25" x14ac:dyDescent="0.3">
      <c r="A103">
        <v>5100</v>
      </c>
      <c r="B103" t="s">
        <v>1867</v>
      </c>
      <c r="C103" t="s">
        <v>1868</v>
      </c>
      <c r="D103" t="s">
        <v>1869</v>
      </c>
      <c r="E103" t="s">
        <v>1870</v>
      </c>
      <c r="F103" t="s">
        <v>1871</v>
      </c>
      <c r="G103" t="s">
        <v>1872</v>
      </c>
      <c r="H103" t="s">
        <v>1873</v>
      </c>
      <c r="I103" t="s">
        <v>1874</v>
      </c>
      <c r="J103" t="s">
        <v>1875</v>
      </c>
      <c r="K103" t="s">
        <v>1876</v>
      </c>
      <c r="L103" t="s">
        <v>1877</v>
      </c>
      <c r="M103" t="s">
        <v>1878</v>
      </c>
      <c r="N103" t="s">
        <v>1879</v>
      </c>
      <c r="O103" t="s">
        <v>1880</v>
      </c>
      <c r="P103" t="s">
        <v>1881</v>
      </c>
      <c r="Q103" t="s">
        <v>1882</v>
      </c>
      <c r="R103" t="s">
        <v>1883</v>
      </c>
      <c r="S103" t="s">
        <v>1884</v>
      </c>
      <c r="T103" t="s">
        <v>1885</v>
      </c>
      <c r="U103" t="s">
        <v>1886</v>
      </c>
      <c r="V103" t="s">
        <v>1887</v>
      </c>
      <c r="W103" t="s">
        <v>1888</v>
      </c>
      <c r="X103" t="s">
        <v>1889</v>
      </c>
      <c r="Y103" t="s">
        <v>1890</v>
      </c>
    </row>
    <row r="104" spans="1:25" x14ac:dyDescent="0.3">
      <c r="A104">
        <v>5150</v>
      </c>
      <c r="B104" t="s">
        <v>1891</v>
      </c>
      <c r="C104" t="s">
        <v>1892</v>
      </c>
      <c r="D104" t="s">
        <v>1893</v>
      </c>
      <c r="E104" t="s">
        <v>1894</v>
      </c>
      <c r="F104" t="s">
        <v>1895</v>
      </c>
      <c r="G104" t="s">
        <v>1896</v>
      </c>
      <c r="H104" t="s">
        <v>1897</v>
      </c>
      <c r="I104" t="s">
        <v>1898</v>
      </c>
      <c r="J104" t="s">
        <v>1899</v>
      </c>
      <c r="K104" t="s">
        <v>1900</v>
      </c>
      <c r="L104" t="s">
        <v>1901</v>
      </c>
      <c r="M104" t="s">
        <v>1902</v>
      </c>
      <c r="N104" t="s">
        <v>1903</v>
      </c>
      <c r="O104" t="s">
        <v>1904</v>
      </c>
      <c r="P104" t="s">
        <v>1905</v>
      </c>
      <c r="Q104" t="s">
        <v>1906</v>
      </c>
      <c r="R104" t="s">
        <v>1907</v>
      </c>
      <c r="S104" t="s">
        <v>1908</v>
      </c>
      <c r="T104" t="s">
        <v>1909</v>
      </c>
      <c r="U104" t="s">
        <v>1910</v>
      </c>
      <c r="V104" t="s">
        <v>1911</v>
      </c>
      <c r="W104" t="s">
        <v>1912</v>
      </c>
      <c r="X104" t="s">
        <v>1913</v>
      </c>
      <c r="Y104" t="s">
        <v>1914</v>
      </c>
    </row>
    <row r="105" spans="1:25" x14ac:dyDescent="0.3">
      <c r="A105">
        <v>5200</v>
      </c>
      <c r="B105" t="s">
        <v>1915</v>
      </c>
      <c r="C105" t="s">
        <v>1916</v>
      </c>
      <c r="D105" t="s">
        <v>1917</v>
      </c>
      <c r="E105" t="s">
        <v>1918</v>
      </c>
      <c r="F105" t="s">
        <v>1919</v>
      </c>
      <c r="G105" t="s">
        <v>1920</v>
      </c>
      <c r="H105" t="s">
        <v>1921</v>
      </c>
      <c r="I105" t="s">
        <v>1922</v>
      </c>
      <c r="J105" t="s">
        <v>1923</v>
      </c>
      <c r="K105" t="s">
        <v>1924</v>
      </c>
      <c r="L105" t="s">
        <v>1925</v>
      </c>
      <c r="M105" t="s">
        <v>1926</v>
      </c>
      <c r="N105" t="s">
        <v>1927</v>
      </c>
      <c r="O105" t="s">
        <v>1928</v>
      </c>
      <c r="P105" t="s">
        <v>1929</v>
      </c>
      <c r="Q105" t="s">
        <v>1930</v>
      </c>
      <c r="R105" t="s">
        <v>1931</v>
      </c>
      <c r="S105" t="s">
        <v>1932</v>
      </c>
      <c r="T105" t="s">
        <v>1933</v>
      </c>
      <c r="U105" t="s">
        <v>1934</v>
      </c>
      <c r="V105" t="s">
        <v>1935</v>
      </c>
      <c r="W105" t="s">
        <v>1936</v>
      </c>
      <c r="X105" t="s">
        <v>1937</v>
      </c>
      <c r="Y105" t="s">
        <v>1938</v>
      </c>
    </row>
    <row r="106" spans="1:25" x14ac:dyDescent="0.3">
      <c r="A106">
        <v>5250</v>
      </c>
      <c r="B106" t="s">
        <v>1939</v>
      </c>
      <c r="C106" t="s">
        <v>1940</v>
      </c>
      <c r="D106" t="s">
        <v>1941</v>
      </c>
      <c r="E106" t="s">
        <v>1942</v>
      </c>
      <c r="F106" t="s">
        <v>1943</v>
      </c>
      <c r="G106" t="s">
        <v>1944</v>
      </c>
      <c r="H106" t="s">
        <v>1945</v>
      </c>
      <c r="I106" t="s">
        <v>1946</v>
      </c>
      <c r="J106" t="s">
        <v>1947</v>
      </c>
      <c r="K106" t="s">
        <v>1948</v>
      </c>
      <c r="L106" t="s">
        <v>1949</v>
      </c>
      <c r="M106" t="s">
        <v>1950</v>
      </c>
      <c r="N106" t="s">
        <v>1951</v>
      </c>
      <c r="O106" t="s">
        <v>1952</v>
      </c>
      <c r="P106" t="s">
        <v>1953</v>
      </c>
      <c r="Q106" t="s">
        <v>1954</v>
      </c>
      <c r="R106" t="s">
        <v>1955</v>
      </c>
      <c r="S106" t="s">
        <v>1956</v>
      </c>
      <c r="T106" t="s">
        <v>1957</v>
      </c>
      <c r="U106" t="s">
        <v>1958</v>
      </c>
      <c r="V106" t="s">
        <v>1959</v>
      </c>
      <c r="W106" t="s">
        <v>1960</v>
      </c>
      <c r="X106" t="s">
        <v>1961</v>
      </c>
      <c r="Y106" t="s">
        <v>1962</v>
      </c>
    </row>
    <row r="107" spans="1:25" x14ac:dyDescent="0.3">
      <c r="A107">
        <v>5300</v>
      </c>
      <c r="B107" t="s">
        <v>1963</v>
      </c>
      <c r="C107" t="s">
        <v>1964</v>
      </c>
      <c r="D107" t="s">
        <v>1965</v>
      </c>
      <c r="E107" t="s">
        <v>1966</v>
      </c>
      <c r="F107" t="s">
        <v>1967</v>
      </c>
      <c r="G107" t="s">
        <v>1968</v>
      </c>
      <c r="H107" t="s">
        <v>1969</v>
      </c>
      <c r="I107" t="s">
        <v>1970</v>
      </c>
      <c r="J107" t="s">
        <v>1971</v>
      </c>
      <c r="K107" t="s">
        <v>1972</v>
      </c>
      <c r="L107" t="s">
        <v>1973</v>
      </c>
      <c r="M107" t="s">
        <v>1974</v>
      </c>
      <c r="N107" t="s">
        <v>1975</v>
      </c>
      <c r="O107" t="s">
        <v>1976</v>
      </c>
      <c r="P107" t="s">
        <v>1977</v>
      </c>
      <c r="Q107" t="s">
        <v>1978</v>
      </c>
      <c r="R107" t="s">
        <v>1979</v>
      </c>
      <c r="S107" t="s">
        <v>1980</v>
      </c>
      <c r="T107" t="s">
        <v>1981</v>
      </c>
      <c r="U107" t="s">
        <v>1982</v>
      </c>
      <c r="V107" t="s">
        <v>1983</v>
      </c>
      <c r="W107" t="s">
        <v>1984</v>
      </c>
      <c r="X107" t="s">
        <v>1985</v>
      </c>
      <c r="Y107" t="s">
        <v>1986</v>
      </c>
    </row>
    <row r="108" spans="1:25" x14ac:dyDescent="0.3">
      <c r="A108">
        <v>5350</v>
      </c>
      <c r="B108" t="s">
        <v>1987</v>
      </c>
      <c r="C108" t="s">
        <v>1988</v>
      </c>
      <c r="D108" t="s">
        <v>1989</v>
      </c>
      <c r="E108" t="s">
        <v>1990</v>
      </c>
      <c r="F108" t="s">
        <v>1991</v>
      </c>
      <c r="G108" t="s">
        <v>1992</v>
      </c>
      <c r="H108" t="s">
        <v>1993</v>
      </c>
      <c r="I108" t="s">
        <v>1994</v>
      </c>
      <c r="J108" t="s">
        <v>1995</v>
      </c>
      <c r="K108" t="s">
        <v>1996</v>
      </c>
      <c r="L108" t="s">
        <v>1997</v>
      </c>
      <c r="M108" t="s">
        <v>1998</v>
      </c>
      <c r="N108" t="s">
        <v>1999</v>
      </c>
      <c r="O108" t="s">
        <v>2000</v>
      </c>
      <c r="P108" t="s">
        <v>2001</v>
      </c>
      <c r="Q108" t="s">
        <v>2002</v>
      </c>
      <c r="R108" t="s">
        <v>2003</v>
      </c>
      <c r="S108" t="s">
        <v>2004</v>
      </c>
      <c r="T108" t="s">
        <v>2005</v>
      </c>
      <c r="U108" t="s">
        <v>2006</v>
      </c>
      <c r="V108" t="s">
        <v>2007</v>
      </c>
      <c r="W108" t="s">
        <v>2008</v>
      </c>
      <c r="X108" t="s">
        <v>2009</v>
      </c>
      <c r="Y108" t="s">
        <v>2010</v>
      </c>
    </row>
    <row r="109" spans="1:25" x14ac:dyDescent="0.3">
      <c r="A109">
        <v>5400</v>
      </c>
      <c r="B109" t="s">
        <v>2011</v>
      </c>
      <c r="C109" t="s">
        <v>2012</v>
      </c>
      <c r="D109" t="s">
        <v>2013</v>
      </c>
      <c r="E109" t="s">
        <v>2014</v>
      </c>
      <c r="F109" t="s">
        <v>2015</v>
      </c>
      <c r="G109" t="s">
        <v>2016</v>
      </c>
      <c r="H109" t="s">
        <v>2017</v>
      </c>
      <c r="I109" t="s">
        <v>2018</v>
      </c>
      <c r="J109" t="s">
        <v>2019</v>
      </c>
      <c r="K109" t="s">
        <v>2020</v>
      </c>
      <c r="L109" t="s">
        <v>2021</v>
      </c>
      <c r="M109" t="s">
        <v>2022</v>
      </c>
      <c r="N109" t="s">
        <v>2023</v>
      </c>
      <c r="O109" t="s">
        <v>2024</v>
      </c>
      <c r="P109" t="s">
        <v>2025</v>
      </c>
      <c r="Q109" t="s">
        <v>2026</v>
      </c>
      <c r="R109" t="s">
        <v>2027</v>
      </c>
      <c r="S109" t="s">
        <v>2028</v>
      </c>
      <c r="T109" t="s">
        <v>2029</v>
      </c>
      <c r="U109" t="s">
        <v>2030</v>
      </c>
      <c r="V109" t="s">
        <v>2031</v>
      </c>
      <c r="W109" t="s">
        <v>2032</v>
      </c>
      <c r="X109" t="s">
        <v>2033</v>
      </c>
      <c r="Y109" t="s">
        <v>2034</v>
      </c>
    </row>
    <row r="110" spans="1:25" x14ac:dyDescent="0.3">
      <c r="A110">
        <v>5450</v>
      </c>
      <c r="B110" t="s">
        <v>2035</v>
      </c>
      <c r="C110" t="s">
        <v>2036</v>
      </c>
      <c r="D110" t="s">
        <v>2037</v>
      </c>
      <c r="E110" t="s">
        <v>2038</v>
      </c>
      <c r="F110" t="s">
        <v>2039</v>
      </c>
      <c r="G110" t="s">
        <v>2040</v>
      </c>
      <c r="H110" t="s">
        <v>2041</v>
      </c>
      <c r="I110" t="s">
        <v>2042</v>
      </c>
      <c r="J110" t="s">
        <v>2043</v>
      </c>
      <c r="K110" t="s">
        <v>2044</v>
      </c>
      <c r="L110" t="s">
        <v>2045</v>
      </c>
      <c r="M110" t="s">
        <v>2046</v>
      </c>
      <c r="N110" t="s">
        <v>2047</v>
      </c>
      <c r="O110" t="s">
        <v>2048</v>
      </c>
      <c r="P110" t="s">
        <v>2049</v>
      </c>
      <c r="Q110" t="s">
        <v>2050</v>
      </c>
      <c r="R110" t="s">
        <v>2051</v>
      </c>
      <c r="S110" t="s">
        <v>2052</v>
      </c>
      <c r="T110" t="s">
        <v>2053</v>
      </c>
      <c r="U110" t="s">
        <v>2054</v>
      </c>
      <c r="V110" t="s">
        <v>2055</v>
      </c>
      <c r="W110" t="s">
        <v>2056</v>
      </c>
      <c r="X110" t="s">
        <v>2057</v>
      </c>
      <c r="Y110" t="s">
        <v>2058</v>
      </c>
    </row>
    <row r="111" spans="1:25" x14ac:dyDescent="0.3">
      <c r="A111">
        <v>5500</v>
      </c>
      <c r="B111" t="s">
        <v>2059</v>
      </c>
      <c r="C111" t="s">
        <v>2060</v>
      </c>
      <c r="D111" t="s">
        <v>2061</v>
      </c>
      <c r="E111" t="s">
        <v>2062</v>
      </c>
      <c r="F111" t="s">
        <v>2063</v>
      </c>
      <c r="G111" t="s">
        <v>2064</v>
      </c>
      <c r="H111" t="s">
        <v>2065</v>
      </c>
      <c r="I111" t="s">
        <v>2066</v>
      </c>
      <c r="J111" t="s">
        <v>2067</v>
      </c>
      <c r="K111" t="s">
        <v>2068</v>
      </c>
      <c r="L111" t="s">
        <v>2069</v>
      </c>
      <c r="M111" t="s">
        <v>2070</v>
      </c>
      <c r="N111" t="s">
        <v>2071</v>
      </c>
      <c r="O111" t="s">
        <v>2072</v>
      </c>
      <c r="P111" t="s">
        <v>2073</v>
      </c>
      <c r="Q111" t="s">
        <v>2074</v>
      </c>
      <c r="R111" t="s">
        <v>2075</v>
      </c>
      <c r="S111" t="s">
        <v>2076</v>
      </c>
      <c r="T111" t="s">
        <v>2077</v>
      </c>
      <c r="U111" t="s">
        <v>2078</v>
      </c>
      <c r="V111" t="s">
        <v>2079</v>
      </c>
      <c r="W111" t="s">
        <v>2080</v>
      </c>
      <c r="X111" t="s">
        <v>2081</v>
      </c>
      <c r="Y111" t="s">
        <v>2082</v>
      </c>
    </row>
    <row r="112" spans="1:25" x14ac:dyDescent="0.3">
      <c r="A112">
        <v>5550</v>
      </c>
      <c r="B112" t="s">
        <v>2083</v>
      </c>
      <c r="C112" t="s">
        <v>2084</v>
      </c>
      <c r="D112" t="s">
        <v>2085</v>
      </c>
      <c r="E112" t="s">
        <v>2086</v>
      </c>
      <c r="F112" t="s">
        <v>2087</v>
      </c>
      <c r="G112" t="s">
        <v>2088</v>
      </c>
      <c r="H112" t="s">
        <v>2089</v>
      </c>
      <c r="I112" t="s">
        <v>2090</v>
      </c>
      <c r="J112" t="s">
        <v>2091</v>
      </c>
      <c r="K112" t="s">
        <v>2092</v>
      </c>
      <c r="L112" t="s">
        <v>2093</v>
      </c>
      <c r="M112" t="s">
        <v>2094</v>
      </c>
      <c r="N112" t="s">
        <v>2095</v>
      </c>
      <c r="O112" t="s">
        <v>2096</v>
      </c>
      <c r="P112" t="s">
        <v>2097</v>
      </c>
      <c r="Q112" t="s">
        <v>2098</v>
      </c>
      <c r="R112" t="s">
        <v>2099</v>
      </c>
      <c r="S112" t="s">
        <v>2100</v>
      </c>
      <c r="T112" t="s">
        <v>2101</v>
      </c>
      <c r="U112" t="s">
        <v>2102</v>
      </c>
      <c r="V112" t="s">
        <v>2103</v>
      </c>
      <c r="W112" t="s">
        <v>2104</v>
      </c>
      <c r="X112" t="s">
        <v>2105</v>
      </c>
      <c r="Y112" t="s">
        <v>2106</v>
      </c>
    </row>
    <row r="113" spans="1:25" x14ac:dyDescent="0.3">
      <c r="A113">
        <v>5600</v>
      </c>
      <c r="B113" t="s">
        <v>2107</v>
      </c>
      <c r="C113" t="s">
        <v>2108</v>
      </c>
      <c r="D113" t="s">
        <v>2109</v>
      </c>
      <c r="E113" t="s">
        <v>2110</v>
      </c>
      <c r="F113" t="s">
        <v>2111</v>
      </c>
      <c r="G113" t="s">
        <v>2112</v>
      </c>
      <c r="H113" t="s">
        <v>2113</v>
      </c>
      <c r="I113" t="s">
        <v>2114</v>
      </c>
      <c r="J113" t="s">
        <v>2115</v>
      </c>
      <c r="K113" t="s">
        <v>2116</v>
      </c>
      <c r="L113" t="s">
        <v>2117</v>
      </c>
      <c r="M113" t="s">
        <v>2118</v>
      </c>
      <c r="N113" t="s">
        <v>2119</v>
      </c>
      <c r="O113" t="s">
        <v>2120</v>
      </c>
      <c r="P113" t="s">
        <v>2121</v>
      </c>
      <c r="Q113" t="s">
        <v>2122</v>
      </c>
      <c r="R113" t="s">
        <v>2123</v>
      </c>
      <c r="S113" t="s">
        <v>2124</v>
      </c>
      <c r="T113" t="s">
        <v>2125</v>
      </c>
      <c r="U113" t="s">
        <v>2126</v>
      </c>
      <c r="V113" t="s">
        <v>2127</v>
      </c>
      <c r="W113" t="s">
        <v>2128</v>
      </c>
      <c r="X113" t="s">
        <v>2129</v>
      </c>
      <c r="Y113" t="s">
        <v>2130</v>
      </c>
    </row>
    <row r="114" spans="1:25" x14ac:dyDescent="0.3">
      <c r="A114">
        <v>5650</v>
      </c>
      <c r="B114" t="s">
        <v>2131</v>
      </c>
      <c r="C114" t="s">
        <v>2132</v>
      </c>
      <c r="D114" t="s">
        <v>2133</v>
      </c>
      <c r="E114" t="s">
        <v>2134</v>
      </c>
      <c r="F114" t="s">
        <v>2135</v>
      </c>
      <c r="G114" t="s">
        <v>2136</v>
      </c>
      <c r="H114" t="s">
        <v>2137</v>
      </c>
      <c r="I114" t="s">
        <v>2138</v>
      </c>
      <c r="J114" t="s">
        <v>2139</v>
      </c>
      <c r="K114" t="s">
        <v>2140</v>
      </c>
      <c r="L114" t="s">
        <v>2141</v>
      </c>
      <c r="M114" t="s">
        <v>2142</v>
      </c>
      <c r="N114" t="s">
        <v>2143</v>
      </c>
      <c r="O114" t="s">
        <v>2144</v>
      </c>
      <c r="P114" t="s">
        <v>2145</v>
      </c>
      <c r="Q114" t="s">
        <v>2146</v>
      </c>
      <c r="R114" t="s">
        <v>2147</v>
      </c>
      <c r="S114" t="s">
        <v>2148</v>
      </c>
      <c r="T114" t="s">
        <v>2149</v>
      </c>
      <c r="U114" t="s">
        <v>2150</v>
      </c>
      <c r="V114" t="s">
        <v>2151</v>
      </c>
      <c r="W114" t="s">
        <v>2152</v>
      </c>
      <c r="X114" t="s">
        <v>2153</v>
      </c>
      <c r="Y114" t="s">
        <v>2154</v>
      </c>
    </row>
    <row r="115" spans="1:25" x14ac:dyDescent="0.3">
      <c r="A115">
        <v>5700</v>
      </c>
      <c r="B115" t="s">
        <v>2155</v>
      </c>
      <c r="C115" t="s">
        <v>2156</v>
      </c>
      <c r="D115" t="s">
        <v>2157</v>
      </c>
      <c r="E115" t="s">
        <v>2158</v>
      </c>
      <c r="F115" t="s">
        <v>2159</v>
      </c>
      <c r="G115" t="s">
        <v>2160</v>
      </c>
      <c r="H115" t="s">
        <v>2161</v>
      </c>
      <c r="I115" t="s">
        <v>2162</v>
      </c>
      <c r="J115" t="s">
        <v>2163</v>
      </c>
      <c r="K115" t="s">
        <v>2164</v>
      </c>
      <c r="L115" t="s">
        <v>2165</v>
      </c>
      <c r="M115" t="s">
        <v>2166</v>
      </c>
      <c r="N115" t="s">
        <v>2167</v>
      </c>
      <c r="O115" t="s">
        <v>2168</v>
      </c>
      <c r="P115" t="s">
        <v>2169</v>
      </c>
      <c r="Q115" t="s">
        <v>2170</v>
      </c>
      <c r="R115" t="s">
        <v>2171</v>
      </c>
      <c r="S115" t="s">
        <v>2172</v>
      </c>
      <c r="T115" t="s">
        <v>2173</v>
      </c>
      <c r="U115" t="s">
        <v>2174</v>
      </c>
      <c r="V115" t="s">
        <v>2175</v>
      </c>
      <c r="W115" t="s">
        <v>2176</v>
      </c>
      <c r="X115" t="s">
        <v>2177</v>
      </c>
      <c r="Y115" t="s">
        <v>2178</v>
      </c>
    </row>
    <row r="116" spans="1:25" x14ac:dyDescent="0.3">
      <c r="A116">
        <v>5750</v>
      </c>
      <c r="B116" t="s">
        <v>2179</v>
      </c>
      <c r="C116" t="s">
        <v>2180</v>
      </c>
      <c r="D116" t="s">
        <v>2181</v>
      </c>
      <c r="E116" t="s">
        <v>2182</v>
      </c>
      <c r="F116" t="s">
        <v>2183</v>
      </c>
      <c r="G116" t="s">
        <v>2184</v>
      </c>
      <c r="H116" t="s">
        <v>2185</v>
      </c>
      <c r="I116" t="s">
        <v>2186</v>
      </c>
      <c r="J116" t="s">
        <v>2187</v>
      </c>
      <c r="K116" t="s">
        <v>2188</v>
      </c>
      <c r="L116" t="s">
        <v>2189</v>
      </c>
      <c r="M116" t="s">
        <v>2190</v>
      </c>
      <c r="N116" t="s">
        <v>2191</v>
      </c>
      <c r="O116" t="s">
        <v>2192</v>
      </c>
      <c r="P116" t="s">
        <v>2193</v>
      </c>
      <c r="Q116" t="s">
        <v>2194</v>
      </c>
      <c r="R116" t="s">
        <v>2195</v>
      </c>
      <c r="S116" t="s">
        <v>2196</v>
      </c>
      <c r="T116" t="s">
        <v>2197</v>
      </c>
      <c r="U116" t="s">
        <v>2198</v>
      </c>
      <c r="V116" t="s">
        <v>2199</v>
      </c>
      <c r="W116" t="s">
        <v>2200</v>
      </c>
      <c r="X116" t="s">
        <v>2201</v>
      </c>
      <c r="Y116" t="s">
        <v>2202</v>
      </c>
    </row>
    <row r="117" spans="1:25" x14ac:dyDescent="0.3">
      <c r="A117">
        <v>5800</v>
      </c>
      <c r="B117" t="s">
        <v>2203</v>
      </c>
      <c r="C117" t="s">
        <v>2204</v>
      </c>
      <c r="D117" t="s">
        <v>2205</v>
      </c>
      <c r="E117" t="s">
        <v>2206</v>
      </c>
      <c r="F117" t="s">
        <v>2207</v>
      </c>
      <c r="G117" t="s">
        <v>2208</v>
      </c>
      <c r="H117" t="s">
        <v>2209</v>
      </c>
      <c r="I117" t="s">
        <v>2210</v>
      </c>
      <c r="J117" t="s">
        <v>2211</v>
      </c>
      <c r="K117" t="s">
        <v>2212</v>
      </c>
      <c r="L117" t="s">
        <v>2213</v>
      </c>
      <c r="M117" t="s">
        <v>2214</v>
      </c>
      <c r="N117" t="s">
        <v>2215</v>
      </c>
      <c r="O117" t="s">
        <v>2216</v>
      </c>
      <c r="P117" t="s">
        <v>2217</v>
      </c>
      <c r="Q117" t="s">
        <v>2218</v>
      </c>
      <c r="R117" t="s">
        <v>2219</v>
      </c>
      <c r="S117" t="s">
        <v>2220</v>
      </c>
      <c r="T117" t="s">
        <v>2221</v>
      </c>
      <c r="U117" t="s">
        <v>2222</v>
      </c>
      <c r="V117" t="s">
        <v>2223</v>
      </c>
      <c r="W117" t="s">
        <v>2224</v>
      </c>
      <c r="X117" t="s">
        <v>2225</v>
      </c>
      <c r="Y117" t="s">
        <v>2226</v>
      </c>
    </row>
    <row r="118" spans="1:25" x14ac:dyDescent="0.3">
      <c r="A118">
        <v>5850</v>
      </c>
      <c r="B118" t="s">
        <v>2227</v>
      </c>
      <c r="C118" t="s">
        <v>2228</v>
      </c>
      <c r="D118" t="s">
        <v>2229</v>
      </c>
      <c r="E118" t="s">
        <v>2230</v>
      </c>
      <c r="F118" t="s">
        <v>2231</v>
      </c>
      <c r="G118" t="s">
        <v>2232</v>
      </c>
      <c r="H118" t="s">
        <v>2233</v>
      </c>
      <c r="I118" t="s">
        <v>2234</v>
      </c>
      <c r="J118" t="s">
        <v>2235</v>
      </c>
      <c r="K118" t="s">
        <v>2236</v>
      </c>
      <c r="L118" t="s">
        <v>2237</v>
      </c>
      <c r="M118" t="s">
        <v>2238</v>
      </c>
      <c r="N118" t="s">
        <v>2239</v>
      </c>
      <c r="O118" t="s">
        <v>2240</v>
      </c>
      <c r="P118" t="s">
        <v>2241</v>
      </c>
      <c r="Q118" t="s">
        <v>2242</v>
      </c>
      <c r="R118" t="s">
        <v>2243</v>
      </c>
      <c r="S118" t="s">
        <v>2244</v>
      </c>
      <c r="T118" t="s">
        <v>2245</v>
      </c>
      <c r="U118" t="s">
        <v>2246</v>
      </c>
      <c r="V118" t="s">
        <v>2247</v>
      </c>
      <c r="W118" t="s">
        <v>2248</v>
      </c>
      <c r="X118" t="s">
        <v>2249</v>
      </c>
      <c r="Y118" t="s">
        <v>2250</v>
      </c>
    </row>
    <row r="119" spans="1:25" x14ac:dyDescent="0.3">
      <c r="A119">
        <v>5900</v>
      </c>
      <c r="B119" t="s">
        <v>2251</v>
      </c>
      <c r="C119" t="s">
        <v>2252</v>
      </c>
      <c r="D119" t="s">
        <v>2253</v>
      </c>
      <c r="E119" t="s">
        <v>2254</v>
      </c>
      <c r="F119" t="s">
        <v>2255</v>
      </c>
      <c r="G119" t="s">
        <v>2256</v>
      </c>
      <c r="H119" t="s">
        <v>2257</v>
      </c>
      <c r="I119" t="s">
        <v>2258</v>
      </c>
      <c r="J119" t="s">
        <v>2259</v>
      </c>
      <c r="K119" t="s">
        <v>2260</v>
      </c>
      <c r="L119" t="s">
        <v>2261</v>
      </c>
      <c r="M119" t="s">
        <v>2262</v>
      </c>
      <c r="N119" t="s">
        <v>2263</v>
      </c>
      <c r="O119" t="s">
        <v>2264</v>
      </c>
      <c r="P119" t="s">
        <v>2265</v>
      </c>
      <c r="Q119" t="s">
        <v>2266</v>
      </c>
      <c r="R119" t="s">
        <v>2267</v>
      </c>
      <c r="S119" t="s">
        <v>2268</v>
      </c>
      <c r="T119" t="s">
        <v>2269</v>
      </c>
      <c r="U119" t="s">
        <v>2270</v>
      </c>
      <c r="V119" t="s">
        <v>2271</v>
      </c>
      <c r="W119" t="s">
        <v>2272</v>
      </c>
      <c r="X119" t="s">
        <v>2273</v>
      </c>
      <c r="Y119" t="s">
        <v>2274</v>
      </c>
    </row>
    <row r="120" spans="1:25" x14ac:dyDescent="0.3">
      <c r="A120">
        <v>5950</v>
      </c>
      <c r="B120" t="s">
        <v>2275</v>
      </c>
      <c r="C120" t="s">
        <v>2276</v>
      </c>
      <c r="D120" t="s">
        <v>2277</v>
      </c>
      <c r="E120" t="s">
        <v>2278</v>
      </c>
      <c r="F120" t="s">
        <v>2279</v>
      </c>
      <c r="G120" t="s">
        <v>2280</v>
      </c>
      <c r="H120" t="s">
        <v>2281</v>
      </c>
      <c r="I120" t="s">
        <v>2282</v>
      </c>
      <c r="J120" t="s">
        <v>2283</v>
      </c>
      <c r="K120" t="s">
        <v>2284</v>
      </c>
      <c r="L120" t="s">
        <v>2285</v>
      </c>
      <c r="M120" t="s">
        <v>2286</v>
      </c>
      <c r="N120" t="s">
        <v>2287</v>
      </c>
      <c r="O120" t="s">
        <v>2288</v>
      </c>
      <c r="P120" t="s">
        <v>2289</v>
      </c>
      <c r="Q120" t="s">
        <v>2290</v>
      </c>
      <c r="R120" t="s">
        <v>2291</v>
      </c>
      <c r="S120" t="s">
        <v>2292</v>
      </c>
      <c r="T120" t="s">
        <v>2293</v>
      </c>
      <c r="U120" t="s">
        <v>2294</v>
      </c>
      <c r="V120" t="s">
        <v>2295</v>
      </c>
      <c r="W120" t="s">
        <v>2296</v>
      </c>
      <c r="X120" t="s">
        <v>2297</v>
      </c>
      <c r="Y120" t="s">
        <v>2298</v>
      </c>
    </row>
    <row r="121" spans="1:25" x14ac:dyDescent="0.3">
      <c r="A121">
        <v>6000</v>
      </c>
      <c r="B121" t="s">
        <v>2299</v>
      </c>
      <c r="C121" t="s">
        <v>2300</v>
      </c>
      <c r="D121" t="s">
        <v>2301</v>
      </c>
      <c r="E121" t="s">
        <v>2302</v>
      </c>
      <c r="F121" t="s">
        <v>2303</v>
      </c>
      <c r="G121" t="s">
        <v>2304</v>
      </c>
      <c r="H121" t="s">
        <v>2305</v>
      </c>
      <c r="I121" t="s">
        <v>2306</v>
      </c>
      <c r="J121" t="s">
        <v>2307</v>
      </c>
      <c r="K121" t="s">
        <v>2308</v>
      </c>
      <c r="L121" t="s">
        <v>2309</v>
      </c>
      <c r="M121" t="s">
        <v>2310</v>
      </c>
      <c r="N121" t="s">
        <v>2311</v>
      </c>
      <c r="O121" t="s">
        <v>2312</v>
      </c>
      <c r="P121" t="s">
        <v>2313</v>
      </c>
      <c r="Q121" t="s">
        <v>2314</v>
      </c>
      <c r="R121" t="s">
        <v>2315</v>
      </c>
      <c r="S121" t="s">
        <v>2316</v>
      </c>
      <c r="T121" t="s">
        <v>2317</v>
      </c>
      <c r="U121" t="s">
        <v>2318</v>
      </c>
      <c r="V121" t="s">
        <v>2319</v>
      </c>
      <c r="W121" t="s">
        <v>2320</v>
      </c>
      <c r="X121" t="s">
        <v>2321</v>
      </c>
      <c r="Y121" t="s">
        <v>2322</v>
      </c>
    </row>
    <row r="122" spans="1:25" x14ac:dyDescent="0.3">
      <c r="A122">
        <v>6050</v>
      </c>
      <c r="B122" t="s">
        <v>2323</v>
      </c>
      <c r="C122" t="s">
        <v>2324</v>
      </c>
      <c r="D122" t="s">
        <v>2325</v>
      </c>
      <c r="E122" t="s">
        <v>2326</v>
      </c>
      <c r="F122" t="s">
        <v>2327</v>
      </c>
      <c r="G122" t="s">
        <v>2328</v>
      </c>
      <c r="H122" t="s">
        <v>2329</v>
      </c>
      <c r="I122" t="s">
        <v>2330</v>
      </c>
      <c r="J122" t="s">
        <v>2331</v>
      </c>
      <c r="K122" t="s">
        <v>2332</v>
      </c>
      <c r="L122" t="s">
        <v>2333</v>
      </c>
      <c r="M122" t="s">
        <v>2334</v>
      </c>
      <c r="N122" t="s">
        <v>2335</v>
      </c>
      <c r="O122" t="s">
        <v>2336</v>
      </c>
      <c r="P122" t="s">
        <v>2337</v>
      </c>
      <c r="Q122" t="s">
        <v>2338</v>
      </c>
      <c r="R122" t="s">
        <v>2339</v>
      </c>
      <c r="S122" t="s">
        <v>2340</v>
      </c>
      <c r="T122" t="s">
        <v>2341</v>
      </c>
      <c r="U122" t="s">
        <v>2342</v>
      </c>
      <c r="V122" t="s">
        <v>2343</v>
      </c>
      <c r="W122" t="s">
        <v>2344</v>
      </c>
      <c r="X122" t="s">
        <v>2345</v>
      </c>
      <c r="Y122" t="s">
        <v>2346</v>
      </c>
    </row>
    <row r="123" spans="1:25" x14ac:dyDescent="0.3">
      <c r="A123">
        <v>6100</v>
      </c>
      <c r="B123" t="s">
        <v>2347</v>
      </c>
      <c r="C123" t="s">
        <v>2348</v>
      </c>
      <c r="D123" t="s">
        <v>2349</v>
      </c>
      <c r="E123" t="s">
        <v>2350</v>
      </c>
      <c r="F123" t="s">
        <v>2351</v>
      </c>
      <c r="G123" t="s">
        <v>2352</v>
      </c>
      <c r="H123" t="s">
        <v>2353</v>
      </c>
      <c r="I123" t="s">
        <v>2354</v>
      </c>
      <c r="J123" t="s">
        <v>2355</v>
      </c>
      <c r="K123" t="s">
        <v>2356</v>
      </c>
      <c r="L123" t="s">
        <v>2357</v>
      </c>
      <c r="M123" t="s">
        <v>2358</v>
      </c>
      <c r="N123" t="s">
        <v>2359</v>
      </c>
      <c r="O123" t="s">
        <v>2360</v>
      </c>
      <c r="P123" t="s">
        <v>2361</v>
      </c>
      <c r="Q123" t="s">
        <v>2362</v>
      </c>
      <c r="R123" t="s">
        <v>2363</v>
      </c>
      <c r="S123" t="s">
        <v>2364</v>
      </c>
      <c r="T123" t="s">
        <v>2365</v>
      </c>
      <c r="U123" t="s">
        <v>2366</v>
      </c>
      <c r="V123" t="s">
        <v>2367</v>
      </c>
      <c r="W123" t="s">
        <v>2368</v>
      </c>
      <c r="X123" t="s">
        <v>2369</v>
      </c>
      <c r="Y123" t="s">
        <v>2370</v>
      </c>
    </row>
    <row r="124" spans="1:25" x14ac:dyDescent="0.3">
      <c r="A124">
        <v>6150</v>
      </c>
      <c r="B124" t="s">
        <v>2371</v>
      </c>
      <c r="C124" t="s">
        <v>2372</v>
      </c>
      <c r="D124" t="s">
        <v>2373</v>
      </c>
      <c r="E124" t="s">
        <v>2374</v>
      </c>
      <c r="F124" t="s">
        <v>2375</v>
      </c>
      <c r="G124" t="s">
        <v>2376</v>
      </c>
      <c r="H124" t="s">
        <v>2377</v>
      </c>
      <c r="I124" t="s">
        <v>2378</v>
      </c>
      <c r="J124" t="s">
        <v>2379</v>
      </c>
      <c r="K124" t="s">
        <v>2380</v>
      </c>
      <c r="L124" t="s">
        <v>2381</v>
      </c>
      <c r="M124" t="s">
        <v>2382</v>
      </c>
      <c r="N124" t="s">
        <v>2383</v>
      </c>
      <c r="O124" t="s">
        <v>2384</v>
      </c>
      <c r="P124" t="s">
        <v>2385</v>
      </c>
      <c r="Q124" t="s">
        <v>2386</v>
      </c>
      <c r="R124" t="s">
        <v>2387</v>
      </c>
      <c r="S124" t="s">
        <v>2388</v>
      </c>
      <c r="T124" t="s">
        <v>2389</v>
      </c>
      <c r="U124" t="s">
        <v>2390</v>
      </c>
      <c r="V124" t="s">
        <v>2391</v>
      </c>
      <c r="W124" t="s">
        <v>2392</v>
      </c>
      <c r="X124" t="s">
        <v>2393</v>
      </c>
      <c r="Y124" t="s">
        <v>2394</v>
      </c>
    </row>
    <row r="125" spans="1:25" x14ac:dyDescent="0.3">
      <c r="A125">
        <v>6200</v>
      </c>
      <c r="B125" t="s">
        <v>2395</v>
      </c>
      <c r="C125" t="s">
        <v>2396</v>
      </c>
      <c r="D125" t="s">
        <v>2397</v>
      </c>
      <c r="E125" t="s">
        <v>2398</v>
      </c>
      <c r="F125" t="s">
        <v>2399</v>
      </c>
      <c r="G125" t="s">
        <v>2400</v>
      </c>
      <c r="H125" t="s">
        <v>2401</v>
      </c>
      <c r="I125" t="s">
        <v>2402</v>
      </c>
      <c r="J125" t="s">
        <v>2403</v>
      </c>
      <c r="K125" t="s">
        <v>2404</v>
      </c>
      <c r="L125" t="s">
        <v>2405</v>
      </c>
      <c r="M125" t="s">
        <v>2406</v>
      </c>
      <c r="N125" t="s">
        <v>2407</v>
      </c>
      <c r="O125" t="s">
        <v>2408</v>
      </c>
      <c r="P125" t="s">
        <v>2409</v>
      </c>
      <c r="Q125" t="s">
        <v>2410</v>
      </c>
      <c r="R125" t="s">
        <v>2411</v>
      </c>
      <c r="S125" t="s">
        <v>2412</v>
      </c>
      <c r="T125" t="s">
        <v>2413</v>
      </c>
      <c r="U125" t="s">
        <v>2414</v>
      </c>
      <c r="V125" t="s">
        <v>2415</v>
      </c>
      <c r="W125" t="s">
        <v>2416</v>
      </c>
      <c r="X125" t="s">
        <v>2417</v>
      </c>
      <c r="Y125" t="s">
        <v>2418</v>
      </c>
    </row>
    <row r="126" spans="1:25" x14ac:dyDescent="0.3">
      <c r="A126">
        <v>6250</v>
      </c>
      <c r="B126" t="s">
        <v>2419</v>
      </c>
      <c r="C126" t="s">
        <v>2420</v>
      </c>
      <c r="D126" t="s">
        <v>2421</v>
      </c>
      <c r="E126" t="s">
        <v>2422</v>
      </c>
      <c r="F126" t="s">
        <v>2423</v>
      </c>
      <c r="G126" t="s">
        <v>2424</v>
      </c>
      <c r="H126" t="s">
        <v>2425</v>
      </c>
      <c r="I126" t="s">
        <v>2426</v>
      </c>
      <c r="J126" t="s">
        <v>2427</v>
      </c>
      <c r="K126" t="s">
        <v>2428</v>
      </c>
      <c r="L126" t="s">
        <v>2429</v>
      </c>
      <c r="M126" t="s">
        <v>2430</v>
      </c>
      <c r="N126" t="s">
        <v>2431</v>
      </c>
      <c r="O126" t="s">
        <v>2432</v>
      </c>
      <c r="P126" t="s">
        <v>2433</v>
      </c>
      <c r="Q126" t="s">
        <v>2434</v>
      </c>
      <c r="R126" t="s">
        <v>2435</v>
      </c>
      <c r="S126" t="s">
        <v>2436</v>
      </c>
      <c r="T126" t="s">
        <v>2437</v>
      </c>
      <c r="U126" t="s">
        <v>2438</v>
      </c>
      <c r="V126" t="s">
        <v>2439</v>
      </c>
      <c r="W126" t="s">
        <v>2440</v>
      </c>
      <c r="X126" t="s">
        <v>2441</v>
      </c>
      <c r="Y126" t="s">
        <v>2442</v>
      </c>
    </row>
    <row r="127" spans="1:25" x14ac:dyDescent="0.3">
      <c r="A127">
        <v>6300</v>
      </c>
      <c r="B127" t="s">
        <v>2443</v>
      </c>
      <c r="C127" t="s">
        <v>2444</v>
      </c>
      <c r="D127" t="s">
        <v>2445</v>
      </c>
      <c r="E127" t="s">
        <v>2446</v>
      </c>
      <c r="F127" t="s">
        <v>2447</v>
      </c>
      <c r="G127" t="s">
        <v>2448</v>
      </c>
      <c r="H127" t="s">
        <v>2449</v>
      </c>
      <c r="I127" t="s">
        <v>2450</v>
      </c>
      <c r="J127" t="s">
        <v>2451</v>
      </c>
      <c r="K127" t="s">
        <v>2452</v>
      </c>
      <c r="L127" t="s">
        <v>2453</v>
      </c>
      <c r="M127" t="s">
        <v>2454</v>
      </c>
      <c r="N127" t="s">
        <v>2455</v>
      </c>
      <c r="O127" t="s">
        <v>2456</v>
      </c>
      <c r="P127" t="s">
        <v>2457</v>
      </c>
      <c r="Q127" t="s">
        <v>2458</v>
      </c>
      <c r="R127" t="s">
        <v>2459</v>
      </c>
      <c r="S127" t="s">
        <v>2460</v>
      </c>
      <c r="T127" t="s">
        <v>2461</v>
      </c>
      <c r="U127" t="s">
        <v>2462</v>
      </c>
      <c r="V127" t="s">
        <v>2463</v>
      </c>
      <c r="W127" t="s">
        <v>2464</v>
      </c>
      <c r="X127" t="s">
        <v>2465</v>
      </c>
      <c r="Y127" t="s">
        <v>2466</v>
      </c>
    </row>
    <row r="128" spans="1:25" x14ac:dyDescent="0.3">
      <c r="A128">
        <v>6350</v>
      </c>
      <c r="B128" t="s">
        <v>2467</v>
      </c>
      <c r="C128" t="s">
        <v>2468</v>
      </c>
      <c r="D128" t="s">
        <v>2469</v>
      </c>
      <c r="E128" t="s">
        <v>2470</v>
      </c>
      <c r="F128" t="s">
        <v>2471</v>
      </c>
      <c r="G128" t="s">
        <v>2472</v>
      </c>
      <c r="H128" t="s">
        <v>2473</v>
      </c>
      <c r="I128" t="s">
        <v>2474</v>
      </c>
      <c r="J128" t="s">
        <v>2475</v>
      </c>
      <c r="K128" t="s">
        <v>2476</v>
      </c>
      <c r="L128" t="s">
        <v>2477</v>
      </c>
      <c r="M128" t="s">
        <v>2478</v>
      </c>
      <c r="N128" t="s">
        <v>2479</v>
      </c>
      <c r="O128" t="s">
        <v>2480</v>
      </c>
      <c r="P128" t="s">
        <v>2481</v>
      </c>
      <c r="Q128" t="s">
        <v>2482</v>
      </c>
      <c r="R128" t="s">
        <v>2483</v>
      </c>
      <c r="S128" t="s">
        <v>2484</v>
      </c>
      <c r="T128" t="s">
        <v>2485</v>
      </c>
      <c r="U128" t="s">
        <v>2486</v>
      </c>
      <c r="V128" t="s">
        <v>2487</v>
      </c>
      <c r="W128" t="s">
        <v>2488</v>
      </c>
      <c r="X128" t="s">
        <v>2489</v>
      </c>
      <c r="Y128" t="s">
        <v>2490</v>
      </c>
    </row>
    <row r="129" spans="1:25" x14ac:dyDescent="0.3">
      <c r="A129">
        <v>6400</v>
      </c>
      <c r="B129" t="s">
        <v>2491</v>
      </c>
      <c r="C129" t="s">
        <v>2492</v>
      </c>
      <c r="D129" t="s">
        <v>2493</v>
      </c>
      <c r="E129" t="s">
        <v>2494</v>
      </c>
      <c r="F129" t="s">
        <v>2495</v>
      </c>
      <c r="G129" t="s">
        <v>2496</v>
      </c>
      <c r="H129" t="s">
        <v>2497</v>
      </c>
      <c r="I129" t="s">
        <v>2498</v>
      </c>
      <c r="J129" t="s">
        <v>2499</v>
      </c>
      <c r="K129" t="s">
        <v>2500</v>
      </c>
      <c r="L129" t="s">
        <v>2501</v>
      </c>
      <c r="M129" t="s">
        <v>2502</v>
      </c>
      <c r="N129" t="s">
        <v>2503</v>
      </c>
      <c r="O129" t="s">
        <v>2504</v>
      </c>
      <c r="P129" t="s">
        <v>2505</v>
      </c>
      <c r="Q129" t="s">
        <v>2506</v>
      </c>
      <c r="R129" t="s">
        <v>2507</v>
      </c>
      <c r="S129" t="s">
        <v>2508</v>
      </c>
      <c r="T129" t="s">
        <v>2509</v>
      </c>
      <c r="U129" t="s">
        <v>2510</v>
      </c>
      <c r="V129" t="s">
        <v>2511</v>
      </c>
      <c r="W129" t="s">
        <v>2512</v>
      </c>
      <c r="X129" t="s">
        <v>2513</v>
      </c>
      <c r="Y129" t="s">
        <v>2514</v>
      </c>
    </row>
    <row r="130" spans="1:25" x14ac:dyDescent="0.3">
      <c r="A130">
        <v>6450</v>
      </c>
      <c r="B130" t="s">
        <v>2515</v>
      </c>
      <c r="C130" t="s">
        <v>2516</v>
      </c>
      <c r="D130" t="s">
        <v>2517</v>
      </c>
      <c r="E130" t="s">
        <v>2518</v>
      </c>
      <c r="F130" t="s">
        <v>2519</v>
      </c>
      <c r="G130" t="s">
        <v>2520</v>
      </c>
      <c r="H130" t="s">
        <v>2521</v>
      </c>
      <c r="I130" t="s">
        <v>2522</v>
      </c>
      <c r="J130" t="s">
        <v>2523</v>
      </c>
      <c r="K130" t="s">
        <v>2524</v>
      </c>
      <c r="L130" t="s">
        <v>2525</v>
      </c>
      <c r="M130" t="s">
        <v>2526</v>
      </c>
      <c r="N130" t="s">
        <v>2527</v>
      </c>
      <c r="O130" t="s">
        <v>2528</v>
      </c>
      <c r="P130" t="s">
        <v>2529</v>
      </c>
      <c r="Q130" t="s">
        <v>2530</v>
      </c>
      <c r="R130" t="s">
        <v>2531</v>
      </c>
      <c r="S130" t="s">
        <v>2532</v>
      </c>
      <c r="T130" t="s">
        <v>2533</v>
      </c>
      <c r="U130" t="s">
        <v>2534</v>
      </c>
      <c r="V130" t="s">
        <v>2535</v>
      </c>
      <c r="W130" t="s">
        <v>2536</v>
      </c>
      <c r="X130" t="s">
        <v>2537</v>
      </c>
      <c r="Y130" t="s">
        <v>2538</v>
      </c>
    </row>
    <row r="131" spans="1:25" x14ac:dyDescent="0.3">
      <c r="A131">
        <v>6500</v>
      </c>
      <c r="B131" t="s">
        <v>2539</v>
      </c>
      <c r="C131" t="s">
        <v>2540</v>
      </c>
      <c r="D131" t="s">
        <v>2541</v>
      </c>
      <c r="E131" t="s">
        <v>2542</v>
      </c>
      <c r="F131" t="s">
        <v>2543</v>
      </c>
      <c r="G131" t="s">
        <v>2544</v>
      </c>
      <c r="H131" t="s">
        <v>2545</v>
      </c>
      <c r="I131" t="s">
        <v>2546</v>
      </c>
      <c r="J131" t="s">
        <v>2547</v>
      </c>
      <c r="K131" t="s">
        <v>2548</v>
      </c>
      <c r="L131" t="s">
        <v>2549</v>
      </c>
      <c r="M131" t="s">
        <v>2550</v>
      </c>
      <c r="N131" t="s">
        <v>2551</v>
      </c>
      <c r="O131" t="s">
        <v>2552</v>
      </c>
      <c r="P131" t="s">
        <v>2553</v>
      </c>
      <c r="Q131" t="s">
        <v>2554</v>
      </c>
      <c r="R131" t="s">
        <v>2555</v>
      </c>
      <c r="S131" t="s">
        <v>2556</v>
      </c>
      <c r="T131" t="s">
        <v>2557</v>
      </c>
      <c r="U131" t="s">
        <v>2558</v>
      </c>
      <c r="V131" t="s">
        <v>2559</v>
      </c>
      <c r="W131" t="s">
        <v>2560</v>
      </c>
      <c r="X131" t="s">
        <v>2561</v>
      </c>
      <c r="Y131" t="s">
        <v>2562</v>
      </c>
    </row>
    <row r="132" spans="1:25" x14ac:dyDescent="0.3">
      <c r="A132">
        <v>6550</v>
      </c>
      <c r="B132" t="s">
        <v>2563</v>
      </c>
      <c r="C132" t="s">
        <v>2564</v>
      </c>
      <c r="D132" t="s">
        <v>2565</v>
      </c>
      <c r="E132" t="s">
        <v>2566</v>
      </c>
      <c r="F132" t="s">
        <v>2567</v>
      </c>
      <c r="G132" t="s">
        <v>2568</v>
      </c>
      <c r="H132" t="s">
        <v>2569</v>
      </c>
      <c r="I132" t="s">
        <v>2570</v>
      </c>
      <c r="J132" t="s">
        <v>2571</v>
      </c>
      <c r="K132" t="s">
        <v>2572</v>
      </c>
      <c r="L132" t="s">
        <v>2573</v>
      </c>
      <c r="M132" t="s">
        <v>2574</v>
      </c>
      <c r="N132" t="s">
        <v>2575</v>
      </c>
      <c r="O132" t="s">
        <v>2576</v>
      </c>
      <c r="P132" t="s">
        <v>2577</v>
      </c>
      <c r="Q132" t="s">
        <v>2578</v>
      </c>
      <c r="R132" t="s">
        <v>2579</v>
      </c>
      <c r="S132" t="s">
        <v>2580</v>
      </c>
      <c r="T132" t="s">
        <v>2581</v>
      </c>
      <c r="U132" t="s">
        <v>2582</v>
      </c>
      <c r="V132" t="s">
        <v>2583</v>
      </c>
      <c r="W132" t="s">
        <v>2584</v>
      </c>
      <c r="X132" t="s">
        <v>2585</v>
      </c>
      <c r="Y132" t="s">
        <v>2586</v>
      </c>
    </row>
    <row r="133" spans="1:25" x14ac:dyDescent="0.3">
      <c r="A133">
        <v>6600</v>
      </c>
      <c r="B133" t="s">
        <v>2587</v>
      </c>
      <c r="C133" t="s">
        <v>2588</v>
      </c>
      <c r="D133" t="s">
        <v>2589</v>
      </c>
      <c r="E133" t="s">
        <v>2590</v>
      </c>
      <c r="F133" t="s">
        <v>2591</v>
      </c>
      <c r="G133" t="s">
        <v>2592</v>
      </c>
      <c r="H133" t="s">
        <v>2593</v>
      </c>
      <c r="I133" t="s">
        <v>2594</v>
      </c>
      <c r="J133" t="s">
        <v>2595</v>
      </c>
      <c r="K133" t="s">
        <v>2596</v>
      </c>
      <c r="L133" t="s">
        <v>2597</v>
      </c>
      <c r="M133" t="s">
        <v>2598</v>
      </c>
      <c r="N133" t="s">
        <v>2599</v>
      </c>
      <c r="O133" t="s">
        <v>2600</v>
      </c>
      <c r="P133" t="s">
        <v>2601</v>
      </c>
      <c r="Q133" t="s">
        <v>2602</v>
      </c>
      <c r="R133" t="s">
        <v>2603</v>
      </c>
      <c r="S133" t="s">
        <v>2604</v>
      </c>
      <c r="T133" t="s">
        <v>2605</v>
      </c>
      <c r="U133" t="s">
        <v>2606</v>
      </c>
      <c r="V133" t="s">
        <v>2607</v>
      </c>
      <c r="W133" t="s">
        <v>2608</v>
      </c>
      <c r="X133" t="s">
        <v>2609</v>
      </c>
      <c r="Y133" t="s">
        <v>2610</v>
      </c>
    </row>
    <row r="134" spans="1:25" x14ac:dyDescent="0.3">
      <c r="A134">
        <v>6650</v>
      </c>
      <c r="B134" t="s">
        <v>2611</v>
      </c>
      <c r="C134" t="s">
        <v>2612</v>
      </c>
      <c r="D134" t="s">
        <v>2613</v>
      </c>
      <c r="E134" t="s">
        <v>2614</v>
      </c>
      <c r="F134" t="s">
        <v>2615</v>
      </c>
      <c r="G134" t="s">
        <v>2616</v>
      </c>
      <c r="H134" t="s">
        <v>2617</v>
      </c>
      <c r="I134" t="s">
        <v>2618</v>
      </c>
      <c r="J134" t="s">
        <v>2619</v>
      </c>
      <c r="K134" t="s">
        <v>2620</v>
      </c>
      <c r="L134" t="s">
        <v>2621</v>
      </c>
      <c r="M134" t="s">
        <v>2622</v>
      </c>
      <c r="N134" t="s">
        <v>2623</v>
      </c>
      <c r="O134" t="s">
        <v>2624</v>
      </c>
      <c r="P134" t="s">
        <v>2625</v>
      </c>
      <c r="Q134" t="s">
        <v>2626</v>
      </c>
      <c r="R134" t="s">
        <v>2627</v>
      </c>
      <c r="S134" t="s">
        <v>2628</v>
      </c>
      <c r="T134" t="s">
        <v>2629</v>
      </c>
      <c r="U134" t="s">
        <v>2630</v>
      </c>
      <c r="V134" t="s">
        <v>2631</v>
      </c>
      <c r="W134" t="s">
        <v>2632</v>
      </c>
      <c r="X134" t="s">
        <v>2633</v>
      </c>
      <c r="Y134" t="s">
        <v>2634</v>
      </c>
    </row>
    <row r="135" spans="1:25" x14ac:dyDescent="0.3">
      <c r="A135">
        <v>6700</v>
      </c>
      <c r="B135" t="s">
        <v>2635</v>
      </c>
      <c r="C135" t="s">
        <v>2636</v>
      </c>
      <c r="D135" t="s">
        <v>2637</v>
      </c>
      <c r="E135" t="s">
        <v>2638</v>
      </c>
      <c r="F135" t="s">
        <v>2639</v>
      </c>
      <c r="G135" t="s">
        <v>2640</v>
      </c>
      <c r="H135" t="s">
        <v>2641</v>
      </c>
      <c r="I135" t="s">
        <v>2642</v>
      </c>
      <c r="J135" t="s">
        <v>2643</v>
      </c>
      <c r="K135" t="s">
        <v>2644</v>
      </c>
      <c r="L135" t="s">
        <v>2645</v>
      </c>
      <c r="M135" t="s">
        <v>2646</v>
      </c>
      <c r="N135" t="s">
        <v>2647</v>
      </c>
      <c r="O135" t="s">
        <v>2648</v>
      </c>
      <c r="P135" t="s">
        <v>2649</v>
      </c>
      <c r="Q135" t="s">
        <v>2650</v>
      </c>
      <c r="R135" t="s">
        <v>2651</v>
      </c>
      <c r="S135" t="s">
        <v>2652</v>
      </c>
      <c r="T135" t="s">
        <v>2653</v>
      </c>
      <c r="U135" t="s">
        <v>2654</v>
      </c>
      <c r="V135" t="s">
        <v>2655</v>
      </c>
      <c r="W135" t="s">
        <v>2656</v>
      </c>
      <c r="X135" t="s">
        <v>2657</v>
      </c>
      <c r="Y135" t="s">
        <v>2658</v>
      </c>
    </row>
    <row r="136" spans="1:25" x14ac:dyDescent="0.3">
      <c r="A136">
        <v>6750</v>
      </c>
      <c r="B136" t="s">
        <v>2659</v>
      </c>
      <c r="C136" t="s">
        <v>2660</v>
      </c>
      <c r="D136" t="s">
        <v>2661</v>
      </c>
      <c r="E136" t="s">
        <v>2662</v>
      </c>
      <c r="F136" t="s">
        <v>2663</v>
      </c>
      <c r="G136" t="s">
        <v>2664</v>
      </c>
      <c r="H136" t="s">
        <v>2665</v>
      </c>
      <c r="I136" t="s">
        <v>2666</v>
      </c>
      <c r="J136" t="s">
        <v>2667</v>
      </c>
      <c r="K136" t="s">
        <v>2668</v>
      </c>
      <c r="L136" t="s">
        <v>2669</v>
      </c>
      <c r="M136" t="s">
        <v>2670</v>
      </c>
      <c r="N136" t="s">
        <v>2671</v>
      </c>
      <c r="O136" t="s">
        <v>2672</v>
      </c>
      <c r="P136" t="s">
        <v>2673</v>
      </c>
      <c r="Q136" t="s">
        <v>2674</v>
      </c>
      <c r="R136" t="s">
        <v>2675</v>
      </c>
      <c r="S136" t="s">
        <v>2676</v>
      </c>
      <c r="T136" t="s">
        <v>2677</v>
      </c>
      <c r="U136" t="s">
        <v>2678</v>
      </c>
      <c r="V136" t="s">
        <v>2679</v>
      </c>
      <c r="W136" t="s">
        <v>2680</v>
      </c>
      <c r="X136" t="s">
        <v>2681</v>
      </c>
      <c r="Y136" t="s">
        <v>2682</v>
      </c>
    </row>
    <row r="137" spans="1:25" x14ac:dyDescent="0.3">
      <c r="A137">
        <v>6800</v>
      </c>
      <c r="B137" t="s">
        <v>2683</v>
      </c>
      <c r="C137" t="s">
        <v>2684</v>
      </c>
      <c r="D137" t="s">
        <v>2685</v>
      </c>
      <c r="E137" t="s">
        <v>2686</v>
      </c>
      <c r="F137" t="s">
        <v>2687</v>
      </c>
      <c r="G137" t="s">
        <v>2688</v>
      </c>
      <c r="H137" t="s">
        <v>2689</v>
      </c>
      <c r="I137" t="s">
        <v>2690</v>
      </c>
      <c r="J137" t="s">
        <v>2691</v>
      </c>
      <c r="K137" t="s">
        <v>2692</v>
      </c>
      <c r="L137" t="s">
        <v>2693</v>
      </c>
      <c r="M137" t="s">
        <v>2694</v>
      </c>
      <c r="N137" t="s">
        <v>2695</v>
      </c>
      <c r="O137" t="s">
        <v>2696</v>
      </c>
      <c r="P137" t="s">
        <v>2697</v>
      </c>
      <c r="Q137" t="s">
        <v>2698</v>
      </c>
      <c r="R137" t="s">
        <v>2699</v>
      </c>
      <c r="S137" t="s">
        <v>2700</v>
      </c>
      <c r="T137" t="s">
        <v>2701</v>
      </c>
      <c r="U137" t="s">
        <v>2702</v>
      </c>
      <c r="V137" t="s">
        <v>2703</v>
      </c>
      <c r="W137" t="s">
        <v>2704</v>
      </c>
      <c r="X137" t="s">
        <v>2705</v>
      </c>
      <c r="Y137" t="s">
        <v>2706</v>
      </c>
    </row>
    <row r="138" spans="1:25" x14ac:dyDescent="0.3">
      <c r="A138">
        <v>6850</v>
      </c>
      <c r="B138" t="s">
        <v>2707</v>
      </c>
      <c r="C138" t="s">
        <v>2708</v>
      </c>
      <c r="D138" t="s">
        <v>2709</v>
      </c>
      <c r="E138" t="s">
        <v>2710</v>
      </c>
      <c r="F138" t="s">
        <v>2711</v>
      </c>
      <c r="G138" t="s">
        <v>2712</v>
      </c>
      <c r="H138" t="s">
        <v>2713</v>
      </c>
      <c r="I138" t="s">
        <v>2714</v>
      </c>
      <c r="J138" t="s">
        <v>2715</v>
      </c>
      <c r="K138" t="s">
        <v>2716</v>
      </c>
      <c r="L138" t="s">
        <v>2717</v>
      </c>
      <c r="M138" t="s">
        <v>2718</v>
      </c>
      <c r="N138" t="s">
        <v>2719</v>
      </c>
      <c r="O138" t="s">
        <v>2720</v>
      </c>
      <c r="P138" t="s">
        <v>2721</v>
      </c>
      <c r="Q138" t="s">
        <v>2722</v>
      </c>
      <c r="R138" t="s">
        <v>2723</v>
      </c>
      <c r="S138" t="s">
        <v>2724</v>
      </c>
      <c r="T138" t="s">
        <v>2725</v>
      </c>
      <c r="U138" t="s">
        <v>2726</v>
      </c>
      <c r="V138" t="s">
        <v>2727</v>
      </c>
      <c r="W138" t="s">
        <v>2728</v>
      </c>
      <c r="X138" t="s">
        <v>2729</v>
      </c>
      <c r="Y138" t="s">
        <v>2730</v>
      </c>
    </row>
    <row r="139" spans="1:25" x14ac:dyDescent="0.3">
      <c r="A139">
        <v>6900</v>
      </c>
      <c r="B139" t="s">
        <v>2731</v>
      </c>
      <c r="C139" t="s">
        <v>2732</v>
      </c>
      <c r="D139" t="s">
        <v>2733</v>
      </c>
      <c r="E139" t="s">
        <v>2734</v>
      </c>
      <c r="F139" t="s">
        <v>2735</v>
      </c>
      <c r="G139" t="s">
        <v>2736</v>
      </c>
      <c r="H139" t="s">
        <v>2737</v>
      </c>
      <c r="I139" t="s">
        <v>2738</v>
      </c>
      <c r="J139" t="s">
        <v>2739</v>
      </c>
      <c r="K139" t="s">
        <v>2740</v>
      </c>
      <c r="L139" t="s">
        <v>2741</v>
      </c>
      <c r="M139" t="s">
        <v>2742</v>
      </c>
      <c r="N139" t="s">
        <v>2743</v>
      </c>
      <c r="O139" t="s">
        <v>2744</v>
      </c>
      <c r="P139" t="s">
        <v>2745</v>
      </c>
      <c r="Q139" t="s">
        <v>2746</v>
      </c>
      <c r="R139" t="s">
        <v>2747</v>
      </c>
      <c r="S139" t="s">
        <v>2748</v>
      </c>
      <c r="T139" t="s">
        <v>2749</v>
      </c>
      <c r="U139" t="s">
        <v>2750</v>
      </c>
      <c r="V139" t="s">
        <v>2751</v>
      </c>
      <c r="W139" t="s">
        <v>2752</v>
      </c>
      <c r="X139" t="s">
        <v>2753</v>
      </c>
      <c r="Y139" t="s">
        <v>2754</v>
      </c>
    </row>
    <row r="140" spans="1:25" x14ac:dyDescent="0.3">
      <c r="A140">
        <v>6950</v>
      </c>
      <c r="B140" t="s">
        <v>2755</v>
      </c>
      <c r="C140" t="s">
        <v>2756</v>
      </c>
      <c r="D140" t="s">
        <v>2757</v>
      </c>
      <c r="E140" t="s">
        <v>2758</v>
      </c>
      <c r="F140" t="s">
        <v>2759</v>
      </c>
      <c r="G140" t="s">
        <v>2760</v>
      </c>
      <c r="H140" t="s">
        <v>2761</v>
      </c>
      <c r="I140" t="s">
        <v>2762</v>
      </c>
      <c r="J140" t="s">
        <v>2763</v>
      </c>
      <c r="K140" t="s">
        <v>2764</v>
      </c>
      <c r="L140" t="s">
        <v>2765</v>
      </c>
      <c r="M140" t="s">
        <v>2766</v>
      </c>
      <c r="N140" t="s">
        <v>2767</v>
      </c>
      <c r="O140" t="s">
        <v>2768</v>
      </c>
      <c r="P140" t="s">
        <v>2769</v>
      </c>
      <c r="Q140" t="s">
        <v>2770</v>
      </c>
      <c r="R140" t="s">
        <v>2771</v>
      </c>
      <c r="S140" t="s">
        <v>2772</v>
      </c>
      <c r="T140" t="s">
        <v>2773</v>
      </c>
      <c r="U140" t="s">
        <v>2774</v>
      </c>
      <c r="V140" t="s">
        <v>2775</v>
      </c>
      <c r="W140" t="s">
        <v>2776</v>
      </c>
      <c r="X140" t="s">
        <v>2777</v>
      </c>
      <c r="Y140" t="s">
        <v>2778</v>
      </c>
    </row>
    <row r="141" spans="1:25" x14ac:dyDescent="0.3">
      <c r="A141">
        <v>7000</v>
      </c>
      <c r="B141" t="s">
        <v>2779</v>
      </c>
      <c r="C141" t="s">
        <v>2780</v>
      </c>
      <c r="D141" t="s">
        <v>2781</v>
      </c>
      <c r="E141" t="s">
        <v>2782</v>
      </c>
      <c r="F141" t="s">
        <v>2783</v>
      </c>
      <c r="G141" t="s">
        <v>2784</v>
      </c>
      <c r="H141" t="s">
        <v>2785</v>
      </c>
      <c r="I141" t="s">
        <v>2786</v>
      </c>
      <c r="J141" t="s">
        <v>2787</v>
      </c>
      <c r="K141" t="s">
        <v>2788</v>
      </c>
      <c r="L141" t="s">
        <v>2789</v>
      </c>
      <c r="M141" t="s">
        <v>2790</v>
      </c>
      <c r="N141" t="s">
        <v>2791</v>
      </c>
      <c r="O141" t="s">
        <v>2792</v>
      </c>
      <c r="P141" t="s">
        <v>2793</v>
      </c>
      <c r="Q141" t="s">
        <v>2794</v>
      </c>
      <c r="R141" t="s">
        <v>2795</v>
      </c>
      <c r="S141" t="s">
        <v>2796</v>
      </c>
      <c r="T141" t="s">
        <v>2797</v>
      </c>
      <c r="U141" t="s">
        <v>2798</v>
      </c>
      <c r="V141" t="s">
        <v>2799</v>
      </c>
      <c r="W141" t="s">
        <v>2800</v>
      </c>
      <c r="X141" t="s">
        <v>2801</v>
      </c>
      <c r="Y141" t="s">
        <v>2802</v>
      </c>
    </row>
    <row r="142" spans="1:25" x14ac:dyDescent="0.3">
      <c r="A142">
        <v>7050</v>
      </c>
      <c r="B142" t="s">
        <v>2803</v>
      </c>
      <c r="C142" t="s">
        <v>2804</v>
      </c>
      <c r="D142" t="s">
        <v>2805</v>
      </c>
      <c r="E142" t="s">
        <v>2806</v>
      </c>
      <c r="F142" t="s">
        <v>2807</v>
      </c>
      <c r="G142" t="s">
        <v>2808</v>
      </c>
      <c r="H142" t="s">
        <v>2809</v>
      </c>
      <c r="I142" t="s">
        <v>2810</v>
      </c>
      <c r="J142" t="s">
        <v>2811</v>
      </c>
      <c r="K142" t="s">
        <v>2812</v>
      </c>
      <c r="L142" t="s">
        <v>2813</v>
      </c>
      <c r="M142" t="s">
        <v>2814</v>
      </c>
      <c r="N142" t="s">
        <v>2815</v>
      </c>
      <c r="O142" t="s">
        <v>2816</v>
      </c>
      <c r="P142" t="s">
        <v>2817</v>
      </c>
      <c r="Q142" t="s">
        <v>2818</v>
      </c>
      <c r="R142" t="s">
        <v>2819</v>
      </c>
      <c r="S142" t="s">
        <v>2820</v>
      </c>
      <c r="T142" t="s">
        <v>2821</v>
      </c>
      <c r="U142" t="s">
        <v>2822</v>
      </c>
      <c r="V142" t="s">
        <v>2823</v>
      </c>
      <c r="W142" t="s">
        <v>2824</v>
      </c>
      <c r="X142" t="s">
        <v>2825</v>
      </c>
      <c r="Y142" t="s">
        <v>2826</v>
      </c>
    </row>
    <row r="143" spans="1:25" x14ac:dyDescent="0.3">
      <c r="A143">
        <v>7100</v>
      </c>
      <c r="B143" t="s">
        <v>2827</v>
      </c>
      <c r="C143" t="s">
        <v>2828</v>
      </c>
      <c r="D143" t="s">
        <v>2829</v>
      </c>
      <c r="E143" t="s">
        <v>2830</v>
      </c>
      <c r="F143" t="s">
        <v>2831</v>
      </c>
      <c r="G143" t="s">
        <v>2832</v>
      </c>
      <c r="H143" t="s">
        <v>2833</v>
      </c>
      <c r="I143" t="s">
        <v>2834</v>
      </c>
      <c r="J143" t="s">
        <v>2835</v>
      </c>
      <c r="K143" t="s">
        <v>2836</v>
      </c>
      <c r="L143" t="s">
        <v>2837</v>
      </c>
      <c r="M143" t="s">
        <v>2838</v>
      </c>
      <c r="N143" t="s">
        <v>2839</v>
      </c>
      <c r="O143" t="s">
        <v>2840</v>
      </c>
      <c r="P143" t="s">
        <v>2841</v>
      </c>
      <c r="Q143" t="s">
        <v>2842</v>
      </c>
      <c r="R143" t="s">
        <v>2843</v>
      </c>
      <c r="S143" t="s">
        <v>2844</v>
      </c>
      <c r="T143" t="s">
        <v>2845</v>
      </c>
      <c r="U143" t="s">
        <v>2846</v>
      </c>
      <c r="V143" t="s">
        <v>2847</v>
      </c>
      <c r="W143" t="s">
        <v>2848</v>
      </c>
      <c r="X143" t="s">
        <v>2849</v>
      </c>
      <c r="Y143" t="s">
        <v>2850</v>
      </c>
    </row>
    <row r="144" spans="1:25" x14ac:dyDescent="0.3">
      <c r="A144">
        <v>7150</v>
      </c>
      <c r="B144" t="s">
        <v>2851</v>
      </c>
      <c r="C144" t="s">
        <v>2852</v>
      </c>
      <c r="D144" t="s">
        <v>2853</v>
      </c>
      <c r="E144" t="s">
        <v>2854</v>
      </c>
      <c r="F144" t="s">
        <v>2855</v>
      </c>
      <c r="G144" t="s">
        <v>2856</v>
      </c>
      <c r="H144" t="s">
        <v>2857</v>
      </c>
      <c r="I144" t="s">
        <v>2858</v>
      </c>
      <c r="J144" t="s">
        <v>2859</v>
      </c>
      <c r="K144" t="s">
        <v>2860</v>
      </c>
      <c r="L144" t="s">
        <v>2861</v>
      </c>
      <c r="M144" t="s">
        <v>2862</v>
      </c>
      <c r="N144" t="s">
        <v>2863</v>
      </c>
      <c r="O144" t="s">
        <v>2864</v>
      </c>
      <c r="P144" t="s">
        <v>2865</v>
      </c>
      <c r="Q144" t="s">
        <v>2866</v>
      </c>
      <c r="R144" t="s">
        <v>2867</v>
      </c>
      <c r="S144" t="s">
        <v>2868</v>
      </c>
      <c r="T144" t="s">
        <v>2869</v>
      </c>
      <c r="U144" t="s">
        <v>2870</v>
      </c>
      <c r="V144" t="s">
        <v>2871</v>
      </c>
      <c r="W144" t="s">
        <v>2872</v>
      </c>
      <c r="X144" t="s">
        <v>2873</v>
      </c>
      <c r="Y144" t="s">
        <v>2874</v>
      </c>
    </row>
    <row r="145" spans="1:25" x14ac:dyDescent="0.3">
      <c r="A145">
        <v>7200</v>
      </c>
      <c r="B145" t="s">
        <v>2875</v>
      </c>
      <c r="C145" t="s">
        <v>2876</v>
      </c>
      <c r="D145" t="s">
        <v>2877</v>
      </c>
      <c r="E145" t="s">
        <v>2878</v>
      </c>
      <c r="F145" t="s">
        <v>2879</v>
      </c>
      <c r="G145" t="s">
        <v>2880</v>
      </c>
      <c r="H145" t="s">
        <v>2881</v>
      </c>
      <c r="I145" t="s">
        <v>2882</v>
      </c>
      <c r="J145" t="s">
        <v>2883</v>
      </c>
      <c r="K145" t="s">
        <v>2884</v>
      </c>
      <c r="L145" t="s">
        <v>2885</v>
      </c>
      <c r="M145" t="s">
        <v>2886</v>
      </c>
      <c r="N145" t="s">
        <v>2887</v>
      </c>
      <c r="O145" t="s">
        <v>2888</v>
      </c>
      <c r="P145" t="s">
        <v>2889</v>
      </c>
      <c r="Q145" t="s">
        <v>2890</v>
      </c>
      <c r="R145" t="s">
        <v>2891</v>
      </c>
      <c r="S145" t="s">
        <v>2892</v>
      </c>
      <c r="T145" t="s">
        <v>2893</v>
      </c>
      <c r="U145" t="s">
        <v>2894</v>
      </c>
      <c r="V145" t="s">
        <v>2895</v>
      </c>
      <c r="W145" t="s">
        <v>2896</v>
      </c>
      <c r="X145" t="s">
        <v>2897</v>
      </c>
      <c r="Y145" t="s">
        <v>2898</v>
      </c>
    </row>
    <row r="146" spans="1:25" x14ac:dyDescent="0.3">
      <c r="A146">
        <v>7250</v>
      </c>
      <c r="B146" t="s">
        <v>2899</v>
      </c>
      <c r="C146" t="s">
        <v>2900</v>
      </c>
      <c r="D146" t="s">
        <v>2901</v>
      </c>
      <c r="E146" t="s">
        <v>2902</v>
      </c>
      <c r="F146" t="s">
        <v>2903</v>
      </c>
      <c r="G146" t="s">
        <v>2904</v>
      </c>
      <c r="H146" t="s">
        <v>2905</v>
      </c>
      <c r="I146" t="s">
        <v>2906</v>
      </c>
      <c r="J146" t="s">
        <v>2907</v>
      </c>
      <c r="K146" t="s">
        <v>2908</v>
      </c>
      <c r="L146" t="s">
        <v>2909</v>
      </c>
      <c r="M146" t="s">
        <v>2910</v>
      </c>
      <c r="N146" t="s">
        <v>2911</v>
      </c>
      <c r="O146" t="s">
        <v>2912</v>
      </c>
      <c r="P146" t="s">
        <v>2913</v>
      </c>
      <c r="Q146" t="s">
        <v>2914</v>
      </c>
      <c r="R146" t="s">
        <v>2915</v>
      </c>
      <c r="S146" t="s">
        <v>2916</v>
      </c>
      <c r="T146" t="s">
        <v>2917</v>
      </c>
      <c r="U146" t="s">
        <v>2918</v>
      </c>
      <c r="V146" t="s">
        <v>2919</v>
      </c>
      <c r="W146" t="s">
        <v>2920</v>
      </c>
      <c r="X146" t="s">
        <v>2921</v>
      </c>
      <c r="Y146" t="s">
        <v>2922</v>
      </c>
    </row>
    <row r="147" spans="1:25" x14ac:dyDescent="0.3">
      <c r="A147">
        <v>7300</v>
      </c>
      <c r="B147" t="s">
        <v>2923</v>
      </c>
      <c r="C147" t="s">
        <v>2924</v>
      </c>
      <c r="D147" t="s">
        <v>2925</v>
      </c>
      <c r="E147" t="s">
        <v>2926</v>
      </c>
      <c r="F147" t="s">
        <v>2927</v>
      </c>
      <c r="G147" t="s">
        <v>2928</v>
      </c>
      <c r="H147" t="s">
        <v>2929</v>
      </c>
      <c r="I147" t="s">
        <v>2930</v>
      </c>
      <c r="J147" t="s">
        <v>2931</v>
      </c>
      <c r="K147" t="s">
        <v>2932</v>
      </c>
      <c r="L147" t="s">
        <v>2933</v>
      </c>
      <c r="M147" t="s">
        <v>2934</v>
      </c>
      <c r="N147" t="s">
        <v>2935</v>
      </c>
      <c r="O147" t="s">
        <v>2936</v>
      </c>
      <c r="P147" t="s">
        <v>2937</v>
      </c>
      <c r="Q147" t="s">
        <v>2938</v>
      </c>
      <c r="R147" t="s">
        <v>2939</v>
      </c>
      <c r="S147" t="s">
        <v>2940</v>
      </c>
      <c r="T147" t="s">
        <v>2941</v>
      </c>
      <c r="U147" t="s">
        <v>2942</v>
      </c>
      <c r="V147" t="s">
        <v>2943</v>
      </c>
      <c r="W147" t="s">
        <v>2944</v>
      </c>
      <c r="X147" t="s">
        <v>2945</v>
      </c>
      <c r="Y147" t="s">
        <v>2946</v>
      </c>
    </row>
    <row r="148" spans="1:25" x14ac:dyDescent="0.3">
      <c r="A148">
        <v>7350</v>
      </c>
      <c r="B148" t="s">
        <v>2947</v>
      </c>
      <c r="C148" t="s">
        <v>2948</v>
      </c>
      <c r="D148" t="s">
        <v>2949</v>
      </c>
      <c r="E148" t="s">
        <v>2950</v>
      </c>
      <c r="F148" t="s">
        <v>2951</v>
      </c>
      <c r="G148" t="s">
        <v>2952</v>
      </c>
      <c r="H148" t="s">
        <v>2953</v>
      </c>
      <c r="I148" t="s">
        <v>2954</v>
      </c>
      <c r="J148" t="s">
        <v>2955</v>
      </c>
      <c r="K148" t="s">
        <v>2956</v>
      </c>
      <c r="L148" t="s">
        <v>2957</v>
      </c>
      <c r="M148" t="s">
        <v>2958</v>
      </c>
      <c r="N148" t="s">
        <v>2959</v>
      </c>
      <c r="O148" t="s">
        <v>2960</v>
      </c>
      <c r="P148" t="s">
        <v>2961</v>
      </c>
      <c r="Q148" t="s">
        <v>2962</v>
      </c>
      <c r="R148" t="s">
        <v>2963</v>
      </c>
      <c r="S148" t="s">
        <v>2964</v>
      </c>
      <c r="T148" t="s">
        <v>2965</v>
      </c>
      <c r="U148" t="s">
        <v>2966</v>
      </c>
      <c r="V148" t="s">
        <v>2967</v>
      </c>
      <c r="W148" t="s">
        <v>2968</v>
      </c>
      <c r="X148" t="s">
        <v>2969</v>
      </c>
      <c r="Y148" t="s">
        <v>2970</v>
      </c>
    </row>
    <row r="149" spans="1:25" x14ac:dyDescent="0.3">
      <c r="A149">
        <v>7400</v>
      </c>
      <c r="B149" t="s">
        <v>2971</v>
      </c>
      <c r="C149" t="s">
        <v>2972</v>
      </c>
      <c r="D149" t="s">
        <v>2973</v>
      </c>
      <c r="E149" t="s">
        <v>2974</v>
      </c>
      <c r="F149" t="s">
        <v>2975</v>
      </c>
      <c r="G149" t="s">
        <v>2976</v>
      </c>
      <c r="H149" t="s">
        <v>2977</v>
      </c>
      <c r="I149" t="s">
        <v>2978</v>
      </c>
      <c r="J149" t="s">
        <v>2979</v>
      </c>
      <c r="K149" t="s">
        <v>2980</v>
      </c>
      <c r="L149" t="s">
        <v>2981</v>
      </c>
      <c r="M149" t="s">
        <v>2982</v>
      </c>
      <c r="N149" t="s">
        <v>2983</v>
      </c>
      <c r="O149" t="s">
        <v>2984</v>
      </c>
      <c r="P149" t="s">
        <v>2985</v>
      </c>
      <c r="Q149" t="s">
        <v>2986</v>
      </c>
      <c r="R149" t="s">
        <v>2987</v>
      </c>
      <c r="S149" t="s">
        <v>2988</v>
      </c>
      <c r="T149" t="s">
        <v>2989</v>
      </c>
      <c r="U149" t="s">
        <v>2990</v>
      </c>
      <c r="V149" t="s">
        <v>2991</v>
      </c>
      <c r="W149" t="s">
        <v>2992</v>
      </c>
      <c r="X149" t="s">
        <v>2993</v>
      </c>
      <c r="Y149" t="s">
        <v>2994</v>
      </c>
    </row>
    <row r="150" spans="1:25" x14ac:dyDescent="0.3">
      <c r="A150">
        <v>7450</v>
      </c>
      <c r="B150" t="s">
        <v>2995</v>
      </c>
      <c r="C150" t="s">
        <v>2996</v>
      </c>
      <c r="D150" t="s">
        <v>2997</v>
      </c>
      <c r="E150" t="s">
        <v>2998</v>
      </c>
      <c r="F150" t="s">
        <v>2999</v>
      </c>
      <c r="G150" t="s">
        <v>3000</v>
      </c>
      <c r="H150" t="s">
        <v>3001</v>
      </c>
      <c r="I150" t="s">
        <v>3002</v>
      </c>
      <c r="J150" t="s">
        <v>3003</v>
      </c>
      <c r="K150" t="s">
        <v>3004</v>
      </c>
      <c r="L150" t="s">
        <v>3005</v>
      </c>
      <c r="M150" t="s">
        <v>3006</v>
      </c>
      <c r="N150" t="s">
        <v>3007</v>
      </c>
      <c r="O150" t="s">
        <v>3008</v>
      </c>
      <c r="P150" t="s">
        <v>3009</v>
      </c>
      <c r="Q150" t="s">
        <v>3010</v>
      </c>
      <c r="R150" t="s">
        <v>3011</v>
      </c>
      <c r="S150" t="s">
        <v>3012</v>
      </c>
      <c r="T150" t="s">
        <v>3013</v>
      </c>
      <c r="U150" t="s">
        <v>3014</v>
      </c>
      <c r="V150" t="s">
        <v>3015</v>
      </c>
      <c r="W150" t="s">
        <v>3016</v>
      </c>
      <c r="X150" t="s">
        <v>3017</v>
      </c>
      <c r="Y150" t="s">
        <v>3018</v>
      </c>
    </row>
    <row r="151" spans="1:25" x14ac:dyDescent="0.3">
      <c r="A151">
        <v>7500</v>
      </c>
      <c r="B151" t="s">
        <v>3019</v>
      </c>
      <c r="C151" t="s">
        <v>3020</v>
      </c>
      <c r="D151" t="s">
        <v>3021</v>
      </c>
      <c r="E151" t="s">
        <v>3022</v>
      </c>
      <c r="F151" t="s">
        <v>3023</v>
      </c>
      <c r="G151" t="s">
        <v>3024</v>
      </c>
      <c r="H151" t="s">
        <v>3025</v>
      </c>
      <c r="I151" t="s">
        <v>3026</v>
      </c>
      <c r="J151" t="s">
        <v>3027</v>
      </c>
      <c r="K151" t="s">
        <v>3028</v>
      </c>
      <c r="L151" t="s">
        <v>3029</v>
      </c>
      <c r="M151" t="s">
        <v>3030</v>
      </c>
      <c r="N151" t="s">
        <v>3031</v>
      </c>
      <c r="O151" t="s">
        <v>3032</v>
      </c>
      <c r="P151" t="s">
        <v>3033</v>
      </c>
      <c r="Q151" t="s">
        <v>3034</v>
      </c>
      <c r="R151" t="s">
        <v>3035</v>
      </c>
      <c r="S151" t="s">
        <v>3036</v>
      </c>
      <c r="T151" t="s">
        <v>3037</v>
      </c>
      <c r="U151" t="s">
        <v>3038</v>
      </c>
      <c r="V151" t="s">
        <v>3039</v>
      </c>
      <c r="W151" t="s">
        <v>3040</v>
      </c>
      <c r="X151" t="s">
        <v>3041</v>
      </c>
      <c r="Y151" t="s">
        <v>3042</v>
      </c>
    </row>
    <row r="152" spans="1:25" x14ac:dyDescent="0.3">
      <c r="A152">
        <v>7550</v>
      </c>
      <c r="B152" t="s">
        <v>3043</v>
      </c>
      <c r="C152" t="s">
        <v>3044</v>
      </c>
      <c r="D152" t="s">
        <v>3045</v>
      </c>
      <c r="E152" t="s">
        <v>3046</v>
      </c>
      <c r="F152" t="s">
        <v>3047</v>
      </c>
      <c r="G152" t="s">
        <v>3048</v>
      </c>
      <c r="H152" t="s">
        <v>3049</v>
      </c>
      <c r="I152" t="s">
        <v>3050</v>
      </c>
      <c r="J152" t="s">
        <v>3051</v>
      </c>
      <c r="K152" t="s">
        <v>3052</v>
      </c>
      <c r="L152" t="s">
        <v>3053</v>
      </c>
      <c r="M152" t="s">
        <v>3054</v>
      </c>
      <c r="N152" t="s">
        <v>3055</v>
      </c>
      <c r="O152" t="s">
        <v>3056</v>
      </c>
      <c r="P152" t="s">
        <v>3057</v>
      </c>
      <c r="Q152" t="s">
        <v>3058</v>
      </c>
      <c r="R152" t="s">
        <v>3059</v>
      </c>
      <c r="S152" t="s">
        <v>3060</v>
      </c>
      <c r="T152" t="s">
        <v>3061</v>
      </c>
      <c r="U152" t="s">
        <v>3062</v>
      </c>
      <c r="V152" t="s">
        <v>3063</v>
      </c>
      <c r="W152" t="s">
        <v>3064</v>
      </c>
      <c r="X152" t="s">
        <v>3065</v>
      </c>
      <c r="Y152" t="s">
        <v>3066</v>
      </c>
    </row>
    <row r="153" spans="1:25" x14ac:dyDescent="0.3">
      <c r="A153">
        <v>7600</v>
      </c>
      <c r="B153" t="s">
        <v>3067</v>
      </c>
      <c r="C153" t="s">
        <v>3068</v>
      </c>
      <c r="D153" t="s">
        <v>3069</v>
      </c>
      <c r="E153" t="s">
        <v>3070</v>
      </c>
      <c r="F153" t="s">
        <v>3071</v>
      </c>
      <c r="G153" t="s">
        <v>3072</v>
      </c>
      <c r="H153" t="s">
        <v>3073</v>
      </c>
      <c r="I153" t="s">
        <v>3074</v>
      </c>
      <c r="J153" t="s">
        <v>3075</v>
      </c>
      <c r="K153" t="s">
        <v>3076</v>
      </c>
      <c r="L153" t="s">
        <v>3077</v>
      </c>
      <c r="M153" t="s">
        <v>3078</v>
      </c>
      <c r="N153" t="s">
        <v>3079</v>
      </c>
      <c r="O153" t="s">
        <v>3080</v>
      </c>
      <c r="P153" t="s">
        <v>3081</v>
      </c>
      <c r="Q153" t="s">
        <v>3082</v>
      </c>
      <c r="R153" t="s">
        <v>3083</v>
      </c>
      <c r="S153" t="s">
        <v>3084</v>
      </c>
      <c r="T153" t="s">
        <v>3085</v>
      </c>
      <c r="U153" t="s">
        <v>3086</v>
      </c>
      <c r="V153" t="s">
        <v>3087</v>
      </c>
      <c r="W153" t="s">
        <v>3088</v>
      </c>
      <c r="X153" t="s">
        <v>3089</v>
      </c>
      <c r="Y153" t="s">
        <v>3090</v>
      </c>
    </row>
    <row r="154" spans="1:25" x14ac:dyDescent="0.3">
      <c r="A154">
        <v>7650</v>
      </c>
      <c r="B154" t="s">
        <v>3091</v>
      </c>
      <c r="C154" t="s">
        <v>3092</v>
      </c>
      <c r="D154" t="s">
        <v>3093</v>
      </c>
      <c r="E154" t="s">
        <v>3094</v>
      </c>
      <c r="F154" t="s">
        <v>3095</v>
      </c>
      <c r="G154" t="s">
        <v>3096</v>
      </c>
      <c r="H154" t="s">
        <v>3097</v>
      </c>
      <c r="I154" t="s">
        <v>3098</v>
      </c>
      <c r="J154" t="s">
        <v>3099</v>
      </c>
      <c r="K154" t="s">
        <v>3100</v>
      </c>
      <c r="L154" t="s">
        <v>3101</v>
      </c>
      <c r="M154" t="s">
        <v>3102</v>
      </c>
      <c r="N154" t="s">
        <v>3103</v>
      </c>
      <c r="O154" t="s">
        <v>3104</v>
      </c>
      <c r="P154" t="s">
        <v>3105</v>
      </c>
      <c r="Q154" t="s">
        <v>3106</v>
      </c>
      <c r="R154" t="s">
        <v>3107</v>
      </c>
      <c r="S154" t="s">
        <v>3108</v>
      </c>
      <c r="T154" t="s">
        <v>3109</v>
      </c>
      <c r="U154" t="s">
        <v>3110</v>
      </c>
      <c r="V154" t="s">
        <v>3111</v>
      </c>
      <c r="W154" t="s">
        <v>3112</v>
      </c>
      <c r="X154" t="s">
        <v>3113</v>
      </c>
      <c r="Y154" t="s">
        <v>3114</v>
      </c>
    </row>
    <row r="155" spans="1:25" x14ac:dyDescent="0.3">
      <c r="A155">
        <v>7700</v>
      </c>
      <c r="B155" t="s">
        <v>3115</v>
      </c>
      <c r="C155" t="s">
        <v>3116</v>
      </c>
      <c r="D155" t="s">
        <v>3117</v>
      </c>
      <c r="E155" t="s">
        <v>3118</v>
      </c>
      <c r="F155" t="s">
        <v>3119</v>
      </c>
      <c r="G155" t="s">
        <v>3120</v>
      </c>
      <c r="H155" t="s">
        <v>3121</v>
      </c>
      <c r="I155" t="s">
        <v>3122</v>
      </c>
      <c r="J155" t="s">
        <v>3123</v>
      </c>
      <c r="K155" t="s">
        <v>3124</v>
      </c>
      <c r="L155" t="s">
        <v>3125</v>
      </c>
      <c r="M155" t="s">
        <v>3126</v>
      </c>
      <c r="N155" t="s">
        <v>3127</v>
      </c>
      <c r="O155" t="s">
        <v>3128</v>
      </c>
      <c r="P155" t="s">
        <v>3129</v>
      </c>
      <c r="Q155" t="s">
        <v>3130</v>
      </c>
      <c r="R155" t="s">
        <v>3131</v>
      </c>
      <c r="S155" t="s">
        <v>3132</v>
      </c>
      <c r="T155" t="s">
        <v>3133</v>
      </c>
      <c r="U155" t="s">
        <v>3134</v>
      </c>
      <c r="V155" t="s">
        <v>3135</v>
      </c>
      <c r="W155" t="s">
        <v>3136</v>
      </c>
      <c r="X155" t="s">
        <v>3137</v>
      </c>
      <c r="Y155" t="s">
        <v>3138</v>
      </c>
    </row>
    <row r="156" spans="1:25" x14ac:dyDescent="0.3">
      <c r="A156">
        <v>7750</v>
      </c>
      <c r="B156" t="s">
        <v>3139</v>
      </c>
      <c r="C156" t="s">
        <v>3140</v>
      </c>
      <c r="D156" t="s">
        <v>3141</v>
      </c>
      <c r="E156" t="s">
        <v>3142</v>
      </c>
      <c r="F156" t="s">
        <v>3143</v>
      </c>
      <c r="G156" t="s">
        <v>3144</v>
      </c>
      <c r="H156" t="s">
        <v>3145</v>
      </c>
      <c r="I156" t="s">
        <v>3146</v>
      </c>
      <c r="J156" t="s">
        <v>3147</v>
      </c>
      <c r="K156" t="s">
        <v>3148</v>
      </c>
      <c r="L156" t="s">
        <v>3149</v>
      </c>
      <c r="M156" t="s">
        <v>3150</v>
      </c>
      <c r="N156" t="s">
        <v>3151</v>
      </c>
      <c r="O156" t="s">
        <v>3152</v>
      </c>
      <c r="P156" t="s">
        <v>3153</v>
      </c>
      <c r="Q156" t="s">
        <v>3154</v>
      </c>
      <c r="R156" t="s">
        <v>3155</v>
      </c>
      <c r="S156" t="s">
        <v>3156</v>
      </c>
      <c r="T156" t="s">
        <v>3157</v>
      </c>
      <c r="U156" t="s">
        <v>3158</v>
      </c>
      <c r="V156" t="s">
        <v>3159</v>
      </c>
      <c r="W156" t="s">
        <v>3160</v>
      </c>
      <c r="X156" t="s">
        <v>3161</v>
      </c>
      <c r="Y156" t="s">
        <v>3162</v>
      </c>
    </row>
    <row r="157" spans="1:25" x14ac:dyDescent="0.3">
      <c r="A157">
        <v>7800</v>
      </c>
      <c r="B157" t="s">
        <v>3163</v>
      </c>
      <c r="C157" t="s">
        <v>3164</v>
      </c>
      <c r="D157" t="s">
        <v>3165</v>
      </c>
      <c r="E157" t="s">
        <v>3166</v>
      </c>
      <c r="F157" t="s">
        <v>3167</v>
      </c>
      <c r="G157" t="s">
        <v>3168</v>
      </c>
      <c r="H157" t="s">
        <v>3169</v>
      </c>
      <c r="I157" t="s">
        <v>3170</v>
      </c>
      <c r="J157" t="s">
        <v>3171</v>
      </c>
      <c r="K157" t="s">
        <v>3172</v>
      </c>
      <c r="L157" t="s">
        <v>3173</v>
      </c>
      <c r="M157" t="s">
        <v>3174</v>
      </c>
      <c r="N157" t="s">
        <v>3175</v>
      </c>
      <c r="O157" t="s">
        <v>3176</v>
      </c>
      <c r="P157" t="s">
        <v>3177</v>
      </c>
      <c r="Q157" t="s">
        <v>3178</v>
      </c>
      <c r="R157" t="s">
        <v>3179</v>
      </c>
      <c r="S157" t="s">
        <v>3180</v>
      </c>
      <c r="T157" t="s">
        <v>3181</v>
      </c>
      <c r="U157" t="s">
        <v>3182</v>
      </c>
      <c r="V157" t="s">
        <v>3183</v>
      </c>
      <c r="W157" t="s">
        <v>3184</v>
      </c>
      <c r="X157" t="s">
        <v>3185</v>
      </c>
      <c r="Y157" t="s">
        <v>3186</v>
      </c>
    </row>
    <row r="158" spans="1:25" x14ac:dyDescent="0.3">
      <c r="A158">
        <v>7850</v>
      </c>
      <c r="B158" t="s">
        <v>3187</v>
      </c>
      <c r="C158" t="s">
        <v>3188</v>
      </c>
      <c r="D158" t="s">
        <v>3189</v>
      </c>
      <c r="E158" t="s">
        <v>3190</v>
      </c>
      <c r="F158" t="s">
        <v>3191</v>
      </c>
      <c r="G158" t="s">
        <v>3192</v>
      </c>
      <c r="H158" t="s">
        <v>3193</v>
      </c>
      <c r="I158" t="s">
        <v>3194</v>
      </c>
      <c r="J158" t="s">
        <v>3195</v>
      </c>
      <c r="K158" t="s">
        <v>3196</v>
      </c>
      <c r="L158" t="s">
        <v>3197</v>
      </c>
      <c r="M158" t="s">
        <v>3198</v>
      </c>
      <c r="N158" t="s">
        <v>3199</v>
      </c>
      <c r="O158" t="s">
        <v>3200</v>
      </c>
      <c r="P158" t="s">
        <v>3201</v>
      </c>
      <c r="Q158" t="s">
        <v>3202</v>
      </c>
      <c r="R158" t="s">
        <v>3203</v>
      </c>
      <c r="S158" t="s">
        <v>3204</v>
      </c>
      <c r="T158" t="s">
        <v>3205</v>
      </c>
      <c r="U158" t="s">
        <v>3206</v>
      </c>
      <c r="V158" t="s">
        <v>3207</v>
      </c>
      <c r="W158" t="s">
        <v>3208</v>
      </c>
      <c r="X158" t="s">
        <v>3209</v>
      </c>
      <c r="Y158" t="s">
        <v>3210</v>
      </c>
    </row>
    <row r="159" spans="1:25" x14ac:dyDescent="0.3">
      <c r="A159">
        <v>7900</v>
      </c>
      <c r="B159" t="s">
        <v>3211</v>
      </c>
      <c r="C159" t="s">
        <v>3212</v>
      </c>
      <c r="D159" t="s">
        <v>3213</v>
      </c>
      <c r="E159" t="s">
        <v>3214</v>
      </c>
      <c r="F159" t="s">
        <v>3215</v>
      </c>
      <c r="G159" t="s">
        <v>3216</v>
      </c>
      <c r="H159" t="s">
        <v>3217</v>
      </c>
      <c r="I159" t="s">
        <v>3218</v>
      </c>
      <c r="J159" t="s">
        <v>3219</v>
      </c>
      <c r="K159" t="s">
        <v>3220</v>
      </c>
      <c r="L159" t="s">
        <v>3221</v>
      </c>
      <c r="M159" t="s">
        <v>3222</v>
      </c>
      <c r="N159" t="s">
        <v>3223</v>
      </c>
      <c r="O159" t="s">
        <v>3224</v>
      </c>
      <c r="P159" t="s">
        <v>3225</v>
      </c>
      <c r="Q159" t="s">
        <v>3226</v>
      </c>
      <c r="R159" t="s">
        <v>3227</v>
      </c>
      <c r="S159" t="s">
        <v>3228</v>
      </c>
      <c r="T159" t="s">
        <v>3229</v>
      </c>
      <c r="U159" t="s">
        <v>3230</v>
      </c>
      <c r="V159" t="s">
        <v>3231</v>
      </c>
      <c r="W159" t="s">
        <v>3232</v>
      </c>
      <c r="X159" t="s">
        <v>3233</v>
      </c>
      <c r="Y159" t="s">
        <v>3234</v>
      </c>
    </row>
    <row r="160" spans="1:25" x14ac:dyDescent="0.3">
      <c r="A160">
        <v>7950</v>
      </c>
      <c r="B160" t="s">
        <v>3235</v>
      </c>
      <c r="C160" t="s">
        <v>3236</v>
      </c>
      <c r="D160" t="s">
        <v>3237</v>
      </c>
      <c r="E160" t="s">
        <v>3238</v>
      </c>
      <c r="F160" t="s">
        <v>3239</v>
      </c>
      <c r="G160" t="s">
        <v>3240</v>
      </c>
      <c r="H160" t="s">
        <v>3241</v>
      </c>
      <c r="I160" t="s">
        <v>3242</v>
      </c>
      <c r="J160" t="s">
        <v>3243</v>
      </c>
      <c r="K160" t="s">
        <v>3244</v>
      </c>
      <c r="L160" t="s">
        <v>3245</v>
      </c>
      <c r="M160" t="s">
        <v>3246</v>
      </c>
      <c r="N160" t="s">
        <v>3247</v>
      </c>
      <c r="O160" t="s">
        <v>3248</v>
      </c>
      <c r="P160" t="s">
        <v>3249</v>
      </c>
      <c r="Q160" t="s">
        <v>3250</v>
      </c>
      <c r="R160" t="s">
        <v>3251</v>
      </c>
      <c r="S160" t="s">
        <v>3252</v>
      </c>
      <c r="T160" t="s">
        <v>3253</v>
      </c>
      <c r="U160" t="s">
        <v>3254</v>
      </c>
      <c r="V160" t="s">
        <v>3255</v>
      </c>
      <c r="W160" t="s">
        <v>3256</v>
      </c>
      <c r="X160" t="s">
        <v>3257</v>
      </c>
      <c r="Y160" t="s">
        <v>3258</v>
      </c>
    </row>
    <row r="161" spans="1:25" x14ac:dyDescent="0.3">
      <c r="A161">
        <v>8000</v>
      </c>
      <c r="B161" t="s">
        <v>3259</v>
      </c>
      <c r="C161" t="s">
        <v>3260</v>
      </c>
      <c r="D161" t="s">
        <v>3261</v>
      </c>
      <c r="E161" t="s">
        <v>3262</v>
      </c>
      <c r="F161" t="s">
        <v>3263</v>
      </c>
      <c r="G161" t="s">
        <v>3264</v>
      </c>
      <c r="H161" t="s">
        <v>3265</v>
      </c>
      <c r="I161" t="s">
        <v>3266</v>
      </c>
      <c r="J161" t="s">
        <v>3267</v>
      </c>
      <c r="K161" t="s">
        <v>3268</v>
      </c>
      <c r="L161" t="s">
        <v>3269</v>
      </c>
      <c r="M161" t="s">
        <v>3270</v>
      </c>
      <c r="N161" t="s">
        <v>3271</v>
      </c>
      <c r="O161" t="s">
        <v>3272</v>
      </c>
      <c r="P161" t="s">
        <v>3273</v>
      </c>
      <c r="Q161" t="s">
        <v>3274</v>
      </c>
      <c r="R161" t="s">
        <v>3275</v>
      </c>
      <c r="S161" t="s">
        <v>3276</v>
      </c>
      <c r="T161" t="s">
        <v>3277</v>
      </c>
      <c r="U161" t="s">
        <v>3278</v>
      </c>
      <c r="V161" t="s">
        <v>3279</v>
      </c>
      <c r="W161" t="s">
        <v>3280</v>
      </c>
      <c r="X161" t="s">
        <v>3281</v>
      </c>
      <c r="Y161" t="s">
        <v>3282</v>
      </c>
    </row>
    <row r="162" spans="1:25" x14ac:dyDescent="0.3">
      <c r="A162">
        <v>8050</v>
      </c>
      <c r="B162" t="s">
        <v>3283</v>
      </c>
      <c r="C162" t="s">
        <v>3284</v>
      </c>
      <c r="D162" t="s">
        <v>3285</v>
      </c>
      <c r="E162" t="s">
        <v>3286</v>
      </c>
      <c r="F162" t="s">
        <v>3287</v>
      </c>
      <c r="G162" t="s">
        <v>3288</v>
      </c>
      <c r="H162" t="s">
        <v>3289</v>
      </c>
      <c r="I162" t="s">
        <v>3290</v>
      </c>
      <c r="J162" t="s">
        <v>3291</v>
      </c>
      <c r="K162" t="s">
        <v>3292</v>
      </c>
      <c r="L162" t="s">
        <v>3293</v>
      </c>
      <c r="M162" t="s">
        <v>3294</v>
      </c>
      <c r="N162" t="s">
        <v>3295</v>
      </c>
      <c r="O162" t="s">
        <v>3296</v>
      </c>
      <c r="P162" t="s">
        <v>3297</v>
      </c>
      <c r="Q162" t="s">
        <v>3298</v>
      </c>
      <c r="R162" t="s">
        <v>3299</v>
      </c>
      <c r="S162" t="s">
        <v>3300</v>
      </c>
      <c r="T162" t="s">
        <v>3301</v>
      </c>
      <c r="U162" t="s">
        <v>3302</v>
      </c>
      <c r="V162" t="s">
        <v>3303</v>
      </c>
      <c r="W162" t="s">
        <v>3304</v>
      </c>
      <c r="X162" t="s">
        <v>3305</v>
      </c>
      <c r="Y162" t="s">
        <v>3306</v>
      </c>
    </row>
    <row r="163" spans="1:25" x14ac:dyDescent="0.3">
      <c r="A163">
        <v>8100</v>
      </c>
      <c r="B163" t="s">
        <v>3307</v>
      </c>
      <c r="C163" t="s">
        <v>3308</v>
      </c>
      <c r="D163" t="s">
        <v>3309</v>
      </c>
      <c r="E163" t="s">
        <v>3310</v>
      </c>
      <c r="F163" t="s">
        <v>3311</v>
      </c>
      <c r="G163" t="s">
        <v>3312</v>
      </c>
      <c r="H163" t="s">
        <v>3313</v>
      </c>
      <c r="I163" t="s">
        <v>3314</v>
      </c>
      <c r="J163" t="s">
        <v>3315</v>
      </c>
      <c r="K163" t="s">
        <v>3316</v>
      </c>
      <c r="L163" t="s">
        <v>3317</v>
      </c>
      <c r="M163" t="s">
        <v>3318</v>
      </c>
      <c r="N163" t="s">
        <v>3319</v>
      </c>
      <c r="O163" t="s">
        <v>3320</v>
      </c>
      <c r="P163" t="s">
        <v>3321</v>
      </c>
      <c r="Q163" t="s">
        <v>3322</v>
      </c>
      <c r="R163" t="s">
        <v>3323</v>
      </c>
      <c r="S163" t="s">
        <v>3324</v>
      </c>
      <c r="T163" t="s">
        <v>3325</v>
      </c>
      <c r="U163" t="s">
        <v>3326</v>
      </c>
      <c r="V163" t="s">
        <v>3327</v>
      </c>
      <c r="W163" t="s">
        <v>3328</v>
      </c>
      <c r="X163" t="s">
        <v>3329</v>
      </c>
      <c r="Y163" t="s">
        <v>3330</v>
      </c>
    </row>
    <row r="164" spans="1:25" x14ac:dyDescent="0.3">
      <c r="A164">
        <v>8150</v>
      </c>
      <c r="B164" t="s">
        <v>3331</v>
      </c>
      <c r="C164" t="s">
        <v>3332</v>
      </c>
      <c r="D164" t="s">
        <v>3333</v>
      </c>
      <c r="E164" t="s">
        <v>3334</v>
      </c>
      <c r="F164" t="s">
        <v>3335</v>
      </c>
      <c r="G164" t="s">
        <v>3336</v>
      </c>
      <c r="H164" t="s">
        <v>3337</v>
      </c>
      <c r="I164" t="s">
        <v>3338</v>
      </c>
      <c r="J164" t="s">
        <v>3339</v>
      </c>
      <c r="K164" t="s">
        <v>3340</v>
      </c>
      <c r="L164" t="s">
        <v>3341</v>
      </c>
      <c r="M164" t="s">
        <v>3342</v>
      </c>
      <c r="N164" t="s">
        <v>3343</v>
      </c>
      <c r="O164" t="s">
        <v>3344</v>
      </c>
      <c r="P164" t="s">
        <v>3345</v>
      </c>
      <c r="Q164" t="s">
        <v>3346</v>
      </c>
      <c r="R164" t="s">
        <v>3347</v>
      </c>
      <c r="S164" t="s">
        <v>3348</v>
      </c>
      <c r="T164" t="s">
        <v>3349</v>
      </c>
      <c r="U164" t="s">
        <v>3350</v>
      </c>
      <c r="V164" t="s">
        <v>3351</v>
      </c>
      <c r="W164" t="s">
        <v>3352</v>
      </c>
      <c r="X164" t="s">
        <v>3353</v>
      </c>
      <c r="Y164" t="s">
        <v>3354</v>
      </c>
    </row>
    <row r="165" spans="1:25" x14ac:dyDescent="0.3">
      <c r="A165">
        <v>8200</v>
      </c>
      <c r="B165" t="s">
        <v>3355</v>
      </c>
      <c r="C165" t="s">
        <v>3356</v>
      </c>
      <c r="D165" t="s">
        <v>3357</v>
      </c>
      <c r="E165" t="s">
        <v>3358</v>
      </c>
      <c r="F165" t="s">
        <v>3359</v>
      </c>
      <c r="G165" t="s">
        <v>3360</v>
      </c>
      <c r="H165" t="s">
        <v>3361</v>
      </c>
      <c r="I165" t="s">
        <v>3362</v>
      </c>
      <c r="J165" t="s">
        <v>3363</v>
      </c>
      <c r="K165" t="s">
        <v>3364</v>
      </c>
      <c r="L165" t="s">
        <v>3365</v>
      </c>
      <c r="M165" t="s">
        <v>3366</v>
      </c>
      <c r="N165" t="s">
        <v>3367</v>
      </c>
      <c r="O165" t="s">
        <v>3368</v>
      </c>
      <c r="P165" t="s">
        <v>3369</v>
      </c>
      <c r="Q165" t="s">
        <v>3370</v>
      </c>
      <c r="R165" t="s">
        <v>3371</v>
      </c>
      <c r="S165" t="s">
        <v>3372</v>
      </c>
      <c r="T165" t="s">
        <v>3373</v>
      </c>
      <c r="U165" t="s">
        <v>3374</v>
      </c>
      <c r="V165" t="s">
        <v>3375</v>
      </c>
      <c r="W165" t="s">
        <v>3376</v>
      </c>
      <c r="X165" t="s">
        <v>3377</v>
      </c>
      <c r="Y165" t="s">
        <v>3378</v>
      </c>
    </row>
    <row r="166" spans="1:25" x14ac:dyDescent="0.3">
      <c r="A166">
        <v>8250</v>
      </c>
      <c r="B166" t="s">
        <v>3379</v>
      </c>
      <c r="C166" t="s">
        <v>3380</v>
      </c>
      <c r="D166" t="s">
        <v>3381</v>
      </c>
      <c r="E166" t="s">
        <v>3382</v>
      </c>
      <c r="F166" t="s">
        <v>3383</v>
      </c>
      <c r="G166" t="s">
        <v>3384</v>
      </c>
      <c r="H166" t="s">
        <v>3385</v>
      </c>
      <c r="I166" t="s">
        <v>3386</v>
      </c>
      <c r="J166" t="s">
        <v>3387</v>
      </c>
      <c r="K166" t="s">
        <v>3388</v>
      </c>
      <c r="L166" t="s">
        <v>3389</v>
      </c>
      <c r="M166" t="s">
        <v>3390</v>
      </c>
      <c r="N166" t="s">
        <v>3391</v>
      </c>
      <c r="O166" t="s">
        <v>3392</v>
      </c>
      <c r="P166" t="s">
        <v>3393</v>
      </c>
      <c r="Q166" t="s">
        <v>3394</v>
      </c>
      <c r="R166" t="s">
        <v>3395</v>
      </c>
      <c r="S166" t="s">
        <v>3396</v>
      </c>
      <c r="T166" t="s">
        <v>3397</v>
      </c>
      <c r="U166" t="s">
        <v>3398</v>
      </c>
      <c r="V166" t="s">
        <v>3399</v>
      </c>
      <c r="W166" t="s">
        <v>3400</v>
      </c>
      <c r="X166" t="s">
        <v>3401</v>
      </c>
      <c r="Y166" t="s">
        <v>3402</v>
      </c>
    </row>
    <row r="167" spans="1:25" x14ac:dyDescent="0.3">
      <c r="A167">
        <v>8300</v>
      </c>
      <c r="B167" t="s">
        <v>3403</v>
      </c>
      <c r="C167" t="s">
        <v>3404</v>
      </c>
      <c r="D167" t="s">
        <v>3405</v>
      </c>
      <c r="E167" t="s">
        <v>3406</v>
      </c>
      <c r="F167" t="s">
        <v>3407</v>
      </c>
      <c r="G167" t="s">
        <v>3408</v>
      </c>
      <c r="H167" t="s">
        <v>3409</v>
      </c>
      <c r="I167" t="s">
        <v>3410</v>
      </c>
      <c r="J167" t="s">
        <v>3411</v>
      </c>
      <c r="K167" t="s">
        <v>3412</v>
      </c>
      <c r="L167" t="s">
        <v>3413</v>
      </c>
      <c r="M167" t="s">
        <v>3414</v>
      </c>
      <c r="N167" t="s">
        <v>3415</v>
      </c>
      <c r="O167" t="s">
        <v>3416</v>
      </c>
      <c r="P167" t="s">
        <v>3417</v>
      </c>
      <c r="Q167" t="s">
        <v>3418</v>
      </c>
      <c r="R167" t="s">
        <v>3419</v>
      </c>
      <c r="S167" t="s">
        <v>3420</v>
      </c>
      <c r="T167" t="s">
        <v>3421</v>
      </c>
      <c r="U167" t="s">
        <v>3422</v>
      </c>
      <c r="V167" t="s">
        <v>3423</v>
      </c>
      <c r="W167" t="s">
        <v>3424</v>
      </c>
      <c r="X167" t="s">
        <v>3425</v>
      </c>
      <c r="Y167" t="s">
        <v>3426</v>
      </c>
    </row>
    <row r="168" spans="1:25" x14ac:dyDescent="0.3">
      <c r="A168">
        <v>8350</v>
      </c>
      <c r="B168" t="s">
        <v>3427</v>
      </c>
      <c r="C168" t="s">
        <v>3428</v>
      </c>
      <c r="D168" t="s">
        <v>3429</v>
      </c>
      <c r="E168" t="s">
        <v>3430</v>
      </c>
      <c r="F168" t="s">
        <v>3431</v>
      </c>
      <c r="G168" t="s">
        <v>3432</v>
      </c>
      <c r="H168" t="s">
        <v>3433</v>
      </c>
      <c r="I168" t="s">
        <v>3434</v>
      </c>
      <c r="J168" t="s">
        <v>3435</v>
      </c>
      <c r="K168" t="s">
        <v>3436</v>
      </c>
      <c r="L168" t="s">
        <v>3437</v>
      </c>
      <c r="M168" t="s">
        <v>3438</v>
      </c>
      <c r="N168" t="s">
        <v>3439</v>
      </c>
      <c r="O168" t="s">
        <v>3440</v>
      </c>
      <c r="P168" t="s">
        <v>3441</v>
      </c>
      <c r="Q168" t="s">
        <v>3442</v>
      </c>
      <c r="R168" t="s">
        <v>3443</v>
      </c>
      <c r="S168" t="s">
        <v>3444</v>
      </c>
      <c r="T168" t="s">
        <v>3445</v>
      </c>
      <c r="U168" t="s">
        <v>3446</v>
      </c>
      <c r="V168" t="s">
        <v>3447</v>
      </c>
      <c r="W168" t="s">
        <v>3448</v>
      </c>
      <c r="X168" t="s">
        <v>3449</v>
      </c>
      <c r="Y168" t="s">
        <v>3450</v>
      </c>
    </row>
    <row r="169" spans="1:25" x14ac:dyDescent="0.3">
      <c r="A169">
        <v>8400</v>
      </c>
      <c r="B169" t="s">
        <v>3451</v>
      </c>
      <c r="C169" t="s">
        <v>3452</v>
      </c>
      <c r="D169" t="s">
        <v>3453</v>
      </c>
      <c r="E169" t="s">
        <v>3454</v>
      </c>
      <c r="F169" t="s">
        <v>3455</v>
      </c>
      <c r="G169" t="s">
        <v>3456</v>
      </c>
      <c r="H169" t="s">
        <v>3457</v>
      </c>
      <c r="I169" t="s">
        <v>3458</v>
      </c>
      <c r="J169" t="s">
        <v>3459</v>
      </c>
      <c r="K169" t="s">
        <v>3460</v>
      </c>
      <c r="L169" t="s">
        <v>3461</v>
      </c>
      <c r="M169" t="s">
        <v>3462</v>
      </c>
      <c r="N169" t="s">
        <v>3463</v>
      </c>
      <c r="O169" t="s">
        <v>3464</v>
      </c>
      <c r="P169" t="s">
        <v>3465</v>
      </c>
      <c r="Q169" t="s">
        <v>3466</v>
      </c>
      <c r="R169" t="s">
        <v>3467</v>
      </c>
      <c r="S169" t="s">
        <v>3468</v>
      </c>
      <c r="T169" t="s">
        <v>3469</v>
      </c>
      <c r="U169" t="s">
        <v>3470</v>
      </c>
      <c r="V169" t="s">
        <v>3471</v>
      </c>
      <c r="W169" t="s">
        <v>3472</v>
      </c>
      <c r="X169" t="s">
        <v>3473</v>
      </c>
      <c r="Y169" t="s">
        <v>3474</v>
      </c>
    </row>
    <row r="170" spans="1:25" x14ac:dyDescent="0.3">
      <c r="A170">
        <v>8450</v>
      </c>
      <c r="B170" t="s">
        <v>3475</v>
      </c>
      <c r="C170" t="s">
        <v>3476</v>
      </c>
      <c r="D170" t="s">
        <v>3477</v>
      </c>
      <c r="E170" t="s">
        <v>3478</v>
      </c>
      <c r="F170" t="s">
        <v>3479</v>
      </c>
      <c r="G170" t="s">
        <v>3480</v>
      </c>
      <c r="H170" t="s">
        <v>3481</v>
      </c>
      <c r="I170" t="s">
        <v>3482</v>
      </c>
      <c r="J170" t="s">
        <v>3483</v>
      </c>
      <c r="K170" t="s">
        <v>3484</v>
      </c>
      <c r="L170" t="s">
        <v>3485</v>
      </c>
      <c r="M170" t="s">
        <v>3486</v>
      </c>
      <c r="N170" t="s">
        <v>3487</v>
      </c>
      <c r="O170" t="s">
        <v>3488</v>
      </c>
      <c r="P170" t="s">
        <v>3489</v>
      </c>
      <c r="Q170" t="s">
        <v>3490</v>
      </c>
      <c r="R170" t="s">
        <v>3491</v>
      </c>
      <c r="S170" t="s">
        <v>3492</v>
      </c>
      <c r="T170" t="s">
        <v>3493</v>
      </c>
      <c r="U170" t="s">
        <v>3494</v>
      </c>
      <c r="V170" t="s">
        <v>3495</v>
      </c>
      <c r="W170" t="s">
        <v>3496</v>
      </c>
      <c r="X170" t="s">
        <v>3497</v>
      </c>
      <c r="Y170" t="s">
        <v>3498</v>
      </c>
    </row>
    <row r="171" spans="1:25" x14ac:dyDescent="0.3">
      <c r="A171">
        <v>8500</v>
      </c>
      <c r="B171" t="s">
        <v>3499</v>
      </c>
      <c r="C171" t="s">
        <v>3500</v>
      </c>
      <c r="D171" t="s">
        <v>3501</v>
      </c>
      <c r="E171" t="s">
        <v>3502</v>
      </c>
      <c r="F171" t="s">
        <v>3503</v>
      </c>
      <c r="G171" t="s">
        <v>3504</v>
      </c>
      <c r="H171" t="s">
        <v>3505</v>
      </c>
      <c r="I171" t="s">
        <v>3506</v>
      </c>
      <c r="J171" t="s">
        <v>3507</v>
      </c>
      <c r="K171" t="s">
        <v>3508</v>
      </c>
      <c r="L171" t="s">
        <v>3509</v>
      </c>
      <c r="M171" t="s">
        <v>3510</v>
      </c>
      <c r="N171" t="s">
        <v>3511</v>
      </c>
      <c r="O171" t="s">
        <v>3512</v>
      </c>
      <c r="P171" t="s">
        <v>3513</v>
      </c>
      <c r="Q171" t="s">
        <v>3514</v>
      </c>
      <c r="R171" t="s">
        <v>3515</v>
      </c>
      <c r="S171" t="s">
        <v>3516</v>
      </c>
      <c r="T171" t="s">
        <v>3517</v>
      </c>
      <c r="U171" t="s">
        <v>3518</v>
      </c>
      <c r="V171" t="s">
        <v>3519</v>
      </c>
      <c r="W171" t="s">
        <v>3520</v>
      </c>
      <c r="X171" t="s">
        <v>3521</v>
      </c>
      <c r="Y171" t="s">
        <v>3522</v>
      </c>
    </row>
    <row r="172" spans="1:25" x14ac:dyDescent="0.3">
      <c r="A172">
        <v>8550</v>
      </c>
      <c r="B172" t="s">
        <v>3523</v>
      </c>
      <c r="C172" t="s">
        <v>3524</v>
      </c>
      <c r="D172" t="s">
        <v>3525</v>
      </c>
      <c r="E172" t="s">
        <v>3526</v>
      </c>
      <c r="F172" t="s">
        <v>3527</v>
      </c>
      <c r="G172" t="s">
        <v>3528</v>
      </c>
      <c r="H172" t="s">
        <v>3529</v>
      </c>
      <c r="I172" t="s">
        <v>3530</v>
      </c>
      <c r="J172" t="s">
        <v>3531</v>
      </c>
      <c r="K172" t="s">
        <v>3532</v>
      </c>
      <c r="L172" t="s">
        <v>3533</v>
      </c>
      <c r="M172" t="s">
        <v>3534</v>
      </c>
      <c r="N172" t="s">
        <v>3535</v>
      </c>
      <c r="O172" t="s">
        <v>3536</v>
      </c>
      <c r="P172" t="s">
        <v>3537</v>
      </c>
      <c r="Q172" t="s">
        <v>3538</v>
      </c>
      <c r="R172" t="s">
        <v>3539</v>
      </c>
      <c r="S172" t="s">
        <v>3540</v>
      </c>
      <c r="T172" t="s">
        <v>3541</v>
      </c>
      <c r="U172" t="s">
        <v>3542</v>
      </c>
      <c r="V172" t="s">
        <v>3543</v>
      </c>
      <c r="W172" t="s">
        <v>3544</v>
      </c>
      <c r="X172" t="s">
        <v>3545</v>
      </c>
      <c r="Y172" t="s">
        <v>3546</v>
      </c>
    </row>
    <row r="173" spans="1:25" x14ac:dyDescent="0.3">
      <c r="A173">
        <v>8600</v>
      </c>
      <c r="B173" t="s">
        <v>3547</v>
      </c>
      <c r="C173" t="s">
        <v>3548</v>
      </c>
      <c r="D173" t="s">
        <v>3549</v>
      </c>
      <c r="E173" t="s">
        <v>3550</v>
      </c>
      <c r="F173" t="s">
        <v>3551</v>
      </c>
      <c r="G173" t="s">
        <v>3552</v>
      </c>
      <c r="H173" t="s">
        <v>3553</v>
      </c>
      <c r="I173" t="s">
        <v>3554</v>
      </c>
      <c r="J173" t="s">
        <v>3555</v>
      </c>
      <c r="K173" t="s">
        <v>3556</v>
      </c>
      <c r="L173" t="s">
        <v>3557</v>
      </c>
      <c r="M173" t="s">
        <v>3558</v>
      </c>
      <c r="N173" t="s">
        <v>3559</v>
      </c>
      <c r="O173" t="s">
        <v>3560</v>
      </c>
      <c r="P173" t="s">
        <v>3561</v>
      </c>
      <c r="Q173" t="s">
        <v>3562</v>
      </c>
      <c r="R173" t="s">
        <v>3563</v>
      </c>
      <c r="S173" t="s">
        <v>3564</v>
      </c>
      <c r="T173" t="s">
        <v>3565</v>
      </c>
      <c r="U173" t="s">
        <v>3566</v>
      </c>
      <c r="V173" t="s">
        <v>3567</v>
      </c>
      <c r="W173" t="s">
        <v>3568</v>
      </c>
      <c r="X173" t="s">
        <v>3569</v>
      </c>
      <c r="Y173" t="s">
        <v>3570</v>
      </c>
    </row>
    <row r="174" spans="1:25" x14ac:dyDescent="0.3">
      <c r="A174">
        <v>8650</v>
      </c>
      <c r="B174" t="s">
        <v>3571</v>
      </c>
      <c r="C174" t="s">
        <v>3572</v>
      </c>
      <c r="D174" t="s">
        <v>3573</v>
      </c>
      <c r="E174" t="s">
        <v>3574</v>
      </c>
      <c r="F174" t="s">
        <v>3575</v>
      </c>
      <c r="G174" t="s">
        <v>3576</v>
      </c>
      <c r="H174" t="s">
        <v>3577</v>
      </c>
      <c r="I174" t="s">
        <v>3578</v>
      </c>
      <c r="J174" t="s">
        <v>3579</v>
      </c>
      <c r="K174" t="s">
        <v>3580</v>
      </c>
      <c r="L174" t="s">
        <v>3581</v>
      </c>
      <c r="M174" t="s">
        <v>3582</v>
      </c>
      <c r="N174" t="s">
        <v>3583</v>
      </c>
      <c r="O174" t="s">
        <v>3584</v>
      </c>
      <c r="P174" t="s">
        <v>3585</v>
      </c>
      <c r="Q174" t="s">
        <v>3586</v>
      </c>
      <c r="R174" t="s">
        <v>3587</v>
      </c>
      <c r="S174" t="s">
        <v>3588</v>
      </c>
      <c r="T174" t="s">
        <v>3589</v>
      </c>
      <c r="U174" t="s">
        <v>3590</v>
      </c>
      <c r="V174" t="s">
        <v>3591</v>
      </c>
      <c r="W174" t="s">
        <v>3592</v>
      </c>
      <c r="X174" t="s">
        <v>3593</v>
      </c>
      <c r="Y174" t="s">
        <v>3594</v>
      </c>
    </row>
    <row r="175" spans="1:25" x14ac:dyDescent="0.3">
      <c r="A175">
        <v>8700</v>
      </c>
      <c r="B175" t="s">
        <v>3595</v>
      </c>
      <c r="C175" t="s">
        <v>3596</v>
      </c>
      <c r="D175" t="s">
        <v>3597</v>
      </c>
      <c r="E175" t="s">
        <v>3598</v>
      </c>
      <c r="F175" t="s">
        <v>3599</v>
      </c>
      <c r="G175" t="s">
        <v>3600</v>
      </c>
      <c r="H175" t="s">
        <v>3601</v>
      </c>
      <c r="I175" t="s">
        <v>3602</v>
      </c>
      <c r="J175" t="s">
        <v>3603</v>
      </c>
      <c r="K175" t="s">
        <v>3604</v>
      </c>
      <c r="L175" t="s">
        <v>3605</v>
      </c>
      <c r="M175" t="s">
        <v>3606</v>
      </c>
      <c r="N175" t="s">
        <v>3607</v>
      </c>
      <c r="O175" t="s">
        <v>3608</v>
      </c>
      <c r="P175" t="s">
        <v>3609</v>
      </c>
      <c r="Q175" t="s">
        <v>3610</v>
      </c>
      <c r="R175" t="s">
        <v>3611</v>
      </c>
      <c r="S175" t="s">
        <v>3612</v>
      </c>
      <c r="T175" t="s">
        <v>3613</v>
      </c>
      <c r="U175" t="s">
        <v>3614</v>
      </c>
      <c r="V175" t="s">
        <v>3615</v>
      </c>
      <c r="W175" t="s">
        <v>3616</v>
      </c>
      <c r="X175" t="s">
        <v>3617</v>
      </c>
      <c r="Y175" t="s">
        <v>3618</v>
      </c>
    </row>
    <row r="176" spans="1:25" x14ac:dyDescent="0.3">
      <c r="A176">
        <v>8750</v>
      </c>
      <c r="B176" t="s">
        <v>3619</v>
      </c>
      <c r="C176" t="s">
        <v>3620</v>
      </c>
      <c r="D176" t="s">
        <v>3621</v>
      </c>
      <c r="E176" t="s">
        <v>3622</v>
      </c>
      <c r="F176" t="s">
        <v>3623</v>
      </c>
      <c r="G176" t="s">
        <v>3624</v>
      </c>
      <c r="H176" t="s">
        <v>3625</v>
      </c>
      <c r="I176" t="s">
        <v>3626</v>
      </c>
      <c r="J176" t="s">
        <v>3627</v>
      </c>
      <c r="K176" t="s">
        <v>3628</v>
      </c>
      <c r="L176" t="s">
        <v>3629</v>
      </c>
      <c r="M176" t="s">
        <v>3630</v>
      </c>
      <c r="N176" t="s">
        <v>3631</v>
      </c>
      <c r="O176" t="s">
        <v>3632</v>
      </c>
      <c r="P176" t="s">
        <v>3633</v>
      </c>
      <c r="Q176" t="s">
        <v>3634</v>
      </c>
      <c r="R176" t="s">
        <v>3635</v>
      </c>
      <c r="S176" t="s">
        <v>3636</v>
      </c>
      <c r="T176" t="s">
        <v>3637</v>
      </c>
      <c r="U176" t="s">
        <v>3638</v>
      </c>
      <c r="V176" t="s">
        <v>3639</v>
      </c>
      <c r="W176" t="s">
        <v>3640</v>
      </c>
      <c r="X176" t="s">
        <v>3641</v>
      </c>
      <c r="Y176" t="s">
        <v>3642</v>
      </c>
    </row>
    <row r="177" spans="1:25" x14ac:dyDescent="0.3">
      <c r="A177">
        <v>8800</v>
      </c>
      <c r="B177" t="s">
        <v>3643</v>
      </c>
      <c r="C177" t="s">
        <v>3644</v>
      </c>
      <c r="D177" t="s">
        <v>3645</v>
      </c>
      <c r="E177" t="s">
        <v>3646</v>
      </c>
      <c r="F177" t="s">
        <v>3647</v>
      </c>
      <c r="G177" t="s">
        <v>3648</v>
      </c>
      <c r="H177" t="s">
        <v>3649</v>
      </c>
      <c r="I177" t="s">
        <v>3650</v>
      </c>
      <c r="J177" t="s">
        <v>3651</v>
      </c>
      <c r="K177" t="s">
        <v>3652</v>
      </c>
      <c r="L177" t="s">
        <v>3653</v>
      </c>
      <c r="M177" t="s">
        <v>3654</v>
      </c>
      <c r="N177" t="s">
        <v>3655</v>
      </c>
      <c r="O177" t="s">
        <v>3656</v>
      </c>
      <c r="P177" t="s">
        <v>3657</v>
      </c>
      <c r="Q177" t="s">
        <v>3658</v>
      </c>
      <c r="R177" t="s">
        <v>3659</v>
      </c>
      <c r="S177" t="s">
        <v>3660</v>
      </c>
      <c r="T177" t="s">
        <v>3661</v>
      </c>
      <c r="U177" t="s">
        <v>3662</v>
      </c>
      <c r="V177" t="s">
        <v>3663</v>
      </c>
      <c r="W177" t="s">
        <v>3664</v>
      </c>
      <c r="X177" t="s">
        <v>3665</v>
      </c>
      <c r="Y177" t="s">
        <v>3666</v>
      </c>
    </row>
    <row r="178" spans="1:25" x14ac:dyDescent="0.3">
      <c r="A178">
        <v>8850</v>
      </c>
      <c r="B178" t="s">
        <v>3667</v>
      </c>
      <c r="C178" t="s">
        <v>3668</v>
      </c>
      <c r="D178" t="s">
        <v>3669</v>
      </c>
      <c r="E178" t="s">
        <v>3670</v>
      </c>
      <c r="F178" t="s">
        <v>3671</v>
      </c>
      <c r="G178" t="s">
        <v>3672</v>
      </c>
      <c r="H178" t="s">
        <v>3673</v>
      </c>
      <c r="I178" t="s">
        <v>3674</v>
      </c>
      <c r="J178" t="s">
        <v>3675</v>
      </c>
      <c r="K178" t="s">
        <v>3676</v>
      </c>
      <c r="L178" t="s">
        <v>3677</v>
      </c>
      <c r="M178" t="s">
        <v>3678</v>
      </c>
      <c r="N178" t="s">
        <v>3679</v>
      </c>
      <c r="O178" t="s">
        <v>3680</v>
      </c>
      <c r="P178" t="s">
        <v>3681</v>
      </c>
      <c r="Q178" t="s">
        <v>3682</v>
      </c>
      <c r="R178" t="s">
        <v>3683</v>
      </c>
      <c r="S178" t="s">
        <v>3684</v>
      </c>
      <c r="T178" t="s">
        <v>3685</v>
      </c>
      <c r="U178" t="s">
        <v>3686</v>
      </c>
      <c r="V178" t="s">
        <v>3687</v>
      </c>
      <c r="W178" t="s">
        <v>3688</v>
      </c>
      <c r="X178" t="s">
        <v>3689</v>
      </c>
      <c r="Y178" t="s">
        <v>3690</v>
      </c>
    </row>
    <row r="179" spans="1:25" x14ac:dyDescent="0.3">
      <c r="A179">
        <v>8900</v>
      </c>
      <c r="B179" t="s">
        <v>3691</v>
      </c>
      <c r="C179" t="s">
        <v>3692</v>
      </c>
      <c r="D179" t="s">
        <v>3693</v>
      </c>
      <c r="E179" t="s">
        <v>3694</v>
      </c>
      <c r="F179" t="s">
        <v>3695</v>
      </c>
      <c r="G179" t="s">
        <v>3696</v>
      </c>
      <c r="H179" t="s">
        <v>3697</v>
      </c>
      <c r="I179" t="s">
        <v>3698</v>
      </c>
      <c r="J179" t="s">
        <v>3699</v>
      </c>
      <c r="K179" t="s">
        <v>3700</v>
      </c>
      <c r="L179" t="s">
        <v>3701</v>
      </c>
      <c r="M179" t="s">
        <v>3702</v>
      </c>
      <c r="N179" t="s">
        <v>3703</v>
      </c>
      <c r="O179" t="s">
        <v>3704</v>
      </c>
      <c r="P179" t="s">
        <v>3705</v>
      </c>
      <c r="Q179" t="s">
        <v>3706</v>
      </c>
      <c r="R179" t="s">
        <v>3707</v>
      </c>
      <c r="S179" t="s">
        <v>3708</v>
      </c>
      <c r="T179" t="s">
        <v>3709</v>
      </c>
      <c r="U179" t="s">
        <v>3710</v>
      </c>
      <c r="V179" t="s">
        <v>3711</v>
      </c>
      <c r="W179" t="s">
        <v>3712</v>
      </c>
      <c r="X179" t="s">
        <v>3713</v>
      </c>
      <c r="Y179" t="s">
        <v>3714</v>
      </c>
    </row>
    <row r="180" spans="1:25" x14ac:dyDescent="0.3">
      <c r="A180">
        <v>8950</v>
      </c>
      <c r="B180" t="s">
        <v>3715</v>
      </c>
      <c r="C180" t="s">
        <v>3716</v>
      </c>
      <c r="D180" t="s">
        <v>3717</v>
      </c>
      <c r="E180" t="s">
        <v>3718</v>
      </c>
      <c r="F180" t="s">
        <v>3719</v>
      </c>
      <c r="G180" t="s">
        <v>3720</v>
      </c>
      <c r="H180" t="s">
        <v>3721</v>
      </c>
      <c r="I180" t="s">
        <v>3722</v>
      </c>
      <c r="J180" t="s">
        <v>3723</v>
      </c>
      <c r="K180" t="s">
        <v>3724</v>
      </c>
      <c r="L180" t="s">
        <v>3725</v>
      </c>
      <c r="M180" t="s">
        <v>3726</v>
      </c>
      <c r="N180" t="s">
        <v>3727</v>
      </c>
      <c r="O180" t="s">
        <v>3728</v>
      </c>
      <c r="P180" t="s">
        <v>3729</v>
      </c>
      <c r="Q180" t="s">
        <v>3730</v>
      </c>
      <c r="R180" t="s">
        <v>3731</v>
      </c>
      <c r="S180" t="s">
        <v>3732</v>
      </c>
      <c r="T180" t="s">
        <v>3733</v>
      </c>
      <c r="U180" t="s">
        <v>3734</v>
      </c>
      <c r="V180" t="s">
        <v>3735</v>
      </c>
      <c r="W180" t="s">
        <v>3736</v>
      </c>
      <c r="X180" t="s">
        <v>3737</v>
      </c>
      <c r="Y180" t="s">
        <v>3738</v>
      </c>
    </row>
    <row r="181" spans="1:25" x14ac:dyDescent="0.3">
      <c r="A181">
        <v>9000</v>
      </c>
      <c r="B181" t="s">
        <v>3739</v>
      </c>
      <c r="C181" t="s">
        <v>3740</v>
      </c>
      <c r="D181" t="s">
        <v>3741</v>
      </c>
      <c r="E181" t="s">
        <v>3742</v>
      </c>
      <c r="F181" t="s">
        <v>3743</v>
      </c>
      <c r="G181" t="s">
        <v>3744</v>
      </c>
      <c r="H181" t="s">
        <v>3745</v>
      </c>
      <c r="I181" t="s">
        <v>3746</v>
      </c>
      <c r="J181" t="s">
        <v>3747</v>
      </c>
      <c r="K181" t="s">
        <v>3748</v>
      </c>
      <c r="L181" t="s">
        <v>3749</v>
      </c>
      <c r="M181" t="s">
        <v>3750</v>
      </c>
      <c r="N181" t="s">
        <v>3751</v>
      </c>
      <c r="O181" t="s">
        <v>3752</v>
      </c>
      <c r="P181" t="s">
        <v>3753</v>
      </c>
      <c r="Q181" t="s">
        <v>3754</v>
      </c>
      <c r="R181" t="s">
        <v>3755</v>
      </c>
      <c r="S181" t="s">
        <v>3756</v>
      </c>
      <c r="T181" t="s">
        <v>3757</v>
      </c>
      <c r="U181" t="s">
        <v>3758</v>
      </c>
      <c r="V181" t="s">
        <v>3759</v>
      </c>
      <c r="W181" t="s">
        <v>3760</v>
      </c>
      <c r="X181" t="s">
        <v>3761</v>
      </c>
      <c r="Y181" t="s">
        <v>3762</v>
      </c>
    </row>
    <row r="182" spans="1:25" x14ac:dyDescent="0.3">
      <c r="A182">
        <v>9050</v>
      </c>
      <c r="B182" t="s">
        <v>3763</v>
      </c>
      <c r="C182" t="s">
        <v>3764</v>
      </c>
      <c r="D182" t="s">
        <v>3765</v>
      </c>
      <c r="E182" t="s">
        <v>3766</v>
      </c>
      <c r="F182" t="s">
        <v>3767</v>
      </c>
      <c r="G182" t="s">
        <v>3768</v>
      </c>
      <c r="H182" t="s">
        <v>3769</v>
      </c>
      <c r="I182" t="s">
        <v>3770</v>
      </c>
      <c r="J182" t="s">
        <v>3771</v>
      </c>
      <c r="K182" t="s">
        <v>3772</v>
      </c>
      <c r="L182" t="s">
        <v>3773</v>
      </c>
      <c r="M182" t="s">
        <v>3774</v>
      </c>
      <c r="N182" t="s">
        <v>3775</v>
      </c>
      <c r="O182" t="s">
        <v>3776</v>
      </c>
      <c r="P182" t="s">
        <v>3777</v>
      </c>
      <c r="Q182" t="s">
        <v>3778</v>
      </c>
      <c r="R182" t="s">
        <v>3779</v>
      </c>
      <c r="S182" t="s">
        <v>3780</v>
      </c>
      <c r="T182" t="s">
        <v>3781</v>
      </c>
      <c r="U182" t="s">
        <v>3782</v>
      </c>
      <c r="V182" t="s">
        <v>3783</v>
      </c>
      <c r="W182" t="s">
        <v>3784</v>
      </c>
      <c r="X182" t="s">
        <v>3785</v>
      </c>
      <c r="Y182" t="s">
        <v>3786</v>
      </c>
    </row>
    <row r="183" spans="1:25" x14ac:dyDescent="0.3">
      <c r="A183">
        <v>9100</v>
      </c>
      <c r="B183" t="s">
        <v>3787</v>
      </c>
      <c r="C183" t="s">
        <v>3788</v>
      </c>
      <c r="D183" t="s">
        <v>3789</v>
      </c>
      <c r="E183" t="s">
        <v>3790</v>
      </c>
      <c r="F183" t="s">
        <v>3791</v>
      </c>
      <c r="G183" t="s">
        <v>3792</v>
      </c>
      <c r="H183" t="s">
        <v>3793</v>
      </c>
      <c r="I183" t="s">
        <v>3794</v>
      </c>
      <c r="J183" t="s">
        <v>3795</v>
      </c>
      <c r="K183" t="s">
        <v>3796</v>
      </c>
      <c r="L183" t="s">
        <v>3797</v>
      </c>
      <c r="M183" t="s">
        <v>3798</v>
      </c>
      <c r="N183" t="s">
        <v>3799</v>
      </c>
      <c r="O183" t="s">
        <v>3800</v>
      </c>
      <c r="P183" t="s">
        <v>3801</v>
      </c>
      <c r="Q183" t="s">
        <v>3802</v>
      </c>
      <c r="R183" t="s">
        <v>3803</v>
      </c>
      <c r="S183" t="s">
        <v>3804</v>
      </c>
      <c r="T183" t="s">
        <v>3805</v>
      </c>
      <c r="U183" t="s">
        <v>3806</v>
      </c>
      <c r="V183" t="s">
        <v>3807</v>
      </c>
      <c r="W183" t="s">
        <v>3808</v>
      </c>
      <c r="X183" t="s">
        <v>3809</v>
      </c>
      <c r="Y183" t="s">
        <v>3810</v>
      </c>
    </row>
    <row r="184" spans="1:25" x14ac:dyDescent="0.3">
      <c r="A184">
        <v>9150</v>
      </c>
      <c r="B184" t="s">
        <v>3811</v>
      </c>
      <c r="C184" t="s">
        <v>3812</v>
      </c>
      <c r="D184" t="s">
        <v>3813</v>
      </c>
      <c r="E184" t="s">
        <v>3814</v>
      </c>
      <c r="F184" t="s">
        <v>3815</v>
      </c>
      <c r="G184" t="s">
        <v>3816</v>
      </c>
      <c r="H184" t="s">
        <v>3817</v>
      </c>
      <c r="I184" t="s">
        <v>3818</v>
      </c>
      <c r="J184" t="s">
        <v>3819</v>
      </c>
      <c r="K184" t="s">
        <v>3820</v>
      </c>
      <c r="L184" t="s">
        <v>3821</v>
      </c>
      <c r="M184" t="s">
        <v>3822</v>
      </c>
      <c r="N184" t="s">
        <v>3823</v>
      </c>
      <c r="O184" t="s">
        <v>3824</v>
      </c>
      <c r="P184" t="s">
        <v>3825</v>
      </c>
      <c r="Q184" t="s">
        <v>3826</v>
      </c>
      <c r="R184" t="s">
        <v>3827</v>
      </c>
      <c r="S184" t="s">
        <v>3828</v>
      </c>
      <c r="T184" t="s">
        <v>3829</v>
      </c>
      <c r="U184" t="s">
        <v>3830</v>
      </c>
      <c r="V184" t="s">
        <v>3831</v>
      </c>
      <c r="W184" t="s">
        <v>3832</v>
      </c>
      <c r="X184" t="s">
        <v>3833</v>
      </c>
      <c r="Y184" t="s">
        <v>3834</v>
      </c>
    </row>
    <row r="185" spans="1:25" x14ac:dyDescent="0.3">
      <c r="A185">
        <v>9200</v>
      </c>
      <c r="B185" t="s">
        <v>3835</v>
      </c>
      <c r="C185" t="s">
        <v>3836</v>
      </c>
      <c r="D185" t="s">
        <v>3837</v>
      </c>
      <c r="E185" t="s">
        <v>3838</v>
      </c>
      <c r="F185" t="s">
        <v>3839</v>
      </c>
      <c r="G185" t="s">
        <v>3840</v>
      </c>
      <c r="H185" t="s">
        <v>3841</v>
      </c>
      <c r="I185" t="s">
        <v>3842</v>
      </c>
      <c r="J185" t="s">
        <v>3843</v>
      </c>
      <c r="K185" t="s">
        <v>3844</v>
      </c>
      <c r="L185" t="s">
        <v>3845</v>
      </c>
      <c r="M185" t="s">
        <v>3846</v>
      </c>
      <c r="N185" t="s">
        <v>3847</v>
      </c>
      <c r="O185" t="s">
        <v>3848</v>
      </c>
      <c r="P185" t="s">
        <v>3849</v>
      </c>
      <c r="Q185" t="s">
        <v>3850</v>
      </c>
      <c r="R185" t="s">
        <v>3851</v>
      </c>
      <c r="S185" t="s">
        <v>3852</v>
      </c>
      <c r="T185" t="s">
        <v>3853</v>
      </c>
      <c r="U185" t="s">
        <v>3854</v>
      </c>
      <c r="V185" t="s">
        <v>3855</v>
      </c>
      <c r="W185" t="s">
        <v>3856</v>
      </c>
      <c r="X185" t="s">
        <v>3857</v>
      </c>
      <c r="Y185" t="s">
        <v>3858</v>
      </c>
    </row>
    <row r="186" spans="1:25" x14ac:dyDescent="0.3">
      <c r="A186">
        <v>9250</v>
      </c>
      <c r="B186" t="s">
        <v>3859</v>
      </c>
      <c r="C186" t="s">
        <v>3860</v>
      </c>
      <c r="D186" t="s">
        <v>3861</v>
      </c>
      <c r="E186" t="s">
        <v>3862</v>
      </c>
      <c r="F186" t="s">
        <v>3863</v>
      </c>
      <c r="G186" t="s">
        <v>3864</v>
      </c>
      <c r="H186" t="s">
        <v>3865</v>
      </c>
      <c r="I186" t="s">
        <v>3866</v>
      </c>
      <c r="J186" t="s">
        <v>3867</v>
      </c>
      <c r="K186" t="s">
        <v>3868</v>
      </c>
      <c r="L186" t="s">
        <v>3869</v>
      </c>
      <c r="M186" t="s">
        <v>3870</v>
      </c>
      <c r="N186" t="s">
        <v>3871</v>
      </c>
      <c r="O186" t="s">
        <v>3872</v>
      </c>
      <c r="P186" t="s">
        <v>3873</v>
      </c>
      <c r="Q186" t="s">
        <v>3874</v>
      </c>
      <c r="R186" t="s">
        <v>3875</v>
      </c>
      <c r="S186" t="s">
        <v>3876</v>
      </c>
      <c r="T186" t="s">
        <v>3877</v>
      </c>
      <c r="U186" t="s">
        <v>3878</v>
      </c>
      <c r="V186" t="s">
        <v>3879</v>
      </c>
      <c r="W186" t="s">
        <v>3880</v>
      </c>
      <c r="X186" t="s">
        <v>3881</v>
      </c>
      <c r="Y186" t="s">
        <v>3882</v>
      </c>
    </row>
    <row r="187" spans="1:25" x14ac:dyDescent="0.3">
      <c r="A187">
        <v>9300</v>
      </c>
      <c r="B187" t="s">
        <v>3883</v>
      </c>
      <c r="C187" t="s">
        <v>3884</v>
      </c>
      <c r="D187" t="s">
        <v>3885</v>
      </c>
      <c r="E187" t="s">
        <v>3886</v>
      </c>
      <c r="F187" t="s">
        <v>3887</v>
      </c>
      <c r="G187" t="s">
        <v>3888</v>
      </c>
      <c r="H187" t="s">
        <v>3889</v>
      </c>
      <c r="I187" t="s">
        <v>3890</v>
      </c>
      <c r="J187" t="s">
        <v>3891</v>
      </c>
      <c r="K187" t="s">
        <v>3892</v>
      </c>
      <c r="L187" t="s">
        <v>3893</v>
      </c>
      <c r="M187" t="s">
        <v>3894</v>
      </c>
      <c r="N187" t="s">
        <v>3895</v>
      </c>
      <c r="O187" t="s">
        <v>3896</v>
      </c>
      <c r="P187" t="s">
        <v>3897</v>
      </c>
      <c r="Q187" t="s">
        <v>3898</v>
      </c>
      <c r="R187" t="s">
        <v>3899</v>
      </c>
      <c r="S187" t="s">
        <v>3900</v>
      </c>
      <c r="T187" t="s">
        <v>3901</v>
      </c>
      <c r="U187" t="s">
        <v>3902</v>
      </c>
      <c r="V187" t="s">
        <v>3903</v>
      </c>
      <c r="W187" t="s">
        <v>3904</v>
      </c>
      <c r="X187" t="s">
        <v>3905</v>
      </c>
      <c r="Y187" t="s">
        <v>3906</v>
      </c>
    </row>
    <row r="188" spans="1:25" x14ac:dyDescent="0.3">
      <c r="A188">
        <v>9350</v>
      </c>
      <c r="B188" t="s">
        <v>3907</v>
      </c>
      <c r="C188" t="s">
        <v>3908</v>
      </c>
      <c r="D188" t="s">
        <v>3909</v>
      </c>
      <c r="E188" t="s">
        <v>3910</v>
      </c>
      <c r="F188" t="s">
        <v>3911</v>
      </c>
      <c r="G188" t="s">
        <v>3912</v>
      </c>
      <c r="H188" t="s">
        <v>3913</v>
      </c>
      <c r="I188" t="s">
        <v>3914</v>
      </c>
      <c r="J188" t="s">
        <v>3915</v>
      </c>
      <c r="K188" t="s">
        <v>3916</v>
      </c>
      <c r="L188" t="s">
        <v>3917</v>
      </c>
      <c r="M188" t="s">
        <v>3918</v>
      </c>
      <c r="N188" t="s">
        <v>3919</v>
      </c>
      <c r="O188" t="s">
        <v>3920</v>
      </c>
      <c r="P188" t="s">
        <v>3921</v>
      </c>
      <c r="Q188" t="s">
        <v>3922</v>
      </c>
      <c r="R188" t="s">
        <v>3923</v>
      </c>
      <c r="S188" t="s">
        <v>3924</v>
      </c>
      <c r="T188" t="s">
        <v>3925</v>
      </c>
      <c r="U188" t="s">
        <v>3926</v>
      </c>
      <c r="V188" t="s">
        <v>3927</v>
      </c>
      <c r="W188" t="s">
        <v>3928</v>
      </c>
      <c r="X188" t="s">
        <v>3929</v>
      </c>
      <c r="Y188" t="s">
        <v>3930</v>
      </c>
    </row>
    <row r="189" spans="1:25" x14ac:dyDescent="0.3">
      <c r="A189">
        <v>9400</v>
      </c>
      <c r="B189" t="s">
        <v>3931</v>
      </c>
      <c r="C189" t="s">
        <v>3932</v>
      </c>
      <c r="D189" t="s">
        <v>3933</v>
      </c>
      <c r="E189" t="s">
        <v>3934</v>
      </c>
      <c r="F189" t="s">
        <v>3935</v>
      </c>
      <c r="G189" t="s">
        <v>3936</v>
      </c>
      <c r="H189" t="s">
        <v>3937</v>
      </c>
      <c r="I189" t="s">
        <v>3938</v>
      </c>
      <c r="J189" t="s">
        <v>3939</v>
      </c>
      <c r="K189" t="s">
        <v>3940</v>
      </c>
      <c r="L189" t="s">
        <v>3941</v>
      </c>
      <c r="M189" t="s">
        <v>3942</v>
      </c>
      <c r="N189" t="s">
        <v>3943</v>
      </c>
      <c r="O189" t="s">
        <v>3944</v>
      </c>
      <c r="P189" t="s">
        <v>3945</v>
      </c>
      <c r="Q189" t="s">
        <v>3946</v>
      </c>
      <c r="R189" t="s">
        <v>3947</v>
      </c>
      <c r="S189" t="s">
        <v>3948</v>
      </c>
      <c r="T189" t="s">
        <v>3949</v>
      </c>
      <c r="U189" t="s">
        <v>3950</v>
      </c>
      <c r="V189" t="s">
        <v>3951</v>
      </c>
      <c r="W189" t="s">
        <v>3952</v>
      </c>
      <c r="X189" t="s">
        <v>3953</v>
      </c>
      <c r="Y189" t="s">
        <v>3954</v>
      </c>
    </row>
    <row r="190" spans="1:25" x14ac:dyDescent="0.3">
      <c r="A190">
        <v>9450</v>
      </c>
      <c r="B190" t="s">
        <v>3955</v>
      </c>
      <c r="C190" t="s">
        <v>3956</v>
      </c>
      <c r="D190" t="s">
        <v>3957</v>
      </c>
      <c r="E190" t="s">
        <v>3958</v>
      </c>
      <c r="F190" t="s">
        <v>3959</v>
      </c>
      <c r="G190" t="s">
        <v>3960</v>
      </c>
      <c r="H190" t="s">
        <v>3961</v>
      </c>
      <c r="I190" t="s">
        <v>3962</v>
      </c>
      <c r="J190" t="s">
        <v>3963</v>
      </c>
      <c r="K190" t="s">
        <v>3964</v>
      </c>
      <c r="L190" t="s">
        <v>3965</v>
      </c>
      <c r="M190" t="s">
        <v>3966</v>
      </c>
      <c r="N190" t="s">
        <v>3967</v>
      </c>
      <c r="O190" t="s">
        <v>3968</v>
      </c>
      <c r="P190" t="s">
        <v>3969</v>
      </c>
      <c r="Q190" t="s">
        <v>3970</v>
      </c>
      <c r="R190" t="s">
        <v>3971</v>
      </c>
      <c r="S190" t="s">
        <v>3972</v>
      </c>
      <c r="T190" t="s">
        <v>3973</v>
      </c>
      <c r="U190" t="s">
        <v>3974</v>
      </c>
      <c r="V190" t="s">
        <v>3975</v>
      </c>
      <c r="W190" t="s">
        <v>3976</v>
      </c>
      <c r="X190" t="s">
        <v>3977</v>
      </c>
      <c r="Y190" t="s">
        <v>3978</v>
      </c>
    </row>
    <row r="191" spans="1:25" x14ac:dyDescent="0.3">
      <c r="A191">
        <v>9500</v>
      </c>
      <c r="B191" t="s">
        <v>3979</v>
      </c>
      <c r="C191" t="s">
        <v>3980</v>
      </c>
      <c r="D191" t="s">
        <v>3981</v>
      </c>
      <c r="E191" t="s">
        <v>3982</v>
      </c>
      <c r="F191" t="s">
        <v>3983</v>
      </c>
      <c r="G191" t="s">
        <v>3984</v>
      </c>
      <c r="H191" t="s">
        <v>3985</v>
      </c>
      <c r="I191" t="s">
        <v>3986</v>
      </c>
      <c r="J191" t="s">
        <v>3987</v>
      </c>
      <c r="K191" t="s">
        <v>3988</v>
      </c>
      <c r="L191" t="s">
        <v>3989</v>
      </c>
      <c r="M191" t="s">
        <v>3990</v>
      </c>
      <c r="N191" t="s">
        <v>3991</v>
      </c>
      <c r="O191" t="s">
        <v>3992</v>
      </c>
      <c r="P191" t="s">
        <v>3993</v>
      </c>
      <c r="Q191" t="s">
        <v>3994</v>
      </c>
      <c r="R191" t="s">
        <v>3995</v>
      </c>
      <c r="S191" t="s">
        <v>3996</v>
      </c>
      <c r="T191" t="s">
        <v>3997</v>
      </c>
      <c r="U191" t="s">
        <v>3998</v>
      </c>
      <c r="V191" t="s">
        <v>3999</v>
      </c>
      <c r="W191" t="s">
        <v>4000</v>
      </c>
      <c r="X191" t="s">
        <v>4001</v>
      </c>
      <c r="Y191" t="s">
        <v>4002</v>
      </c>
    </row>
    <row r="192" spans="1:25" x14ac:dyDescent="0.3">
      <c r="A192">
        <v>9550</v>
      </c>
      <c r="B192" t="s">
        <v>4003</v>
      </c>
      <c r="C192" t="s">
        <v>4004</v>
      </c>
      <c r="D192" t="s">
        <v>4005</v>
      </c>
      <c r="E192" t="s">
        <v>4006</v>
      </c>
      <c r="F192" t="s">
        <v>4007</v>
      </c>
      <c r="G192" t="s">
        <v>4008</v>
      </c>
      <c r="H192" t="s">
        <v>4009</v>
      </c>
      <c r="I192" t="s">
        <v>4010</v>
      </c>
      <c r="J192" t="s">
        <v>4011</v>
      </c>
      <c r="K192" t="s">
        <v>4012</v>
      </c>
      <c r="L192" t="s">
        <v>4013</v>
      </c>
      <c r="M192" t="s">
        <v>4014</v>
      </c>
      <c r="N192" t="s">
        <v>4015</v>
      </c>
      <c r="O192" t="s">
        <v>4016</v>
      </c>
      <c r="P192" t="s">
        <v>4017</v>
      </c>
      <c r="Q192" t="s">
        <v>4018</v>
      </c>
      <c r="R192" t="s">
        <v>4019</v>
      </c>
      <c r="S192" t="s">
        <v>4020</v>
      </c>
      <c r="T192" t="s">
        <v>4021</v>
      </c>
      <c r="U192" t="s">
        <v>4022</v>
      </c>
      <c r="V192" t="s">
        <v>4023</v>
      </c>
      <c r="W192" t="s">
        <v>4024</v>
      </c>
      <c r="X192" t="s">
        <v>4025</v>
      </c>
      <c r="Y192" t="s">
        <v>4026</v>
      </c>
    </row>
    <row r="193" spans="1:25" x14ac:dyDescent="0.3">
      <c r="A193">
        <v>9600</v>
      </c>
      <c r="B193" t="s">
        <v>4027</v>
      </c>
      <c r="C193" t="s">
        <v>4028</v>
      </c>
      <c r="D193" t="s">
        <v>4029</v>
      </c>
      <c r="E193" t="s">
        <v>4030</v>
      </c>
      <c r="F193" t="s">
        <v>4031</v>
      </c>
      <c r="G193" t="s">
        <v>4032</v>
      </c>
      <c r="H193" t="s">
        <v>4033</v>
      </c>
      <c r="I193" t="s">
        <v>4034</v>
      </c>
      <c r="J193" t="s">
        <v>4035</v>
      </c>
      <c r="K193" t="s">
        <v>4036</v>
      </c>
      <c r="L193" t="s">
        <v>4037</v>
      </c>
      <c r="M193" t="s">
        <v>4038</v>
      </c>
      <c r="N193" t="s">
        <v>4039</v>
      </c>
      <c r="O193" t="s">
        <v>4040</v>
      </c>
      <c r="P193" t="s">
        <v>4041</v>
      </c>
      <c r="Q193" t="s">
        <v>4042</v>
      </c>
      <c r="R193" t="s">
        <v>4043</v>
      </c>
      <c r="S193" t="s">
        <v>4044</v>
      </c>
      <c r="T193" t="s">
        <v>4045</v>
      </c>
      <c r="U193" t="s">
        <v>4046</v>
      </c>
      <c r="V193" t="s">
        <v>4047</v>
      </c>
      <c r="W193" t="s">
        <v>4048</v>
      </c>
      <c r="X193" t="s">
        <v>4049</v>
      </c>
      <c r="Y193" t="s">
        <v>4050</v>
      </c>
    </row>
    <row r="194" spans="1:25" x14ac:dyDescent="0.3">
      <c r="A194">
        <v>9650</v>
      </c>
      <c r="B194" t="s">
        <v>4051</v>
      </c>
      <c r="C194" t="s">
        <v>4052</v>
      </c>
      <c r="D194" t="s">
        <v>4053</v>
      </c>
      <c r="E194" t="s">
        <v>4054</v>
      </c>
      <c r="F194" t="s">
        <v>4055</v>
      </c>
      <c r="G194" t="s">
        <v>4056</v>
      </c>
      <c r="H194" t="s">
        <v>4057</v>
      </c>
      <c r="I194" t="s">
        <v>4058</v>
      </c>
      <c r="J194" t="s">
        <v>4059</v>
      </c>
      <c r="K194" t="s">
        <v>4060</v>
      </c>
      <c r="L194" t="s">
        <v>4061</v>
      </c>
      <c r="M194" t="s">
        <v>4062</v>
      </c>
      <c r="N194" t="s">
        <v>4063</v>
      </c>
      <c r="O194" t="s">
        <v>4064</v>
      </c>
      <c r="P194" t="s">
        <v>4065</v>
      </c>
      <c r="Q194" t="s">
        <v>4066</v>
      </c>
      <c r="R194" t="s">
        <v>4067</v>
      </c>
      <c r="S194" t="s">
        <v>4068</v>
      </c>
      <c r="T194" t="s">
        <v>4069</v>
      </c>
      <c r="U194" t="s">
        <v>4070</v>
      </c>
      <c r="V194" t="s">
        <v>4071</v>
      </c>
      <c r="W194" t="s">
        <v>4072</v>
      </c>
      <c r="X194" t="s">
        <v>4073</v>
      </c>
      <c r="Y194" t="s">
        <v>4074</v>
      </c>
    </row>
    <row r="195" spans="1:25" x14ac:dyDescent="0.3">
      <c r="A195">
        <v>9700</v>
      </c>
      <c r="B195" t="s">
        <v>4075</v>
      </c>
      <c r="C195" t="s">
        <v>4076</v>
      </c>
      <c r="D195" t="s">
        <v>4077</v>
      </c>
      <c r="E195" t="s">
        <v>4078</v>
      </c>
      <c r="F195" t="s">
        <v>4079</v>
      </c>
      <c r="G195" t="s">
        <v>4080</v>
      </c>
      <c r="H195" t="s">
        <v>4081</v>
      </c>
      <c r="I195" t="s">
        <v>4082</v>
      </c>
      <c r="J195" t="s">
        <v>4083</v>
      </c>
      <c r="K195" t="s">
        <v>4084</v>
      </c>
      <c r="L195" t="s">
        <v>4085</v>
      </c>
      <c r="M195" t="s">
        <v>4086</v>
      </c>
      <c r="N195" t="s">
        <v>4087</v>
      </c>
      <c r="O195" t="s">
        <v>4088</v>
      </c>
      <c r="P195" t="s">
        <v>4089</v>
      </c>
      <c r="Q195" t="s">
        <v>4090</v>
      </c>
      <c r="R195" t="s">
        <v>4091</v>
      </c>
      <c r="S195" t="s">
        <v>4092</v>
      </c>
      <c r="T195" t="s">
        <v>4093</v>
      </c>
      <c r="U195" t="s">
        <v>4094</v>
      </c>
      <c r="V195" t="s">
        <v>4095</v>
      </c>
      <c r="W195" t="s">
        <v>4096</v>
      </c>
      <c r="X195" t="s">
        <v>4097</v>
      </c>
      <c r="Y195" t="s">
        <v>4098</v>
      </c>
    </row>
    <row r="196" spans="1:25" x14ac:dyDescent="0.3">
      <c r="A196">
        <v>9750</v>
      </c>
      <c r="B196" t="s">
        <v>4099</v>
      </c>
      <c r="C196" t="s">
        <v>4100</v>
      </c>
      <c r="D196" t="s">
        <v>4101</v>
      </c>
      <c r="E196" t="s">
        <v>4102</v>
      </c>
      <c r="F196" t="s">
        <v>4103</v>
      </c>
      <c r="G196" t="s">
        <v>4104</v>
      </c>
      <c r="H196" t="s">
        <v>4105</v>
      </c>
      <c r="I196" t="s">
        <v>4106</v>
      </c>
      <c r="J196" t="s">
        <v>4107</v>
      </c>
      <c r="K196" t="s">
        <v>4108</v>
      </c>
      <c r="L196" t="s">
        <v>4109</v>
      </c>
      <c r="M196" t="s">
        <v>4110</v>
      </c>
      <c r="N196" t="s">
        <v>4111</v>
      </c>
      <c r="O196" t="s">
        <v>4112</v>
      </c>
      <c r="P196" t="s">
        <v>4113</v>
      </c>
      <c r="Q196" t="s">
        <v>4114</v>
      </c>
      <c r="R196" t="s">
        <v>4115</v>
      </c>
      <c r="S196" t="s">
        <v>4116</v>
      </c>
      <c r="T196" t="s">
        <v>4117</v>
      </c>
      <c r="U196" t="s">
        <v>4118</v>
      </c>
      <c r="V196" t="s">
        <v>4119</v>
      </c>
      <c r="W196" t="s">
        <v>4120</v>
      </c>
      <c r="X196" t="s">
        <v>4121</v>
      </c>
      <c r="Y196" t="s">
        <v>4122</v>
      </c>
    </row>
    <row r="197" spans="1:25" x14ac:dyDescent="0.3">
      <c r="A197">
        <v>9800</v>
      </c>
      <c r="B197" t="s">
        <v>4123</v>
      </c>
      <c r="C197" t="s">
        <v>4124</v>
      </c>
      <c r="D197" t="s">
        <v>4125</v>
      </c>
      <c r="E197" t="s">
        <v>4126</v>
      </c>
      <c r="F197" t="s">
        <v>4127</v>
      </c>
      <c r="G197" t="s">
        <v>4128</v>
      </c>
      <c r="H197" t="s">
        <v>4129</v>
      </c>
      <c r="I197" t="s">
        <v>4130</v>
      </c>
      <c r="J197" t="s">
        <v>4131</v>
      </c>
      <c r="K197" t="s">
        <v>4132</v>
      </c>
      <c r="L197" t="s">
        <v>4133</v>
      </c>
      <c r="M197" t="s">
        <v>4134</v>
      </c>
      <c r="N197" t="s">
        <v>4135</v>
      </c>
      <c r="O197" t="s">
        <v>4136</v>
      </c>
      <c r="P197" t="s">
        <v>4137</v>
      </c>
      <c r="Q197" t="s">
        <v>4138</v>
      </c>
      <c r="R197" t="s">
        <v>4139</v>
      </c>
      <c r="S197" t="s">
        <v>4140</v>
      </c>
      <c r="T197" t="s">
        <v>4141</v>
      </c>
      <c r="U197" t="s">
        <v>4142</v>
      </c>
      <c r="V197" t="s">
        <v>4143</v>
      </c>
      <c r="W197" t="s">
        <v>4144</v>
      </c>
      <c r="X197" t="s">
        <v>4145</v>
      </c>
      <c r="Y197" t="s">
        <v>4146</v>
      </c>
    </row>
    <row r="198" spans="1:25" x14ac:dyDescent="0.3">
      <c r="A198">
        <v>9850</v>
      </c>
      <c r="B198" t="s">
        <v>4147</v>
      </c>
      <c r="C198" t="s">
        <v>4148</v>
      </c>
      <c r="D198" t="s">
        <v>4149</v>
      </c>
      <c r="E198" t="s">
        <v>4150</v>
      </c>
      <c r="F198" t="s">
        <v>4151</v>
      </c>
      <c r="G198" t="s">
        <v>4152</v>
      </c>
      <c r="H198" t="s">
        <v>4153</v>
      </c>
      <c r="I198" t="s">
        <v>4154</v>
      </c>
      <c r="J198" t="s">
        <v>4155</v>
      </c>
      <c r="K198" t="s">
        <v>4156</v>
      </c>
      <c r="L198" t="s">
        <v>4157</v>
      </c>
      <c r="M198" t="s">
        <v>4158</v>
      </c>
      <c r="N198" t="s">
        <v>4159</v>
      </c>
      <c r="O198" t="s">
        <v>4160</v>
      </c>
      <c r="P198" t="s">
        <v>4161</v>
      </c>
      <c r="Q198" t="s">
        <v>4162</v>
      </c>
      <c r="R198" t="s">
        <v>4163</v>
      </c>
      <c r="S198" t="s">
        <v>4164</v>
      </c>
      <c r="T198" t="s">
        <v>4165</v>
      </c>
      <c r="U198" t="s">
        <v>4166</v>
      </c>
      <c r="V198" t="s">
        <v>4167</v>
      </c>
      <c r="W198" t="s">
        <v>4168</v>
      </c>
      <c r="X198" t="s">
        <v>4169</v>
      </c>
      <c r="Y198" t="s">
        <v>4170</v>
      </c>
    </row>
    <row r="199" spans="1:25" x14ac:dyDescent="0.3">
      <c r="A199">
        <v>9900</v>
      </c>
      <c r="B199" t="s">
        <v>4171</v>
      </c>
      <c r="C199" t="s">
        <v>4172</v>
      </c>
      <c r="D199" t="s">
        <v>4173</v>
      </c>
      <c r="E199" t="s">
        <v>4174</v>
      </c>
      <c r="F199" t="s">
        <v>4175</v>
      </c>
      <c r="G199" t="s">
        <v>4176</v>
      </c>
      <c r="H199" t="s">
        <v>4177</v>
      </c>
      <c r="I199" t="s">
        <v>4178</v>
      </c>
      <c r="J199" t="s">
        <v>4179</v>
      </c>
      <c r="K199" t="s">
        <v>4180</v>
      </c>
      <c r="L199" t="s">
        <v>4181</v>
      </c>
      <c r="M199" t="s">
        <v>4182</v>
      </c>
      <c r="N199" t="s">
        <v>4183</v>
      </c>
      <c r="O199" t="s">
        <v>4184</v>
      </c>
      <c r="P199" t="s">
        <v>4185</v>
      </c>
      <c r="Q199" t="s">
        <v>4186</v>
      </c>
      <c r="R199" t="s">
        <v>4187</v>
      </c>
      <c r="S199" t="s">
        <v>4188</v>
      </c>
      <c r="T199" t="s">
        <v>4189</v>
      </c>
      <c r="U199" t="s">
        <v>4190</v>
      </c>
      <c r="V199" t="s">
        <v>4191</v>
      </c>
      <c r="W199" t="s">
        <v>4192</v>
      </c>
      <c r="X199" t="s">
        <v>4193</v>
      </c>
      <c r="Y199" t="s">
        <v>4194</v>
      </c>
    </row>
    <row r="200" spans="1:25" x14ac:dyDescent="0.3">
      <c r="A200">
        <v>9950</v>
      </c>
      <c r="B200" t="s">
        <v>4195</v>
      </c>
      <c r="C200" t="s">
        <v>4196</v>
      </c>
      <c r="D200" t="s">
        <v>4197</v>
      </c>
      <c r="E200" t="s">
        <v>4198</v>
      </c>
      <c r="F200" t="s">
        <v>4199</v>
      </c>
      <c r="G200" t="s">
        <v>4200</v>
      </c>
      <c r="H200" t="s">
        <v>4201</v>
      </c>
      <c r="I200" t="s">
        <v>4202</v>
      </c>
      <c r="J200" t="s">
        <v>4203</v>
      </c>
      <c r="K200" t="s">
        <v>4204</v>
      </c>
      <c r="L200" t="s">
        <v>4205</v>
      </c>
      <c r="M200" t="s">
        <v>4206</v>
      </c>
      <c r="N200" t="s">
        <v>4207</v>
      </c>
      <c r="O200" t="s">
        <v>4208</v>
      </c>
      <c r="P200" t="s">
        <v>4209</v>
      </c>
      <c r="Q200" t="s">
        <v>4210</v>
      </c>
      <c r="R200" t="s">
        <v>4211</v>
      </c>
      <c r="S200" t="s">
        <v>4212</v>
      </c>
      <c r="T200" t="s">
        <v>4213</v>
      </c>
      <c r="U200" t="s">
        <v>4214</v>
      </c>
      <c r="V200" t="s">
        <v>4215</v>
      </c>
      <c r="W200" t="s">
        <v>4216</v>
      </c>
      <c r="X200" t="s">
        <v>4217</v>
      </c>
      <c r="Y200" t="s">
        <v>4218</v>
      </c>
    </row>
    <row r="201" spans="1:25" x14ac:dyDescent="0.3">
      <c r="A201">
        <v>10000</v>
      </c>
      <c r="B201" t="s">
        <v>4219</v>
      </c>
      <c r="C201" t="s">
        <v>4220</v>
      </c>
      <c r="D201" t="s">
        <v>4221</v>
      </c>
      <c r="E201" t="s">
        <v>4222</v>
      </c>
      <c r="F201" t="s">
        <v>4223</v>
      </c>
      <c r="G201" t="s">
        <v>4224</v>
      </c>
      <c r="H201" t="s">
        <v>4225</v>
      </c>
      <c r="I201" t="s">
        <v>4226</v>
      </c>
      <c r="J201" t="s">
        <v>4227</v>
      </c>
      <c r="K201" t="s">
        <v>4228</v>
      </c>
      <c r="L201" t="s">
        <v>4229</v>
      </c>
      <c r="M201" t="s">
        <v>4230</v>
      </c>
      <c r="N201" t="s">
        <v>4231</v>
      </c>
      <c r="O201" t="s">
        <v>4232</v>
      </c>
      <c r="P201" t="s">
        <v>4233</v>
      </c>
      <c r="Q201" t="s">
        <v>4234</v>
      </c>
      <c r="R201" t="s">
        <v>4235</v>
      </c>
      <c r="S201" t="s">
        <v>4236</v>
      </c>
      <c r="T201" t="s">
        <v>4237</v>
      </c>
      <c r="U201" t="s">
        <v>4238</v>
      </c>
      <c r="V201" t="s">
        <v>4239</v>
      </c>
      <c r="W201" t="s">
        <v>4240</v>
      </c>
      <c r="X201" t="s">
        <v>4241</v>
      </c>
      <c r="Y201" t="s">
        <v>4242</v>
      </c>
    </row>
    <row r="202" spans="1:25" x14ac:dyDescent="0.3">
      <c r="A202">
        <v>10050</v>
      </c>
      <c r="B202" t="s">
        <v>4243</v>
      </c>
      <c r="C202" t="s">
        <v>4244</v>
      </c>
      <c r="D202" t="s">
        <v>4245</v>
      </c>
      <c r="E202" t="s">
        <v>4246</v>
      </c>
      <c r="F202" t="s">
        <v>4247</v>
      </c>
      <c r="G202" t="s">
        <v>4248</v>
      </c>
      <c r="H202" t="s">
        <v>4249</v>
      </c>
      <c r="I202" t="s">
        <v>4250</v>
      </c>
      <c r="J202" t="s">
        <v>4251</v>
      </c>
      <c r="K202" t="s">
        <v>4252</v>
      </c>
      <c r="L202" t="s">
        <v>4253</v>
      </c>
      <c r="M202" t="s">
        <v>4254</v>
      </c>
      <c r="N202" t="s">
        <v>4255</v>
      </c>
      <c r="O202" t="s">
        <v>4256</v>
      </c>
      <c r="P202" t="s">
        <v>4257</v>
      </c>
      <c r="Q202" t="s">
        <v>4258</v>
      </c>
      <c r="R202" t="s">
        <v>4259</v>
      </c>
      <c r="S202" t="s">
        <v>4260</v>
      </c>
      <c r="T202" t="s">
        <v>4261</v>
      </c>
      <c r="U202" t="s">
        <v>4262</v>
      </c>
      <c r="V202" t="s">
        <v>4263</v>
      </c>
      <c r="W202" t="s">
        <v>4264</v>
      </c>
      <c r="X202" t="s">
        <v>4265</v>
      </c>
      <c r="Y202" t="s">
        <v>4266</v>
      </c>
    </row>
    <row r="203" spans="1:25" x14ac:dyDescent="0.3">
      <c r="A203">
        <v>10100</v>
      </c>
      <c r="B203" t="s">
        <v>4267</v>
      </c>
      <c r="C203" t="s">
        <v>4268</v>
      </c>
      <c r="D203" t="s">
        <v>4269</v>
      </c>
      <c r="E203" t="s">
        <v>4270</v>
      </c>
      <c r="F203" t="s">
        <v>4271</v>
      </c>
      <c r="G203" t="s">
        <v>4272</v>
      </c>
      <c r="H203" t="s">
        <v>4273</v>
      </c>
      <c r="I203" t="s">
        <v>4274</v>
      </c>
      <c r="J203" t="s">
        <v>4275</v>
      </c>
      <c r="K203" t="s">
        <v>4276</v>
      </c>
      <c r="L203" t="s">
        <v>4277</v>
      </c>
      <c r="M203" t="s">
        <v>4278</v>
      </c>
      <c r="N203" t="s">
        <v>4279</v>
      </c>
      <c r="O203" t="s">
        <v>4280</v>
      </c>
      <c r="P203" t="s">
        <v>4281</v>
      </c>
      <c r="Q203" t="s">
        <v>4282</v>
      </c>
      <c r="R203" t="s">
        <v>4283</v>
      </c>
      <c r="S203" t="s">
        <v>4284</v>
      </c>
      <c r="T203" t="s">
        <v>4285</v>
      </c>
      <c r="U203" t="s">
        <v>4286</v>
      </c>
      <c r="V203" t="s">
        <v>4287</v>
      </c>
      <c r="W203" t="s">
        <v>4288</v>
      </c>
      <c r="X203" t="s">
        <v>4289</v>
      </c>
      <c r="Y203" t="s">
        <v>4290</v>
      </c>
    </row>
    <row r="204" spans="1:25" x14ac:dyDescent="0.3">
      <c r="A204">
        <v>10150</v>
      </c>
      <c r="B204" t="s">
        <v>4291</v>
      </c>
      <c r="C204" t="s">
        <v>4292</v>
      </c>
      <c r="D204" t="s">
        <v>4293</v>
      </c>
      <c r="E204" t="s">
        <v>4294</v>
      </c>
      <c r="F204" t="s">
        <v>4295</v>
      </c>
      <c r="G204" t="s">
        <v>4296</v>
      </c>
      <c r="H204" t="s">
        <v>4297</v>
      </c>
      <c r="I204" t="s">
        <v>4298</v>
      </c>
      <c r="J204" t="s">
        <v>4299</v>
      </c>
      <c r="K204" t="s">
        <v>4300</v>
      </c>
      <c r="L204" t="s">
        <v>4301</v>
      </c>
      <c r="M204" t="s">
        <v>4302</v>
      </c>
      <c r="N204" t="s">
        <v>4303</v>
      </c>
      <c r="O204" t="s">
        <v>4304</v>
      </c>
      <c r="P204" t="s">
        <v>4305</v>
      </c>
      <c r="Q204" t="s">
        <v>4306</v>
      </c>
      <c r="R204" t="s">
        <v>4307</v>
      </c>
      <c r="S204" t="s">
        <v>4308</v>
      </c>
      <c r="T204" t="s">
        <v>4309</v>
      </c>
      <c r="U204" t="s">
        <v>4310</v>
      </c>
      <c r="V204" t="s">
        <v>4311</v>
      </c>
      <c r="W204" t="s">
        <v>4312</v>
      </c>
      <c r="X204" t="s">
        <v>4313</v>
      </c>
      <c r="Y204" t="s">
        <v>4314</v>
      </c>
    </row>
    <row r="205" spans="1:25" x14ac:dyDescent="0.3">
      <c r="A205">
        <v>10200</v>
      </c>
      <c r="B205" t="s">
        <v>4315</v>
      </c>
      <c r="C205" t="s">
        <v>4316</v>
      </c>
      <c r="D205" t="s">
        <v>4317</v>
      </c>
      <c r="E205" t="s">
        <v>4318</v>
      </c>
      <c r="F205" t="s">
        <v>4319</v>
      </c>
      <c r="G205" t="s">
        <v>4320</v>
      </c>
      <c r="H205" t="s">
        <v>4321</v>
      </c>
      <c r="I205" t="s">
        <v>4322</v>
      </c>
      <c r="J205" t="s">
        <v>4323</v>
      </c>
      <c r="K205" t="s">
        <v>4324</v>
      </c>
      <c r="L205" t="s">
        <v>4325</v>
      </c>
      <c r="M205" t="s">
        <v>4326</v>
      </c>
      <c r="N205" t="s">
        <v>4327</v>
      </c>
      <c r="O205" t="s">
        <v>4328</v>
      </c>
      <c r="P205" t="s">
        <v>4329</v>
      </c>
      <c r="Q205" t="s">
        <v>4330</v>
      </c>
      <c r="R205" t="s">
        <v>4331</v>
      </c>
      <c r="S205" t="s">
        <v>4332</v>
      </c>
      <c r="T205" t="s">
        <v>4333</v>
      </c>
      <c r="U205" t="s">
        <v>4334</v>
      </c>
      <c r="V205" t="s">
        <v>4335</v>
      </c>
      <c r="W205" t="s">
        <v>4336</v>
      </c>
      <c r="X205" t="s">
        <v>4337</v>
      </c>
      <c r="Y205" t="s">
        <v>4338</v>
      </c>
    </row>
    <row r="206" spans="1:25" x14ac:dyDescent="0.3">
      <c r="A206">
        <v>10250</v>
      </c>
      <c r="B206" t="s">
        <v>4339</v>
      </c>
      <c r="C206" t="s">
        <v>4340</v>
      </c>
      <c r="D206" t="s">
        <v>4341</v>
      </c>
      <c r="E206" t="s">
        <v>4342</v>
      </c>
      <c r="F206" t="s">
        <v>4343</v>
      </c>
      <c r="G206" t="s">
        <v>4344</v>
      </c>
      <c r="H206" t="s">
        <v>4345</v>
      </c>
      <c r="I206" t="s">
        <v>4346</v>
      </c>
      <c r="J206" t="s">
        <v>4347</v>
      </c>
      <c r="K206" t="s">
        <v>4348</v>
      </c>
      <c r="L206" t="s">
        <v>4349</v>
      </c>
      <c r="M206" t="s">
        <v>4350</v>
      </c>
      <c r="N206" t="s">
        <v>4351</v>
      </c>
      <c r="O206" t="s">
        <v>4352</v>
      </c>
      <c r="P206" t="s">
        <v>4353</v>
      </c>
      <c r="Q206" t="s">
        <v>4354</v>
      </c>
      <c r="R206" t="s">
        <v>4355</v>
      </c>
      <c r="S206" t="s">
        <v>4356</v>
      </c>
      <c r="T206" t="s">
        <v>4357</v>
      </c>
      <c r="U206" t="s">
        <v>4358</v>
      </c>
      <c r="V206" t="s">
        <v>4359</v>
      </c>
      <c r="W206" t="s">
        <v>4360</v>
      </c>
      <c r="X206" t="s">
        <v>4361</v>
      </c>
      <c r="Y206" t="s">
        <v>4362</v>
      </c>
    </row>
    <row r="207" spans="1:25" x14ac:dyDescent="0.3">
      <c r="A207">
        <v>10300</v>
      </c>
      <c r="B207" t="s">
        <v>4363</v>
      </c>
      <c r="C207" t="s">
        <v>4364</v>
      </c>
      <c r="D207" t="s">
        <v>4365</v>
      </c>
      <c r="E207" t="s">
        <v>4366</v>
      </c>
      <c r="F207" t="s">
        <v>4367</v>
      </c>
      <c r="G207" t="s">
        <v>4368</v>
      </c>
      <c r="H207" t="s">
        <v>4369</v>
      </c>
      <c r="I207" t="s">
        <v>4370</v>
      </c>
      <c r="J207" t="s">
        <v>4371</v>
      </c>
      <c r="K207" t="s">
        <v>4372</v>
      </c>
      <c r="L207" t="s">
        <v>4373</v>
      </c>
      <c r="M207" t="s">
        <v>4374</v>
      </c>
      <c r="N207" t="s">
        <v>4375</v>
      </c>
      <c r="O207" t="s">
        <v>4376</v>
      </c>
      <c r="P207" t="s">
        <v>4377</v>
      </c>
      <c r="Q207" t="s">
        <v>4378</v>
      </c>
      <c r="R207" t="s">
        <v>4379</v>
      </c>
      <c r="S207" t="s">
        <v>4380</v>
      </c>
      <c r="T207" t="s">
        <v>4381</v>
      </c>
      <c r="U207" t="s">
        <v>4382</v>
      </c>
      <c r="V207" t="s">
        <v>4383</v>
      </c>
      <c r="W207" t="s">
        <v>4384</v>
      </c>
      <c r="X207" t="s">
        <v>4385</v>
      </c>
      <c r="Y207" t="s">
        <v>4386</v>
      </c>
    </row>
    <row r="208" spans="1:25" x14ac:dyDescent="0.3">
      <c r="A208">
        <v>10350</v>
      </c>
      <c r="B208" t="s">
        <v>4387</v>
      </c>
      <c r="C208" t="s">
        <v>4388</v>
      </c>
      <c r="D208" t="s">
        <v>4389</v>
      </c>
      <c r="E208" t="s">
        <v>4390</v>
      </c>
      <c r="F208" t="s">
        <v>4391</v>
      </c>
      <c r="G208" t="s">
        <v>4392</v>
      </c>
      <c r="H208" t="s">
        <v>4393</v>
      </c>
      <c r="I208" t="s">
        <v>4394</v>
      </c>
      <c r="J208" t="s">
        <v>4395</v>
      </c>
      <c r="K208" t="s">
        <v>4396</v>
      </c>
      <c r="L208" t="s">
        <v>4397</v>
      </c>
      <c r="M208" t="s">
        <v>4398</v>
      </c>
      <c r="N208" t="s">
        <v>4399</v>
      </c>
      <c r="O208" t="s">
        <v>4400</v>
      </c>
      <c r="P208" t="s">
        <v>4401</v>
      </c>
      <c r="Q208" t="s">
        <v>4402</v>
      </c>
      <c r="R208" t="s">
        <v>4403</v>
      </c>
      <c r="S208" t="s">
        <v>4404</v>
      </c>
      <c r="T208" t="s">
        <v>4405</v>
      </c>
      <c r="U208" t="s">
        <v>4406</v>
      </c>
      <c r="V208" t="s">
        <v>4407</v>
      </c>
      <c r="W208" t="s">
        <v>4408</v>
      </c>
      <c r="X208" t="s">
        <v>4409</v>
      </c>
      <c r="Y208" t="s">
        <v>4410</v>
      </c>
    </row>
    <row r="209" spans="1:25" x14ac:dyDescent="0.3">
      <c r="A209">
        <v>10400</v>
      </c>
      <c r="B209" t="s">
        <v>4411</v>
      </c>
      <c r="C209" t="s">
        <v>4412</v>
      </c>
      <c r="D209" t="s">
        <v>4413</v>
      </c>
      <c r="E209" t="s">
        <v>4414</v>
      </c>
      <c r="F209" t="s">
        <v>4415</v>
      </c>
      <c r="G209" t="s">
        <v>4416</v>
      </c>
      <c r="H209" t="s">
        <v>4417</v>
      </c>
      <c r="I209" t="s">
        <v>4418</v>
      </c>
      <c r="J209" t="s">
        <v>4419</v>
      </c>
      <c r="K209" t="s">
        <v>4420</v>
      </c>
      <c r="L209" t="s">
        <v>4421</v>
      </c>
      <c r="M209" t="s">
        <v>4422</v>
      </c>
      <c r="N209" t="s">
        <v>4423</v>
      </c>
      <c r="O209" t="s">
        <v>4424</v>
      </c>
      <c r="P209" t="s">
        <v>4425</v>
      </c>
      <c r="Q209" t="s">
        <v>4426</v>
      </c>
      <c r="R209" t="s">
        <v>4427</v>
      </c>
      <c r="S209" t="s">
        <v>4428</v>
      </c>
      <c r="T209" t="s">
        <v>4429</v>
      </c>
      <c r="U209" t="s">
        <v>4430</v>
      </c>
      <c r="V209" t="s">
        <v>4431</v>
      </c>
      <c r="W209" t="s">
        <v>4432</v>
      </c>
      <c r="X209" t="s">
        <v>4433</v>
      </c>
      <c r="Y209" t="s">
        <v>4434</v>
      </c>
    </row>
    <row r="210" spans="1:25" x14ac:dyDescent="0.3">
      <c r="A210">
        <v>10450</v>
      </c>
      <c r="B210" t="s">
        <v>4435</v>
      </c>
      <c r="C210" t="s">
        <v>4436</v>
      </c>
      <c r="D210" t="s">
        <v>4437</v>
      </c>
      <c r="E210" t="s">
        <v>4438</v>
      </c>
      <c r="F210" t="s">
        <v>4439</v>
      </c>
      <c r="G210" t="s">
        <v>4440</v>
      </c>
      <c r="H210" t="s">
        <v>4441</v>
      </c>
      <c r="I210" t="s">
        <v>4442</v>
      </c>
      <c r="J210" t="s">
        <v>4443</v>
      </c>
      <c r="K210" t="s">
        <v>4444</v>
      </c>
      <c r="L210" t="s">
        <v>4445</v>
      </c>
      <c r="M210" t="s">
        <v>4446</v>
      </c>
      <c r="N210" t="s">
        <v>4447</v>
      </c>
      <c r="O210" t="s">
        <v>4448</v>
      </c>
      <c r="P210" t="s">
        <v>4449</v>
      </c>
      <c r="Q210" t="s">
        <v>4450</v>
      </c>
      <c r="R210" t="s">
        <v>4451</v>
      </c>
      <c r="S210" t="s">
        <v>4452</v>
      </c>
      <c r="T210" t="s">
        <v>4453</v>
      </c>
      <c r="U210" t="s">
        <v>4454</v>
      </c>
      <c r="V210" t="s">
        <v>4455</v>
      </c>
      <c r="W210" t="s">
        <v>4456</v>
      </c>
      <c r="X210" t="s">
        <v>4457</v>
      </c>
      <c r="Y210" t="s">
        <v>4458</v>
      </c>
    </row>
    <row r="211" spans="1:25" x14ac:dyDescent="0.3">
      <c r="A211">
        <v>10500</v>
      </c>
      <c r="B211" t="s">
        <v>4459</v>
      </c>
      <c r="C211" t="s">
        <v>4460</v>
      </c>
      <c r="D211" t="s">
        <v>4461</v>
      </c>
      <c r="E211" t="s">
        <v>4462</v>
      </c>
      <c r="F211" t="s">
        <v>4463</v>
      </c>
      <c r="G211" t="s">
        <v>4464</v>
      </c>
      <c r="H211" t="s">
        <v>4465</v>
      </c>
      <c r="I211" t="s">
        <v>4466</v>
      </c>
      <c r="J211" t="s">
        <v>4467</v>
      </c>
      <c r="K211" t="s">
        <v>4468</v>
      </c>
      <c r="L211" t="s">
        <v>4469</v>
      </c>
      <c r="M211" t="s">
        <v>4470</v>
      </c>
      <c r="N211" t="s">
        <v>4471</v>
      </c>
      <c r="O211" t="s">
        <v>4472</v>
      </c>
      <c r="P211" t="s">
        <v>4473</v>
      </c>
      <c r="Q211" t="s">
        <v>4474</v>
      </c>
      <c r="R211" t="s">
        <v>4475</v>
      </c>
      <c r="S211" t="s">
        <v>4476</v>
      </c>
      <c r="T211" t="s">
        <v>4477</v>
      </c>
      <c r="U211" t="s">
        <v>4478</v>
      </c>
      <c r="V211" t="s">
        <v>4479</v>
      </c>
      <c r="W211" t="s">
        <v>4480</v>
      </c>
      <c r="X211" t="s">
        <v>4481</v>
      </c>
      <c r="Y211" t="s">
        <v>4482</v>
      </c>
    </row>
    <row r="212" spans="1:25" x14ac:dyDescent="0.3">
      <c r="A212">
        <v>10550</v>
      </c>
      <c r="B212" t="s">
        <v>4483</v>
      </c>
      <c r="C212" t="s">
        <v>4484</v>
      </c>
      <c r="D212" t="s">
        <v>4485</v>
      </c>
      <c r="E212" t="s">
        <v>4486</v>
      </c>
      <c r="F212" t="s">
        <v>4487</v>
      </c>
      <c r="G212" t="s">
        <v>4488</v>
      </c>
      <c r="H212" t="s">
        <v>4489</v>
      </c>
      <c r="I212" t="s">
        <v>4490</v>
      </c>
      <c r="J212" t="s">
        <v>4491</v>
      </c>
      <c r="K212" t="s">
        <v>4492</v>
      </c>
      <c r="L212" t="s">
        <v>4493</v>
      </c>
      <c r="M212" t="s">
        <v>4494</v>
      </c>
      <c r="N212" t="s">
        <v>4495</v>
      </c>
      <c r="O212" t="s">
        <v>4496</v>
      </c>
      <c r="P212" t="s">
        <v>4497</v>
      </c>
      <c r="Q212" t="s">
        <v>4498</v>
      </c>
      <c r="R212" t="s">
        <v>4499</v>
      </c>
      <c r="S212" t="s">
        <v>4500</v>
      </c>
      <c r="T212" t="s">
        <v>4501</v>
      </c>
      <c r="U212" t="s">
        <v>4502</v>
      </c>
      <c r="V212" t="s">
        <v>4503</v>
      </c>
      <c r="W212" t="s">
        <v>4504</v>
      </c>
      <c r="X212" t="s">
        <v>4505</v>
      </c>
      <c r="Y212" t="s">
        <v>4506</v>
      </c>
    </row>
    <row r="213" spans="1:25" x14ac:dyDescent="0.3">
      <c r="A213">
        <v>10600</v>
      </c>
      <c r="B213" t="s">
        <v>4507</v>
      </c>
      <c r="C213" t="s">
        <v>4508</v>
      </c>
      <c r="D213" t="s">
        <v>4509</v>
      </c>
      <c r="E213" t="s">
        <v>4510</v>
      </c>
      <c r="F213" t="s">
        <v>4511</v>
      </c>
      <c r="G213" t="s">
        <v>4512</v>
      </c>
      <c r="H213" t="s">
        <v>4513</v>
      </c>
      <c r="I213" t="s">
        <v>4514</v>
      </c>
      <c r="J213" t="s">
        <v>4515</v>
      </c>
      <c r="K213" t="s">
        <v>4516</v>
      </c>
      <c r="L213" t="s">
        <v>4517</v>
      </c>
      <c r="M213" t="s">
        <v>4518</v>
      </c>
      <c r="N213" t="s">
        <v>4519</v>
      </c>
      <c r="O213" t="s">
        <v>4520</v>
      </c>
      <c r="P213" t="s">
        <v>4521</v>
      </c>
      <c r="Q213" t="s">
        <v>4522</v>
      </c>
      <c r="R213" t="s">
        <v>4523</v>
      </c>
      <c r="S213" t="s">
        <v>4524</v>
      </c>
      <c r="T213" t="s">
        <v>4525</v>
      </c>
      <c r="U213" t="s">
        <v>4526</v>
      </c>
      <c r="V213" t="s">
        <v>4527</v>
      </c>
      <c r="W213" t="s">
        <v>4528</v>
      </c>
      <c r="X213" t="s">
        <v>4529</v>
      </c>
      <c r="Y213" t="s">
        <v>4530</v>
      </c>
    </row>
    <row r="214" spans="1:25" x14ac:dyDescent="0.3">
      <c r="A214">
        <v>10650</v>
      </c>
      <c r="B214" t="s">
        <v>4531</v>
      </c>
      <c r="C214" t="s">
        <v>4532</v>
      </c>
      <c r="D214" t="s">
        <v>4533</v>
      </c>
      <c r="E214" t="s">
        <v>4534</v>
      </c>
      <c r="F214" t="s">
        <v>4535</v>
      </c>
      <c r="G214" t="s">
        <v>4536</v>
      </c>
      <c r="H214" t="s">
        <v>4537</v>
      </c>
      <c r="I214" t="s">
        <v>4538</v>
      </c>
      <c r="J214" t="s">
        <v>4539</v>
      </c>
      <c r="K214" t="s">
        <v>4540</v>
      </c>
      <c r="L214" t="s">
        <v>4541</v>
      </c>
      <c r="M214" t="s">
        <v>4542</v>
      </c>
      <c r="N214" t="s">
        <v>4543</v>
      </c>
      <c r="O214" t="s">
        <v>4544</v>
      </c>
      <c r="P214" t="s">
        <v>4545</v>
      </c>
      <c r="Q214" t="s">
        <v>4546</v>
      </c>
      <c r="R214" t="s">
        <v>4547</v>
      </c>
      <c r="S214" t="s">
        <v>4548</v>
      </c>
      <c r="T214" t="s">
        <v>4549</v>
      </c>
      <c r="U214" t="s">
        <v>4550</v>
      </c>
      <c r="V214" t="s">
        <v>4551</v>
      </c>
      <c r="W214" t="s">
        <v>4552</v>
      </c>
      <c r="X214" t="s">
        <v>4553</v>
      </c>
      <c r="Y214" t="s">
        <v>4554</v>
      </c>
    </row>
    <row r="215" spans="1:25" x14ac:dyDescent="0.3">
      <c r="A215">
        <v>10700</v>
      </c>
      <c r="B215" t="s">
        <v>4555</v>
      </c>
      <c r="C215" t="s">
        <v>4556</v>
      </c>
      <c r="D215" t="s">
        <v>4557</v>
      </c>
      <c r="E215" t="s">
        <v>4558</v>
      </c>
      <c r="F215" t="s">
        <v>4559</v>
      </c>
      <c r="G215" t="s">
        <v>4560</v>
      </c>
      <c r="H215" t="s">
        <v>4561</v>
      </c>
      <c r="I215" t="s">
        <v>4562</v>
      </c>
      <c r="J215" t="s">
        <v>4563</v>
      </c>
      <c r="K215" t="s">
        <v>4564</v>
      </c>
      <c r="L215" t="s">
        <v>4565</v>
      </c>
      <c r="M215" t="s">
        <v>4566</v>
      </c>
      <c r="N215" t="s">
        <v>4567</v>
      </c>
      <c r="O215" t="s">
        <v>4568</v>
      </c>
      <c r="P215" t="s">
        <v>4569</v>
      </c>
      <c r="Q215" t="s">
        <v>4570</v>
      </c>
      <c r="R215" t="s">
        <v>4571</v>
      </c>
      <c r="S215" t="s">
        <v>4572</v>
      </c>
      <c r="T215" t="s">
        <v>4573</v>
      </c>
      <c r="U215" t="s">
        <v>4574</v>
      </c>
      <c r="V215" t="s">
        <v>4575</v>
      </c>
      <c r="W215" t="s">
        <v>4576</v>
      </c>
      <c r="X215" t="s">
        <v>4577</v>
      </c>
      <c r="Y215" t="s">
        <v>4578</v>
      </c>
    </row>
    <row r="216" spans="1:25" x14ac:dyDescent="0.3">
      <c r="A216">
        <v>10750</v>
      </c>
      <c r="B216" t="s">
        <v>4579</v>
      </c>
      <c r="C216" t="s">
        <v>4580</v>
      </c>
      <c r="D216" t="s">
        <v>4581</v>
      </c>
      <c r="E216" t="s">
        <v>4582</v>
      </c>
      <c r="F216" t="s">
        <v>4583</v>
      </c>
      <c r="G216" t="s">
        <v>4584</v>
      </c>
      <c r="H216" t="s">
        <v>4585</v>
      </c>
      <c r="I216" t="s">
        <v>4586</v>
      </c>
      <c r="J216" t="s">
        <v>4587</v>
      </c>
      <c r="K216" t="s">
        <v>4588</v>
      </c>
      <c r="L216" t="s">
        <v>4589</v>
      </c>
      <c r="M216" t="s">
        <v>4590</v>
      </c>
      <c r="N216" t="s">
        <v>4591</v>
      </c>
      <c r="O216" t="s">
        <v>4592</v>
      </c>
      <c r="P216" t="s">
        <v>4593</v>
      </c>
      <c r="Q216" t="s">
        <v>4594</v>
      </c>
      <c r="R216" t="s">
        <v>4595</v>
      </c>
      <c r="S216" t="s">
        <v>4596</v>
      </c>
      <c r="T216" t="s">
        <v>4597</v>
      </c>
      <c r="U216" t="s">
        <v>4598</v>
      </c>
      <c r="V216" t="s">
        <v>4599</v>
      </c>
      <c r="W216" t="s">
        <v>4600</v>
      </c>
      <c r="X216" t="s">
        <v>4601</v>
      </c>
      <c r="Y216" t="s">
        <v>4602</v>
      </c>
    </row>
    <row r="217" spans="1:25" x14ac:dyDescent="0.3">
      <c r="A217">
        <v>10800</v>
      </c>
      <c r="B217" t="s">
        <v>4603</v>
      </c>
      <c r="C217" t="s">
        <v>4604</v>
      </c>
      <c r="D217" t="s">
        <v>4605</v>
      </c>
      <c r="E217" t="s">
        <v>4606</v>
      </c>
      <c r="F217" t="s">
        <v>4607</v>
      </c>
      <c r="G217" t="s">
        <v>4608</v>
      </c>
      <c r="H217" t="s">
        <v>4609</v>
      </c>
      <c r="I217" t="s">
        <v>4610</v>
      </c>
      <c r="J217" t="s">
        <v>4611</v>
      </c>
      <c r="K217" t="s">
        <v>4612</v>
      </c>
      <c r="L217" t="s">
        <v>4613</v>
      </c>
      <c r="M217" t="s">
        <v>4614</v>
      </c>
      <c r="N217" t="s">
        <v>4615</v>
      </c>
      <c r="O217" t="s">
        <v>4616</v>
      </c>
      <c r="P217" t="s">
        <v>4617</v>
      </c>
      <c r="Q217" t="s">
        <v>4618</v>
      </c>
      <c r="R217" t="s">
        <v>4619</v>
      </c>
      <c r="S217" t="s">
        <v>4620</v>
      </c>
      <c r="T217" t="s">
        <v>4621</v>
      </c>
      <c r="U217" t="s">
        <v>4622</v>
      </c>
      <c r="V217" t="s">
        <v>4623</v>
      </c>
      <c r="W217" t="s">
        <v>4624</v>
      </c>
      <c r="X217" t="s">
        <v>4625</v>
      </c>
      <c r="Y217" t="s">
        <v>4626</v>
      </c>
    </row>
    <row r="218" spans="1:25" x14ac:dyDescent="0.3">
      <c r="A218">
        <v>10850</v>
      </c>
      <c r="B218" t="s">
        <v>4627</v>
      </c>
      <c r="C218" t="s">
        <v>4628</v>
      </c>
      <c r="D218" t="s">
        <v>4629</v>
      </c>
      <c r="E218" t="s">
        <v>4630</v>
      </c>
      <c r="F218" t="s">
        <v>4631</v>
      </c>
      <c r="G218" t="s">
        <v>4632</v>
      </c>
      <c r="H218" t="s">
        <v>4633</v>
      </c>
      <c r="I218" t="s">
        <v>4634</v>
      </c>
      <c r="J218" t="s">
        <v>4635</v>
      </c>
      <c r="K218" t="s">
        <v>4636</v>
      </c>
      <c r="L218" t="s">
        <v>4637</v>
      </c>
      <c r="M218" t="s">
        <v>4638</v>
      </c>
      <c r="N218" t="s">
        <v>4639</v>
      </c>
      <c r="O218" t="s">
        <v>4640</v>
      </c>
      <c r="P218" t="s">
        <v>4641</v>
      </c>
      <c r="Q218" t="s">
        <v>4642</v>
      </c>
      <c r="R218" t="s">
        <v>4643</v>
      </c>
      <c r="S218" t="s">
        <v>4644</v>
      </c>
      <c r="T218" t="s">
        <v>4645</v>
      </c>
      <c r="U218" t="s">
        <v>4646</v>
      </c>
      <c r="V218" t="s">
        <v>4647</v>
      </c>
      <c r="W218" t="s">
        <v>4648</v>
      </c>
      <c r="X218" t="s">
        <v>4649</v>
      </c>
      <c r="Y218" t="s">
        <v>4650</v>
      </c>
    </row>
    <row r="219" spans="1:25" x14ac:dyDescent="0.3">
      <c r="A219">
        <v>10900</v>
      </c>
      <c r="B219" t="s">
        <v>4651</v>
      </c>
      <c r="C219" t="s">
        <v>4652</v>
      </c>
      <c r="D219" t="s">
        <v>4653</v>
      </c>
      <c r="E219" t="s">
        <v>4654</v>
      </c>
      <c r="F219" t="s">
        <v>4655</v>
      </c>
      <c r="G219" t="s">
        <v>4656</v>
      </c>
      <c r="H219" t="s">
        <v>4657</v>
      </c>
      <c r="I219" t="s">
        <v>4658</v>
      </c>
      <c r="J219" t="s">
        <v>4659</v>
      </c>
      <c r="K219" t="s">
        <v>4660</v>
      </c>
      <c r="L219" t="s">
        <v>4661</v>
      </c>
      <c r="M219" t="s">
        <v>4662</v>
      </c>
      <c r="N219" t="s">
        <v>4663</v>
      </c>
      <c r="O219" t="s">
        <v>4664</v>
      </c>
      <c r="P219" t="s">
        <v>4665</v>
      </c>
      <c r="Q219" t="s">
        <v>4666</v>
      </c>
      <c r="R219" t="s">
        <v>4667</v>
      </c>
      <c r="S219" t="s">
        <v>4668</v>
      </c>
      <c r="T219" t="s">
        <v>4669</v>
      </c>
      <c r="U219" t="s">
        <v>4670</v>
      </c>
      <c r="V219" t="s">
        <v>4671</v>
      </c>
      <c r="W219" t="s">
        <v>4672</v>
      </c>
      <c r="X219" t="s">
        <v>4673</v>
      </c>
      <c r="Y219" t="s">
        <v>4674</v>
      </c>
    </row>
    <row r="220" spans="1:25" x14ac:dyDescent="0.3">
      <c r="A220">
        <v>10950</v>
      </c>
      <c r="B220" t="s">
        <v>4675</v>
      </c>
      <c r="C220" t="s">
        <v>4676</v>
      </c>
      <c r="D220" t="s">
        <v>4677</v>
      </c>
      <c r="E220" t="s">
        <v>4678</v>
      </c>
      <c r="F220" t="s">
        <v>4679</v>
      </c>
      <c r="G220" t="s">
        <v>4680</v>
      </c>
      <c r="H220" t="s">
        <v>4681</v>
      </c>
      <c r="I220" t="s">
        <v>4682</v>
      </c>
      <c r="J220" t="s">
        <v>4683</v>
      </c>
      <c r="K220" t="s">
        <v>4684</v>
      </c>
      <c r="L220" t="s">
        <v>4685</v>
      </c>
      <c r="M220" t="s">
        <v>4686</v>
      </c>
      <c r="N220" t="s">
        <v>4687</v>
      </c>
      <c r="O220" t="s">
        <v>4688</v>
      </c>
      <c r="P220" t="s">
        <v>4689</v>
      </c>
      <c r="Q220" t="s">
        <v>4690</v>
      </c>
      <c r="R220" t="s">
        <v>4691</v>
      </c>
      <c r="S220" t="s">
        <v>4692</v>
      </c>
      <c r="T220" t="s">
        <v>4693</v>
      </c>
      <c r="U220" t="s">
        <v>4694</v>
      </c>
      <c r="V220" t="s">
        <v>4695</v>
      </c>
      <c r="W220" t="s">
        <v>4696</v>
      </c>
      <c r="X220" t="s">
        <v>4697</v>
      </c>
      <c r="Y220" t="s">
        <v>4698</v>
      </c>
    </row>
    <row r="221" spans="1:25" x14ac:dyDescent="0.3">
      <c r="A221">
        <v>11000</v>
      </c>
      <c r="B221" t="s">
        <v>4699</v>
      </c>
      <c r="C221" t="s">
        <v>4700</v>
      </c>
      <c r="D221" t="s">
        <v>4701</v>
      </c>
      <c r="E221" t="s">
        <v>4702</v>
      </c>
      <c r="F221" t="s">
        <v>4703</v>
      </c>
      <c r="G221" t="s">
        <v>4704</v>
      </c>
      <c r="H221" t="s">
        <v>4705</v>
      </c>
      <c r="I221" t="s">
        <v>4706</v>
      </c>
      <c r="J221" t="s">
        <v>4707</v>
      </c>
      <c r="K221" t="s">
        <v>4708</v>
      </c>
      <c r="L221" t="s">
        <v>4709</v>
      </c>
      <c r="M221" t="s">
        <v>4710</v>
      </c>
      <c r="N221" t="s">
        <v>4711</v>
      </c>
      <c r="O221" t="s">
        <v>4712</v>
      </c>
      <c r="P221" t="s">
        <v>4713</v>
      </c>
      <c r="Q221" t="s">
        <v>4714</v>
      </c>
      <c r="R221" t="s">
        <v>4715</v>
      </c>
      <c r="S221" t="s">
        <v>4716</v>
      </c>
      <c r="T221" t="s">
        <v>4717</v>
      </c>
      <c r="U221" t="s">
        <v>4718</v>
      </c>
      <c r="V221" t="s">
        <v>4719</v>
      </c>
      <c r="W221" t="s">
        <v>4720</v>
      </c>
      <c r="X221" t="s">
        <v>4721</v>
      </c>
      <c r="Y221" t="s">
        <v>4722</v>
      </c>
    </row>
    <row r="222" spans="1:25" x14ac:dyDescent="0.3">
      <c r="A222">
        <v>11050</v>
      </c>
      <c r="B222" t="s">
        <v>4723</v>
      </c>
      <c r="C222" t="s">
        <v>4724</v>
      </c>
      <c r="D222" t="s">
        <v>4725</v>
      </c>
      <c r="E222" t="s">
        <v>4726</v>
      </c>
      <c r="F222" t="s">
        <v>4727</v>
      </c>
      <c r="G222" t="s">
        <v>4728</v>
      </c>
      <c r="H222" t="s">
        <v>4729</v>
      </c>
      <c r="I222" t="s">
        <v>4730</v>
      </c>
      <c r="J222" t="s">
        <v>4731</v>
      </c>
      <c r="K222" t="s">
        <v>4732</v>
      </c>
      <c r="L222" t="s">
        <v>4733</v>
      </c>
      <c r="M222" t="s">
        <v>4734</v>
      </c>
      <c r="N222" t="s">
        <v>4735</v>
      </c>
      <c r="O222" t="s">
        <v>4736</v>
      </c>
      <c r="P222" t="s">
        <v>4737</v>
      </c>
      <c r="Q222" t="s">
        <v>4738</v>
      </c>
      <c r="R222" t="s">
        <v>4739</v>
      </c>
      <c r="S222" t="s">
        <v>4740</v>
      </c>
      <c r="T222" t="s">
        <v>4741</v>
      </c>
      <c r="U222" t="s">
        <v>4742</v>
      </c>
      <c r="V222" t="s">
        <v>4743</v>
      </c>
      <c r="W222" t="s">
        <v>4744</v>
      </c>
      <c r="X222" t="s">
        <v>4745</v>
      </c>
      <c r="Y222" t="s">
        <v>4746</v>
      </c>
    </row>
    <row r="223" spans="1:25" x14ac:dyDescent="0.3">
      <c r="A223">
        <v>11100</v>
      </c>
      <c r="B223" t="s">
        <v>4747</v>
      </c>
      <c r="C223" t="s">
        <v>4748</v>
      </c>
      <c r="D223" t="s">
        <v>4749</v>
      </c>
      <c r="E223" t="s">
        <v>4750</v>
      </c>
      <c r="F223" t="s">
        <v>4751</v>
      </c>
      <c r="G223" t="s">
        <v>4752</v>
      </c>
      <c r="H223" t="s">
        <v>4753</v>
      </c>
      <c r="I223" t="s">
        <v>4754</v>
      </c>
      <c r="J223" t="s">
        <v>4755</v>
      </c>
      <c r="K223" t="s">
        <v>4756</v>
      </c>
      <c r="L223" t="s">
        <v>4757</v>
      </c>
      <c r="M223" t="s">
        <v>4758</v>
      </c>
      <c r="N223" t="s">
        <v>4759</v>
      </c>
      <c r="O223" t="s">
        <v>4760</v>
      </c>
      <c r="P223" t="s">
        <v>4761</v>
      </c>
      <c r="Q223" t="s">
        <v>4762</v>
      </c>
      <c r="R223" t="s">
        <v>4763</v>
      </c>
      <c r="S223" t="s">
        <v>4764</v>
      </c>
      <c r="T223" t="s">
        <v>4765</v>
      </c>
      <c r="U223" t="s">
        <v>4766</v>
      </c>
      <c r="V223" t="s">
        <v>4767</v>
      </c>
      <c r="W223" t="s">
        <v>4768</v>
      </c>
      <c r="X223" t="s">
        <v>4769</v>
      </c>
      <c r="Y223" t="s">
        <v>4770</v>
      </c>
    </row>
    <row r="224" spans="1:25" x14ac:dyDescent="0.3">
      <c r="A224">
        <v>11150</v>
      </c>
      <c r="B224" t="s">
        <v>4771</v>
      </c>
      <c r="C224" t="s">
        <v>4772</v>
      </c>
      <c r="D224" t="s">
        <v>4773</v>
      </c>
      <c r="E224" t="s">
        <v>4774</v>
      </c>
      <c r="F224" t="s">
        <v>4775</v>
      </c>
      <c r="G224" t="s">
        <v>4776</v>
      </c>
      <c r="H224" t="s">
        <v>4777</v>
      </c>
      <c r="I224" t="s">
        <v>4778</v>
      </c>
      <c r="J224" t="s">
        <v>4779</v>
      </c>
      <c r="K224" t="s">
        <v>4780</v>
      </c>
      <c r="L224" t="s">
        <v>4781</v>
      </c>
      <c r="M224" t="s">
        <v>4782</v>
      </c>
      <c r="N224" t="s">
        <v>4783</v>
      </c>
      <c r="O224" t="s">
        <v>4784</v>
      </c>
      <c r="P224" t="s">
        <v>4785</v>
      </c>
      <c r="Q224" t="s">
        <v>4786</v>
      </c>
      <c r="R224" t="s">
        <v>4787</v>
      </c>
      <c r="S224" t="s">
        <v>4788</v>
      </c>
      <c r="T224" t="s">
        <v>4789</v>
      </c>
      <c r="U224" t="s">
        <v>4790</v>
      </c>
      <c r="V224" t="s">
        <v>4791</v>
      </c>
      <c r="W224" t="s">
        <v>4792</v>
      </c>
      <c r="X224" t="s">
        <v>4793</v>
      </c>
      <c r="Y224" t="s">
        <v>4794</v>
      </c>
    </row>
    <row r="225" spans="1:25" x14ac:dyDescent="0.3">
      <c r="A225">
        <v>11200</v>
      </c>
      <c r="B225" t="s">
        <v>4795</v>
      </c>
      <c r="C225" t="s">
        <v>4796</v>
      </c>
      <c r="D225" t="s">
        <v>4797</v>
      </c>
      <c r="E225" t="s">
        <v>4798</v>
      </c>
      <c r="F225" t="s">
        <v>4799</v>
      </c>
      <c r="G225" t="s">
        <v>4800</v>
      </c>
      <c r="H225" t="s">
        <v>4801</v>
      </c>
      <c r="I225" t="s">
        <v>4802</v>
      </c>
      <c r="J225" t="s">
        <v>4803</v>
      </c>
      <c r="K225" t="s">
        <v>4804</v>
      </c>
      <c r="L225" t="s">
        <v>4805</v>
      </c>
      <c r="M225" t="s">
        <v>4806</v>
      </c>
      <c r="N225" t="s">
        <v>4807</v>
      </c>
      <c r="O225" t="s">
        <v>4808</v>
      </c>
      <c r="P225" t="s">
        <v>4809</v>
      </c>
      <c r="Q225" t="s">
        <v>4810</v>
      </c>
      <c r="R225" t="s">
        <v>4811</v>
      </c>
      <c r="S225" t="s">
        <v>4812</v>
      </c>
      <c r="T225" t="s">
        <v>4813</v>
      </c>
      <c r="U225" t="s">
        <v>4814</v>
      </c>
      <c r="V225" t="s">
        <v>4815</v>
      </c>
      <c r="W225" t="s">
        <v>4816</v>
      </c>
      <c r="X225" t="s">
        <v>4817</v>
      </c>
      <c r="Y225" t="s">
        <v>4818</v>
      </c>
    </row>
    <row r="226" spans="1:25" x14ac:dyDescent="0.3">
      <c r="A226">
        <v>11250</v>
      </c>
      <c r="B226" t="s">
        <v>4819</v>
      </c>
      <c r="C226" t="s">
        <v>4820</v>
      </c>
      <c r="D226" t="s">
        <v>4821</v>
      </c>
      <c r="E226" t="s">
        <v>4822</v>
      </c>
      <c r="F226" t="s">
        <v>4823</v>
      </c>
      <c r="G226" t="s">
        <v>4824</v>
      </c>
      <c r="H226" t="s">
        <v>4825</v>
      </c>
      <c r="I226" t="s">
        <v>4826</v>
      </c>
      <c r="J226" t="s">
        <v>4827</v>
      </c>
      <c r="K226" t="s">
        <v>4828</v>
      </c>
      <c r="L226" t="s">
        <v>4829</v>
      </c>
      <c r="M226" t="s">
        <v>4830</v>
      </c>
      <c r="N226" t="s">
        <v>4831</v>
      </c>
      <c r="O226" t="s">
        <v>4832</v>
      </c>
      <c r="P226" t="s">
        <v>4833</v>
      </c>
      <c r="Q226" t="s">
        <v>4834</v>
      </c>
      <c r="R226" t="s">
        <v>4835</v>
      </c>
      <c r="S226" t="s">
        <v>4836</v>
      </c>
      <c r="T226" t="s">
        <v>4837</v>
      </c>
      <c r="U226" t="s">
        <v>4838</v>
      </c>
      <c r="V226" t="s">
        <v>4839</v>
      </c>
      <c r="W226" t="s">
        <v>4840</v>
      </c>
      <c r="X226" t="s">
        <v>4841</v>
      </c>
      <c r="Y226" t="s">
        <v>4842</v>
      </c>
    </row>
    <row r="227" spans="1:25" x14ac:dyDescent="0.3">
      <c r="A227">
        <v>11300</v>
      </c>
      <c r="B227" t="s">
        <v>4843</v>
      </c>
      <c r="C227" t="s">
        <v>4844</v>
      </c>
      <c r="D227" t="s">
        <v>4845</v>
      </c>
      <c r="E227" t="s">
        <v>4846</v>
      </c>
      <c r="F227" t="s">
        <v>4847</v>
      </c>
      <c r="G227" t="s">
        <v>4848</v>
      </c>
      <c r="H227" t="s">
        <v>4849</v>
      </c>
      <c r="I227" t="s">
        <v>4850</v>
      </c>
      <c r="J227" t="s">
        <v>4851</v>
      </c>
      <c r="K227" t="s">
        <v>4852</v>
      </c>
      <c r="L227" t="s">
        <v>4853</v>
      </c>
      <c r="M227" t="s">
        <v>4854</v>
      </c>
      <c r="N227" t="s">
        <v>4855</v>
      </c>
      <c r="O227" t="s">
        <v>4856</v>
      </c>
      <c r="P227" t="s">
        <v>4857</v>
      </c>
      <c r="Q227" t="s">
        <v>4858</v>
      </c>
      <c r="R227" t="s">
        <v>4859</v>
      </c>
      <c r="S227" t="s">
        <v>4860</v>
      </c>
      <c r="T227" t="s">
        <v>4861</v>
      </c>
      <c r="U227" t="s">
        <v>4862</v>
      </c>
      <c r="V227" t="s">
        <v>4863</v>
      </c>
      <c r="W227" t="s">
        <v>4864</v>
      </c>
      <c r="X227" t="s">
        <v>4865</v>
      </c>
      <c r="Y227" t="s">
        <v>4866</v>
      </c>
    </row>
    <row r="228" spans="1:25" x14ac:dyDescent="0.3">
      <c r="A228">
        <v>11350</v>
      </c>
      <c r="B228" t="s">
        <v>4867</v>
      </c>
      <c r="C228" t="s">
        <v>4868</v>
      </c>
      <c r="D228" t="s">
        <v>4869</v>
      </c>
      <c r="E228" t="s">
        <v>4870</v>
      </c>
      <c r="F228" t="s">
        <v>4871</v>
      </c>
      <c r="G228" t="s">
        <v>4872</v>
      </c>
      <c r="H228" t="s">
        <v>4873</v>
      </c>
      <c r="I228" t="s">
        <v>4874</v>
      </c>
      <c r="J228" t="s">
        <v>4875</v>
      </c>
      <c r="K228" t="s">
        <v>4876</v>
      </c>
      <c r="L228" t="s">
        <v>4877</v>
      </c>
      <c r="M228" t="s">
        <v>4878</v>
      </c>
      <c r="N228" t="s">
        <v>4879</v>
      </c>
      <c r="O228" t="s">
        <v>4880</v>
      </c>
      <c r="P228" t="s">
        <v>4881</v>
      </c>
      <c r="Q228" t="s">
        <v>4882</v>
      </c>
      <c r="R228" t="s">
        <v>4883</v>
      </c>
      <c r="S228" t="s">
        <v>4884</v>
      </c>
      <c r="T228" t="s">
        <v>4885</v>
      </c>
      <c r="U228" t="s">
        <v>4886</v>
      </c>
      <c r="V228" t="s">
        <v>4887</v>
      </c>
      <c r="W228" t="s">
        <v>4888</v>
      </c>
      <c r="X228" t="s">
        <v>4889</v>
      </c>
      <c r="Y228" t="s">
        <v>4890</v>
      </c>
    </row>
    <row r="229" spans="1:25" x14ac:dyDescent="0.3">
      <c r="A229">
        <v>11400</v>
      </c>
      <c r="B229" t="s">
        <v>4891</v>
      </c>
      <c r="C229" t="s">
        <v>4892</v>
      </c>
      <c r="D229" t="s">
        <v>4893</v>
      </c>
      <c r="E229" t="s">
        <v>4894</v>
      </c>
      <c r="F229" t="s">
        <v>4895</v>
      </c>
      <c r="G229" t="s">
        <v>4896</v>
      </c>
      <c r="H229" t="s">
        <v>4897</v>
      </c>
      <c r="I229" t="s">
        <v>4898</v>
      </c>
      <c r="J229" t="s">
        <v>4899</v>
      </c>
      <c r="K229" t="s">
        <v>4900</v>
      </c>
      <c r="L229" t="s">
        <v>4901</v>
      </c>
      <c r="M229" t="s">
        <v>4902</v>
      </c>
      <c r="N229" t="s">
        <v>4903</v>
      </c>
      <c r="O229" t="s">
        <v>4904</v>
      </c>
      <c r="P229" t="s">
        <v>4905</v>
      </c>
      <c r="Q229" t="s">
        <v>4906</v>
      </c>
      <c r="R229" t="s">
        <v>4907</v>
      </c>
      <c r="S229" t="s">
        <v>4908</v>
      </c>
      <c r="T229" t="s">
        <v>4909</v>
      </c>
      <c r="U229" t="s">
        <v>4910</v>
      </c>
      <c r="V229" t="s">
        <v>4911</v>
      </c>
      <c r="W229" t="s">
        <v>4912</v>
      </c>
      <c r="X229" t="s">
        <v>4913</v>
      </c>
      <c r="Y229" t="s">
        <v>4914</v>
      </c>
    </row>
    <row r="230" spans="1:25" x14ac:dyDescent="0.3">
      <c r="A230">
        <v>11450</v>
      </c>
      <c r="B230" t="s">
        <v>4915</v>
      </c>
      <c r="C230" t="s">
        <v>4916</v>
      </c>
      <c r="D230" t="s">
        <v>4917</v>
      </c>
      <c r="E230" t="s">
        <v>4918</v>
      </c>
      <c r="F230" t="s">
        <v>4919</v>
      </c>
      <c r="G230" t="s">
        <v>4920</v>
      </c>
      <c r="H230" t="s">
        <v>4921</v>
      </c>
      <c r="I230" t="s">
        <v>4922</v>
      </c>
      <c r="J230" t="s">
        <v>4923</v>
      </c>
      <c r="K230" t="s">
        <v>4924</v>
      </c>
      <c r="L230" t="s">
        <v>4925</v>
      </c>
      <c r="M230" t="s">
        <v>4926</v>
      </c>
      <c r="N230" t="s">
        <v>4927</v>
      </c>
      <c r="O230" t="s">
        <v>4928</v>
      </c>
      <c r="P230" t="s">
        <v>4929</v>
      </c>
      <c r="Q230" t="s">
        <v>4930</v>
      </c>
      <c r="R230" t="s">
        <v>4931</v>
      </c>
      <c r="S230" t="s">
        <v>4932</v>
      </c>
      <c r="T230" t="s">
        <v>4933</v>
      </c>
      <c r="U230" t="s">
        <v>4934</v>
      </c>
      <c r="V230" t="s">
        <v>4935</v>
      </c>
      <c r="W230" t="s">
        <v>4936</v>
      </c>
      <c r="X230" t="s">
        <v>4937</v>
      </c>
      <c r="Y230" t="s">
        <v>4938</v>
      </c>
    </row>
    <row r="231" spans="1:25" x14ac:dyDescent="0.3">
      <c r="A231">
        <v>11500</v>
      </c>
      <c r="B231" t="s">
        <v>4939</v>
      </c>
      <c r="C231" t="s">
        <v>4940</v>
      </c>
      <c r="D231" t="s">
        <v>4941</v>
      </c>
      <c r="E231" t="s">
        <v>4942</v>
      </c>
      <c r="F231" t="s">
        <v>4943</v>
      </c>
      <c r="G231" t="s">
        <v>4944</v>
      </c>
      <c r="H231" t="s">
        <v>4945</v>
      </c>
      <c r="I231" t="s">
        <v>4946</v>
      </c>
      <c r="J231" t="s">
        <v>4947</v>
      </c>
      <c r="K231" t="s">
        <v>4948</v>
      </c>
      <c r="L231" t="s">
        <v>4949</v>
      </c>
      <c r="M231" t="s">
        <v>4950</v>
      </c>
      <c r="N231" t="s">
        <v>4951</v>
      </c>
      <c r="O231" t="s">
        <v>4952</v>
      </c>
      <c r="P231" t="s">
        <v>4953</v>
      </c>
      <c r="Q231" t="s">
        <v>4954</v>
      </c>
      <c r="R231" t="s">
        <v>4955</v>
      </c>
      <c r="S231" t="s">
        <v>4956</v>
      </c>
      <c r="T231" t="s">
        <v>4957</v>
      </c>
      <c r="U231" t="s">
        <v>4958</v>
      </c>
      <c r="V231" t="s">
        <v>4959</v>
      </c>
      <c r="W231" t="s">
        <v>4960</v>
      </c>
      <c r="X231" t="s">
        <v>4961</v>
      </c>
      <c r="Y231" t="s">
        <v>4962</v>
      </c>
    </row>
    <row r="232" spans="1:25" x14ac:dyDescent="0.3">
      <c r="A232">
        <v>11550</v>
      </c>
      <c r="B232" t="s">
        <v>4963</v>
      </c>
      <c r="C232" t="s">
        <v>4964</v>
      </c>
      <c r="D232" t="s">
        <v>4965</v>
      </c>
      <c r="E232" t="s">
        <v>4966</v>
      </c>
      <c r="F232" t="s">
        <v>4967</v>
      </c>
      <c r="G232" t="s">
        <v>4968</v>
      </c>
      <c r="H232" t="s">
        <v>4969</v>
      </c>
      <c r="I232" t="s">
        <v>4970</v>
      </c>
      <c r="J232" t="s">
        <v>4971</v>
      </c>
      <c r="K232" t="s">
        <v>4972</v>
      </c>
      <c r="L232" t="s">
        <v>4973</v>
      </c>
      <c r="M232" t="s">
        <v>4974</v>
      </c>
      <c r="N232" t="s">
        <v>4975</v>
      </c>
      <c r="O232" t="s">
        <v>4976</v>
      </c>
      <c r="P232" t="s">
        <v>4977</v>
      </c>
      <c r="Q232" t="s">
        <v>4978</v>
      </c>
      <c r="R232" t="s">
        <v>4979</v>
      </c>
      <c r="S232" t="s">
        <v>4980</v>
      </c>
      <c r="T232" t="s">
        <v>4981</v>
      </c>
      <c r="U232" t="s">
        <v>4982</v>
      </c>
      <c r="V232" t="s">
        <v>4983</v>
      </c>
      <c r="W232" t="s">
        <v>4984</v>
      </c>
      <c r="X232" t="s">
        <v>4985</v>
      </c>
      <c r="Y232" t="s">
        <v>4986</v>
      </c>
    </row>
    <row r="233" spans="1:25" x14ac:dyDescent="0.3">
      <c r="A233">
        <v>11600</v>
      </c>
      <c r="B233" t="s">
        <v>4987</v>
      </c>
      <c r="C233" t="s">
        <v>4988</v>
      </c>
      <c r="D233" t="s">
        <v>4989</v>
      </c>
      <c r="E233" t="s">
        <v>4990</v>
      </c>
      <c r="F233" t="s">
        <v>4991</v>
      </c>
      <c r="G233" t="s">
        <v>4992</v>
      </c>
      <c r="H233" t="s">
        <v>4993</v>
      </c>
      <c r="I233" t="s">
        <v>4994</v>
      </c>
      <c r="J233" t="s">
        <v>4995</v>
      </c>
      <c r="K233" t="s">
        <v>4996</v>
      </c>
      <c r="L233" t="s">
        <v>4997</v>
      </c>
      <c r="M233" t="s">
        <v>4998</v>
      </c>
      <c r="N233" t="s">
        <v>4999</v>
      </c>
      <c r="O233" t="s">
        <v>5000</v>
      </c>
      <c r="P233" t="s">
        <v>5001</v>
      </c>
      <c r="Q233" t="s">
        <v>5002</v>
      </c>
      <c r="R233" t="s">
        <v>5003</v>
      </c>
      <c r="S233" t="s">
        <v>5004</v>
      </c>
      <c r="T233" t="s">
        <v>5005</v>
      </c>
      <c r="U233" t="s">
        <v>5006</v>
      </c>
      <c r="V233" t="s">
        <v>5007</v>
      </c>
      <c r="W233" t="s">
        <v>5008</v>
      </c>
      <c r="X233" t="s">
        <v>5009</v>
      </c>
      <c r="Y233" t="s">
        <v>5010</v>
      </c>
    </row>
    <row r="234" spans="1:25" x14ac:dyDescent="0.3">
      <c r="A234">
        <v>11650</v>
      </c>
      <c r="B234" t="s">
        <v>5011</v>
      </c>
      <c r="C234" t="s">
        <v>5012</v>
      </c>
      <c r="D234" t="s">
        <v>5013</v>
      </c>
      <c r="E234" t="s">
        <v>5014</v>
      </c>
      <c r="F234" t="s">
        <v>5015</v>
      </c>
      <c r="G234" t="s">
        <v>5016</v>
      </c>
      <c r="H234" t="s">
        <v>5017</v>
      </c>
      <c r="I234" t="s">
        <v>5018</v>
      </c>
      <c r="J234" t="s">
        <v>5019</v>
      </c>
      <c r="K234" t="s">
        <v>5020</v>
      </c>
      <c r="L234" t="s">
        <v>5021</v>
      </c>
      <c r="M234" t="s">
        <v>5022</v>
      </c>
      <c r="N234" t="s">
        <v>5023</v>
      </c>
      <c r="O234" t="s">
        <v>5024</v>
      </c>
      <c r="P234" t="s">
        <v>5025</v>
      </c>
      <c r="Q234" t="s">
        <v>5026</v>
      </c>
      <c r="R234" t="s">
        <v>5027</v>
      </c>
      <c r="S234" t="s">
        <v>5028</v>
      </c>
      <c r="T234" t="s">
        <v>5029</v>
      </c>
      <c r="U234" t="s">
        <v>5030</v>
      </c>
      <c r="V234" t="s">
        <v>5031</v>
      </c>
      <c r="W234" t="s">
        <v>5032</v>
      </c>
      <c r="X234" t="s">
        <v>5033</v>
      </c>
      <c r="Y234" t="s">
        <v>5034</v>
      </c>
    </row>
    <row r="235" spans="1:25" x14ac:dyDescent="0.3">
      <c r="A235">
        <v>11700</v>
      </c>
      <c r="B235" t="s">
        <v>5035</v>
      </c>
      <c r="C235" t="s">
        <v>5036</v>
      </c>
      <c r="D235" t="s">
        <v>5037</v>
      </c>
      <c r="E235" t="s">
        <v>5038</v>
      </c>
      <c r="F235" t="s">
        <v>5039</v>
      </c>
      <c r="G235" t="s">
        <v>5040</v>
      </c>
      <c r="H235" t="s">
        <v>5041</v>
      </c>
      <c r="I235" t="s">
        <v>5042</v>
      </c>
      <c r="J235" t="s">
        <v>5043</v>
      </c>
      <c r="K235" t="s">
        <v>5044</v>
      </c>
      <c r="L235" t="s">
        <v>5045</v>
      </c>
      <c r="M235" t="s">
        <v>5046</v>
      </c>
      <c r="N235" t="s">
        <v>5047</v>
      </c>
      <c r="O235" t="s">
        <v>5048</v>
      </c>
      <c r="P235" t="s">
        <v>5049</v>
      </c>
      <c r="Q235" t="s">
        <v>5050</v>
      </c>
      <c r="R235" t="s">
        <v>5051</v>
      </c>
      <c r="S235" t="s">
        <v>5052</v>
      </c>
      <c r="T235" t="s">
        <v>5053</v>
      </c>
      <c r="U235" t="s">
        <v>5054</v>
      </c>
      <c r="V235" t="s">
        <v>5055</v>
      </c>
      <c r="W235" t="s">
        <v>5056</v>
      </c>
      <c r="X235" t="s">
        <v>5057</v>
      </c>
      <c r="Y235" t="s">
        <v>5058</v>
      </c>
    </row>
    <row r="236" spans="1:25" x14ac:dyDescent="0.3">
      <c r="A236">
        <v>11750</v>
      </c>
      <c r="B236" t="s">
        <v>5059</v>
      </c>
      <c r="C236" t="s">
        <v>5060</v>
      </c>
      <c r="D236" t="s">
        <v>5061</v>
      </c>
      <c r="E236" t="s">
        <v>5062</v>
      </c>
      <c r="F236" t="s">
        <v>5063</v>
      </c>
      <c r="G236" t="s">
        <v>5064</v>
      </c>
      <c r="H236" t="s">
        <v>5065</v>
      </c>
      <c r="I236" t="s">
        <v>5066</v>
      </c>
      <c r="J236" t="s">
        <v>5067</v>
      </c>
      <c r="K236" t="s">
        <v>5068</v>
      </c>
      <c r="L236" t="s">
        <v>5069</v>
      </c>
      <c r="M236" t="s">
        <v>5070</v>
      </c>
      <c r="N236" t="s">
        <v>5071</v>
      </c>
      <c r="O236" t="s">
        <v>5072</v>
      </c>
      <c r="P236" t="s">
        <v>5073</v>
      </c>
      <c r="Q236" t="s">
        <v>5074</v>
      </c>
      <c r="R236" t="s">
        <v>5075</v>
      </c>
      <c r="S236" t="s">
        <v>5076</v>
      </c>
      <c r="T236" t="s">
        <v>5077</v>
      </c>
      <c r="U236" t="s">
        <v>5078</v>
      </c>
      <c r="V236" t="s">
        <v>5079</v>
      </c>
      <c r="W236" t="s">
        <v>5080</v>
      </c>
      <c r="X236" t="s">
        <v>5081</v>
      </c>
      <c r="Y236" t="s">
        <v>5082</v>
      </c>
    </row>
    <row r="237" spans="1:25" x14ac:dyDescent="0.3">
      <c r="A237">
        <v>11800</v>
      </c>
      <c r="B237" t="s">
        <v>5083</v>
      </c>
      <c r="C237" t="s">
        <v>5084</v>
      </c>
      <c r="D237" t="s">
        <v>5085</v>
      </c>
      <c r="E237" t="s">
        <v>5086</v>
      </c>
      <c r="F237" t="s">
        <v>5087</v>
      </c>
      <c r="G237" t="s">
        <v>5088</v>
      </c>
      <c r="H237" t="s">
        <v>5089</v>
      </c>
      <c r="I237" t="s">
        <v>5090</v>
      </c>
      <c r="J237" t="s">
        <v>5091</v>
      </c>
      <c r="K237" t="s">
        <v>5092</v>
      </c>
      <c r="L237" t="s">
        <v>5093</v>
      </c>
      <c r="M237" t="s">
        <v>5094</v>
      </c>
      <c r="N237" t="s">
        <v>5095</v>
      </c>
      <c r="O237" t="s">
        <v>5096</v>
      </c>
      <c r="P237" t="s">
        <v>5097</v>
      </c>
      <c r="Q237" t="s">
        <v>5098</v>
      </c>
      <c r="R237" t="s">
        <v>5099</v>
      </c>
      <c r="S237" t="s">
        <v>5100</v>
      </c>
      <c r="T237" t="s">
        <v>5101</v>
      </c>
      <c r="U237" t="s">
        <v>5102</v>
      </c>
      <c r="V237" t="s">
        <v>5103</v>
      </c>
      <c r="W237" t="s">
        <v>5104</v>
      </c>
      <c r="X237" t="s">
        <v>5105</v>
      </c>
      <c r="Y237" t="s">
        <v>5106</v>
      </c>
    </row>
    <row r="238" spans="1:25" x14ac:dyDescent="0.3">
      <c r="A238">
        <v>11850</v>
      </c>
      <c r="B238" t="s">
        <v>5107</v>
      </c>
      <c r="C238" t="s">
        <v>5108</v>
      </c>
      <c r="D238" t="s">
        <v>5109</v>
      </c>
      <c r="E238" t="s">
        <v>5110</v>
      </c>
      <c r="F238" t="s">
        <v>5111</v>
      </c>
      <c r="G238" t="s">
        <v>5112</v>
      </c>
      <c r="H238" t="s">
        <v>5113</v>
      </c>
      <c r="I238" t="s">
        <v>5114</v>
      </c>
      <c r="J238" t="s">
        <v>5115</v>
      </c>
      <c r="K238" t="s">
        <v>5116</v>
      </c>
      <c r="L238" t="s">
        <v>5117</v>
      </c>
      <c r="M238" t="s">
        <v>5118</v>
      </c>
      <c r="N238" t="s">
        <v>5119</v>
      </c>
      <c r="O238" t="s">
        <v>5120</v>
      </c>
      <c r="P238" t="s">
        <v>5121</v>
      </c>
      <c r="Q238" t="s">
        <v>5122</v>
      </c>
      <c r="R238" t="s">
        <v>5123</v>
      </c>
      <c r="S238" t="s">
        <v>5124</v>
      </c>
      <c r="T238" t="s">
        <v>5125</v>
      </c>
      <c r="U238" t="s">
        <v>5126</v>
      </c>
      <c r="V238" t="s">
        <v>5127</v>
      </c>
      <c r="W238" t="s">
        <v>5128</v>
      </c>
      <c r="X238" t="s">
        <v>5129</v>
      </c>
      <c r="Y238" t="s">
        <v>5130</v>
      </c>
    </row>
    <row r="239" spans="1:25" x14ac:dyDescent="0.3">
      <c r="A239">
        <v>11900</v>
      </c>
      <c r="B239" t="s">
        <v>5131</v>
      </c>
      <c r="C239" t="s">
        <v>5132</v>
      </c>
      <c r="D239" t="s">
        <v>5133</v>
      </c>
      <c r="E239" t="s">
        <v>5134</v>
      </c>
      <c r="F239" t="s">
        <v>5135</v>
      </c>
      <c r="G239" t="s">
        <v>5136</v>
      </c>
      <c r="H239" t="s">
        <v>5137</v>
      </c>
      <c r="I239" t="s">
        <v>5138</v>
      </c>
      <c r="J239" t="s">
        <v>5139</v>
      </c>
      <c r="K239" t="s">
        <v>5140</v>
      </c>
      <c r="L239" t="s">
        <v>5141</v>
      </c>
      <c r="M239" t="s">
        <v>5142</v>
      </c>
      <c r="N239" t="s">
        <v>5143</v>
      </c>
      <c r="O239" t="s">
        <v>5144</v>
      </c>
      <c r="P239" t="s">
        <v>5145</v>
      </c>
      <c r="Q239" t="s">
        <v>5146</v>
      </c>
      <c r="R239" t="s">
        <v>5147</v>
      </c>
      <c r="S239" t="s">
        <v>5148</v>
      </c>
      <c r="T239" t="s">
        <v>5149</v>
      </c>
      <c r="U239" t="s">
        <v>5150</v>
      </c>
      <c r="V239" t="s">
        <v>5151</v>
      </c>
      <c r="W239" t="s">
        <v>5152</v>
      </c>
      <c r="X239" t="s">
        <v>5153</v>
      </c>
      <c r="Y239" t="s">
        <v>5154</v>
      </c>
    </row>
    <row r="240" spans="1:25" x14ac:dyDescent="0.3">
      <c r="A240">
        <v>11950</v>
      </c>
      <c r="B240" t="s">
        <v>5155</v>
      </c>
      <c r="C240" t="s">
        <v>5156</v>
      </c>
      <c r="D240" t="s">
        <v>5157</v>
      </c>
      <c r="E240" t="s">
        <v>5158</v>
      </c>
      <c r="F240" t="s">
        <v>5159</v>
      </c>
      <c r="G240" t="s">
        <v>5160</v>
      </c>
      <c r="H240" t="s">
        <v>5161</v>
      </c>
      <c r="I240" t="s">
        <v>5162</v>
      </c>
      <c r="J240" t="s">
        <v>5163</v>
      </c>
      <c r="K240" t="s">
        <v>5164</v>
      </c>
      <c r="L240" t="s">
        <v>5165</v>
      </c>
      <c r="M240" t="s">
        <v>5166</v>
      </c>
      <c r="N240" t="s">
        <v>5167</v>
      </c>
      <c r="O240" t="s">
        <v>5168</v>
      </c>
      <c r="P240" t="s">
        <v>5169</v>
      </c>
      <c r="Q240" t="s">
        <v>5170</v>
      </c>
      <c r="R240" t="s">
        <v>5171</v>
      </c>
      <c r="S240" t="s">
        <v>5172</v>
      </c>
      <c r="T240" t="s">
        <v>5173</v>
      </c>
      <c r="U240" t="s">
        <v>5174</v>
      </c>
      <c r="V240" t="s">
        <v>5175</v>
      </c>
      <c r="W240" t="s">
        <v>5176</v>
      </c>
      <c r="X240" t="s">
        <v>5177</v>
      </c>
      <c r="Y240" t="s">
        <v>5178</v>
      </c>
    </row>
    <row r="241" spans="1:25" x14ac:dyDescent="0.3">
      <c r="A241">
        <v>12000</v>
      </c>
      <c r="B241" t="s">
        <v>5179</v>
      </c>
      <c r="C241" t="s">
        <v>5180</v>
      </c>
      <c r="D241" t="s">
        <v>5181</v>
      </c>
      <c r="E241" t="s">
        <v>5182</v>
      </c>
      <c r="F241" t="s">
        <v>5183</v>
      </c>
      <c r="G241" t="s">
        <v>5184</v>
      </c>
      <c r="H241" t="s">
        <v>5185</v>
      </c>
      <c r="I241" t="s">
        <v>5186</v>
      </c>
      <c r="J241" t="s">
        <v>5187</v>
      </c>
      <c r="K241" t="s">
        <v>5188</v>
      </c>
      <c r="L241" t="s">
        <v>5189</v>
      </c>
      <c r="M241" t="s">
        <v>5190</v>
      </c>
      <c r="N241" t="s">
        <v>5191</v>
      </c>
      <c r="O241" t="s">
        <v>5192</v>
      </c>
      <c r="P241" t="s">
        <v>5193</v>
      </c>
      <c r="Q241" t="s">
        <v>5194</v>
      </c>
      <c r="R241" t="s">
        <v>5195</v>
      </c>
      <c r="S241" t="s">
        <v>5196</v>
      </c>
      <c r="T241" t="s">
        <v>5197</v>
      </c>
      <c r="U241" t="s">
        <v>5198</v>
      </c>
      <c r="V241" t="s">
        <v>5199</v>
      </c>
      <c r="W241" t="s">
        <v>5200</v>
      </c>
      <c r="X241" t="s">
        <v>5201</v>
      </c>
      <c r="Y241" t="s">
        <v>5202</v>
      </c>
    </row>
    <row r="242" spans="1:25" x14ac:dyDescent="0.3">
      <c r="A242">
        <v>12050</v>
      </c>
      <c r="B242" t="s">
        <v>5203</v>
      </c>
      <c r="C242" t="s">
        <v>5204</v>
      </c>
      <c r="D242" t="s">
        <v>5205</v>
      </c>
      <c r="E242" t="s">
        <v>5206</v>
      </c>
      <c r="F242" t="s">
        <v>5207</v>
      </c>
      <c r="G242" t="s">
        <v>5208</v>
      </c>
      <c r="H242" t="s">
        <v>5209</v>
      </c>
      <c r="I242" t="s">
        <v>5210</v>
      </c>
      <c r="J242" t="s">
        <v>5211</v>
      </c>
      <c r="K242" t="s">
        <v>5212</v>
      </c>
      <c r="L242" t="s">
        <v>5213</v>
      </c>
      <c r="M242" t="s">
        <v>5214</v>
      </c>
      <c r="N242" t="s">
        <v>5215</v>
      </c>
      <c r="O242" t="s">
        <v>5216</v>
      </c>
      <c r="P242" t="s">
        <v>5217</v>
      </c>
      <c r="Q242" t="s">
        <v>5218</v>
      </c>
      <c r="R242" t="s">
        <v>5219</v>
      </c>
      <c r="S242" t="s">
        <v>5220</v>
      </c>
      <c r="T242" t="s">
        <v>5221</v>
      </c>
      <c r="U242" t="s">
        <v>5222</v>
      </c>
      <c r="V242" t="s">
        <v>5223</v>
      </c>
      <c r="W242" t="s">
        <v>5224</v>
      </c>
      <c r="X242" t="s">
        <v>5225</v>
      </c>
      <c r="Y242" t="s">
        <v>5226</v>
      </c>
    </row>
    <row r="243" spans="1:25" x14ac:dyDescent="0.3">
      <c r="A243">
        <v>12100</v>
      </c>
      <c r="B243" t="s">
        <v>5227</v>
      </c>
      <c r="C243" t="s">
        <v>5228</v>
      </c>
      <c r="D243" t="s">
        <v>5229</v>
      </c>
      <c r="E243" t="s">
        <v>5230</v>
      </c>
      <c r="F243" t="s">
        <v>5231</v>
      </c>
      <c r="G243" t="s">
        <v>5232</v>
      </c>
      <c r="H243" t="s">
        <v>5233</v>
      </c>
      <c r="I243" t="s">
        <v>5234</v>
      </c>
      <c r="J243" t="s">
        <v>5235</v>
      </c>
      <c r="K243" t="s">
        <v>5236</v>
      </c>
      <c r="L243" t="s">
        <v>5237</v>
      </c>
      <c r="M243" t="s">
        <v>5238</v>
      </c>
      <c r="N243" t="s">
        <v>5239</v>
      </c>
      <c r="O243" t="s">
        <v>5240</v>
      </c>
      <c r="P243" t="s">
        <v>5241</v>
      </c>
      <c r="Q243" t="s">
        <v>5242</v>
      </c>
      <c r="R243" t="s">
        <v>5243</v>
      </c>
      <c r="S243" t="s">
        <v>5244</v>
      </c>
      <c r="T243" t="s">
        <v>5245</v>
      </c>
      <c r="U243" t="s">
        <v>5246</v>
      </c>
      <c r="V243" t="s">
        <v>5247</v>
      </c>
      <c r="W243" t="s">
        <v>5248</v>
      </c>
      <c r="X243" t="s">
        <v>5249</v>
      </c>
      <c r="Y243" t="s">
        <v>5250</v>
      </c>
    </row>
    <row r="244" spans="1:25" x14ac:dyDescent="0.3">
      <c r="A244">
        <v>12150</v>
      </c>
      <c r="B244" t="s">
        <v>5251</v>
      </c>
      <c r="C244" t="s">
        <v>5252</v>
      </c>
      <c r="D244" t="s">
        <v>5253</v>
      </c>
      <c r="E244" t="s">
        <v>5254</v>
      </c>
      <c r="F244" t="s">
        <v>5255</v>
      </c>
      <c r="G244" t="s">
        <v>5256</v>
      </c>
      <c r="H244" t="s">
        <v>5257</v>
      </c>
      <c r="I244" t="s">
        <v>5258</v>
      </c>
      <c r="J244" t="s">
        <v>5259</v>
      </c>
      <c r="K244" t="s">
        <v>5260</v>
      </c>
      <c r="L244" t="s">
        <v>5261</v>
      </c>
      <c r="M244" t="s">
        <v>5262</v>
      </c>
      <c r="N244" t="s">
        <v>5263</v>
      </c>
      <c r="O244" t="s">
        <v>5264</v>
      </c>
      <c r="P244" t="s">
        <v>5265</v>
      </c>
      <c r="Q244" t="s">
        <v>5266</v>
      </c>
      <c r="R244" t="s">
        <v>5267</v>
      </c>
      <c r="S244" t="s">
        <v>5268</v>
      </c>
      <c r="T244" t="s">
        <v>5269</v>
      </c>
      <c r="U244" t="s">
        <v>5270</v>
      </c>
      <c r="V244" t="s">
        <v>5271</v>
      </c>
      <c r="W244" t="s">
        <v>5272</v>
      </c>
      <c r="X244" t="s">
        <v>5273</v>
      </c>
      <c r="Y244" t="s">
        <v>5274</v>
      </c>
    </row>
    <row r="245" spans="1:25" x14ac:dyDescent="0.3">
      <c r="A245">
        <v>12200</v>
      </c>
      <c r="B245" t="s">
        <v>5275</v>
      </c>
      <c r="C245" t="s">
        <v>5276</v>
      </c>
      <c r="D245" t="s">
        <v>5277</v>
      </c>
      <c r="E245" t="s">
        <v>5278</v>
      </c>
      <c r="F245" t="s">
        <v>5279</v>
      </c>
      <c r="G245" t="s">
        <v>5280</v>
      </c>
      <c r="H245" t="s">
        <v>5281</v>
      </c>
      <c r="I245" t="s">
        <v>5282</v>
      </c>
      <c r="J245" t="s">
        <v>5283</v>
      </c>
      <c r="K245" t="s">
        <v>5284</v>
      </c>
      <c r="L245" t="s">
        <v>5285</v>
      </c>
      <c r="M245" t="s">
        <v>5286</v>
      </c>
      <c r="N245" t="s">
        <v>5287</v>
      </c>
      <c r="O245" t="s">
        <v>5288</v>
      </c>
      <c r="P245" t="s">
        <v>5289</v>
      </c>
      <c r="Q245" t="s">
        <v>5290</v>
      </c>
      <c r="R245" t="s">
        <v>5291</v>
      </c>
      <c r="S245" t="s">
        <v>5292</v>
      </c>
      <c r="T245" t="s">
        <v>5293</v>
      </c>
      <c r="U245" t="s">
        <v>5294</v>
      </c>
      <c r="V245" t="s">
        <v>5295</v>
      </c>
      <c r="W245" t="s">
        <v>5296</v>
      </c>
      <c r="X245" t="s">
        <v>5297</v>
      </c>
      <c r="Y245" t="s">
        <v>5298</v>
      </c>
    </row>
    <row r="246" spans="1:25" x14ac:dyDescent="0.3">
      <c r="A246">
        <v>12250</v>
      </c>
      <c r="B246" t="s">
        <v>5299</v>
      </c>
      <c r="C246" t="s">
        <v>5300</v>
      </c>
      <c r="D246" t="s">
        <v>5301</v>
      </c>
      <c r="E246" t="s">
        <v>5302</v>
      </c>
      <c r="F246" t="s">
        <v>5303</v>
      </c>
      <c r="G246" t="s">
        <v>5304</v>
      </c>
      <c r="H246" t="s">
        <v>5305</v>
      </c>
      <c r="I246" t="s">
        <v>5306</v>
      </c>
      <c r="J246" t="s">
        <v>5307</v>
      </c>
      <c r="K246" t="s">
        <v>5308</v>
      </c>
      <c r="L246" t="s">
        <v>5309</v>
      </c>
      <c r="M246" t="s">
        <v>5310</v>
      </c>
      <c r="N246" t="s">
        <v>5311</v>
      </c>
      <c r="O246" t="s">
        <v>5312</v>
      </c>
      <c r="P246" t="s">
        <v>5313</v>
      </c>
      <c r="Q246" t="s">
        <v>5314</v>
      </c>
      <c r="R246" t="s">
        <v>5315</v>
      </c>
      <c r="S246" t="s">
        <v>5316</v>
      </c>
      <c r="T246" t="s">
        <v>5317</v>
      </c>
      <c r="U246" t="s">
        <v>5318</v>
      </c>
      <c r="V246" t="s">
        <v>5319</v>
      </c>
      <c r="W246" t="s">
        <v>5320</v>
      </c>
      <c r="X246" t="s">
        <v>5321</v>
      </c>
      <c r="Y246" t="s">
        <v>5322</v>
      </c>
    </row>
    <row r="247" spans="1:25" x14ac:dyDescent="0.3">
      <c r="A247">
        <v>12300</v>
      </c>
      <c r="B247" t="s">
        <v>5323</v>
      </c>
      <c r="C247" t="s">
        <v>5324</v>
      </c>
      <c r="D247" t="s">
        <v>5325</v>
      </c>
      <c r="E247" t="s">
        <v>5326</v>
      </c>
      <c r="F247" t="s">
        <v>5327</v>
      </c>
      <c r="G247" t="s">
        <v>5328</v>
      </c>
      <c r="H247" t="s">
        <v>5329</v>
      </c>
      <c r="I247" t="s">
        <v>5330</v>
      </c>
      <c r="J247" t="s">
        <v>5331</v>
      </c>
      <c r="K247" t="s">
        <v>5332</v>
      </c>
      <c r="L247" t="s">
        <v>5333</v>
      </c>
      <c r="M247" t="s">
        <v>5334</v>
      </c>
      <c r="N247" t="s">
        <v>5335</v>
      </c>
      <c r="O247" t="s">
        <v>5336</v>
      </c>
      <c r="P247" t="s">
        <v>5337</v>
      </c>
      <c r="Q247" t="s">
        <v>5338</v>
      </c>
      <c r="R247" t="s">
        <v>5339</v>
      </c>
      <c r="S247" t="s">
        <v>5340</v>
      </c>
      <c r="T247" t="s">
        <v>5341</v>
      </c>
      <c r="U247" t="s">
        <v>5342</v>
      </c>
      <c r="V247" t="s">
        <v>5343</v>
      </c>
      <c r="W247" t="s">
        <v>5344</v>
      </c>
      <c r="X247" t="s">
        <v>5345</v>
      </c>
      <c r="Y247" t="s">
        <v>5346</v>
      </c>
    </row>
    <row r="248" spans="1:25" x14ac:dyDescent="0.3">
      <c r="A248">
        <v>12350</v>
      </c>
      <c r="B248" t="s">
        <v>5347</v>
      </c>
      <c r="C248" t="s">
        <v>5348</v>
      </c>
      <c r="D248" t="s">
        <v>5349</v>
      </c>
      <c r="E248" t="s">
        <v>5350</v>
      </c>
      <c r="F248" t="s">
        <v>5351</v>
      </c>
      <c r="G248" t="s">
        <v>5352</v>
      </c>
      <c r="H248" t="s">
        <v>5353</v>
      </c>
      <c r="I248" t="s">
        <v>5354</v>
      </c>
      <c r="J248" t="s">
        <v>5355</v>
      </c>
      <c r="K248" t="s">
        <v>5356</v>
      </c>
      <c r="L248" t="s">
        <v>5357</v>
      </c>
      <c r="M248" t="s">
        <v>5358</v>
      </c>
      <c r="N248" t="s">
        <v>5359</v>
      </c>
      <c r="O248" t="s">
        <v>5360</v>
      </c>
      <c r="P248" t="s">
        <v>5361</v>
      </c>
      <c r="Q248" t="s">
        <v>5362</v>
      </c>
      <c r="R248" t="s">
        <v>5363</v>
      </c>
      <c r="S248" t="s">
        <v>5364</v>
      </c>
      <c r="T248" t="s">
        <v>5365</v>
      </c>
      <c r="U248" t="s">
        <v>5366</v>
      </c>
      <c r="V248" t="s">
        <v>5367</v>
      </c>
      <c r="W248" t="s">
        <v>5368</v>
      </c>
      <c r="X248" t="s">
        <v>5369</v>
      </c>
      <c r="Y248" t="s">
        <v>5370</v>
      </c>
    </row>
    <row r="249" spans="1:25" x14ac:dyDescent="0.3">
      <c r="A249">
        <v>12400</v>
      </c>
      <c r="B249" t="s">
        <v>5371</v>
      </c>
      <c r="C249" t="s">
        <v>5372</v>
      </c>
      <c r="D249" t="s">
        <v>5373</v>
      </c>
      <c r="E249" t="s">
        <v>5374</v>
      </c>
      <c r="F249" t="s">
        <v>5375</v>
      </c>
      <c r="G249" t="s">
        <v>5376</v>
      </c>
      <c r="H249" t="s">
        <v>5377</v>
      </c>
      <c r="I249" t="s">
        <v>5378</v>
      </c>
      <c r="J249" t="s">
        <v>5379</v>
      </c>
      <c r="K249" t="s">
        <v>5380</v>
      </c>
      <c r="L249" t="s">
        <v>5381</v>
      </c>
      <c r="M249" t="s">
        <v>5382</v>
      </c>
      <c r="N249" t="s">
        <v>5383</v>
      </c>
      <c r="O249" t="s">
        <v>5384</v>
      </c>
      <c r="P249" t="s">
        <v>5385</v>
      </c>
      <c r="Q249" t="s">
        <v>5386</v>
      </c>
      <c r="R249" t="s">
        <v>5387</v>
      </c>
      <c r="S249" t="s">
        <v>5388</v>
      </c>
      <c r="T249" t="s">
        <v>5389</v>
      </c>
      <c r="U249" t="s">
        <v>5390</v>
      </c>
      <c r="V249" t="s">
        <v>5391</v>
      </c>
      <c r="W249" t="s">
        <v>5392</v>
      </c>
      <c r="X249" t="s">
        <v>5393</v>
      </c>
      <c r="Y249" t="s">
        <v>5394</v>
      </c>
    </row>
    <row r="250" spans="1:25" x14ac:dyDescent="0.3">
      <c r="A250">
        <v>12450</v>
      </c>
      <c r="B250" t="s">
        <v>5395</v>
      </c>
      <c r="C250" t="s">
        <v>5396</v>
      </c>
      <c r="D250" t="s">
        <v>5397</v>
      </c>
      <c r="E250" t="s">
        <v>5398</v>
      </c>
      <c r="F250" t="s">
        <v>5399</v>
      </c>
      <c r="G250" t="s">
        <v>5400</v>
      </c>
      <c r="H250" t="s">
        <v>5401</v>
      </c>
      <c r="I250" t="s">
        <v>5402</v>
      </c>
      <c r="J250" t="s">
        <v>5403</v>
      </c>
      <c r="K250" t="s">
        <v>5404</v>
      </c>
      <c r="L250" t="s">
        <v>5405</v>
      </c>
      <c r="M250" t="s">
        <v>5406</v>
      </c>
      <c r="N250" t="s">
        <v>5407</v>
      </c>
      <c r="O250" t="s">
        <v>5408</v>
      </c>
      <c r="P250" t="s">
        <v>5409</v>
      </c>
      <c r="Q250" t="s">
        <v>5410</v>
      </c>
      <c r="R250" t="s">
        <v>5411</v>
      </c>
      <c r="S250" t="s">
        <v>5412</v>
      </c>
      <c r="T250" t="s">
        <v>5413</v>
      </c>
      <c r="U250" t="s">
        <v>5414</v>
      </c>
      <c r="V250" t="s">
        <v>5415</v>
      </c>
      <c r="W250" t="s">
        <v>5416</v>
      </c>
      <c r="X250" t="s">
        <v>5417</v>
      </c>
      <c r="Y250" t="s">
        <v>5418</v>
      </c>
    </row>
    <row r="251" spans="1:25" x14ac:dyDescent="0.3">
      <c r="A251">
        <v>12500</v>
      </c>
      <c r="B251" t="s">
        <v>5419</v>
      </c>
      <c r="C251" t="s">
        <v>5420</v>
      </c>
      <c r="D251" t="s">
        <v>5421</v>
      </c>
      <c r="E251" t="s">
        <v>5422</v>
      </c>
      <c r="F251" t="s">
        <v>5423</v>
      </c>
      <c r="G251" t="s">
        <v>5424</v>
      </c>
      <c r="H251" t="s">
        <v>5425</v>
      </c>
      <c r="I251" t="s">
        <v>5426</v>
      </c>
      <c r="J251" t="s">
        <v>5427</v>
      </c>
      <c r="K251" t="s">
        <v>5428</v>
      </c>
      <c r="L251" t="s">
        <v>5429</v>
      </c>
      <c r="M251" t="s">
        <v>5430</v>
      </c>
      <c r="N251" t="s">
        <v>5431</v>
      </c>
      <c r="O251" t="s">
        <v>5432</v>
      </c>
      <c r="P251" t="s">
        <v>5433</v>
      </c>
      <c r="Q251" t="s">
        <v>5434</v>
      </c>
      <c r="R251" t="s">
        <v>5435</v>
      </c>
      <c r="S251" t="s">
        <v>5436</v>
      </c>
      <c r="T251" t="s">
        <v>5437</v>
      </c>
      <c r="U251" t="s">
        <v>5438</v>
      </c>
      <c r="V251" t="s">
        <v>5439</v>
      </c>
      <c r="W251" t="s">
        <v>5440</v>
      </c>
      <c r="X251" t="s">
        <v>5441</v>
      </c>
      <c r="Y251" t="s">
        <v>5442</v>
      </c>
    </row>
    <row r="252" spans="1:25" x14ac:dyDescent="0.3">
      <c r="A252">
        <v>12550</v>
      </c>
      <c r="B252" t="s">
        <v>5443</v>
      </c>
      <c r="C252" t="s">
        <v>5444</v>
      </c>
      <c r="D252" t="s">
        <v>5445</v>
      </c>
      <c r="E252" t="s">
        <v>5446</v>
      </c>
      <c r="F252" t="s">
        <v>5447</v>
      </c>
      <c r="G252" t="s">
        <v>5448</v>
      </c>
      <c r="H252" t="s">
        <v>5449</v>
      </c>
      <c r="I252" t="s">
        <v>5450</v>
      </c>
      <c r="J252" t="s">
        <v>5451</v>
      </c>
      <c r="K252" t="s">
        <v>5452</v>
      </c>
      <c r="L252" t="s">
        <v>5453</v>
      </c>
      <c r="M252" t="s">
        <v>5454</v>
      </c>
      <c r="N252" t="s">
        <v>5455</v>
      </c>
      <c r="O252" t="s">
        <v>5456</v>
      </c>
      <c r="P252" t="s">
        <v>5457</v>
      </c>
      <c r="Q252" t="s">
        <v>5458</v>
      </c>
      <c r="R252" t="s">
        <v>5459</v>
      </c>
      <c r="S252" t="s">
        <v>5460</v>
      </c>
      <c r="T252" t="s">
        <v>5461</v>
      </c>
      <c r="U252" t="s">
        <v>5462</v>
      </c>
      <c r="V252" t="s">
        <v>5463</v>
      </c>
      <c r="W252" t="s">
        <v>5464</v>
      </c>
      <c r="X252" t="s">
        <v>5465</v>
      </c>
      <c r="Y252" t="s">
        <v>5466</v>
      </c>
    </row>
    <row r="253" spans="1:25" x14ac:dyDescent="0.3">
      <c r="A253">
        <v>12600</v>
      </c>
      <c r="B253" t="s">
        <v>5467</v>
      </c>
      <c r="C253" t="s">
        <v>5468</v>
      </c>
      <c r="D253" t="s">
        <v>5469</v>
      </c>
      <c r="E253" t="s">
        <v>5470</v>
      </c>
      <c r="F253" t="s">
        <v>5471</v>
      </c>
      <c r="G253" t="s">
        <v>5472</v>
      </c>
      <c r="H253" t="s">
        <v>5473</v>
      </c>
      <c r="I253" t="s">
        <v>5474</v>
      </c>
      <c r="J253" t="s">
        <v>5475</v>
      </c>
      <c r="K253" t="s">
        <v>5476</v>
      </c>
      <c r="L253" t="s">
        <v>5477</v>
      </c>
      <c r="M253" t="s">
        <v>5478</v>
      </c>
      <c r="N253" t="s">
        <v>5479</v>
      </c>
      <c r="O253" t="s">
        <v>5480</v>
      </c>
      <c r="P253" t="s">
        <v>5481</v>
      </c>
      <c r="Q253" t="s">
        <v>5482</v>
      </c>
      <c r="R253" t="s">
        <v>5483</v>
      </c>
      <c r="S253" t="s">
        <v>5484</v>
      </c>
      <c r="T253" t="s">
        <v>5485</v>
      </c>
      <c r="U253" t="s">
        <v>5486</v>
      </c>
      <c r="V253" t="s">
        <v>5487</v>
      </c>
      <c r="W253" t="s">
        <v>5488</v>
      </c>
      <c r="X253" t="s">
        <v>5489</v>
      </c>
      <c r="Y253" t="s">
        <v>5490</v>
      </c>
    </row>
    <row r="254" spans="1:25" x14ac:dyDescent="0.3">
      <c r="A254">
        <v>12650</v>
      </c>
      <c r="B254" t="s">
        <v>5491</v>
      </c>
      <c r="C254" t="s">
        <v>5492</v>
      </c>
      <c r="D254" t="s">
        <v>5493</v>
      </c>
      <c r="E254" t="s">
        <v>5494</v>
      </c>
      <c r="F254" t="s">
        <v>5495</v>
      </c>
      <c r="G254" t="s">
        <v>5496</v>
      </c>
      <c r="H254" t="s">
        <v>5497</v>
      </c>
      <c r="I254" t="s">
        <v>5498</v>
      </c>
      <c r="J254" t="s">
        <v>5499</v>
      </c>
      <c r="K254" t="s">
        <v>5500</v>
      </c>
      <c r="L254" t="s">
        <v>5501</v>
      </c>
      <c r="M254" t="s">
        <v>5502</v>
      </c>
      <c r="N254" t="s">
        <v>5503</v>
      </c>
      <c r="O254" t="s">
        <v>5504</v>
      </c>
      <c r="P254" t="s">
        <v>5505</v>
      </c>
      <c r="Q254" t="s">
        <v>5506</v>
      </c>
      <c r="R254" t="s">
        <v>5507</v>
      </c>
      <c r="S254" t="s">
        <v>5508</v>
      </c>
      <c r="T254" t="s">
        <v>5509</v>
      </c>
      <c r="U254" t="s">
        <v>5510</v>
      </c>
      <c r="V254" t="s">
        <v>5511</v>
      </c>
      <c r="W254" t="s">
        <v>5512</v>
      </c>
      <c r="X254" t="s">
        <v>5513</v>
      </c>
      <c r="Y254" t="s">
        <v>5514</v>
      </c>
    </row>
    <row r="255" spans="1:25" x14ac:dyDescent="0.3">
      <c r="A255">
        <v>12700</v>
      </c>
      <c r="B255" t="s">
        <v>5515</v>
      </c>
      <c r="C255" t="s">
        <v>5516</v>
      </c>
      <c r="D255" t="s">
        <v>5517</v>
      </c>
      <c r="E255" t="s">
        <v>5518</v>
      </c>
      <c r="F255" t="s">
        <v>5519</v>
      </c>
      <c r="G255" t="s">
        <v>5520</v>
      </c>
      <c r="H255" t="s">
        <v>5521</v>
      </c>
      <c r="I255" t="s">
        <v>5522</v>
      </c>
      <c r="J255" t="s">
        <v>5523</v>
      </c>
      <c r="K255" t="s">
        <v>5524</v>
      </c>
      <c r="L255" t="s">
        <v>5525</v>
      </c>
      <c r="M255" t="s">
        <v>5526</v>
      </c>
      <c r="N255" t="s">
        <v>5527</v>
      </c>
      <c r="O255" t="s">
        <v>5528</v>
      </c>
      <c r="P255" t="s">
        <v>5529</v>
      </c>
      <c r="Q255" t="s">
        <v>5530</v>
      </c>
      <c r="R255" t="s">
        <v>5531</v>
      </c>
      <c r="S255" t="s">
        <v>5532</v>
      </c>
      <c r="T255" t="s">
        <v>5533</v>
      </c>
      <c r="U255" t="s">
        <v>5534</v>
      </c>
      <c r="V255" t="s">
        <v>5535</v>
      </c>
      <c r="W255" t="s">
        <v>5536</v>
      </c>
      <c r="X255" t="s">
        <v>5537</v>
      </c>
      <c r="Y255" t="s">
        <v>5538</v>
      </c>
    </row>
    <row r="256" spans="1:25" x14ac:dyDescent="0.3">
      <c r="A256">
        <v>12750</v>
      </c>
      <c r="B256" t="s">
        <v>5539</v>
      </c>
      <c r="C256" t="s">
        <v>5540</v>
      </c>
      <c r="D256" t="s">
        <v>5541</v>
      </c>
      <c r="E256" t="s">
        <v>5542</v>
      </c>
      <c r="F256" t="s">
        <v>5543</v>
      </c>
      <c r="G256" t="s">
        <v>5544</v>
      </c>
      <c r="H256" t="s">
        <v>5545</v>
      </c>
      <c r="I256" t="s">
        <v>5546</v>
      </c>
      <c r="J256" t="s">
        <v>5547</v>
      </c>
      <c r="K256" t="s">
        <v>5548</v>
      </c>
      <c r="L256" t="s">
        <v>5549</v>
      </c>
      <c r="M256" t="s">
        <v>5550</v>
      </c>
      <c r="N256" t="s">
        <v>5551</v>
      </c>
      <c r="O256" t="s">
        <v>5552</v>
      </c>
      <c r="P256" t="s">
        <v>5553</v>
      </c>
      <c r="Q256" t="s">
        <v>5554</v>
      </c>
      <c r="R256" t="s">
        <v>5555</v>
      </c>
      <c r="S256" t="s">
        <v>5556</v>
      </c>
      <c r="T256" t="s">
        <v>5557</v>
      </c>
      <c r="U256" t="s">
        <v>5558</v>
      </c>
      <c r="V256" t="s">
        <v>5559</v>
      </c>
      <c r="W256" t="s">
        <v>5560</v>
      </c>
      <c r="X256" t="s">
        <v>5561</v>
      </c>
      <c r="Y256" t="s">
        <v>5562</v>
      </c>
    </row>
    <row r="257" spans="1:25" x14ac:dyDescent="0.3">
      <c r="A257">
        <v>12800</v>
      </c>
      <c r="B257" t="s">
        <v>5563</v>
      </c>
      <c r="C257" t="s">
        <v>5564</v>
      </c>
      <c r="D257" t="s">
        <v>5565</v>
      </c>
      <c r="E257" t="s">
        <v>5566</v>
      </c>
      <c r="F257" t="s">
        <v>5567</v>
      </c>
      <c r="G257" t="s">
        <v>5568</v>
      </c>
      <c r="H257" t="s">
        <v>5569</v>
      </c>
      <c r="I257" t="s">
        <v>5570</v>
      </c>
      <c r="J257" t="s">
        <v>5571</v>
      </c>
      <c r="K257" t="s">
        <v>5572</v>
      </c>
      <c r="L257" t="s">
        <v>5573</v>
      </c>
      <c r="M257" t="s">
        <v>5574</v>
      </c>
      <c r="N257" t="s">
        <v>5575</v>
      </c>
      <c r="O257" t="s">
        <v>5576</v>
      </c>
      <c r="P257" t="s">
        <v>5577</v>
      </c>
      <c r="Q257" t="s">
        <v>5578</v>
      </c>
      <c r="R257" t="s">
        <v>5579</v>
      </c>
      <c r="S257" t="s">
        <v>5580</v>
      </c>
      <c r="T257" t="s">
        <v>5581</v>
      </c>
      <c r="U257" t="s">
        <v>5582</v>
      </c>
      <c r="V257" t="s">
        <v>5583</v>
      </c>
      <c r="W257" t="s">
        <v>5584</v>
      </c>
      <c r="X257" t="s">
        <v>5585</v>
      </c>
      <c r="Y257" t="s">
        <v>5586</v>
      </c>
    </row>
    <row r="258" spans="1:25" x14ac:dyDescent="0.3">
      <c r="A258">
        <v>12850</v>
      </c>
      <c r="B258" t="s">
        <v>5587</v>
      </c>
      <c r="C258" t="s">
        <v>5588</v>
      </c>
      <c r="D258" t="s">
        <v>5589</v>
      </c>
      <c r="E258" t="s">
        <v>5590</v>
      </c>
      <c r="F258" t="s">
        <v>5591</v>
      </c>
      <c r="G258" t="s">
        <v>5592</v>
      </c>
      <c r="H258" t="s">
        <v>5593</v>
      </c>
      <c r="I258" t="s">
        <v>5594</v>
      </c>
      <c r="J258" t="s">
        <v>5595</v>
      </c>
      <c r="K258" t="s">
        <v>5596</v>
      </c>
      <c r="L258" t="s">
        <v>5597</v>
      </c>
      <c r="M258" t="s">
        <v>5598</v>
      </c>
      <c r="N258" t="s">
        <v>5599</v>
      </c>
      <c r="O258" t="s">
        <v>5600</v>
      </c>
      <c r="P258" t="s">
        <v>5601</v>
      </c>
      <c r="Q258" t="s">
        <v>5602</v>
      </c>
      <c r="R258" t="s">
        <v>5603</v>
      </c>
      <c r="S258" t="s">
        <v>5604</v>
      </c>
      <c r="T258" t="s">
        <v>5605</v>
      </c>
      <c r="U258" t="s">
        <v>5606</v>
      </c>
      <c r="V258" t="s">
        <v>5607</v>
      </c>
      <c r="W258" t="s">
        <v>5608</v>
      </c>
      <c r="X258" t="s">
        <v>5609</v>
      </c>
      <c r="Y258" t="s">
        <v>5610</v>
      </c>
    </row>
    <row r="259" spans="1:25" x14ac:dyDescent="0.3">
      <c r="A259">
        <v>12900</v>
      </c>
      <c r="B259" t="s">
        <v>5611</v>
      </c>
      <c r="C259" t="s">
        <v>5612</v>
      </c>
      <c r="D259" t="s">
        <v>5613</v>
      </c>
      <c r="E259" t="s">
        <v>5614</v>
      </c>
      <c r="F259" t="s">
        <v>5615</v>
      </c>
      <c r="G259" t="s">
        <v>5616</v>
      </c>
      <c r="H259" t="s">
        <v>5617</v>
      </c>
      <c r="I259" t="s">
        <v>5618</v>
      </c>
      <c r="J259" t="s">
        <v>5619</v>
      </c>
      <c r="K259" t="s">
        <v>5620</v>
      </c>
      <c r="L259" t="s">
        <v>5621</v>
      </c>
      <c r="M259" t="s">
        <v>5622</v>
      </c>
      <c r="N259" t="s">
        <v>5623</v>
      </c>
      <c r="O259" t="s">
        <v>5624</v>
      </c>
      <c r="P259" t="s">
        <v>5625</v>
      </c>
      <c r="Q259" t="s">
        <v>5626</v>
      </c>
      <c r="R259" t="s">
        <v>5627</v>
      </c>
      <c r="S259" t="s">
        <v>5628</v>
      </c>
      <c r="T259" t="s">
        <v>5629</v>
      </c>
      <c r="U259" t="s">
        <v>5630</v>
      </c>
      <c r="V259" t="s">
        <v>5631</v>
      </c>
      <c r="W259" t="s">
        <v>5632</v>
      </c>
      <c r="X259" t="s">
        <v>5633</v>
      </c>
      <c r="Y259" t="s">
        <v>5634</v>
      </c>
    </row>
    <row r="260" spans="1:25" x14ac:dyDescent="0.3">
      <c r="A260">
        <v>12950</v>
      </c>
      <c r="B260" t="s">
        <v>5635</v>
      </c>
      <c r="C260" t="s">
        <v>5636</v>
      </c>
      <c r="D260" t="s">
        <v>5637</v>
      </c>
      <c r="E260" t="s">
        <v>5638</v>
      </c>
      <c r="F260" t="s">
        <v>5639</v>
      </c>
      <c r="G260" t="s">
        <v>5640</v>
      </c>
      <c r="H260" t="s">
        <v>5641</v>
      </c>
      <c r="I260" t="s">
        <v>5642</v>
      </c>
      <c r="J260" t="s">
        <v>5643</v>
      </c>
      <c r="K260" t="s">
        <v>5644</v>
      </c>
      <c r="L260" t="s">
        <v>5645</v>
      </c>
      <c r="M260" t="s">
        <v>5646</v>
      </c>
      <c r="N260" t="s">
        <v>5647</v>
      </c>
      <c r="O260" t="s">
        <v>5648</v>
      </c>
      <c r="P260" t="s">
        <v>5649</v>
      </c>
      <c r="Q260" t="s">
        <v>5650</v>
      </c>
      <c r="R260" t="s">
        <v>5651</v>
      </c>
      <c r="S260" t="s">
        <v>5652</v>
      </c>
      <c r="T260" t="s">
        <v>5653</v>
      </c>
      <c r="U260" t="s">
        <v>5654</v>
      </c>
      <c r="V260" t="s">
        <v>5655</v>
      </c>
      <c r="W260" t="s">
        <v>5656</v>
      </c>
      <c r="X260" t="s">
        <v>5657</v>
      </c>
      <c r="Y260" t="s">
        <v>5658</v>
      </c>
    </row>
    <row r="261" spans="1:25" x14ac:dyDescent="0.3">
      <c r="A261">
        <v>13000</v>
      </c>
      <c r="B261" t="s">
        <v>5659</v>
      </c>
      <c r="C261" t="s">
        <v>5660</v>
      </c>
      <c r="D261" t="s">
        <v>5661</v>
      </c>
      <c r="E261" t="s">
        <v>5662</v>
      </c>
      <c r="F261" t="s">
        <v>5663</v>
      </c>
      <c r="G261" t="s">
        <v>5664</v>
      </c>
      <c r="H261" t="s">
        <v>5665</v>
      </c>
      <c r="I261" t="s">
        <v>5666</v>
      </c>
      <c r="J261" t="s">
        <v>5667</v>
      </c>
      <c r="K261" t="s">
        <v>5668</v>
      </c>
      <c r="L261" t="s">
        <v>5669</v>
      </c>
      <c r="M261" t="s">
        <v>5670</v>
      </c>
      <c r="N261" t="s">
        <v>5671</v>
      </c>
      <c r="O261" t="s">
        <v>5672</v>
      </c>
      <c r="P261" t="s">
        <v>5673</v>
      </c>
      <c r="Q261" t="s">
        <v>5674</v>
      </c>
      <c r="R261" t="s">
        <v>5675</v>
      </c>
      <c r="S261" t="s">
        <v>5676</v>
      </c>
      <c r="T261" t="s">
        <v>5677</v>
      </c>
      <c r="U261" t="s">
        <v>5678</v>
      </c>
      <c r="V261" t="s">
        <v>5679</v>
      </c>
      <c r="W261" t="s">
        <v>5680</v>
      </c>
      <c r="X261" t="s">
        <v>5681</v>
      </c>
      <c r="Y261" t="s">
        <v>5682</v>
      </c>
    </row>
    <row r="262" spans="1:25" x14ac:dyDescent="0.3">
      <c r="A262">
        <v>13050</v>
      </c>
      <c r="B262" t="s">
        <v>5683</v>
      </c>
      <c r="C262" t="s">
        <v>5684</v>
      </c>
      <c r="D262" t="s">
        <v>5685</v>
      </c>
      <c r="E262" t="s">
        <v>5686</v>
      </c>
      <c r="F262" t="s">
        <v>5687</v>
      </c>
      <c r="G262" t="s">
        <v>5688</v>
      </c>
      <c r="H262" t="s">
        <v>5689</v>
      </c>
      <c r="I262" t="s">
        <v>5690</v>
      </c>
      <c r="J262" t="s">
        <v>5691</v>
      </c>
      <c r="K262" t="s">
        <v>5692</v>
      </c>
      <c r="L262" t="s">
        <v>5693</v>
      </c>
      <c r="M262" t="s">
        <v>5694</v>
      </c>
      <c r="N262" t="s">
        <v>5695</v>
      </c>
      <c r="O262" t="s">
        <v>5696</v>
      </c>
      <c r="P262" t="s">
        <v>5697</v>
      </c>
      <c r="Q262" t="s">
        <v>5698</v>
      </c>
      <c r="R262" t="s">
        <v>5699</v>
      </c>
      <c r="S262" t="s">
        <v>5700</v>
      </c>
      <c r="T262" t="s">
        <v>5701</v>
      </c>
      <c r="U262" t="s">
        <v>5702</v>
      </c>
      <c r="V262" t="s">
        <v>5703</v>
      </c>
      <c r="W262" t="s">
        <v>5704</v>
      </c>
      <c r="X262" t="s">
        <v>5705</v>
      </c>
      <c r="Y262" t="s">
        <v>5706</v>
      </c>
    </row>
    <row r="263" spans="1:25" x14ac:dyDescent="0.3">
      <c r="A263">
        <v>13100</v>
      </c>
      <c r="B263" t="s">
        <v>5707</v>
      </c>
      <c r="C263" t="s">
        <v>5708</v>
      </c>
      <c r="D263" t="s">
        <v>5709</v>
      </c>
      <c r="E263" t="s">
        <v>5710</v>
      </c>
      <c r="F263" t="s">
        <v>5711</v>
      </c>
      <c r="G263" t="s">
        <v>5712</v>
      </c>
      <c r="H263" t="s">
        <v>5713</v>
      </c>
      <c r="I263" t="s">
        <v>5714</v>
      </c>
      <c r="J263" t="s">
        <v>5715</v>
      </c>
      <c r="K263" t="s">
        <v>5716</v>
      </c>
      <c r="L263" t="s">
        <v>5717</v>
      </c>
      <c r="M263" t="s">
        <v>5718</v>
      </c>
      <c r="N263" t="s">
        <v>5719</v>
      </c>
      <c r="O263" t="s">
        <v>5720</v>
      </c>
      <c r="P263" t="s">
        <v>5721</v>
      </c>
      <c r="Q263" t="s">
        <v>5722</v>
      </c>
      <c r="R263" t="s">
        <v>5723</v>
      </c>
      <c r="S263" t="s">
        <v>5724</v>
      </c>
      <c r="T263" t="s">
        <v>5725</v>
      </c>
      <c r="U263" t="s">
        <v>5726</v>
      </c>
      <c r="V263" t="s">
        <v>5727</v>
      </c>
      <c r="W263" t="s">
        <v>5728</v>
      </c>
      <c r="X263" t="s">
        <v>5729</v>
      </c>
      <c r="Y263" t="s">
        <v>5730</v>
      </c>
    </row>
    <row r="264" spans="1:25" x14ac:dyDescent="0.3">
      <c r="A264">
        <v>13150</v>
      </c>
      <c r="B264" t="s">
        <v>5731</v>
      </c>
      <c r="C264" t="s">
        <v>5732</v>
      </c>
      <c r="D264" t="s">
        <v>5733</v>
      </c>
      <c r="E264" t="s">
        <v>5734</v>
      </c>
      <c r="F264" t="s">
        <v>5735</v>
      </c>
      <c r="G264" t="s">
        <v>5736</v>
      </c>
      <c r="H264" t="s">
        <v>5737</v>
      </c>
      <c r="I264" t="s">
        <v>5738</v>
      </c>
      <c r="J264" t="s">
        <v>5739</v>
      </c>
      <c r="K264" t="s">
        <v>5740</v>
      </c>
      <c r="L264" t="s">
        <v>5741</v>
      </c>
      <c r="M264" t="s">
        <v>5742</v>
      </c>
      <c r="N264" t="s">
        <v>5743</v>
      </c>
      <c r="O264" t="s">
        <v>5744</v>
      </c>
      <c r="P264" t="s">
        <v>5745</v>
      </c>
      <c r="Q264" t="s">
        <v>5746</v>
      </c>
      <c r="R264" t="s">
        <v>5747</v>
      </c>
      <c r="S264" t="s">
        <v>5748</v>
      </c>
      <c r="T264" t="s">
        <v>5749</v>
      </c>
      <c r="U264" t="s">
        <v>5750</v>
      </c>
      <c r="V264" t="s">
        <v>5751</v>
      </c>
      <c r="W264" t="s">
        <v>5752</v>
      </c>
      <c r="X264" t="s">
        <v>5753</v>
      </c>
      <c r="Y264" t="s">
        <v>5754</v>
      </c>
    </row>
    <row r="265" spans="1:25" x14ac:dyDescent="0.3">
      <c r="A265">
        <v>13200</v>
      </c>
      <c r="B265" t="s">
        <v>5755</v>
      </c>
      <c r="C265" t="s">
        <v>5756</v>
      </c>
      <c r="D265" t="s">
        <v>5757</v>
      </c>
      <c r="E265" t="s">
        <v>5758</v>
      </c>
      <c r="F265" t="s">
        <v>5759</v>
      </c>
      <c r="G265" t="s">
        <v>5760</v>
      </c>
      <c r="H265" t="s">
        <v>5761</v>
      </c>
      <c r="I265" t="s">
        <v>5762</v>
      </c>
      <c r="J265" t="s">
        <v>5763</v>
      </c>
      <c r="K265" t="s">
        <v>5764</v>
      </c>
      <c r="L265" t="s">
        <v>5765</v>
      </c>
      <c r="M265" t="s">
        <v>5766</v>
      </c>
      <c r="N265" t="s">
        <v>5767</v>
      </c>
      <c r="O265" t="s">
        <v>5768</v>
      </c>
      <c r="P265" t="s">
        <v>5769</v>
      </c>
      <c r="Q265" t="s">
        <v>5770</v>
      </c>
      <c r="R265" t="s">
        <v>5771</v>
      </c>
      <c r="S265" t="s">
        <v>5772</v>
      </c>
      <c r="T265" t="s">
        <v>5773</v>
      </c>
      <c r="U265" t="s">
        <v>5774</v>
      </c>
      <c r="V265" t="s">
        <v>5775</v>
      </c>
      <c r="W265" t="s">
        <v>5776</v>
      </c>
      <c r="X265" t="s">
        <v>5777</v>
      </c>
      <c r="Y265" t="s">
        <v>5778</v>
      </c>
    </row>
    <row r="266" spans="1:25" x14ac:dyDescent="0.3">
      <c r="A266">
        <v>13250</v>
      </c>
      <c r="B266" t="s">
        <v>5779</v>
      </c>
      <c r="C266" t="s">
        <v>5780</v>
      </c>
      <c r="D266" t="s">
        <v>5781</v>
      </c>
      <c r="E266" t="s">
        <v>5782</v>
      </c>
      <c r="F266" t="s">
        <v>5783</v>
      </c>
      <c r="G266" t="s">
        <v>5784</v>
      </c>
      <c r="H266" t="s">
        <v>5785</v>
      </c>
      <c r="I266" t="s">
        <v>5786</v>
      </c>
      <c r="J266" t="s">
        <v>5787</v>
      </c>
      <c r="K266" t="s">
        <v>5788</v>
      </c>
      <c r="L266" t="s">
        <v>5789</v>
      </c>
      <c r="M266" t="s">
        <v>5790</v>
      </c>
      <c r="N266" t="s">
        <v>5791</v>
      </c>
      <c r="O266" t="s">
        <v>5792</v>
      </c>
      <c r="P266" t="s">
        <v>5793</v>
      </c>
      <c r="Q266" t="s">
        <v>5794</v>
      </c>
      <c r="R266" t="s">
        <v>5795</v>
      </c>
      <c r="S266" t="s">
        <v>5796</v>
      </c>
      <c r="T266" t="s">
        <v>5797</v>
      </c>
      <c r="U266" t="s">
        <v>5798</v>
      </c>
      <c r="V266" t="s">
        <v>5799</v>
      </c>
      <c r="W266" t="s">
        <v>5800</v>
      </c>
      <c r="X266" t="s">
        <v>5801</v>
      </c>
      <c r="Y266" t="s">
        <v>5802</v>
      </c>
    </row>
    <row r="267" spans="1:25" x14ac:dyDescent="0.3">
      <c r="A267">
        <v>13300</v>
      </c>
      <c r="B267" t="s">
        <v>5803</v>
      </c>
      <c r="C267" t="s">
        <v>5804</v>
      </c>
      <c r="D267" t="s">
        <v>5805</v>
      </c>
      <c r="E267" t="s">
        <v>5806</v>
      </c>
      <c r="F267" t="s">
        <v>5807</v>
      </c>
      <c r="G267" t="s">
        <v>5808</v>
      </c>
      <c r="H267" t="s">
        <v>5809</v>
      </c>
      <c r="I267" t="s">
        <v>5810</v>
      </c>
      <c r="J267" t="s">
        <v>5811</v>
      </c>
      <c r="K267" t="s">
        <v>5812</v>
      </c>
      <c r="L267" t="s">
        <v>5813</v>
      </c>
      <c r="M267" t="s">
        <v>5814</v>
      </c>
      <c r="N267" t="s">
        <v>5815</v>
      </c>
      <c r="O267" t="s">
        <v>5816</v>
      </c>
      <c r="P267" t="s">
        <v>5817</v>
      </c>
      <c r="Q267" t="s">
        <v>5818</v>
      </c>
      <c r="R267" t="s">
        <v>5819</v>
      </c>
      <c r="S267" t="s">
        <v>5820</v>
      </c>
      <c r="T267" t="s">
        <v>5821</v>
      </c>
      <c r="U267" t="s">
        <v>5822</v>
      </c>
      <c r="V267" t="s">
        <v>5823</v>
      </c>
      <c r="W267" t="s">
        <v>5824</v>
      </c>
      <c r="X267" t="s">
        <v>5825</v>
      </c>
      <c r="Y267" t="s">
        <v>5826</v>
      </c>
    </row>
    <row r="268" spans="1:25" x14ac:dyDescent="0.3">
      <c r="A268">
        <v>13350</v>
      </c>
      <c r="B268" t="s">
        <v>5827</v>
      </c>
      <c r="C268" t="s">
        <v>5828</v>
      </c>
      <c r="D268" t="s">
        <v>5829</v>
      </c>
      <c r="E268" t="s">
        <v>5830</v>
      </c>
      <c r="F268" t="s">
        <v>5831</v>
      </c>
      <c r="G268" t="s">
        <v>5832</v>
      </c>
      <c r="H268" t="s">
        <v>5833</v>
      </c>
      <c r="I268" t="s">
        <v>5834</v>
      </c>
      <c r="J268" t="s">
        <v>5835</v>
      </c>
      <c r="K268" t="s">
        <v>5836</v>
      </c>
      <c r="L268" t="s">
        <v>5837</v>
      </c>
      <c r="M268" t="s">
        <v>5838</v>
      </c>
      <c r="N268" t="s">
        <v>5839</v>
      </c>
      <c r="O268" t="s">
        <v>5840</v>
      </c>
      <c r="P268" t="s">
        <v>5841</v>
      </c>
      <c r="Q268" t="s">
        <v>5842</v>
      </c>
      <c r="R268" t="s">
        <v>5843</v>
      </c>
      <c r="S268" t="s">
        <v>5844</v>
      </c>
      <c r="T268" t="s">
        <v>5845</v>
      </c>
      <c r="U268" t="s">
        <v>5846</v>
      </c>
      <c r="V268" t="s">
        <v>5847</v>
      </c>
      <c r="W268" t="s">
        <v>5848</v>
      </c>
      <c r="X268" t="s">
        <v>5849</v>
      </c>
      <c r="Y268" t="s">
        <v>5850</v>
      </c>
    </row>
    <row r="269" spans="1:25" x14ac:dyDescent="0.3">
      <c r="A269">
        <v>13400</v>
      </c>
      <c r="B269" t="s">
        <v>5851</v>
      </c>
      <c r="C269" t="s">
        <v>5852</v>
      </c>
      <c r="D269" t="s">
        <v>5853</v>
      </c>
      <c r="E269" t="s">
        <v>5854</v>
      </c>
      <c r="F269" t="s">
        <v>5855</v>
      </c>
      <c r="G269" t="s">
        <v>5856</v>
      </c>
      <c r="H269" t="s">
        <v>5857</v>
      </c>
      <c r="I269" t="s">
        <v>5858</v>
      </c>
      <c r="J269" t="s">
        <v>5859</v>
      </c>
      <c r="K269" t="s">
        <v>5860</v>
      </c>
      <c r="L269" t="s">
        <v>5861</v>
      </c>
      <c r="M269" t="s">
        <v>5862</v>
      </c>
      <c r="N269" t="s">
        <v>5863</v>
      </c>
      <c r="O269" t="s">
        <v>5864</v>
      </c>
      <c r="P269" t="s">
        <v>5865</v>
      </c>
      <c r="Q269" t="s">
        <v>5866</v>
      </c>
      <c r="R269" t="s">
        <v>5867</v>
      </c>
      <c r="S269" t="s">
        <v>5868</v>
      </c>
      <c r="T269" t="s">
        <v>5869</v>
      </c>
      <c r="U269" t="s">
        <v>5870</v>
      </c>
      <c r="V269" t="s">
        <v>5871</v>
      </c>
      <c r="W269" t="s">
        <v>5872</v>
      </c>
      <c r="X269" t="s">
        <v>5873</v>
      </c>
      <c r="Y269" t="s">
        <v>5874</v>
      </c>
    </row>
    <row r="270" spans="1:25" x14ac:dyDescent="0.3">
      <c r="A270">
        <v>13450</v>
      </c>
      <c r="B270" t="s">
        <v>5875</v>
      </c>
      <c r="C270" t="s">
        <v>5876</v>
      </c>
      <c r="D270" t="s">
        <v>5877</v>
      </c>
      <c r="E270" t="s">
        <v>5878</v>
      </c>
      <c r="F270" t="s">
        <v>5879</v>
      </c>
      <c r="G270" t="s">
        <v>5880</v>
      </c>
      <c r="H270" t="s">
        <v>5881</v>
      </c>
      <c r="I270" t="s">
        <v>5882</v>
      </c>
      <c r="J270" t="s">
        <v>5883</v>
      </c>
      <c r="K270" t="s">
        <v>5884</v>
      </c>
      <c r="L270" t="s">
        <v>5885</v>
      </c>
      <c r="M270" t="s">
        <v>5886</v>
      </c>
      <c r="N270" t="s">
        <v>5887</v>
      </c>
      <c r="O270" t="s">
        <v>5888</v>
      </c>
      <c r="P270" t="s">
        <v>5889</v>
      </c>
      <c r="Q270" t="s">
        <v>5890</v>
      </c>
      <c r="R270" t="s">
        <v>5891</v>
      </c>
      <c r="S270" t="s">
        <v>5892</v>
      </c>
      <c r="T270" t="s">
        <v>5893</v>
      </c>
      <c r="U270" t="s">
        <v>5894</v>
      </c>
      <c r="V270" t="s">
        <v>5895</v>
      </c>
      <c r="W270" t="s">
        <v>5896</v>
      </c>
      <c r="X270" t="s">
        <v>5897</v>
      </c>
      <c r="Y270" t="s">
        <v>5898</v>
      </c>
    </row>
    <row r="271" spans="1:25" x14ac:dyDescent="0.3">
      <c r="A271">
        <v>13500</v>
      </c>
      <c r="B271" t="s">
        <v>5899</v>
      </c>
      <c r="C271" t="s">
        <v>5900</v>
      </c>
      <c r="D271" t="s">
        <v>5901</v>
      </c>
      <c r="E271" t="s">
        <v>5902</v>
      </c>
      <c r="F271" t="s">
        <v>5903</v>
      </c>
      <c r="G271" t="s">
        <v>5904</v>
      </c>
      <c r="H271" t="s">
        <v>5905</v>
      </c>
      <c r="I271" t="s">
        <v>5906</v>
      </c>
      <c r="J271" t="s">
        <v>5907</v>
      </c>
      <c r="K271" t="s">
        <v>5908</v>
      </c>
      <c r="L271" t="s">
        <v>5909</v>
      </c>
      <c r="M271" t="s">
        <v>5910</v>
      </c>
      <c r="N271" t="s">
        <v>5911</v>
      </c>
      <c r="O271" t="s">
        <v>5912</v>
      </c>
      <c r="P271" t="s">
        <v>5913</v>
      </c>
      <c r="Q271" t="s">
        <v>5914</v>
      </c>
      <c r="R271" t="s">
        <v>5915</v>
      </c>
      <c r="S271" t="s">
        <v>5916</v>
      </c>
      <c r="T271" t="s">
        <v>5917</v>
      </c>
      <c r="U271" t="s">
        <v>5918</v>
      </c>
      <c r="V271" t="s">
        <v>5919</v>
      </c>
      <c r="W271" t="s">
        <v>5920</v>
      </c>
      <c r="X271" t="s">
        <v>5921</v>
      </c>
      <c r="Y271" t="s">
        <v>5922</v>
      </c>
    </row>
    <row r="272" spans="1:25" x14ac:dyDescent="0.3">
      <c r="A272">
        <v>13550</v>
      </c>
      <c r="B272" t="s">
        <v>5923</v>
      </c>
      <c r="C272" t="s">
        <v>5924</v>
      </c>
      <c r="D272" t="s">
        <v>5925</v>
      </c>
      <c r="E272" t="s">
        <v>5926</v>
      </c>
      <c r="F272" t="s">
        <v>5927</v>
      </c>
      <c r="G272" t="s">
        <v>5928</v>
      </c>
      <c r="H272" t="s">
        <v>5929</v>
      </c>
      <c r="I272" t="s">
        <v>5930</v>
      </c>
      <c r="J272" t="s">
        <v>5931</v>
      </c>
      <c r="K272" t="s">
        <v>5932</v>
      </c>
      <c r="L272" t="s">
        <v>5933</v>
      </c>
      <c r="M272" t="s">
        <v>5934</v>
      </c>
      <c r="N272" t="s">
        <v>5935</v>
      </c>
      <c r="O272" t="s">
        <v>5936</v>
      </c>
      <c r="P272" t="s">
        <v>5937</v>
      </c>
      <c r="Q272" t="s">
        <v>5938</v>
      </c>
      <c r="R272" t="s">
        <v>5939</v>
      </c>
      <c r="S272" t="s">
        <v>5940</v>
      </c>
      <c r="T272" t="s">
        <v>5941</v>
      </c>
      <c r="U272" t="s">
        <v>5942</v>
      </c>
      <c r="V272" t="s">
        <v>5943</v>
      </c>
      <c r="W272" t="s">
        <v>5944</v>
      </c>
      <c r="X272" t="s">
        <v>5945</v>
      </c>
      <c r="Y272" t="s">
        <v>5946</v>
      </c>
    </row>
    <row r="273" spans="1:25" x14ac:dyDescent="0.3">
      <c r="A273">
        <v>13600</v>
      </c>
      <c r="B273" t="s">
        <v>5947</v>
      </c>
      <c r="C273" t="s">
        <v>5948</v>
      </c>
      <c r="D273" t="s">
        <v>5949</v>
      </c>
      <c r="E273" t="s">
        <v>5950</v>
      </c>
      <c r="F273" t="s">
        <v>5951</v>
      </c>
      <c r="G273" t="s">
        <v>5952</v>
      </c>
      <c r="H273" t="s">
        <v>5953</v>
      </c>
      <c r="I273" t="s">
        <v>5954</v>
      </c>
      <c r="J273" t="s">
        <v>5955</v>
      </c>
      <c r="K273" t="s">
        <v>5956</v>
      </c>
      <c r="L273" t="s">
        <v>5957</v>
      </c>
      <c r="M273" t="s">
        <v>5958</v>
      </c>
      <c r="N273" t="s">
        <v>5959</v>
      </c>
      <c r="O273" t="s">
        <v>5960</v>
      </c>
      <c r="P273" t="s">
        <v>5961</v>
      </c>
      <c r="Q273" t="s">
        <v>5962</v>
      </c>
      <c r="R273" t="s">
        <v>5963</v>
      </c>
      <c r="S273" t="s">
        <v>5964</v>
      </c>
      <c r="T273" t="s">
        <v>5965</v>
      </c>
      <c r="U273" t="s">
        <v>5966</v>
      </c>
      <c r="V273" t="s">
        <v>5967</v>
      </c>
      <c r="W273" t="s">
        <v>5968</v>
      </c>
      <c r="X273" t="s">
        <v>5969</v>
      </c>
      <c r="Y273" t="s">
        <v>5970</v>
      </c>
    </row>
    <row r="274" spans="1:25" x14ac:dyDescent="0.3">
      <c r="A274">
        <v>13650</v>
      </c>
      <c r="B274" t="s">
        <v>5971</v>
      </c>
      <c r="C274" t="s">
        <v>5972</v>
      </c>
      <c r="D274" t="s">
        <v>5973</v>
      </c>
      <c r="E274" t="s">
        <v>5974</v>
      </c>
      <c r="F274" t="s">
        <v>5975</v>
      </c>
      <c r="G274" t="s">
        <v>5976</v>
      </c>
      <c r="H274" t="s">
        <v>5977</v>
      </c>
      <c r="I274" t="s">
        <v>5978</v>
      </c>
      <c r="J274" t="s">
        <v>5979</v>
      </c>
      <c r="K274" t="s">
        <v>5980</v>
      </c>
      <c r="L274" t="s">
        <v>5981</v>
      </c>
      <c r="M274" t="s">
        <v>5982</v>
      </c>
      <c r="N274" t="s">
        <v>5983</v>
      </c>
      <c r="O274" t="s">
        <v>5984</v>
      </c>
      <c r="P274" t="s">
        <v>5985</v>
      </c>
      <c r="Q274" t="s">
        <v>5986</v>
      </c>
      <c r="R274" t="s">
        <v>5987</v>
      </c>
      <c r="S274" t="s">
        <v>5988</v>
      </c>
      <c r="T274" t="s">
        <v>5989</v>
      </c>
      <c r="U274" t="s">
        <v>5990</v>
      </c>
      <c r="V274" t="s">
        <v>5991</v>
      </c>
      <c r="W274" t="s">
        <v>5992</v>
      </c>
      <c r="X274" t="s">
        <v>5993</v>
      </c>
      <c r="Y274" t="s">
        <v>5994</v>
      </c>
    </row>
    <row r="275" spans="1:25" x14ac:dyDescent="0.3">
      <c r="A275">
        <v>13700</v>
      </c>
      <c r="B275" t="s">
        <v>5995</v>
      </c>
      <c r="C275" t="s">
        <v>5996</v>
      </c>
      <c r="D275" t="s">
        <v>5997</v>
      </c>
      <c r="E275" t="s">
        <v>5998</v>
      </c>
      <c r="F275" t="s">
        <v>5999</v>
      </c>
      <c r="G275" t="s">
        <v>6000</v>
      </c>
      <c r="H275" t="s">
        <v>6001</v>
      </c>
      <c r="I275" t="s">
        <v>6002</v>
      </c>
      <c r="J275" t="s">
        <v>6003</v>
      </c>
      <c r="K275" t="s">
        <v>6004</v>
      </c>
      <c r="L275" t="s">
        <v>6005</v>
      </c>
      <c r="M275" t="s">
        <v>6006</v>
      </c>
      <c r="N275" t="s">
        <v>6007</v>
      </c>
      <c r="O275" t="s">
        <v>6008</v>
      </c>
      <c r="P275" t="s">
        <v>6009</v>
      </c>
      <c r="Q275" t="s">
        <v>6010</v>
      </c>
      <c r="R275" t="s">
        <v>6011</v>
      </c>
      <c r="S275" t="s">
        <v>6012</v>
      </c>
      <c r="T275" t="s">
        <v>6013</v>
      </c>
      <c r="U275" t="s">
        <v>6014</v>
      </c>
      <c r="V275" t="s">
        <v>6015</v>
      </c>
      <c r="W275" t="s">
        <v>6016</v>
      </c>
      <c r="X275" t="s">
        <v>6017</v>
      </c>
      <c r="Y275" t="s">
        <v>6018</v>
      </c>
    </row>
    <row r="276" spans="1:25" x14ac:dyDescent="0.3">
      <c r="A276">
        <v>13750</v>
      </c>
      <c r="B276" t="s">
        <v>6019</v>
      </c>
      <c r="C276" t="s">
        <v>6020</v>
      </c>
      <c r="D276" t="s">
        <v>6021</v>
      </c>
      <c r="E276" t="s">
        <v>6022</v>
      </c>
      <c r="F276" t="s">
        <v>6023</v>
      </c>
      <c r="G276" t="s">
        <v>6024</v>
      </c>
      <c r="H276" t="s">
        <v>6025</v>
      </c>
      <c r="I276" t="s">
        <v>6026</v>
      </c>
      <c r="J276" t="s">
        <v>6027</v>
      </c>
      <c r="K276" t="s">
        <v>6028</v>
      </c>
      <c r="L276" t="s">
        <v>6029</v>
      </c>
      <c r="M276" t="s">
        <v>6030</v>
      </c>
      <c r="N276" t="s">
        <v>6031</v>
      </c>
      <c r="O276" t="s">
        <v>6032</v>
      </c>
      <c r="P276" t="s">
        <v>6033</v>
      </c>
      <c r="Q276" t="s">
        <v>6034</v>
      </c>
      <c r="R276" t="s">
        <v>6035</v>
      </c>
      <c r="S276" t="s">
        <v>6036</v>
      </c>
      <c r="T276" t="s">
        <v>6037</v>
      </c>
      <c r="U276" t="s">
        <v>6038</v>
      </c>
      <c r="V276" t="s">
        <v>6039</v>
      </c>
      <c r="W276" t="s">
        <v>6040</v>
      </c>
      <c r="X276" t="s">
        <v>6041</v>
      </c>
      <c r="Y276" t="s">
        <v>6042</v>
      </c>
    </row>
    <row r="277" spans="1:25" x14ac:dyDescent="0.3">
      <c r="A277">
        <v>13800</v>
      </c>
      <c r="B277" t="s">
        <v>6043</v>
      </c>
      <c r="C277" t="s">
        <v>6044</v>
      </c>
      <c r="D277" t="s">
        <v>6045</v>
      </c>
      <c r="E277" t="s">
        <v>6046</v>
      </c>
      <c r="F277" t="s">
        <v>6047</v>
      </c>
      <c r="G277" t="s">
        <v>6048</v>
      </c>
      <c r="H277" t="s">
        <v>6049</v>
      </c>
      <c r="I277" t="s">
        <v>6050</v>
      </c>
      <c r="J277" t="s">
        <v>6051</v>
      </c>
      <c r="K277" t="s">
        <v>6052</v>
      </c>
      <c r="L277" t="s">
        <v>6053</v>
      </c>
      <c r="M277" t="s">
        <v>6054</v>
      </c>
      <c r="N277" t="s">
        <v>6055</v>
      </c>
      <c r="O277" t="s">
        <v>6056</v>
      </c>
      <c r="P277" t="s">
        <v>6057</v>
      </c>
      <c r="Q277" t="s">
        <v>6058</v>
      </c>
      <c r="R277" t="s">
        <v>6059</v>
      </c>
      <c r="S277" t="s">
        <v>6060</v>
      </c>
      <c r="T277" t="s">
        <v>6061</v>
      </c>
      <c r="U277" t="s">
        <v>6062</v>
      </c>
      <c r="V277" t="s">
        <v>6063</v>
      </c>
      <c r="W277" t="s">
        <v>6064</v>
      </c>
      <c r="X277" t="s">
        <v>6065</v>
      </c>
      <c r="Y277" t="s">
        <v>6066</v>
      </c>
    </row>
    <row r="278" spans="1:25" x14ac:dyDescent="0.3">
      <c r="A278">
        <v>13850</v>
      </c>
      <c r="B278" t="s">
        <v>6067</v>
      </c>
      <c r="C278" t="s">
        <v>6068</v>
      </c>
      <c r="D278" t="s">
        <v>6069</v>
      </c>
      <c r="E278" t="s">
        <v>6070</v>
      </c>
      <c r="F278" t="s">
        <v>6071</v>
      </c>
      <c r="G278" t="s">
        <v>6072</v>
      </c>
      <c r="H278" t="s">
        <v>6073</v>
      </c>
      <c r="I278" t="s">
        <v>6074</v>
      </c>
      <c r="J278" t="s">
        <v>6075</v>
      </c>
      <c r="K278" t="s">
        <v>6076</v>
      </c>
      <c r="L278" t="s">
        <v>6077</v>
      </c>
      <c r="M278" t="s">
        <v>6078</v>
      </c>
      <c r="N278" t="s">
        <v>6079</v>
      </c>
      <c r="O278" t="s">
        <v>6080</v>
      </c>
      <c r="P278" t="s">
        <v>6081</v>
      </c>
      <c r="Q278" t="s">
        <v>6082</v>
      </c>
      <c r="R278" t="s">
        <v>6083</v>
      </c>
      <c r="S278" t="s">
        <v>6084</v>
      </c>
      <c r="T278" t="s">
        <v>6085</v>
      </c>
      <c r="U278" t="s">
        <v>6086</v>
      </c>
      <c r="V278" t="s">
        <v>6087</v>
      </c>
      <c r="W278" t="s">
        <v>6088</v>
      </c>
      <c r="X278" t="s">
        <v>6089</v>
      </c>
      <c r="Y278" t="s">
        <v>6090</v>
      </c>
    </row>
    <row r="279" spans="1:25" x14ac:dyDescent="0.3">
      <c r="A279">
        <v>13900</v>
      </c>
      <c r="B279" t="s">
        <v>6091</v>
      </c>
      <c r="C279" t="s">
        <v>6092</v>
      </c>
      <c r="D279" t="s">
        <v>6093</v>
      </c>
      <c r="E279" t="s">
        <v>6094</v>
      </c>
      <c r="F279" t="s">
        <v>6095</v>
      </c>
      <c r="G279" t="s">
        <v>6096</v>
      </c>
      <c r="H279" t="s">
        <v>6097</v>
      </c>
      <c r="I279" t="s">
        <v>6098</v>
      </c>
      <c r="J279" t="s">
        <v>6099</v>
      </c>
      <c r="K279" t="s">
        <v>6100</v>
      </c>
      <c r="L279" t="s">
        <v>6101</v>
      </c>
      <c r="M279" t="s">
        <v>6102</v>
      </c>
      <c r="N279" t="s">
        <v>6103</v>
      </c>
      <c r="O279" t="s">
        <v>6104</v>
      </c>
      <c r="P279" t="s">
        <v>6105</v>
      </c>
      <c r="Q279" t="s">
        <v>6106</v>
      </c>
      <c r="R279" t="s">
        <v>6107</v>
      </c>
      <c r="S279" t="s">
        <v>6108</v>
      </c>
      <c r="T279" t="s">
        <v>6109</v>
      </c>
      <c r="U279" t="s">
        <v>6110</v>
      </c>
      <c r="V279" t="s">
        <v>6111</v>
      </c>
      <c r="W279" t="s">
        <v>6112</v>
      </c>
      <c r="X279" t="s">
        <v>6113</v>
      </c>
      <c r="Y279" t="s">
        <v>6114</v>
      </c>
    </row>
    <row r="280" spans="1:25" x14ac:dyDescent="0.3">
      <c r="A280">
        <v>13950</v>
      </c>
      <c r="B280" t="s">
        <v>6115</v>
      </c>
      <c r="C280" t="s">
        <v>6116</v>
      </c>
      <c r="D280" t="s">
        <v>6117</v>
      </c>
      <c r="E280" t="s">
        <v>6118</v>
      </c>
      <c r="F280" t="s">
        <v>6119</v>
      </c>
      <c r="G280" t="s">
        <v>6120</v>
      </c>
      <c r="H280" t="s">
        <v>6121</v>
      </c>
      <c r="I280" t="s">
        <v>6122</v>
      </c>
      <c r="J280" t="s">
        <v>6123</v>
      </c>
      <c r="K280" t="s">
        <v>6124</v>
      </c>
      <c r="L280" t="s">
        <v>6125</v>
      </c>
      <c r="M280" t="s">
        <v>6126</v>
      </c>
      <c r="N280" t="s">
        <v>6127</v>
      </c>
      <c r="O280" t="s">
        <v>6128</v>
      </c>
      <c r="P280" t="s">
        <v>6129</v>
      </c>
      <c r="Q280" t="s">
        <v>6130</v>
      </c>
      <c r="R280" t="s">
        <v>6131</v>
      </c>
      <c r="S280" t="s">
        <v>6132</v>
      </c>
      <c r="T280" t="s">
        <v>6133</v>
      </c>
      <c r="U280" t="s">
        <v>6134</v>
      </c>
      <c r="V280" t="s">
        <v>6135</v>
      </c>
      <c r="W280" t="s">
        <v>6136</v>
      </c>
      <c r="X280" t="s">
        <v>6137</v>
      </c>
      <c r="Y280" t="s">
        <v>6138</v>
      </c>
    </row>
    <row r="281" spans="1:25" x14ac:dyDescent="0.3">
      <c r="A281">
        <v>14000</v>
      </c>
      <c r="B281" t="s">
        <v>6139</v>
      </c>
      <c r="C281" t="s">
        <v>6140</v>
      </c>
      <c r="D281" t="s">
        <v>6141</v>
      </c>
      <c r="E281" t="s">
        <v>6142</v>
      </c>
      <c r="F281" t="s">
        <v>6143</v>
      </c>
      <c r="G281" t="s">
        <v>6144</v>
      </c>
      <c r="H281" t="s">
        <v>6145</v>
      </c>
      <c r="I281" t="s">
        <v>6146</v>
      </c>
      <c r="J281" t="s">
        <v>6147</v>
      </c>
      <c r="K281" t="s">
        <v>6148</v>
      </c>
      <c r="L281" t="s">
        <v>6149</v>
      </c>
      <c r="M281" t="s">
        <v>6150</v>
      </c>
      <c r="N281" t="s">
        <v>6151</v>
      </c>
      <c r="O281" t="s">
        <v>6152</v>
      </c>
      <c r="P281" t="s">
        <v>6153</v>
      </c>
      <c r="Q281" t="s">
        <v>6154</v>
      </c>
      <c r="R281" t="s">
        <v>6155</v>
      </c>
      <c r="S281" t="s">
        <v>6156</v>
      </c>
      <c r="T281" t="s">
        <v>6157</v>
      </c>
      <c r="U281" t="s">
        <v>6158</v>
      </c>
      <c r="V281" t="s">
        <v>6159</v>
      </c>
      <c r="W281" t="s">
        <v>6160</v>
      </c>
      <c r="X281" t="s">
        <v>6161</v>
      </c>
      <c r="Y281" t="s">
        <v>6162</v>
      </c>
    </row>
    <row r="282" spans="1:25" x14ac:dyDescent="0.3">
      <c r="A282">
        <v>14050</v>
      </c>
      <c r="B282" t="s">
        <v>6163</v>
      </c>
      <c r="C282" t="s">
        <v>6164</v>
      </c>
      <c r="D282" t="s">
        <v>6165</v>
      </c>
      <c r="E282" t="s">
        <v>6166</v>
      </c>
      <c r="F282" t="s">
        <v>6167</v>
      </c>
      <c r="G282" t="s">
        <v>6168</v>
      </c>
      <c r="H282" t="s">
        <v>6169</v>
      </c>
      <c r="I282" t="s">
        <v>6170</v>
      </c>
      <c r="J282" t="s">
        <v>6171</v>
      </c>
      <c r="K282" t="s">
        <v>6172</v>
      </c>
      <c r="L282" t="s">
        <v>6173</v>
      </c>
      <c r="M282" t="s">
        <v>6174</v>
      </c>
      <c r="N282" t="s">
        <v>6175</v>
      </c>
      <c r="O282" t="s">
        <v>6176</v>
      </c>
      <c r="P282" t="s">
        <v>6177</v>
      </c>
      <c r="Q282" t="s">
        <v>6178</v>
      </c>
      <c r="R282" t="s">
        <v>6179</v>
      </c>
      <c r="S282" t="s">
        <v>6180</v>
      </c>
      <c r="T282" t="s">
        <v>6181</v>
      </c>
      <c r="U282" t="s">
        <v>6182</v>
      </c>
      <c r="V282" t="s">
        <v>6183</v>
      </c>
      <c r="W282" t="s">
        <v>6184</v>
      </c>
      <c r="X282" t="s">
        <v>6185</v>
      </c>
      <c r="Y282" t="s">
        <v>6186</v>
      </c>
    </row>
    <row r="283" spans="1:25" x14ac:dyDescent="0.3">
      <c r="A283">
        <v>14100</v>
      </c>
      <c r="B283" t="s">
        <v>6187</v>
      </c>
      <c r="C283" t="s">
        <v>6188</v>
      </c>
      <c r="D283" t="s">
        <v>6189</v>
      </c>
      <c r="E283" t="s">
        <v>6190</v>
      </c>
      <c r="F283" t="s">
        <v>6191</v>
      </c>
      <c r="G283" t="s">
        <v>6192</v>
      </c>
      <c r="H283" t="s">
        <v>6193</v>
      </c>
      <c r="I283" t="s">
        <v>6194</v>
      </c>
      <c r="J283" t="s">
        <v>6195</v>
      </c>
      <c r="K283" t="s">
        <v>6196</v>
      </c>
      <c r="L283" t="s">
        <v>6197</v>
      </c>
      <c r="M283" t="s">
        <v>6198</v>
      </c>
      <c r="N283" t="s">
        <v>6199</v>
      </c>
      <c r="O283" t="s">
        <v>6200</v>
      </c>
      <c r="P283" t="s">
        <v>6201</v>
      </c>
      <c r="Q283" t="s">
        <v>6202</v>
      </c>
      <c r="R283" t="s">
        <v>6203</v>
      </c>
      <c r="S283" t="s">
        <v>6204</v>
      </c>
      <c r="T283" t="s">
        <v>6205</v>
      </c>
      <c r="U283" t="s">
        <v>6206</v>
      </c>
      <c r="V283" t="s">
        <v>6207</v>
      </c>
      <c r="W283" t="s">
        <v>6208</v>
      </c>
      <c r="X283" t="s">
        <v>6209</v>
      </c>
      <c r="Y283" t="s">
        <v>6210</v>
      </c>
    </row>
    <row r="284" spans="1:25" x14ac:dyDescent="0.3">
      <c r="A284">
        <v>14150</v>
      </c>
      <c r="B284" t="s">
        <v>6211</v>
      </c>
      <c r="C284" t="s">
        <v>6212</v>
      </c>
      <c r="D284" t="s">
        <v>6213</v>
      </c>
      <c r="E284" t="s">
        <v>6214</v>
      </c>
      <c r="F284" t="s">
        <v>6215</v>
      </c>
      <c r="G284" t="s">
        <v>6216</v>
      </c>
      <c r="H284" t="s">
        <v>6217</v>
      </c>
      <c r="I284" t="s">
        <v>6218</v>
      </c>
      <c r="J284" t="s">
        <v>6219</v>
      </c>
      <c r="K284" t="s">
        <v>6220</v>
      </c>
      <c r="L284" t="s">
        <v>6221</v>
      </c>
      <c r="M284" t="s">
        <v>6222</v>
      </c>
      <c r="N284" t="s">
        <v>6223</v>
      </c>
      <c r="O284" t="s">
        <v>6224</v>
      </c>
      <c r="P284" t="s">
        <v>6225</v>
      </c>
      <c r="Q284" t="s">
        <v>6226</v>
      </c>
      <c r="R284" t="s">
        <v>6227</v>
      </c>
      <c r="S284" t="s">
        <v>6228</v>
      </c>
      <c r="T284" t="s">
        <v>6229</v>
      </c>
      <c r="U284" t="s">
        <v>6230</v>
      </c>
      <c r="V284" t="s">
        <v>6231</v>
      </c>
      <c r="W284" t="s">
        <v>6232</v>
      </c>
      <c r="X284" t="s">
        <v>6233</v>
      </c>
      <c r="Y284" t="s">
        <v>6234</v>
      </c>
    </row>
    <row r="285" spans="1:25" x14ac:dyDescent="0.3">
      <c r="A285">
        <v>14200</v>
      </c>
      <c r="B285" t="s">
        <v>6235</v>
      </c>
      <c r="C285" t="s">
        <v>6236</v>
      </c>
      <c r="D285" t="s">
        <v>6237</v>
      </c>
      <c r="E285" t="s">
        <v>6238</v>
      </c>
      <c r="F285" t="s">
        <v>6239</v>
      </c>
      <c r="G285" t="s">
        <v>6240</v>
      </c>
      <c r="H285" t="s">
        <v>6241</v>
      </c>
      <c r="I285" t="s">
        <v>6242</v>
      </c>
      <c r="J285" t="s">
        <v>6243</v>
      </c>
      <c r="K285" t="s">
        <v>6244</v>
      </c>
      <c r="L285" t="s">
        <v>6245</v>
      </c>
      <c r="M285" t="s">
        <v>6246</v>
      </c>
      <c r="N285" t="s">
        <v>6247</v>
      </c>
      <c r="O285" t="s">
        <v>6248</v>
      </c>
      <c r="P285" t="s">
        <v>6249</v>
      </c>
      <c r="Q285" t="s">
        <v>6250</v>
      </c>
      <c r="R285" t="s">
        <v>6251</v>
      </c>
      <c r="S285" t="s">
        <v>6252</v>
      </c>
      <c r="T285" t="s">
        <v>6253</v>
      </c>
      <c r="U285" t="s">
        <v>6254</v>
      </c>
      <c r="V285" t="s">
        <v>6255</v>
      </c>
      <c r="W285" t="s">
        <v>6256</v>
      </c>
      <c r="X285" t="s">
        <v>6257</v>
      </c>
      <c r="Y285" t="s">
        <v>6258</v>
      </c>
    </row>
    <row r="286" spans="1:25" x14ac:dyDescent="0.3">
      <c r="A286">
        <v>14250</v>
      </c>
      <c r="B286" t="s">
        <v>6259</v>
      </c>
      <c r="C286" t="s">
        <v>6260</v>
      </c>
      <c r="D286" t="s">
        <v>6261</v>
      </c>
      <c r="E286" t="s">
        <v>6262</v>
      </c>
      <c r="F286" t="s">
        <v>6263</v>
      </c>
      <c r="G286" t="s">
        <v>6264</v>
      </c>
      <c r="H286" t="s">
        <v>6265</v>
      </c>
      <c r="I286" t="s">
        <v>6266</v>
      </c>
      <c r="J286" t="s">
        <v>6267</v>
      </c>
      <c r="K286" t="s">
        <v>6268</v>
      </c>
      <c r="L286" t="s">
        <v>6269</v>
      </c>
      <c r="M286" t="s">
        <v>6270</v>
      </c>
      <c r="N286" t="s">
        <v>6271</v>
      </c>
      <c r="O286" t="s">
        <v>6272</v>
      </c>
      <c r="P286" t="s">
        <v>6273</v>
      </c>
      <c r="Q286" t="s">
        <v>6274</v>
      </c>
      <c r="R286" t="s">
        <v>6275</v>
      </c>
      <c r="S286" t="s">
        <v>6276</v>
      </c>
      <c r="T286" t="s">
        <v>6277</v>
      </c>
      <c r="U286" t="s">
        <v>6278</v>
      </c>
      <c r="V286" t="s">
        <v>6279</v>
      </c>
      <c r="W286" t="s">
        <v>6280</v>
      </c>
      <c r="X286" t="s">
        <v>6281</v>
      </c>
      <c r="Y286" t="s">
        <v>6282</v>
      </c>
    </row>
    <row r="287" spans="1:25" x14ac:dyDescent="0.3">
      <c r="A287">
        <v>14300</v>
      </c>
      <c r="B287" t="s">
        <v>6283</v>
      </c>
      <c r="C287" t="s">
        <v>6284</v>
      </c>
      <c r="D287" t="s">
        <v>6285</v>
      </c>
      <c r="E287" t="s">
        <v>6286</v>
      </c>
      <c r="F287" t="s">
        <v>6287</v>
      </c>
      <c r="G287" t="s">
        <v>6288</v>
      </c>
      <c r="H287" t="s">
        <v>6289</v>
      </c>
      <c r="I287" t="s">
        <v>6290</v>
      </c>
      <c r="J287" t="s">
        <v>6291</v>
      </c>
      <c r="K287" t="s">
        <v>6292</v>
      </c>
      <c r="L287" t="s">
        <v>6293</v>
      </c>
      <c r="M287" t="s">
        <v>6294</v>
      </c>
      <c r="N287" t="s">
        <v>6295</v>
      </c>
      <c r="O287" t="s">
        <v>6296</v>
      </c>
      <c r="P287" t="s">
        <v>6297</v>
      </c>
      <c r="Q287" t="s">
        <v>6298</v>
      </c>
      <c r="R287" t="s">
        <v>6299</v>
      </c>
      <c r="S287" t="s">
        <v>6300</v>
      </c>
      <c r="T287" t="s">
        <v>6301</v>
      </c>
      <c r="U287" t="s">
        <v>6302</v>
      </c>
      <c r="V287" t="s">
        <v>6303</v>
      </c>
      <c r="W287" t="s">
        <v>6304</v>
      </c>
      <c r="X287" t="s">
        <v>6305</v>
      </c>
      <c r="Y287" t="s">
        <v>6306</v>
      </c>
    </row>
    <row r="288" spans="1:25" x14ac:dyDescent="0.3">
      <c r="A288">
        <v>14350</v>
      </c>
      <c r="B288" t="s">
        <v>6307</v>
      </c>
      <c r="C288" t="s">
        <v>6308</v>
      </c>
      <c r="D288" t="s">
        <v>6309</v>
      </c>
      <c r="E288" t="s">
        <v>6310</v>
      </c>
      <c r="F288" t="s">
        <v>6311</v>
      </c>
      <c r="G288" t="s">
        <v>6312</v>
      </c>
      <c r="H288" t="s">
        <v>6313</v>
      </c>
      <c r="I288" t="s">
        <v>6314</v>
      </c>
      <c r="J288" t="s">
        <v>6315</v>
      </c>
      <c r="K288" t="s">
        <v>6316</v>
      </c>
      <c r="L288" t="s">
        <v>6317</v>
      </c>
      <c r="M288" t="s">
        <v>6318</v>
      </c>
      <c r="N288" t="s">
        <v>6319</v>
      </c>
      <c r="O288" t="s">
        <v>6320</v>
      </c>
      <c r="P288" t="s">
        <v>6321</v>
      </c>
      <c r="Q288" t="s">
        <v>6322</v>
      </c>
      <c r="R288" t="s">
        <v>6323</v>
      </c>
      <c r="S288" t="s">
        <v>6324</v>
      </c>
      <c r="T288" t="s">
        <v>6325</v>
      </c>
      <c r="U288" t="s">
        <v>6326</v>
      </c>
      <c r="V288" t="s">
        <v>6327</v>
      </c>
      <c r="W288" t="s">
        <v>6328</v>
      </c>
      <c r="X288" t="s">
        <v>6329</v>
      </c>
      <c r="Y288" t="s">
        <v>6330</v>
      </c>
    </row>
    <row r="289" spans="1:25" x14ac:dyDescent="0.3">
      <c r="A289">
        <v>14400</v>
      </c>
      <c r="B289" t="s">
        <v>6331</v>
      </c>
      <c r="C289" t="s">
        <v>6332</v>
      </c>
      <c r="D289" t="s">
        <v>6333</v>
      </c>
      <c r="E289" t="s">
        <v>6334</v>
      </c>
      <c r="F289" t="s">
        <v>6335</v>
      </c>
      <c r="G289" t="s">
        <v>6336</v>
      </c>
      <c r="H289" t="s">
        <v>6337</v>
      </c>
      <c r="I289" t="s">
        <v>6338</v>
      </c>
      <c r="J289" t="s">
        <v>6339</v>
      </c>
      <c r="K289" t="s">
        <v>6340</v>
      </c>
      <c r="L289" t="s">
        <v>6341</v>
      </c>
      <c r="M289" t="s">
        <v>6342</v>
      </c>
      <c r="N289" t="s">
        <v>6343</v>
      </c>
      <c r="O289" t="s">
        <v>6344</v>
      </c>
      <c r="P289" t="s">
        <v>6345</v>
      </c>
      <c r="Q289" t="s">
        <v>6346</v>
      </c>
      <c r="R289" t="s">
        <v>6347</v>
      </c>
      <c r="S289" t="s">
        <v>6348</v>
      </c>
      <c r="T289" t="s">
        <v>6349</v>
      </c>
      <c r="U289" t="s">
        <v>6350</v>
      </c>
      <c r="V289" t="s">
        <v>6351</v>
      </c>
      <c r="W289" t="s">
        <v>6352</v>
      </c>
      <c r="X289" t="s">
        <v>6353</v>
      </c>
      <c r="Y289" t="s">
        <v>6354</v>
      </c>
    </row>
    <row r="290" spans="1:25" x14ac:dyDescent="0.3">
      <c r="A290">
        <v>14450</v>
      </c>
      <c r="B290" t="s">
        <v>6355</v>
      </c>
      <c r="C290" t="s">
        <v>6356</v>
      </c>
      <c r="D290" t="s">
        <v>6357</v>
      </c>
      <c r="E290" t="s">
        <v>6358</v>
      </c>
      <c r="F290" t="s">
        <v>6359</v>
      </c>
      <c r="G290" t="s">
        <v>6360</v>
      </c>
      <c r="H290" t="s">
        <v>6361</v>
      </c>
      <c r="I290" t="s">
        <v>6362</v>
      </c>
      <c r="J290" t="s">
        <v>6363</v>
      </c>
      <c r="K290" t="s">
        <v>6364</v>
      </c>
      <c r="L290" t="s">
        <v>6365</v>
      </c>
      <c r="M290" t="s">
        <v>6366</v>
      </c>
      <c r="N290" t="s">
        <v>6367</v>
      </c>
      <c r="O290" t="s">
        <v>6368</v>
      </c>
      <c r="P290" t="s">
        <v>6369</v>
      </c>
      <c r="Q290" t="s">
        <v>6370</v>
      </c>
      <c r="R290" t="s">
        <v>6371</v>
      </c>
      <c r="S290" t="s">
        <v>6372</v>
      </c>
      <c r="T290" t="s">
        <v>6373</v>
      </c>
      <c r="U290" t="s">
        <v>6374</v>
      </c>
      <c r="V290" t="s">
        <v>6375</v>
      </c>
      <c r="W290" t="s">
        <v>6376</v>
      </c>
      <c r="X290" t="s">
        <v>6377</v>
      </c>
      <c r="Y290" t="s">
        <v>6378</v>
      </c>
    </row>
    <row r="291" spans="1:25" x14ac:dyDescent="0.3">
      <c r="A291">
        <v>14500</v>
      </c>
      <c r="B291" t="s">
        <v>6379</v>
      </c>
      <c r="C291" t="s">
        <v>6380</v>
      </c>
      <c r="D291" t="s">
        <v>6381</v>
      </c>
      <c r="E291" t="s">
        <v>6382</v>
      </c>
      <c r="F291" t="s">
        <v>6383</v>
      </c>
      <c r="G291" t="s">
        <v>6384</v>
      </c>
      <c r="H291" t="s">
        <v>6385</v>
      </c>
      <c r="I291" t="s">
        <v>6386</v>
      </c>
      <c r="J291" t="s">
        <v>6387</v>
      </c>
      <c r="K291" t="s">
        <v>6388</v>
      </c>
      <c r="L291" t="s">
        <v>6389</v>
      </c>
      <c r="M291" t="s">
        <v>6390</v>
      </c>
      <c r="N291" t="s">
        <v>6391</v>
      </c>
      <c r="O291" t="s">
        <v>6392</v>
      </c>
      <c r="P291" t="s">
        <v>6393</v>
      </c>
      <c r="Q291" t="s">
        <v>6394</v>
      </c>
      <c r="R291" t="s">
        <v>6395</v>
      </c>
      <c r="S291" t="s">
        <v>6396</v>
      </c>
      <c r="T291" t="s">
        <v>6397</v>
      </c>
      <c r="U291" t="s">
        <v>6398</v>
      </c>
      <c r="V291" t="s">
        <v>6399</v>
      </c>
      <c r="W291" t="s">
        <v>6400</v>
      </c>
      <c r="X291" t="s">
        <v>6401</v>
      </c>
      <c r="Y291" t="s">
        <v>6402</v>
      </c>
    </row>
    <row r="292" spans="1:25" x14ac:dyDescent="0.3">
      <c r="A292">
        <v>14550</v>
      </c>
      <c r="B292" t="s">
        <v>6403</v>
      </c>
      <c r="C292" t="s">
        <v>6404</v>
      </c>
      <c r="D292" t="s">
        <v>6405</v>
      </c>
      <c r="E292" t="s">
        <v>6406</v>
      </c>
      <c r="F292" t="s">
        <v>6407</v>
      </c>
      <c r="G292" t="s">
        <v>6408</v>
      </c>
      <c r="H292" t="s">
        <v>6409</v>
      </c>
      <c r="I292" t="s">
        <v>6410</v>
      </c>
      <c r="J292" t="s">
        <v>6411</v>
      </c>
      <c r="K292" t="s">
        <v>6412</v>
      </c>
      <c r="L292" t="s">
        <v>6413</v>
      </c>
      <c r="M292" t="s">
        <v>6414</v>
      </c>
      <c r="N292" t="s">
        <v>6415</v>
      </c>
      <c r="O292" t="s">
        <v>6416</v>
      </c>
      <c r="P292" t="s">
        <v>6417</v>
      </c>
      <c r="Q292" t="s">
        <v>6418</v>
      </c>
      <c r="R292" t="s">
        <v>6419</v>
      </c>
      <c r="S292" t="s">
        <v>6420</v>
      </c>
      <c r="T292" t="s">
        <v>6421</v>
      </c>
      <c r="U292" t="s">
        <v>6422</v>
      </c>
      <c r="V292" t="s">
        <v>6423</v>
      </c>
      <c r="W292" t="s">
        <v>6424</v>
      </c>
      <c r="X292" t="s">
        <v>6425</v>
      </c>
      <c r="Y292" t="s">
        <v>6426</v>
      </c>
    </row>
    <row r="293" spans="1:25" x14ac:dyDescent="0.3">
      <c r="A293">
        <v>14600</v>
      </c>
      <c r="B293" t="s">
        <v>6427</v>
      </c>
      <c r="C293" t="s">
        <v>6428</v>
      </c>
      <c r="D293" t="s">
        <v>6429</v>
      </c>
      <c r="E293" t="s">
        <v>6430</v>
      </c>
      <c r="F293" t="s">
        <v>6431</v>
      </c>
      <c r="G293" t="s">
        <v>6432</v>
      </c>
      <c r="H293" t="s">
        <v>6433</v>
      </c>
      <c r="I293" t="s">
        <v>6434</v>
      </c>
      <c r="J293" t="s">
        <v>6435</v>
      </c>
      <c r="K293" t="s">
        <v>6436</v>
      </c>
      <c r="L293" t="s">
        <v>6437</v>
      </c>
      <c r="M293" t="s">
        <v>6438</v>
      </c>
      <c r="N293" t="s">
        <v>6439</v>
      </c>
      <c r="O293" t="s">
        <v>6440</v>
      </c>
      <c r="P293" t="s">
        <v>6441</v>
      </c>
      <c r="Q293" t="s">
        <v>6442</v>
      </c>
      <c r="R293" t="s">
        <v>6443</v>
      </c>
      <c r="S293" t="s">
        <v>6444</v>
      </c>
      <c r="T293" t="s">
        <v>6445</v>
      </c>
      <c r="U293" t="s">
        <v>6446</v>
      </c>
      <c r="V293" t="s">
        <v>6447</v>
      </c>
      <c r="W293" t="s">
        <v>6448</v>
      </c>
      <c r="X293" t="s">
        <v>6449</v>
      </c>
      <c r="Y293" t="s">
        <v>6450</v>
      </c>
    </row>
    <row r="294" spans="1:25" x14ac:dyDescent="0.3">
      <c r="A294">
        <v>14650</v>
      </c>
      <c r="B294" t="s">
        <v>6451</v>
      </c>
      <c r="C294" t="s">
        <v>6452</v>
      </c>
      <c r="D294" t="s">
        <v>6453</v>
      </c>
      <c r="E294" t="s">
        <v>6454</v>
      </c>
      <c r="F294" t="s">
        <v>6455</v>
      </c>
      <c r="G294" t="s">
        <v>6456</v>
      </c>
      <c r="H294" t="s">
        <v>6457</v>
      </c>
      <c r="I294" t="s">
        <v>6458</v>
      </c>
      <c r="J294" t="s">
        <v>6459</v>
      </c>
      <c r="K294" t="s">
        <v>6460</v>
      </c>
      <c r="L294" t="s">
        <v>6461</v>
      </c>
      <c r="M294" t="s">
        <v>6462</v>
      </c>
      <c r="N294" t="s">
        <v>6463</v>
      </c>
      <c r="O294" t="s">
        <v>6464</v>
      </c>
      <c r="P294" t="s">
        <v>6465</v>
      </c>
      <c r="Q294" t="s">
        <v>6466</v>
      </c>
      <c r="R294" t="s">
        <v>6467</v>
      </c>
      <c r="S294" t="s">
        <v>6468</v>
      </c>
      <c r="T294" t="s">
        <v>6469</v>
      </c>
      <c r="U294" t="s">
        <v>6470</v>
      </c>
      <c r="V294" t="s">
        <v>6471</v>
      </c>
      <c r="W294" t="s">
        <v>6472</v>
      </c>
      <c r="X294" t="s">
        <v>6473</v>
      </c>
      <c r="Y294" t="s">
        <v>6474</v>
      </c>
    </row>
    <row r="295" spans="1:25" x14ac:dyDescent="0.3">
      <c r="A295">
        <v>14700</v>
      </c>
      <c r="B295" t="s">
        <v>6475</v>
      </c>
      <c r="C295" t="s">
        <v>6476</v>
      </c>
      <c r="D295" t="s">
        <v>6477</v>
      </c>
      <c r="E295" t="s">
        <v>6478</v>
      </c>
      <c r="F295" t="s">
        <v>6479</v>
      </c>
      <c r="G295" t="s">
        <v>6480</v>
      </c>
      <c r="H295" t="s">
        <v>6481</v>
      </c>
      <c r="I295" t="s">
        <v>6482</v>
      </c>
      <c r="J295" t="s">
        <v>6483</v>
      </c>
      <c r="K295" t="s">
        <v>6484</v>
      </c>
      <c r="L295" t="s">
        <v>6485</v>
      </c>
      <c r="M295" t="s">
        <v>6486</v>
      </c>
      <c r="N295" t="s">
        <v>6487</v>
      </c>
      <c r="O295" t="s">
        <v>6488</v>
      </c>
      <c r="P295" t="s">
        <v>6489</v>
      </c>
      <c r="Q295" t="s">
        <v>6490</v>
      </c>
      <c r="R295" t="s">
        <v>6491</v>
      </c>
      <c r="S295" t="s">
        <v>6492</v>
      </c>
      <c r="T295" t="s">
        <v>6493</v>
      </c>
      <c r="U295" t="s">
        <v>6494</v>
      </c>
      <c r="V295" t="s">
        <v>6495</v>
      </c>
      <c r="W295" t="s">
        <v>6496</v>
      </c>
      <c r="X295" t="s">
        <v>6497</v>
      </c>
      <c r="Y295" t="s">
        <v>6498</v>
      </c>
    </row>
    <row r="296" spans="1:25" x14ac:dyDescent="0.3">
      <c r="A296">
        <v>14750</v>
      </c>
      <c r="B296" t="s">
        <v>6499</v>
      </c>
      <c r="C296" t="s">
        <v>6500</v>
      </c>
      <c r="D296" t="s">
        <v>6501</v>
      </c>
      <c r="E296" t="s">
        <v>6502</v>
      </c>
      <c r="F296" t="s">
        <v>6503</v>
      </c>
      <c r="G296" t="s">
        <v>6504</v>
      </c>
      <c r="H296" t="s">
        <v>6505</v>
      </c>
      <c r="I296" t="s">
        <v>6506</v>
      </c>
      <c r="J296" t="s">
        <v>6507</v>
      </c>
      <c r="K296" t="s">
        <v>6508</v>
      </c>
      <c r="L296" t="s">
        <v>6509</v>
      </c>
      <c r="M296" t="s">
        <v>6510</v>
      </c>
      <c r="N296" t="s">
        <v>6511</v>
      </c>
      <c r="O296" t="s">
        <v>6512</v>
      </c>
      <c r="P296" t="s">
        <v>6513</v>
      </c>
      <c r="Q296" t="s">
        <v>6514</v>
      </c>
      <c r="R296" t="s">
        <v>6515</v>
      </c>
      <c r="S296" t="s">
        <v>6516</v>
      </c>
      <c r="T296" t="s">
        <v>6517</v>
      </c>
      <c r="U296" t="s">
        <v>6518</v>
      </c>
      <c r="V296" t="s">
        <v>6519</v>
      </c>
      <c r="W296" t="s">
        <v>6520</v>
      </c>
      <c r="X296" t="s">
        <v>6521</v>
      </c>
      <c r="Y296" t="s">
        <v>6522</v>
      </c>
    </row>
    <row r="297" spans="1:25" x14ac:dyDescent="0.3">
      <c r="A297">
        <v>14800</v>
      </c>
      <c r="B297" t="s">
        <v>6523</v>
      </c>
      <c r="C297" t="s">
        <v>6524</v>
      </c>
      <c r="D297" t="s">
        <v>6525</v>
      </c>
      <c r="E297" t="s">
        <v>6526</v>
      </c>
      <c r="F297" t="s">
        <v>6527</v>
      </c>
      <c r="G297" t="s">
        <v>6528</v>
      </c>
      <c r="H297" t="s">
        <v>6529</v>
      </c>
      <c r="I297" t="s">
        <v>6530</v>
      </c>
      <c r="J297" t="s">
        <v>6531</v>
      </c>
      <c r="K297" t="s">
        <v>6532</v>
      </c>
      <c r="L297" t="s">
        <v>6533</v>
      </c>
      <c r="M297" t="s">
        <v>6534</v>
      </c>
      <c r="N297" t="s">
        <v>6535</v>
      </c>
      <c r="O297" t="s">
        <v>6536</v>
      </c>
      <c r="P297" t="s">
        <v>6537</v>
      </c>
      <c r="Q297" t="s">
        <v>6538</v>
      </c>
      <c r="R297" t="s">
        <v>6539</v>
      </c>
      <c r="S297" t="s">
        <v>6540</v>
      </c>
      <c r="T297" t="s">
        <v>6541</v>
      </c>
      <c r="U297" t="s">
        <v>6542</v>
      </c>
      <c r="V297" t="s">
        <v>6543</v>
      </c>
      <c r="W297" t="s">
        <v>6544</v>
      </c>
      <c r="X297" t="s">
        <v>6545</v>
      </c>
      <c r="Y297" t="s">
        <v>6546</v>
      </c>
    </row>
    <row r="298" spans="1:25" x14ac:dyDescent="0.3">
      <c r="A298">
        <v>14850</v>
      </c>
      <c r="B298" t="s">
        <v>6547</v>
      </c>
      <c r="C298" t="s">
        <v>6548</v>
      </c>
      <c r="D298" t="s">
        <v>6549</v>
      </c>
      <c r="E298" t="s">
        <v>6550</v>
      </c>
      <c r="F298" t="s">
        <v>6551</v>
      </c>
      <c r="G298" t="s">
        <v>6552</v>
      </c>
      <c r="H298" t="s">
        <v>6553</v>
      </c>
      <c r="I298" t="s">
        <v>6554</v>
      </c>
      <c r="J298" t="s">
        <v>6555</v>
      </c>
      <c r="K298" t="s">
        <v>6556</v>
      </c>
      <c r="L298" t="s">
        <v>6557</v>
      </c>
      <c r="M298" t="s">
        <v>6558</v>
      </c>
      <c r="N298" t="s">
        <v>6559</v>
      </c>
      <c r="O298" t="s">
        <v>6560</v>
      </c>
      <c r="P298" t="s">
        <v>6561</v>
      </c>
      <c r="Q298" t="s">
        <v>6562</v>
      </c>
      <c r="R298" t="s">
        <v>6563</v>
      </c>
      <c r="S298" t="s">
        <v>6564</v>
      </c>
      <c r="T298" t="s">
        <v>6565</v>
      </c>
      <c r="U298" t="s">
        <v>6566</v>
      </c>
      <c r="V298" t="s">
        <v>6567</v>
      </c>
      <c r="W298" t="s">
        <v>6568</v>
      </c>
      <c r="X298" t="s">
        <v>6569</v>
      </c>
      <c r="Y298" t="s">
        <v>6570</v>
      </c>
    </row>
    <row r="299" spans="1:25" x14ac:dyDescent="0.3">
      <c r="A299">
        <v>14900</v>
      </c>
      <c r="B299" t="s">
        <v>6571</v>
      </c>
      <c r="C299" t="s">
        <v>6572</v>
      </c>
      <c r="D299" t="s">
        <v>6573</v>
      </c>
      <c r="E299" t="s">
        <v>6574</v>
      </c>
      <c r="F299" t="s">
        <v>6575</v>
      </c>
      <c r="G299" t="s">
        <v>6576</v>
      </c>
      <c r="H299" t="s">
        <v>6577</v>
      </c>
      <c r="I299" t="s">
        <v>6578</v>
      </c>
      <c r="J299" t="s">
        <v>6579</v>
      </c>
      <c r="K299" t="s">
        <v>6580</v>
      </c>
      <c r="L299" t="s">
        <v>6581</v>
      </c>
      <c r="M299" t="s">
        <v>6582</v>
      </c>
      <c r="N299" t="s">
        <v>6583</v>
      </c>
      <c r="O299" t="s">
        <v>6584</v>
      </c>
      <c r="P299" t="s">
        <v>6585</v>
      </c>
      <c r="Q299" t="s">
        <v>6586</v>
      </c>
      <c r="R299" t="s">
        <v>6587</v>
      </c>
      <c r="S299" t="s">
        <v>6588</v>
      </c>
      <c r="T299" t="s">
        <v>6589</v>
      </c>
      <c r="U299" t="s">
        <v>6590</v>
      </c>
      <c r="V299" t="s">
        <v>6591</v>
      </c>
      <c r="W299" t="s">
        <v>6592</v>
      </c>
      <c r="X299" t="s">
        <v>6593</v>
      </c>
      <c r="Y299" t="s">
        <v>6594</v>
      </c>
    </row>
    <row r="300" spans="1:25" x14ac:dyDescent="0.3">
      <c r="A300">
        <v>14950</v>
      </c>
      <c r="B300" t="s">
        <v>6595</v>
      </c>
      <c r="C300" t="s">
        <v>6596</v>
      </c>
      <c r="D300" t="s">
        <v>6597</v>
      </c>
      <c r="E300" t="s">
        <v>6598</v>
      </c>
      <c r="F300" t="s">
        <v>6599</v>
      </c>
      <c r="G300" t="s">
        <v>6600</v>
      </c>
      <c r="H300" t="s">
        <v>6601</v>
      </c>
      <c r="I300" t="s">
        <v>6602</v>
      </c>
      <c r="J300" t="s">
        <v>6603</v>
      </c>
      <c r="K300" t="s">
        <v>6604</v>
      </c>
      <c r="L300" t="s">
        <v>6605</v>
      </c>
      <c r="M300" t="s">
        <v>6606</v>
      </c>
      <c r="N300" t="s">
        <v>6607</v>
      </c>
      <c r="O300" t="s">
        <v>6608</v>
      </c>
      <c r="P300" t="s">
        <v>6609</v>
      </c>
      <c r="Q300" t="s">
        <v>6610</v>
      </c>
      <c r="R300" t="s">
        <v>6611</v>
      </c>
      <c r="S300" t="s">
        <v>6612</v>
      </c>
      <c r="T300" t="s">
        <v>6613</v>
      </c>
      <c r="U300" t="s">
        <v>6614</v>
      </c>
      <c r="V300" t="s">
        <v>6615</v>
      </c>
      <c r="W300" t="s">
        <v>6616</v>
      </c>
      <c r="X300" t="s">
        <v>6617</v>
      </c>
      <c r="Y300" t="s">
        <v>6618</v>
      </c>
    </row>
    <row r="301" spans="1:25" x14ac:dyDescent="0.3">
      <c r="A301">
        <v>15000</v>
      </c>
      <c r="B301" t="s">
        <v>6619</v>
      </c>
      <c r="C301" t="s">
        <v>6620</v>
      </c>
      <c r="D301" t="s">
        <v>6621</v>
      </c>
      <c r="E301" t="s">
        <v>6622</v>
      </c>
      <c r="F301" t="s">
        <v>6623</v>
      </c>
      <c r="G301" t="s">
        <v>6624</v>
      </c>
      <c r="H301" t="s">
        <v>6625</v>
      </c>
      <c r="I301" t="s">
        <v>6626</v>
      </c>
      <c r="J301" t="s">
        <v>6627</v>
      </c>
      <c r="K301" t="s">
        <v>6628</v>
      </c>
      <c r="L301" t="s">
        <v>6629</v>
      </c>
      <c r="M301" t="s">
        <v>6630</v>
      </c>
      <c r="N301" t="s">
        <v>6631</v>
      </c>
      <c r="O301" t="s">
        <v>6632</v>
      </c>
      <c r="P301" t="s">
        <v>6633</v>
      </c>
      <c r="Q301" t="s">
        <v>6634</v>
      </c>
      <c r="R301" t="s">
        <v>6635</v>
      </c>
      <c r="S301" t="s">
        <v>6636</v>
      </c>
      <c r="T301" t="s">
        <v>6637</v>
      </c>
      <c r="U301" t="s">
        <v>6638</v>
      </c>
      <c r="V301" t="s">
        <v>6639</v>
      </c>
      <c r="W301" t="s">
        <v>6640</v>
      </c>
      <c r="X301" t="s">
        <v>6641</v>
      </c>
      <c r="Y301" t="s">
        <v>6642</v>
      </c>
    </row>
    <row r="302" spans="1:25" x14ac:dyDescent="0.3">
      <c r="A302">
        <v>15050</v>
      </c>
      <c r="B302" t="s">
        <v>6643</v>
      </c>
      <c r="C302" t="s">
        <v>6644</v>
      </c>
      <c r="D302" t="s">
        <v>6645</v>
      </c>
      <c r="E302" t="s">
        <v>6646</v>
      </c>
      <c r="F302" t="s">
        <v>6647</v>
      </c>
      <c r="G302" t="s">
        <v>6648</v>
      </c>
      <c r="H302" t="s">
        <v>6649</v>
      </c>
      <c r="I302" t="s">
        <v>6650</v>
      </c>
      <c r="J302" t="s">
        <v>6651</v>
      </c>
      <c r="K302" t="s">
        <v>6652</v>
      </c>
      <c r="L302" t="s">
        <v>6653</v>
      </c>
      <c r="M302" t="s">
        <v>6654</v>
      </c>
      <c r="N302" t="s">
        <v>6655</v>
      </c>
      <c r="O302" t="s">
        <v>6656</v>
      </c>
      <c r="P302" t="s">
        <v>6657</v>
      </c>
      <c r="Q302" t="s">
        <v>6658</v>
      </c>
      <c r="R302" t="s">
        <v>6659</v>
      </c>
      <c r="S302" t="s">
        <v>6660</v>
      </c>
      <c r="T302" t="s">
        <v>6661</v>
      </c>
      <c r="U302" t="s">
        <v>6662</v>
      </c>
      <c r="V302" t="s">
        <v>6663</v>
      </c>
      <c r="W302" t="s">
        <v>6664</v>
      </c>
      <c r="X302" t="s">
        <v>6665</v>
      </c>
      <c r="Y302" t="s">
        <v>6666</v>
      </c>
    </row>
    <row r="303" spans="1:25" x14ac:dyDescent="0.3">
      <c r="A303">
        <v>15100</v>
      </c>
      <c r="B303" t="s">
        <v>6667</v>
      </c>
      <c r="C303" t="s">
        <v>6668</v>
      </c>
      <c r="D303" t="s">
        <v>6669</v>
      </c>
      <c r="E303" t="s">
        <v>6670</v>
      </c>
      <c r="F303" t="s">
        <v>6671</v>
      </c>
      <c r="G303" t="s">
        <v>6672</v>
      </c>
      <c r="H303" t="s">
        <v>6673</v>
      </c>
      <c r="I303" t="s">
        <v>6674</v>
      </c>
      <c r="J303" t="s">
        <v>6675</v>
      </c>
      <c r="K303" t="s">
        <v>6676</v>
      </c>
      <c r="L303" t="s">
        <v>6677</v>
      </c>
      <c r="M303" t="s">
        <v>6678</v>
      </c>
      <c r="N303" t="s">
        <v>6679</v>
      </c>
      <c r="O303" t="s">
        <v>6680</v>
      </c>
      <c r="P303" t="s">
        <v>6681</v>
      </c>
      <c r="Q303" t="s">
        <v>6682</v>
      </c>
      <c r="R303" t="s">
        <v>6683</v>
      </c>
      <c r="S303" t="s">
        <v>6684</v>
      </c>
      <c r="T303" t="s">
        <v>6685</v>
      </c>
      <c r="U303" t="s">
        <v>6686</v>
      </c>
      <c r="V303" t="s">
        <v>6687</v>
      </c>
      <c r="W303" t="s">
        <v>6688</v>
      </c>
      <c r="X303" t="s">
        <v>6689</v>
      </c>
      <c r="Y303" t="s">
        <v>6690</v>
      </c>
    </row>
    <row r="304" spans="1:25" x14ac:dyDescent="0.3">
      <c r="A304">
        <v>15150</v>
      </c>
      <c r="B304" t="s">
        <v>6691</v>
      </c>
      <c r="C304" t="s">
        <v>6692</v>
      </c>
      <c r="D304" t="s">
        <v>6693</v>
      </c>
      <c r="E304" t="s">
        <v>6694</v>
      </c>
      <c r="F304" t="s">
        <v>6695</v>
      </c>
      <c r="G304" t="s">
        <v>6696</v>
      </c>
      <c r="H304" t="s">
        <v>6697</v>
      </c>
      <c r="I304" t="s">
        <v>6698</v>
      </c>
      <c r="J304" t="s">
        <v>6699</v>
      </c>
      <c r="K304" t="s">
        <v>6700</v>
      </c>
      <c r="L304" t="s">
        <v>6701</v>
      </c>
      <c r="M304" t="s">
        <v>6702</v>
      </c>
      <c r="N304" t="s">
        <v>6703</v>
      </c>
      <c r="O304" t="s">
        <v>6704</v>
      </c>
      <c r="P304" t="s">
        <v>6705</v>
      </c>
      <c r="Q304" t="s">
        <v>6706</v>
      </c>
      <c r="R304" t="s">
        <v>6707</v>
      </c>
      <c r="S304" t="s">
        <v>6708</v>
      </c>
      <c r="T304" t="s">
        <v>6709</v>
      </c>
      <c r="U304" t="s">
        <v>6710</v>
      </c>
      <c r="V304" t="s">
        <v>6711</v>
      </c>
      <c r="W304" t="s">
        <v>6712</v>
      </c>
      <c r="X304" t="s">
        <v>6713</v>
      </c>
      <c r="Y304" t="s">
        <v>6714</v>
      </c>
    </row>
    <row r="305" spans="1:25" x14ac:dyDescent="0.3">
      <c r="A305">
        <v>15200</v>
      </c>
      <c r="B305" t="s">
        <v>6715</v>
      </c>
      <c r="C305" t="s">
        <v>6716</v>
      </c>
      <c r="D305" t="s">
        <v>6717</v>
      </c>
      <c r="E305" t="s">
        <v>6718</v>
      </c>
      <c r="F305" t="s">
        <v>6719</v>
      </c>
      <c r="G305" t="s">
        <v>6720</v>
      </c>
      <c r="H305" t="s">
        <v>6721</v>
      </c>
      <c r="I305" t="s">
        <v>6722</v>
      </c>
      <c r="J305" t="s">
        <v>6723</v>
      </c>
      <c r="K305" t="s">
        <v>6724</v>
      </c>
      <c r="L305" t="s">
        <v>6725</v>
      </c>
      <c r="M305" t="s">
        <v>6726</v>
      </c>
      <c r="N305" t="s">
        <v>6727</v>
      </c>
      <c r="O305" t="s">
        <v>6728</v>
      </c>
      <c r="P305" t="s">
        <v>6729</v>
      </c>
      <c r="Q305" t="s">
        <v>6730</v>
      </c>
      <c r="R305" t="s">
        <v>6731</v>
      </c>
      <c r="S305" t="s">
        <v>6732</v>
      </c>
      <c r="T305" t="s">
        <v>6733</v>
      </c>
      <c r="U305" t="s">
        <v>6734</v>
      </c>
      <c r="V305" t="s">
        <v>6735</v>
      </c>
      <c r="W305" t="s">
        <v>6736</v>
      </c>
      <c r="X305" t="s">
        <v>6737</v>
      </c>
      <c r="Y305" t="s">
        <v>6738</v>
      </c>
    </row>
    <row r="306" spans="1:25" x14ac:dyDescent="0.3">
      <c r="A306">
        <v>15250</v>
      </c>
      <c r="B306" t="s">
        <v>6739</v>
      </c>
      <c r="C306" t="s">
        <v>6740</v>
      </c>
      <c r="D306" t="s">
        <v>6741</v>
      </c>
      <c r="E306" t="s">
        <v>6742</v>
      </c>
      <c r="F306" t="s">
        <v>6743</v>
      </c>
      <c r="G306" t="s">
        <v>6744</v>
      </c>
      <c r="H306" t="s">
        <v>6745</v>
      </c>
      <c r="I306" t="s">
        <v>6746</v>
      </c>
      <c r="J306" t="s">
        <v>6747</v>
      </c>
      <c r="K306" t="s">
        <v>6748</v>
      </c>
      <c r="L306" t="s">
        <v>6749</v>
      </c>
      <c r="M306" t="s">
        <v>6750</v>
      </c>
      <c r="N306" t="s">
        <v>6751</v>
      </c>
      <c r="O306" t="s">
        <v>6752</v>
      </c>
      <c r="P306" t="s">
        <v>6753</v>
      </c>
      <c r="Q306" t="s">
        <v>6754</v>
      </c>
      <c r="R306" t="s">
        <v>6755</v>
      </c>
      <c r="S306" t="s">
        <v>6756</v>
      </c>
      <c r="T306" t="s">
        <v>6757</v>
      </c>
      <c r="U306" t="s">
        <v>6758</v>
      </c>
      <c r="V306" t="s">
        <v>6759</v>
      </c>
      <c r="W306" t="s">
        <v>6760</v>
      </c>
      <c r="X306" t="s">
        <v>6761</v>
      </c>
      <c r="Y306" t="s">
        <v>6762</v>
      </c>
    </row>
    <row r="307" spans="1:25" x14ac:dyDescent="0.3">
      <c r="A307">
        <v>15300</v>
      </c>
      <c r="B307" t="s">
        <v>6763</v>
      </c>
      <c r="C307" t="s">
        <v>6764</v>
      </c>
      <c r="D307" t="s">
        <v>6765</v>
      </c>
      <c r="E307" t="s">
        <v>6766</v>
      </c>
      <c r="F307" t="s">
        <v>6767</v>
      </c>
      <c r="G307" t="s">
        <v>6768</v>
      </c>
      <c r="H307" t="s">
        <v>6769</v>
      </c>
      <c r="I307" t="s">
        <v>6770</v>
      </c>
      <c r="J307" t="s">
        <v>6771</v>
      </c>
      <c r="K307" t="s">
        <v>6772</v>
      </c>
      <c r="L307" t="s">
        <v>6773</v>
      </c>
      <c r="M307" t="s">
        <v>6774</v>
      </c>
      <c r="N307" t="s">
        <v>6775</v>
      </c>
      <c r="O307" t="s">
        <v>6776</v>
      </c>
      <c r="P307" t="s">
        <v>6777</v>
      </c>
      <c r="Q307" t="s">
        <v>6778</v>
      </c>
      <c r="R307" t="s">
        <v>6779</v>
      </c>
      <c r="S307" t="s">
        <v>6780</v>
      </c>
      <c r="T307" t="s">
        <v>6781</v>
      </c>
      <c r="U307" t="s">
        <v>6782</v>
      </c>
      <c r="V307" t="s">
        <v>6783</v>
      </c>
      <c r="W307" t="s">
        <v>6784</v>
      </c>
      <c r="X307" t="s">
        <v>6785</v>
      </c>
      <c r="Y307" t="s">
        <v>6786</v>
      </c>
    </row>
    <row r="308" spans="1:25" x14ac:dyDescent="0.3">
      <c r="A308">
        <v>15350</v>
      </c>
      <c r="B308" t="s">
        <v>6787</v>
      </c>
      <c r="C308" t="s">
        <v>6788</v>
      </c>
      <c r="D308" t="s">
        <v>6789</v>
      </c>
      <c r="E308" t="s">
        <v>6790</v>
      </c>
      <c r="F308" t="s">
        <v>6791</v>
      </c>
      <c r="G308" t="s">
        <v>6792</v>
      </c>
      <c r="H308" t="s">
        <v>6793</v>
      </c>
      <c r="I308" t="s">
        <v>6794</v>
      </c>
      <c r="J308" t="s">
        <v>6795</v>
      </c>
      <c r="K308" t="s">
        <v>6796</v>
      </c>
      <c r="L308" t="s">
        <v>6797</v>
      </c>
      <c r="M308" t="s">
        <v>6798</v>
      </c>
      <c r="N308" t="s">
        <v>6799</v>
      </c>
      <c r="O308" t="s">
        <v>6800</v>
      </c>
      <c r="P308" t="s">
        <v>6801</v>
      </c>
      <c r="Q308" t="s">
        <v>6802</v>
      </c>
      <c r="R308" t="s">
        <v>6803</v>
      </c>
      <c r="S308" t="s">
        <v>6804</v>
      </c>
      <c r="T308" t="s">
        <v>6805</v>
      </c>
      <c r="U308" t="s">
        <v>6806</v>
      </c>
      <c r="V308" t="s">
        <v>6807</v>
      </c>
      <c r="W308" t="s">
        <v>6808</v>
      </c>
      <c r="X308" t="s">
        <v>6809</v>
      </c>
      <c r="Y308" t="s">
        <v>6810</v>
      </c>
    </row>
    <row r="309" spans="1:25" x14ac:dyDescent="0.3">
      <c r="A309">
        <v>15400</v>
      </c>
      <c r="B309" t="s">
        <v>6811</v>
      </c>
      <c r="C309" t="s">
        <v>6812</v>
      </c>
      <c r="D309" t="s">
        <v>6813</v>
      </c>
      <c r="E309" t="s">
        <v>6814</v>
      </c>
      <c r="F309" t="s">
        <v>6815</v>
      </c>
      <c r="G309" t="s">
        <v>6816</v>
      </c>
      <c r="H309" t="s">
        <v>6817</v>
      </c>
      <c r="I309" t="s">
        <v>6818</v>
      </c>
      <c r="J309" t="s">
        <v>6819</v>
      </c>
      <c r="K309" t="s">
        <v>6820</v>
      </c>
      <c r="L309" t="s">
        <v>6821</v>
      </c>
      <c r="M309" t="s">
        <v>6822</v>
      </c>
      <c r="N309" t="s">
        <v>6823</v>
      </c>
      <c r="O309" t="s">
        <v>6824</v>
      </c>
      <c r="P309" t="s">
        <v>6825</v>
      </c>
      <c r="Q309" t="s">
        <v>6826</v>
      </c>
      <c r="R309" t="s">
        <v>6827</v>
      </c>
      <c r="S309" t="s">
        <v>6828</v>
      </c>
      <c r="T309" t="s">
        <v>6829</v>
      </c>
      <c r="U309" t="s">
        <v>6830</v>
      </c>
      <c r="V309" t="s">
        <v>6831</v>
      </c>
      <c r="W309" t="s">
        <v>6832</v>
      </c>
      <c r="X309" t="s">
        <v>6833</v>
      </c>
      <c r="Y309" t="s">
        <v>6834</v>
      </c>
    </row>
    <row r="310" spans="1:25" x14ac:dyDescent="0.3">
      <c r="A310">
        <v>15450</v>
      </c>
      <c r="B310" t="s">
        <v>6835</v>
      </c>
      <c r="C310" t="s">
        <v>6836</v>
      </c>
      <c r="D310" t="s">
        <v>6837</v>
      </c>
      <c r="E310" t="s">
        <v>6838</v>
      </c>
      <c r="F310" t="s">
        <v>6839</v>
      </c>
      <c r="G310" t="s">
        <v>6840</v>
      </c>
      <c r="H310" t="s">
        <v>6841</v>
      </c>
      <c r="I310" t="s">
        <v>6842</v>
      </c>
      <c r="J310" t="s">
        <v>6843</v>
      </c>
      <c r="K310" t="s">
        <v>6844</v>
      </c>
      <c r="L310" t="s">
        <v>6845</v>
      </c>
      <c r="M310" t="s">
        <v>6846</v>
      </c>
      <c r="N310" t="s">
        <v>6847</v>
      </c>
      <c r="O310" t="s">
        <v>6848</v>
      </c>
      <c r="P310" t="s">
        <v>6849</v>
      </c>
      <c r="Q310" t="s">
        <v>6850</v>
      </c>
      <c r="R310" t="s">
        <v>6851</v>
      </c>
      <c r="S310" t="s">
        <v>6852</v>
      </c>
      <c r="T310" t="s">
        <v>6853</v>
      </c>
      <c r="U310" t="s">
        <v>6854</v>
      </c>
      <c r="V310" t="s">
        <v>6855</v>
      </c>
      <c r="W310" t="s">
        <v>6856</v>
      </c>
      <c r="X310" t="s">
        <v>6857</v>
      </c>
      <c r="Y310" t="s">
        <v>6858</v>
      </c>
    </row>
    <row r="311" spans="1:25" x14ac:dyDescent="0.3">
      <c r="A311">
        <v>15500</v>
      </c>
      <c r="B311" t="s">
        <v>6859</v>
      </c>
      <c r="C311" t="s">
        <v>6860</v>
      </c>
      <c r="D311" t="s">
        <v>6861</v>
      </c>
      <c r="E311" t="s">
        <v>6862</v>
      </c>
      <c r="F311" t="s">
        <v>6863</v>
      </c>
      <c r="G311" t="s">
        <v>6864</v>
      </c>
      <c r="H311" t="s">
        <v>6865</v>
      </c>
      <c r="I311" t="s">
        <v>6866</v>
      </c>
      <c r="J311" t="s">
        <v>6867</v>
      </c>
      <c r="K311" t="s">
        <v>6868</v>
      </c>
      <c r="L311" t="s">
        <v>6869</v>
      </c>
      <c r="M311" t="s">
        <v>6870</v>
      </c>
      <c r="N311" t="s">
        <v>6871</v>
      </c>
      <c r="O311" t="s">
        <v>6872</v>
      </c>
      <c r="P311" t="s">
        <v>6873</v>
      </c>
      <c r="Q311" t="s">
        <v>6874</v>
      </c>
      <c r="R311" t="s">
        <v>6875</v>
      </c>
      <c r="S311" t="s">
        <v>6876</v>
      </c>
      <c r="T311" t="s">
        <v>6877</v>
      </c>
      <c r="U311" t="s">
        <v>6878</v>
      </c>
      <c r="V311" t="s">
        <v>6879</v>
      </c>
      <c r="W311" t="s">
        <v>6880</v>
      </c>
      <c r="X311" t="s">
        <v>6881</v>
      </c>
      <c r="Y311" t="s">
        <v>6882</v>
      </c>
    </row>
    <row r="312" spans="1:25" x14ac:dyDescent="0.3">
      <c r="A312">
        <v>15550</v>
      </c>
      <c r="B312" t="s">
        <v>6883</v>
      </c>
      <c r="C312" t="s">
        <v>6884</v>
      </c>
      <c r="D312" t="s">
        <v>6885</v>
      </c>
      <c r="E312" t="s">
        <v>6886</v>
      </c>
      <c r="F312" t="s">
        <v>6887</v>
      </c>
      <c r="G312" t="s">
        <v>6888</v>
      </c>
      <c r="H312" t="s">
        <v>6889</v>
      </c>
      <c r="I312" t="s">
        <v>6890</v>
      </c>
      <c r="J312" t="s">
        <v>6891</v>
      </c>
      <c r="K312" t="s">
        <v>6892</v>
      </c>
      <c r="L312" t="s">
        <v>6893</v>
      </c>
      <c r="M312" t="s">
        <v>6894</v>
      </c>
      <c r="N312" t="s">
        <v>6895</v>
      </c>
      <c r="O312" t="s">
        <v>6896</v>
      </c>
      <c r="P312" t="s">
        <v>6897</v>
      </c>
      <c r="Q312" t="s">
        <v>6898</v>
      </c>
      <c r="R312" t="s">
        <v>6899</v>
      </c>
      <c r="S312" t="s">
        <v>6900</v>
      </c>
      <c r="T312" t="s">
        <v>6901</v>
      </c>
      <c r="U312" t="s">
        <v>6902</v>
      </c>
      <c r="V312" t="s">
        <v>6903</v>
      </c>
      <c r="W312" t="s">
        <v>6904</v>
      </c>
      <c r="X312" t="s">
        <v>6905</v>
      </c>
      <c r="Y312" t="s">
        <v>6906</v>
      </c>
    </row>
    <row r="313" spans="1:25" x14ac:dyDescent="0.3">
      <c r="A313">
        <v>15600</v>
      </c>
      <c r="B313" t="s">
        <v>6907</v>
      </c>
      <c r="C313" t="s">
        <v>6908</v>
      </c>
      <c r="D313" t="s">
        <v>6909</v>
      </c>
      <c r="E313" t="s">
        <v>6910</v>
      </c>
      <c r="F313" t="s">
        <v>6911</v>
      </c>
      <c r="G313" t="s">
        <v>6912</v>
      </c>
      <c r="H313" t="s">
        <v>6913</v>
      </c>
      <c r="I313" t="s">
        <v>6914</v>
      </c>
      <c r="J313" t="s">
        <v>6915</v>
      </c>
      <c r="K313" t="s">
        <v>6916</v>
      </c>
      <c r="L313" t="s">
        <v>6917</v>
      </c>
      <c r="M313" t="s">
        <v>6918</v>
      </c>
      <c r="N313" t="s">
        <v>6919</v>
      </c>
      <c r="O313" t="s">
        <v>6920</v>
      </c>
      <c r="P313" t="s">
        <v>6921</v>
      </c>
      <c r="Q313" t="s">
        <v>6922</v>
      </c>
      <c r="R313" t="s">
        <v>6923</v>
      </c>
      <c r="S313" t="s">
        <v>6924</v>
      </c>
      <c r="T313" t="s">
        <v>6925</v>
      </c>
      <c r="U313" t="s">
        <v>6926</v>
      </c>
      <c r="V313" t="s">
        <v>6927</v>
      </c>
      <c r="W313" t="s">
        <v>6928</v>
      </c>
      <c r="X313" t="s">
        <v>6929</v>
      </c>
      <c r="Y313" t="s">
        <v>6930</v>
      </c>
    </row>
    <row r="314" spans="1:25" x14ac:dyDescent="0.3">
      <c r="A314">
        <v>15650</v>
      </c>
      <c r="B314" t="s">
        <v>6931</v>
      </c>
      <c r="C314" t="s">
        <v>6932</v>
      </c>
      <c r="D314" t="s">
        <v>6933</v>
      </c>
      <c r="E314" t="s">
        <v>6934</v>
      </c>
      <c r="F314" t="s">
        <v>6935</v>
      </c>
      <c r="G314" t="s">
        <v>6936</v>
      </c>
      <c r="H314" t="s">
        <v>6937</v>
      </c>
      <c r="I314" t="s">
        <v>6938</v>
      </c>
      <c r="J314" t="s">
        <v>6939</v>
      </c>
      <c r="K314" t="s">
        <v>6940</v>
      </c>
      <c r="L314" t="s">
        <v>6941</v>
      </c>
      <c r="M314" t="s">
        <v>6942</v>
      </c>
      <c r="N314" t="s">
        <v>6943</v>
      </c>
      <c r="O314" t="s">
        <v>6944</v>
      </c>
      <c r="P314" t="s">
        <v>6945</v>
      </c>
      <c r="Q314" t="s">
        <v>6946</v>
      </c>
      <c r="R314" t="s">
        <v>6947</v>
      </c>
      <c r="S314" t="s">
        <v>6948</v>
      </c>
      <c r="T314" t="s">
        <v>6949</v>
      </c>
      <c r="U314" t="s">
        <v>6950</v>
      </c>
      <c r="V314" t="s">
        <v>6951</v>
      </c>
      <c r="W314" t="s">
        <v>6952</v>
      </c>
      <c r="X314" t="s">
        <v>6953</v>
      </c>
      <c r="Y314" t="s">
        <v>6954</v>
      </c>
    </row>
    <row r="315" spans="1:25" x14ac:dyDescent="0.3">
      <c r="A315">
        <v>15700</v>
      </c>
      <c r="B315" t="s">
        <v>6955</v>
      </c>
      <c r="C315" t="s">
        <v>6956</v>
      </c>
      <c r="D315" t="s">
        <v>6957</v>
      </c>
      <c r="E315" t="s">
        <v>6958</v>
      </c>
      <c r="F315" t="s">
        <v>6959</v>
      </c>
      <c r="G315" t="s">
        <v>6960</v>
      </c>
      <c r="H315" t="s">
        <v>6961</v>
      </c>
      <c r="I315" t="s">
        <v>6962</v>
      </c>
      <c r="J315" t="s">
        <v>6963</v>
      </c>
      <c r="K315" t="s">
        <v>6964</v>
      </c>
      <c r="L315" t="s">
        <v>6965</v>
      </c>
      <c r="M315" t="s">
        <v>6966</v>
      </c>
      <c r="N315" t="s">
        <v>6967</v>
      </c>
      <c r="O315" t="s">
        <v>6968</v>
      </c>
      <c r="P315" t="s">
        <v>6969</v>
      </c>
      <c r="Q315" t="s">
        <v>6970</v>
      </c>
      <c r="R315" t="s">
        <v>6971</v>
      </c>
      <c r="S315" t="s">
        <v>6972</v>
      </c>
      <c r="T315" t="s">
        <v>6973</v>
      </c>
      <c r="U315" t="s">
        <v>6974</v>
      </c>
      <c r="V315" t="s">
        <v>6975</v>
      </c>
      <c r="W315" t="s">
        <v>6976</v>
      </c>
      <c r="X315" t="s">
        <v>6977</v>
      </c>
      <c r="Y315" t="s">
        <v>6978</v>
      </c>
    </row>
    <row r="316" spans="1:25" x14ac:dyDescent="0.3">
      <c r="A316">
        <v>15750</v>
      </c>
      <c r="B316" t="s">
        <v>6979</v>
      </c>
      <c r="C316" t="s">
        <v>6980</v>
      </c>
      <c r="D316" t="s">
        <v>6981</v>
      </c>
      <c r="E316" t="s">
        <v>6982</v>
      </c>
      <c r="F316" t="s">
        <v>6983</v>
      </c>
      <c r="G316" t="s">
        <v>6984</v>
      </c>
      <c r="H316" t="s">
        <v>6985</v>
      </c>
      <c r="I316" t="s">
        <v>6986</v>
      </c>
      <c r="J316" t="s">
        <v>6987</v>
      </c>
      <c r="K316" t="s">
        <v>6988</v>
      </c>
      <c r="L316" t="s">
        <v>6989</v>
      </c>
      <c r="M316" t="s">
        <v>6990</v>
      </c>
      <c r="N316" t="s">
        <v>6991</v>
      </c>
      <c r="O316" t="s">
        <v>6992</v>
      </c>
      <c r="P316" t="s">
        <v>6993</v>
      </c>
      <c r="Q316" t="s">
        <v>6994</v>
      </c>
      <c r="R316" t="s">
        <v>6995</v>
      </c>
      <c r="S316" t="s">
        <v>6996</v>
      </c>
      <c r="T316" t="s">
        <v>6997</v>
      </c>
      <c r="U316" t="s">
        <v>6998</v>
      </c>
      <c r="V316" t="s">
        <v>6999</v>
      </c>
      <c r="W316" t="s">
        <v>7000</v>
      </c>
      <c r="X316" t="s">
        <v>7001</v>
      </c>
      <c r="Y316" t="s">
        <v>7002</v>
      </c>
    </row>
    <row r="317" spans="1:25" x14ac:dyDescent="0.3">
      <c r="A317">
        <v>15800</v>
      </c>
      <c r="B317" t="s">
        <v>7003</v>
      </c>
      <c r="C317" t="s">
        <v>7004</v>
      </c>
      <c r="D317" t="s">
        <v>7005</v>
      </c>
      <c r="E317" t="s">
        <v>7006</v>
      </c>
      <c r="F317" t="s">
        <v>7007</v>
      </c>
      <c r="G317" t="s">
        <v>7008</v>
      </c>
      <c r="H317" t="s">
        <v>7009</v>
      </c>
      <c r="I317" t="s">
        <v>7010</v>
      </c>
      <c r="J317" t="s">
        <v>7011</v>
      </c>
      <c r="K317" t="s">
        <v>7012</v>
      </c>
      <c r="L317" t="s">
        <v>7013</v>
      </c>
      <c r="M317" t="s">
        <v>7014</v>
      </c>
      <c r="N317" t="s">
        <v>7015</v>
      </c>
      <c r="O317" t="s">
        <v>7016</v>
      </c>
      <c r="P317" t="s">
        <v>7017</v>
      </c>
      <c r="Q317" t="s">
        <v>7018</v>
      </c>
      <c r="R317" t="s">
        <v>7019</v>
      </c>
      <c r="S317" t="s">
        <v>7020</v>
      </c>
      <c r="T317" t="s">
        <v>7021</v>
      </c>
      <c r="U317" t="s">
        <v>7022</v>
      </c>
      <c r="V317" t="s">
        <v>7023</v>
      </c>
      <c r="W317" t="s">
        <v>7024</v>
      </c>
      <c r="X317" t="s">
        <v>7025</v>
      </c>
      <c r="Y317" t="s">
        <v>7026</v>
      </c>
    </row>
    <row r="318" spans="1:25" x14ac:dyDescent="0.3">
      <c r="A318">
        <v>15850</v>
      </c>
      <c r="B318" t="s">
        <v>7027</v>
      </c>
      <c r="C318" t="s">
        <v>7028</v>
      </c>
      <c r="D318" t="s">
        <v>7029</v>
      </c>
      <c r="E318" t="s">
        <v>7030</v>
      </c>
      <c r="F318" t="s">
        <v>7031</v>
      </c>
      <c r="G318" t="s">
        <v>7032</v>
      </c>
      <c r="H318" t="s">
        <v>7033</v>
      </c>
      <c r="I318" t="s">
        <v>7034</v>
      </c>
      <c r="J318" t="s">
        <v>7035</v>
      </c>
      <c r="K318" t="s">
        <v>7036</v>
      </c>
      <c r="L318" t="s">
        <v>7037</v>
      </c>
      <c r="M318" t="s">
        <v>7038</v>
      </c>
      <c r="N318" t="s">
        <v>7039</v>
      </c>
      <c r="O318" t="s">
        <v>7040</v>
      </c>
      <c r="P318" t="s">
        <v>7041</v>
      </c>
      <c r="Q318" t="s">
        <v>7042</v>
      </c>
      <c r="R318" t="s">
        <v>7043</v>
      </c>
      <c r="S318" t="s">
        <v>7044</v>
      </c>
      <c r="T318" t="s">
        <v>7045</v>
      </c>
      <c r="U318" t="s">
        <v>7046</v>
      </c>
      <c r="V318" t="s">
        <v>7047</v>
      </c>
      <c r="W318" t="s">
        <v>7048</v>
      </c>
      <c r="X318" t="s">
        <v>7049</v>
      </c>
      <c r="Y318" t="s">
        <v>7050</v>
      </c>
    </row>
    <row r="319" spans="1:25" x14ac:dyDescent="0.3">
      <c r="A319">
        <v>15900</v>
      </c>
      <c r="B319" t="s">
        <v>7051</v>
      </c>
      <c r="C319" t="s">
        <v>7052</v>
      </c>
      <c r="D319" t="s">
        <v>7053</v>
      </c>
      <c r="E319" t="s">
        <v>7054</v>
      </c>
      <c r="F319" t="s">
        <v>7055</v>
      </c>
      <c r="G319" t="s">
        <v>7056</v>
      </c>
      <c r="H319" t="s">
        <v>7057</v>
      </c>
      <c r="I319" t="s">
        <v>7058</v>
      </c>
      <c r="J319" t="s">
        <v>7059</v>
      </c>
      <c r="K319" t="s">
        <v>7060</v>
      </c>
      <c r="L319" t="s">
        <v>7061</v>
      </c>
      <c r="M319" t="s">
        <v>7062</v>
      </c>
      <c r="N319" t="s">
        <v>7063</v>
      </c>
      <c r="O319" t="s">
        <v>7064</v>
      </c>
      <c r="P319" t="s">
        <v>7065</v>
      </c>
      <c r="Q319" t="s">
        <v>7066</v>
      </c>
      <c r="R319" t="s">
        <v>7067</v>
      </c>
      <c r="S319" t="s">
        <v>7068</v>
      </c>
      <c r="T319" t="s">
        <v>7069</v>
      </c>
      <c r="U319" t="s">
        <v>7070</v>
      </c>
      <c r="V319" t="s">
        <v>7071</v>
      </c>
      <c r="W319" t="s">
        <v>7072</v>
      </c>
      <c r="X319" t="s">
        <v>7073</v>
      </c>
      <c r="Y319" t="s">
        <v>7074</v>
      </c>
    </row>
    <row r="320" spans="1:25" x14ac:dyDescent="0.3">
      <c r="A320">
        <v>15950</v>
      </c>
      <c r="B320" t="s">
        <v>7075</v>
      </c>
      <c r="C320" t="s">
        <v>7076</v>
      </c>
      <c r="D320" t="s">
        <v>7077</v>
      </c>
      <c r="E320" t="s">
        <v>7078</v>
      </c>
      <c r="F320" t="s">
        <v>7079</v>
      </c>
      <c r="G320" t="s">
        <v>7080</v>
      </c>
      <c r="H320" t="s">
        <v>7081</v>
      </c>
      <c r="I320" t="s">
        <v>7082</v>
      </c>
      <c r="J320" t="s">
        <v>7083</v>
      </c>
      <c r="K320" t="s">
        <v>7084</v>
      </c>
      <c r="L320" t="s">
        <v>7085</v>
      </c>
      <c r="M320" t="s">
        <v>7086</v>
      </c>
      <c r="N320" t="s">
        <v>7087</v>
      </c>
      <c r="O320" t="s">
        <v>7088</v>
      </c>
      <c r="P320" t="s">
        <v>7089</v>
      </c>
      <c r="Q320" t="s">
        <v>7090</v>
      </c>
      <c r="R320" t="s">
        <v>7091</v>
      </c>
      <c r="S320" t="s">
        <v>7092</v>
      </c>
      <c r="T320" t="s">
        <v>7093</v>
      </c>
      <c r="U320" t="s">
        <v>7094</v>
      </c>
      <c r="V320" t="s">
        <v>7095</v>
      </c>
      <c r="W320" t="s">
        <v>7096</v>
      </c>
      <c r="X320" t="s">
        <v>7097</v>
      </c>
      <c r="Y320" t="s">
        <v>7098</v>
      </c>
    </row>
    <row r="321" spans="1:25" x14ac:dyDescent="0.3">
      <c r="A321">
        <v>16000</v>
      </c>
      <c r="B321" t="s">
        <v>7099</v>
      </c>
      <c r="C321" t="s">
        <v>7100</v>
      </c>
      <c r="D321" t="s">
        <v>7101</v>
      </c>
      <c r="E321" t="s">
        <v>7102</v>
      </c>
      <c r="F321" t="s">
        <v>7103</v>
      </c>
      <c r="G321" t="s">
        <v>7104</v>
      </c>
      <c r="H321" t="s">
        <v>7105</v>
      </c>
      <c r="I321" t="s">
        <v>7106</v>
      </c>
      <c r="J321" t="s">
        <v>7107</v>
      </c>
      <c r="K321" t="s">
        <v>7108</v>
      </c>
      <c r="L321" t="s">
        <v>7109</v>
      </c>
      <c r="M321" t="s">
        <v>7110</v>
      </c>
      <c r="N321" t="s">
        <v>7111</v>
      </c>
      <c r="O321" t="s">
        <v>7112</v>
      </c>
      <c r="P321" t="s">
        <v>7113</v>
      </c>
      <c r="Q321" t="s">
        <v>7114</v>
      </c>
      <c r="R321" t="s">
        <v>7115</v>
      </c>
      <c r="S321" t="s">
        <v>7116</v>
      </c>
      <c r="T321" t="s">
        <v>7117</v>
      </c>
      <c r="U321" t="s">
        <v>7118</v>
      </c>
      <c r="V321" t="s">
        <v>7119</v>
      </c>
      <c r="W321" t="s">
        <v>7120</v>
      </c>
      <c r="X321" t="s">
        <v>7121</v>
      </c>
      <c r="Y321" t="s">
        <v>7122</v>
      </c>
    </row>
    <row r="322" spans="1:25" x14ac:dyDescent="0.3">
      <c r="A322">
        <v>16050</v>
      </c>
      <c r="B322" t="s">
        <v>7123</v>
      </c>
      <c r="C322" t="s">
        <v>7124</v>
      </c>
      <c r="D322" t="s">
        <v>7125</v>
      </c>
      <c r="E322" t="s">
        <v>7126</v>
      </c>
      <c r="F322" t="s">
        <v>7127</v>
      </c>
      <c r="G322" t="s">
        <v>7128</v>
      </c>
      <c r="H322" t="s">
        <v>7129</v>
      </c>
      <c r="I322" t="s">
        <v>7130</v>
      </c>
      <c r="J322" t="s">
        <v>7131</v>
      </c>
      <c r="K322" t="s">
        <v>7132</v>
      </c>
      <c r="L322" t="s">
        <v>7133</v>
      </c>
      <c r="M322" t="s">
        <v>7134</v>
      </c>
      <c r="N322" t="s">
        <v>7135</v>
      </c>
      <c r="O322" t="s">
        <v>7136</v>
      </c>
      <c r="P322" t="s">
        <v>7137</v>
      </c>
      <c r="Q322" t="s">
        <v>7138</v>
      </c>
      <c r="R322" t="s">
        <v>7139</v>
      </c>
      <c r="S322" t="s">
        <v>7140</v>
      </c>
      <c r="T322" t="s">
        <v>7141</v>
      </c>
      <c r="U322" t="s">
        <v>7142</v>
      </c>
      <c r="V322" t="s">
        <v>7143</v>
      </c>
      <c r="W322" t="s">
        <v>7144</v>
      </c>
      <c r="X322" t="s">
        <v>7145</v>
      </c>
      <c r="Y322" t="s">
        <v>7146</v>
      </c>
    </row>
    <row r="323" spans="1:25" x14ac:dyDescent="0.3">
      <c r="A323">
        <v>16100</v>
      </c>
      <c r="B323" t="s">
        <v>7147</v>
      </c>
      <c r="C323" t="s">
        <v>7148</v>
      </c>
      <c r="D323" t="s">
        <v>7149</v>
      </c>
      <c r="E323" t="s">
        <v>7150</v>
      </c>
      <c r="F323" t="s">
        <v>7151</v>
      </c>
      <c r="G323" t="s">
        <v>7152</v>
      </c>
      <c r="H323" t="s">
        <v>7153</v>
      </c>
      <c r="I323" t="s">
        <v>7154</v>
      </c>
      <c r="J323" t="s">
        <v>7155</v>
      </c>
      <c r="K323" t="s">
        <v>7156</v>
      </c>
      <c r="L323" t="s">
        <v>7157</v>
      </c>
      <c r="M323" t="s">
        <v>7158</v>
      </c>
      <c r="N323" t="s">
        <v>7159</v>
      </c>
      <c r="O323" t="s">
        <v>7160</v>
      </c>
      <c r="P323" t="s">
        <v>7161</v>
      </c>
      <c r="Q323" t="s">
        <v>7162</v>
      </c>
      <c r="R323" t="s">
        <v>7163</v>
      </c>
      <c r="S323" t="s">
        <v>7164</v>
      </c>
      <c r="T323" t="s">
        <v>7165</v>
      </c>
      <c r="U323" t="s">
        <v>7166</v>
      </c>
      <c r="V323" t="s">
        <v>7167</v>
      </c>
      <c r="W323" t="s">
        <v>7168</v>
      </c>
      <c r="X323" t="s">
        <v>7169</v>
      </c>
      <c r="Y323" t="s">
        <v>7170</v>
      </c>
    </row>
    <row r="324" spans="1:25" x14ac:dyDescent="0.3">
      <c r="A324">
        <v>16150</v>
      </c>
      <c r="B324" t="s">
        <v>7171</v>
      </c>
      <c r="C324" t="s">
        <v>7172</v>
      </c>
      <c r="D324" t="s">
        <v>7173</v>
      </c>
      <c r="E324" t="s">
        <v>7174</v>
      </c>
      <c r="F324" t="s">
        <v>7175</v>
      </c>
      <c r="G324" t="s">
        <v>7176</v>
      </c>
      <c r="H324" t="s">
        <v>7177</v>
      </c>
      <c r="I324" t="s">
        <v>7178</v>
      </c>
      <c r="J324" t="s">
        <v>7179</v>
      </c>
      <c r="K324" t="s">
        <v>7180</v>
      </c>
      <c r="L324" t="s">
        <v>7181</v>
      </c>
      <c r="M324" t="s">
        <v>7182</v>
      </c>
      <c r="N324" t="s">
        <v>7183</v>
      </c>
      <c r="O324" t="s">
        <v>7184</v>
      </c>
      <c r="P324" t="s">
        <v>7185</v>
      </c>
      <c r="Q324" t="s">
        <v>7186</v>
      </c>
      <c r="R324" t="s">
        <v>7187</v>
      </c>
      <c r="S324" t="s">
        <v>7188</v>
      </c>
      <c r="T324" t="s">
        <v>7189</v>
      </c>
      <c r="U324" t="s">
        <v>7190</v>
      </c>
      <c r="V324" t="s">
        <v>7191</v>
      </c>
      <c r="W324" t="s">
        <v>7192</v>
      </c>
      <c r="X324" t="s">
        <v>7193</v>
      </c>
      <c r="Y324" t="s">
        <v>7194</v>
      </c>
    </row>
    <row r="325" spans="1:25" x14ac:dyDescent="0.3">
      <c r="A325">
        <v>16200</v>
      </c>
      <c r="B325" t="s">
        <v>7195</v>
      </c>
      <c r="C325" t="s">
        <v>7196</v>
      </c>
      <c r="D325" t="s">
        <v>7197</v>
      </c>
      <c r="E325" t="s">
        <v>7198</v>
      </c>
      <c r="F325" t="s">
        <v>7199</v>
      </c>
      <c r="G325" t="s">
        <v>7200</v>
      </c>
      <c r="H325" t="s">
        <v>7201</v>
      </c>
      <c r="I325" t="s">
        <v>7202</v>
      </c>
      <c r="J325" t="s">
        <v>7203</v>
      </c>
      <c r="K325" t="s">
        <v>7204</v>
      </c>
      <c r="L325" t="s">
        <v>7205</v>
      </c>
      <c r="M325" t="s">
        <v>7206</v>
      </c>
      <c r="N325" t="s">
        <v>7207</v>
      </c>
      <c r="O325" t="s">
        <v>7208</v>
      </c>
      <c r="P325" t="s">
        <v>7209</v>
      </c>
      <c r="Q325" t="s">
        <v>7210</v>
      </c>
      <c r="R325" t="s">
        <v>7211</v>
      </c>
      <c r="S325" t="s">
        <v>7212</v>
      </c>
      <c r="T325" t="s">
        <v>7213</v>
      </c>
      <c r="U325" t="s">
        <v>7214</v>
      </c>
      <c r="V325" t="s">
        <v>7215</v>
      </c>
      <c r="W325" t="s">
        <v>7216</v>
      </c>
      <c r="X325" t="s">
        <v>7217</v>
      </c>
      <c r="Y325" t="s">
        <v>7218</v>
      </c>
    </row>
    <row r="326" spans="1:25" x14ac:dyDescent="0.3">
      <c r="A326">
        <v>16250</v>
      </c>
      <c r="B326" t="s">
        <v>7219</v>
      </c>
      <c r="C326" t="s">
        <v>7220</v>
      </c>
      <c r="D326" t="s">
        <v>7221</v>
      </c>
      <c r="E326" t="s">
        <v>7222</v>
      </c>
      <c r="F326" t="s">
        <v>7223</v>
      </c>
      <c r="G326" t="s">
        <v>7224</v>
      </c>
      <c r="H326" t="s">
        <v>7225</v>
      </c>
      <c r="I326" t="s">
        <v>7226</v>
      </c>
      <c r="J326" t="s">
        <v>7227</v>
      </c>
      <c r="K326" t="s">
        <v>7228</v>
      </c>
      <c r="L326" t="s">
        <v>7229</v>
      </c>
      <c r="M326" t="s">
        <v>7230</v>
      </c>
      <c r="N326" t="s">
        <v>7231</v>
      </c>
      <c r="O326" t="s">
        <v>7232</v>
      </c>
      <c r="P326" t="s">
        <v>7233</v>
      </c>
      <c r="Q326" t="s">
        <v>7234</v>
      </c>
      <c r="R326" t="s">
        <v>7235</v>
      </c>
      <c r="S326" t="s">
        <v>7236</v>
      </c>
      <c r="T326" t="s">
        <v>7237</v>
      </c>
      <c r="U326" t="s">
        <v>7238</v>
      </c>
      <c r="V326" t="s">
        <v>7239</v>
      </c>
      <c r="W326" t="s">
        <v>7240</v>
      </c>
      <c r="X326" t="s">
        <v>7241</v>
      </c>
      <c r="Y326" t="s">
        <v>7242</v>
      </c>
    </row>
    <row r="327" spans="1:25" x14ac:dyDescent="0.3">
      <c r="A327">
        <v>16300</v>
      </c>
      <c r="B327" t="s">
        <v>7243</v>
      </c>
      <c r="C327" t="s">
        <v>7244</v>
      </c>
      <c r="D327" t="s">
        <v>7245</v>
      </c>
      <c r="E327" t="s">
        <v>7246</v>
      </c>
      <c r="F327" t="s">
        <v>7247</v>
      </c>
      <c r="G327" t="s">
        <v>7248</v>
      </c>
      <c r="H327" t="s">
        <v>7249</v>
      </c>
      <c r="I327" t="s">
        <v>7250</v>
      </c>
      <c r="J327" t="s">
        <v>7251</v>
      </c>
      <c r="K327" t="s">
        <v>7252</v>
      </c>
      <c r="L327" t="s">
        <v>7253</v>
      </c>
      <c r="M327" t="s">
        <v>7254</v>
      </c>
      <c r="N327" t="s">
        <v>7255</v>
      </c>
      <c r="O327" t="s">
        <v>7256</v>
      </c>
      <c r="P327" t="s">
        <v>7257</v>
      </c>
      <c r="Q327" t="s">
        <v>7258</v>
      </c>
      <c r="R327" t="s">
        <v>7259</v>
      </c>
      <c r="S327" t="s">
        <v>7260</v>
      </c>
      <c r="T327" t="s">
        <v>7261</v>
      </c>
      <c r="U327" t="s">
        <v>7262</v>
      </c>
      <c r="V327" t="s">
        <v>7263</v>
      </c>
      <c r="W327" t="s">
        <v>7264</v>
      </c>
      <c r="X327" t="s">
        <v>7265</v>
      </c>
      <c r="Y327" t="s">
        <v>7266</v>
      </c>
    </row>
    <row r="328" spans="1:25" x14ac:dyDescent="0.3">
      <c r="A328">
        <v>16350</v>
      </c>
      <c r="B328" t="s">
        <v>7267</v>
      </c>
      <c r="C328" t="s">
        <v>7268</v>
      </c>
      <c r="D328" t="s">
        <v>7269</v>
      </c>
      <c r="E328" t="s">
        <v>7270</v>
      </c>
      <c r="F328" t="s">
        <v>7271</v>
      </c>
      <c r="G328" t="s">
        <v>7272</v>
      </c>
      <c r="H328" t="s">
        <v>7273</v>
      </c>
      <c r="I328" t="s">
        <v>7274</v>
      </c>
      <c r="J328" t="s">
        <v>7275</v>
      </c>
      <c r="K328" t="s">
        <v>7276</v>
      </c>
      <c r="L328" t="s">
        <v>7277</v>
      </c>
      <c r="M328" t="s">
        <v>7278</v>
      </c>
      <c r="N328" t="s">
        <v>7279</v>
      </c>
      <c r="O328" t="s">
        <v>7280</v>
      </c>
      <c r="P328" t="s">
        <v>7281</v>
      </c>
      <c r="Q328" t="s">
        <v>7282</v>
      </c>
      <c r="R328" t="s">
        <v>7283</v>
      </c>
      <c r="S328" t="s">
        <v>7284</v>
      </c>
      <c r="T328" t="s">
        <v>7285</v>
      </c>
      <c r="U328" t="s">
        <v>7286</v>
      </c>
      <c r="V328" t="s">
        <v>7287</v>
      </c>
      <c r="W328" t="s">
        <v>7288</v>
      </c>
      <c r="X328" t="s">
        <v>7289</v>
      </c>
      <c r="Y328" t="s">
        <v>7290</v>
      </c>
    </row>
    <row r="329" spans="1:25" x14ac:dyDescent="0.3">
      <c r="A329">
        <v>16400</v>
      </c>
      <c r="B329" t="s">
        <v>7291</v>
      </c>
      <c r="C329" t="s">
        <v>7292</v>
      </c>
      <c r="D329" t="s">
        <v>7293</v>
      </c>
      <c r="E329" t="s">
        <v>7294</v>
      </c>
      <c r="F329" t="s">
        <v>7295</v>
      </c>
      <c r="G329" t="s">
        <v>7296</v>
      </c>
      <c r="H329" t="s">
        <v>7297</v>
      </c>
      <c r="I329" t="s">
        <v>7298</v>
      </c>
      <c r="J329" t="s">
        <v>7299</v>
      </c>
      <c r="K329" t="s">
        <v>7300</v>
      </c>
      <c r="L329" t="s">
        <v>7301</v>
      </c>
      <c r="M329" t="s">
        <v>7302</v>
      </c>
      <c r="N329" t="s">
        <v>7303</v>
      </c>
      <c r="O329" t="s">
        <v>7304</v>
      </c>
      <c r="P329" t="s">
        <v>7305</v>
      </c>
      <c r="Q329" t="s">
        <v>7306</v>
      </c>
      <c r="R329" t="s">
        <v>7307</v>
      </c>
      <c r="S329" t="s">
        <v>7308</v>
      </c>
      <c r="T329" t="s">
        <v>7309</v>
      </c>
      <c r="U329" t="s">
        <v>7310</v>
      </c>
      <c r="V329" t="s">
        <v>7311</v>
      </c>
      <c r="W329" t="s">
        <v>7312</v>
      </c>
      <c r="X329" t="s">
        <v>7313</v>
      </c>
      <c r="Y329" t="s">
        <v>7314</v>
      </c>
    </row>
    <row r="330" spans="1:25" x14ac:dyDescent="0.3">
      <c r="A330">
        <v>16450</v>
      </c>
      <c r="B330" t="s">
        <v>7315</v>
      </c>
      <c r="C330" t="s">
        <v>7316</v>
      </c>
      <c r="D330" t="s">
        <v>7317</v>
      </c>
      <c r="E330" t="s">
        <v>7318</v>
      </c>
      <c r="F330" t="s">
        <v>7319</v>
      </c>
      <c r="G330" t="s">
        <v>7320</v>
      </c>
      <c r="H330" t="s">
        <v>7321</v>
      </c>
      <c r="I330" t="s">
        <v>7322</v>
      </c>
      <c r="J330" t="s">
        <v>7323</v>
      </c>
      <c r="K330" t="s">
        <v>7324</v>
      </c>
      <c r="L330" t="s">
        <v>7325</v>
      </c>
      <c r="M330" t="s">
        <v>7326</v>
      </c>
      <c r="N330" t="s">
        <v>7327</v>
      </c>
      <c r="O330" t="s">
        <v>7328</v>
      </c>
      <c r="P330" t="s">
        <v>7329</v>
      </c>
      <c r="Q330" t="s">
        <v>7330</v>
      </c>
      <c r="R330" t="s">
        <v>7331</v>
      </c>
      <c r="S330" t="s">
        <v>7332</v>
      </c>
      <c r="T330" t="s">
        <v>7333</v>
      </c>
      <c r="U330" t="s">
        <v>7334</v>
      </c>
      <c r="V330" t="s">
        <v>7335</v>
      </c>
      <c r="W330" t="s">
        <v>7336</v>
      </c>
      <c r="X330" t="s">
        <v>7337</v>
      </c>
      <c r="Y330" t="s">
        <v>7338</v>
      </c>
    </row>
    <row r="331" spans="1:25" x14ac:dyDescent="0.3">
      <c r="A331">
        <v>16500</v>
      </c>
      <c r="B331" t="s">
        <v>7339</v>
      </c>
      <c r="C331" t="s">
        <v>7340</v>
      </c>
      <c r="D331" t="s">
        <v>7341</v>
      </c>
      <c r="E331" t="s">
        <v>7342</v>
      </c>
      <c r="F331" t="s">
        <v>7343</v>
      </c>
      <c r="G331" t="s">
        <v>7344</v>
      </c>
      <c r="H331" t="s">
        <v>7345</v>
      </c>
      <c r="I331" t="s">
        <v>7346</v>
      </c>
      <c r="J331" t="s">
        <v>7347</v>
      </c>
      <c r="K331" t="s">
        <v>7348</v>
      </c>
      <c r="L331" t="s">
        <v>7349</v>
      </c>
      <c r="M331" t="s">
        <v>7350</v>
      </c>
      <c r="N331" t="s">
        <v>7351</v>
      </c>
      <c r="O331" t="s">
        <v>7352</v>
      </c>
      <c r="P331" t="s">
        <v>7353</v>
      </c>
      <c r="Q331" t="s">
        <v>7354</v>
      </c>
      <c r="R331" t="s">
        <v>7355</v>
      </c>
      <c r="S331" t="s">
        <v>7356</v>
      </c>
      <c r="T331" t="s">
        <v>7357</v>
      </c>
      <c r="U331" t="s">
        <v>7358</v>
      </c>
      <c r="V331" t="s">
        <v>7359</v>
      </c>
      <c r="W331" t="s">
        <v>7360</v>
      </c>
      <c r="X331" t="s">
        <v>7361</v>
      </c>
      <c r="Y331" t="s">
        <v>7362</v>
      </c>
    </row>
    <row r="332" spans="1:25" x14ac:dyDescent="0.3">
      <c r="A332">
        <v>16550</v>
      </c>
      <c r="B332" t="s">
        <v>7363</v>
      </c>
      <c r="C332" t="s">
        <v>7364</v>
      </c>
      <c r="D332" t="s">
        <v>7365</v>
      </c>
      <c r="E332" t="s">
        <v>7366</v>
      </c>
      <c r="F332" t="s">
        <v>7367</v>
      </c>
      <c r="G332" t="s">
        <v>7368</v>
      </c>
      <c r="H332" t="s">
        <v>7369</v>
      </c>
      <c r="I332" t="s">
        <v>7370</v>
      </c>
      <c r="J332" t="s">
        <v>7371</v>
      </c>
      <c r="K332" t="s">
        <v>7372</v>
      </c>
      <c r="L332" t="s">
        <v>7373</v>
      </c>
      <c r="M332" t="s">
        <v>7374</v>
      </c>
      <c r="N332" t="s">
        <v>7375</v>
      </c>
      <c r="O332" t="s">
        <v>7376</v>
      </c>
      <c r="P332" t="s">
        <v>7377</v>
      </c>
      <c r="Q332" t="s">
        <v>7378</v>
      </c>
      <c r="R332" t="s">
        <v>7379</v>
      </c>
      <c r="S332" t="s">
        <v>7380</v>
      </c>
      <c r="T332" t="s">
        <v>7381</v>
      </c>
      <c r="U332" t="s">
        <v>7382</v>
      </c>
      <c r="V332" t="s">
        <v>7383</v>
      </c>
      <c r="W332" t="s">
        <v>7384</v>
      </c>
      <c r="X332" t="s">
        <v>7385</v>
      </c>
      <c r="Y332" t="s">
        <v>7386</v>
      </c>
    </row>
    <row r="333" spans="1:25" x14ac:dyDescent="0.3">
      <c r="A333">
        <v>16600</v>
      </c>
      <c r="B333" t="s">
        <v>7387</v>
      </c>
      <c r="C333" t="s">
        <v>7388</v>
      </c>
      <c r="D333" t="s">
        <v>7389</v>
      </c>
      <c r="E333" t="s">
        <v>7390</v>
      </c>
      <c r="F333" t="s">
        <v>7391</v>
      </c>
      <c r="G333" t="s">
        <v>7392</v>
      </c>
      <c r="H333" t="s">
        <v>7393</v>
      </c>
      <c r="I333" t="s">
        <v>7394</v>
      </c>
      <c r="J333" t="s">
        <v>7395</v>
      </c>
      <c r="K333" t="s">
        <v>7396</v>
      </c>
      <c r="L333" t="s">
        <v>7397</v>
      </c>
      <c r="M333" t="s">
        <v>7398</v>
      </c>
      <c r="N333" t="s">
        <v>7399</v>
      </c>
      <c r="O333" t="s">
        <v>7400</v>
      </c>
      <c r="P333" t="s">
        <v>7401</v>
      </c>
      <c r="Q333" t="s">
        <v>7402</v>
      </c>
      <c r="R333" t="s">
        <v>7403</v>
      </c>
      <c r="S333" t="s">
        <v>7404</v>
      </c>
      <c r="T333" t="s">
        <v>7405</v>
      </c>
      <c r="U333" t="s">
        <v>7406</v>
      </c>
      <c r="V333" t="s">
        <v>7407</v>
      </c>
      <c r="W333" t="s">
        <v>7408</v>
      </c>
      <c r="X333" t="s">
        <v>7409</v>
      </c>
      <c r="Y333" t="s">
        <v>7410</v>
      </c>
    </row>
    <row r="334" spans="1:25" x14ac:dyDescent="0.3">
      <c r="A334">
        <v>16650</v>
      </c>
      <c r="B334" t="s">
        <v>7411</v>
      </c>
      <c r="C334" t="s">
        <v>7412</v>
      </c>
      <c r="D334" t="s">
        <v>7413</v>
      </c>
      <c r="E334" t="s">
        <v>7414</v>
      </c>
      <c r="F334" t="s">
        <v>7415</v>
      </c>
      <c r="G334" t="s">
        <v>7416</v>
      </c>
      <c r="H334" t="s">
        <v>7417</v>
      </c>
      <c r="I334" t="s">
        <v>7418</v>
      </c>
      <c r="J334" t="s">
        <v>7419</v>
      </c>
      <c r="K334" t="s">
        <v>7420</v>
      </c>
      <c r="L334" t="s">
        <v>7421</v>
      </c>
      <c r="M334" t="s">
        <v>7422</v>
      </c>
      <c r="N334" t="s">
        <v>7423</v>
      </c>
      <c r="O334" t="s">
        <v>7424</v>
      </c>
      <c r="P334" t="s">
        <v>7425</v>
      </c>
      <c r="Q334" t="s">
        <v>7426</v>
      </c>
      <c r="R334" t="s">
        <v>7427</v>
      </c>
      <c r="S334" t="s">
        <v>7428</v>
      </c>
      <c r="T334" t="s">
        <v>7429</v>
      </c>
      <c r="U334" t="s">
        <v>7430</v>
      </c>
      <c r="V334" t="s">
        <v>7431</v>
      </c>
      <c r="W334" t="s">
        <v>7432</v>
      </c>
      <c r="X334" t="s">
        <v>7433</v>
      </c>
      <c r="Y334" t="s">
        <v>7434</v>
      </c>
    </row>
    <row r="335" spans="1:25" x14ac:dyDescent="0.3">
      <c r="A335">
        <v>16700</v>
      </c>
      <c r="B335" t="s">
        <v>7435</v>
      </c>
      <c r="C335" t="s">
        <v>7436</v>
      </c>
      <c r="D335" t="s">
        <v>7437</v>
      </c>
      <c r="E335" t="s">
        <v>7438</v>
      </c>
      <c r="F335" t="s">
        <v>7439</v>
      </c>
      <c r="G335" t="s">
        <v>7440</v>
      </c>
      <c r="H335" t="s">
        <v>7441</v>
      </c>
      <c r="I335" t="s">
        <v>7442</v>
      </c>
      <c r="J335" t="s">
        <v>7443</v>
      </c>
      <c r="K335" t="s">
        <v>7444</v>
      </c>
      <c r="L335" t="s">
        <v>7445</v>
      </c>
      <c r="M335" t="s">
        <v>7446</v>
      </c>
      <c r="N335" t="s">
        <v>7447</v>
      </c>
      <c r="O335" t="s">
        <v>7448</v>
      </c>
      <c r="P335" t="s">
        <v>7449</v>
      </c>
      <c r="Q335" t="s">
        <v>7450</v>
      </c>
      <c r="R335" t="s">
        <v>7451</v>
      </c>
      <c r="S335" t="s">
        <v>7452</v>
      </c>
      <c r="T335" t="s">
        <v>7453</v>
      </c>
      <c r="U335" t="s">
        <v>7454</v>
      </c>
      <c r="V335" t="s">
        <v>7455</v>
      </c>
      <c r="W335" t="s">
        <v>7456</v>
      </c>
      <c r="X335" t="s">
        <v>7457</v>
      </c>
      <c r="Y335" t="s">
        <v>7458</v>
      </c>
    </row>
    <row r="336" spans="1:25" x14ac:dyDescent="0.3">
      <c r="A336">
        <v>16750</v>
      </c>
      <c r="B336" t="s">
        <v>7459</v>
      </c>
      <c r="C336" t="s">
        <v>7460</v>
      </c>
      <c r="D336" t="s">
        <v>7461</v>
      </c>
      <c r="E336" t="s">
        <v>7462</v>
      </c>
      <c r="F336" t="s">
        <v>7463</v>
      </c>
      <c r="G336" t="s">
        <v>7464</v>
      </c>
      <c r="H336" t="s">
        <v>7465</v>
      </c>
      <c r="I336" t="s">
        <v>7466</v>
      </c>
      <c r="J336" t="s">
        <v>7467</v>
      </c>
      <c r="K336" t="s">
        <v>7468</v>
      </c>
      <c r="L336" t="s">
        <v>7469</v>
      </c>
      <c r="M336" t="s">
        <v>7470</v>
      </c>
      <c r="N336" t="s">
        <v>7471</v>
      </c>
      <c r="O336" t="s">
        <v>7472</v>
      </c>
      <c r="P336" t="s">
        <v>7473</v>
      </c>
      <c r="Q336" t="s">
        <v>7474</v>
      </c>
      <c r="R336" t="s">
        <v>7475</v>
      </c>
      <c r="S336" t="s">
        <v>7476</v>
      </c>
      <c r="T336" t="s">
        <v>7477</v>
      </c>
      <c r="U336" t="s">
        <v>7478</v>
      </c>
      <c r="V336" t="s">
        <v>7479</v>
      </c>
      <c r="W336" t="s">
        <v>7480</v>
      </c>
      <c r="X336" t="s">
        <v>7481</v>
      </c>
      <c r="Y336" t="s">
        <v>7482</v>
      </c>
    </row>
    <row r="337" spans="1:25" x14ac:dyDescent="0.3">
      <c r="A337">
        <v>16800</v>
      </c>
      <c r="B337" t="s">
        <v>7483</v>
      </c>
      <c r="C337" t="s">
        <v>7484</v>
      </c>
      <c r="D337" t="s">
        <v>7485</v>
      </c>
      <c r="E337" t="s">
        <v>7486</v>
      </c>
      <c r="F337" t="s">
        <v>7487</v>
      </c>
      <c r="G337" t="s">
        <v>7488</v>
      </c>
      <c r="H337" t="s">
        <v>7489</v>
      </c>
      <c r="I337" t="s">
        <v>7490</v>
      </c>
      <c r="J337" t="s">
        <v>7491</v>
      </c>
      <c r="K337" t="s">
        <v>7492</v>
      </c>
      <c r="L337" t="s">
        <v>7493</v>
      </c>
      <c r="M337" t="s">
        <v>7494</v>
      </c>
      <c r="N337" t="s">
        <v>7495</v>
      </c>
      <c r="O337" t="s">
        <v>7496</v>
      </c>
      <c r="P337" t="s">
        <v>7497</v>
      </c>
      <c r="Q337" t="s">
        <v>7498</v>
      </c>
      <c r="R337" t="s">
        <v>7499</v>
      </c>
      <c r="S337" t="s">
        <v>7500</v>
      </c>
      <c r="T337" t="s">
        <v>7501</v>
      </c>
      <c r="U337" t="s">
        <v>7502</v>
      </c>
      <c r="V337" t="s">
        <v>7503</v>
      </c>
      <c r="W337" t="s">
        <v>7504</v>
      </c>
      <c r="X337" t="s">
        <v>7505</v>
      </c>
      <c r="Y337" t="s">
        <v>7506</v>
      </c>
    </row>
    <row r="338" spans="1:25" x14ac:dyDescent="0.3">
      <c r="A338">
        <v>16850</v>
      </c>
      <c r="B338" t="s">
        <v>7507</v>
      </c>
      <c r="C338" t="s">
        <v>7508</v>
      </c>
      <c r="D338" t="s">
        <v>7509</v>
      </c>
      <c r="E338" t="s">
        <v>7510</v>
      </c>
      <c r="F338" t="s">
        <v>7511</v>
      </c>
      <c r="G338" t="s">
        <v>7512</v>
      </c>
      <c r="H338" t="s">
        <v>7513</v>
      </c>
      <c r="I338" t="s">
        <v>7514</v>
      </c>
      <c r="J338" t="s">
        <v>7515</v>
      </c>
      <c r="K338" t="s">
        <v>7516</v>
      </c>
      <c r="L338" t="s">
        <v>7517</v>
      </c>
      <c r="M338" t="s">
        <v>7518</v>
      </c>
      <c r="N338" t="s">
        <v>7519</v>
      </c>
      <c r="O338" t="s">
        <v>7520</v>
      </c>
      <c r="P338" t="s">
        <v>7521</v>
      </c>
      <c r="Q338" t="s">
        <v>7522</v>
      </c>
      <c r="R338" t="s">
        <v>7523</v>
      </c>
      <c r="S338" t="s">
        <v>7524</v>
      </c>
      <c r="T338" t="s">
        <v>7525</v>
      </c>
      <c r="U338" t="s">
        <v>7526</v>
      </c>
      <c r="V338" t="s">
        <v>7527</v>
      </c>
      <c r="W338" t="s">
        <v>7528</v>
      </c>
      <c r="X338" t="s">
        <v>7529</v>
      </c>
      <c r="Y338" t="s">
        <v>7530</v>
      </c>
    </row>
    <row r="339" spans="1:25" x14ac:dyDescent="0.3">
      <c r="A339">
        <v>16900</v>
      </c>
      <c r="B339" t="s">
        <v>7531</v>
      </c>
      <c r="C339" t="s">
        <v>7532</v>
      </c>
      <c r="D339" t="s">
        <v>7533</v>
      </c>
      <c r="E339" t="s">
        <v>7534</v>
      </c>
      <c r="F339" t="s">
        <v>7535</v>
      </c>
      <c r="G339" t="s">
        <v>7536</v>
      </c>
      <c r="H339" t="s">
        <v>7537</v>
      </c>
      <c r="I339" t="s">
        <v>7538</v>
      </c>
      <c r="J339" t="s">
        <v>7539</v>
      </c>
      <c r="K339" t="s">
        <v>7540</v>
      </c>
      <c r="L339" t="s">
        <v>7541</v>
      </c>
      <c r="M339" t="s">
        <v>7542</v>
      </c>
      <c r="N339" t="s">
        <v>7543</v>
      </c>
      <c r="O339" t="s">
        <v>7544</v>
      </c>
      <c r="P339" t="s">
        <v>7545</v>
      </c>
      <c r="Q339" t="s">
        <v>7546</v>
      </c>
      <c r="R339" t="s">
        <v>7547</v>
      </c>
      <c r="S339" t="s">
        <v>7548</v>
      </c>
      <c r="T339" t="s">
        <v>7549</v>
      </c>
      <c r="U339" t="s">
        <v>7550</v>
      </c>
      <c r="V339" t="s">
        <v>7551</v>
      </c>
      <c r="W339" t="s">
        <v>7552</v>
      </c>
      <c r="X339" t="s">
        <v>7553</v>
      </c>
      <c r="Y339" t="s">
        <v>7554</v>
      </c>
    </row>
    <row r="340" spans="1:25" x14ac:dyDescent="0.3">
      <c r="A340">
        <v>16950</v>
      </c>
      <c r="B340" t="s">
        <v>7555</v>
      </c>
      <c r="C340" t="s">
        <v>7556</v>
      </c>
      <c r="D340" t="s">
        <v>7557</v>
      </c>
      <c r="E340" t="s">
        <v>7558</v>
      </c>
      <c r="F340" t="s">
        <v>7559</v>
      </c>
      <c r="G340" t="s">
        <v>7560</v>
      </c>
      <c r="H340" t="s">
        <v>7561</v>
      </c>
      <c r="I340" t="s">
        <v>7562</v>
      </c>
      <c r="J340" t="s">
        <v>7563</v>
      </c>
      <c r="K340" t="s">
        <v>7564</v>
      </c>
      <c r="L340" t="s">
        <v>7565</v>
      </c>
      <c r="M340" t="s">
        <v>7566</v>
      </c>
      <c r="N340" t="s">
        <v>7567</v>
      </c>
      <c r="O340" t="s">
        <v>7568</v>
      </c>
      <c r="P340" t="s">
        <v>7569</v>
      </c>
      <c r="Q340" t="s">
        <v>7570</v>
      </c>
      <c r="R340" t="s">
        <v>7571</v>
      </c>
      <c r="S340" t="s">
        <v>7572</v>
      </c>
      <c r="T340" t="s">
        <v>7573</v>
      </c>
      <c r="U340" t="s">
        <v>7574</v>
      </c>
      <c r="V340" t="s">
        <v>7575</v>
      </c>
      <c r="W340" t="s">
        <v>7576</v>
      </c>
      <c r="X340" t="s">
        <v>7577</v>
      </c>
      <c r="Y340" t="s">
        <v>7578</v>
      </c>
    </row>
    <row r="341" spans="1:25" x14ac:dyDescent="0.3">
      <c r="A341">
        <v>17000</v>
      </c>
      <c r="B341" t="s">
        <v>7579</v>
      </c>
      <c r="C341" t="s">
        <v>7580</v>
      </c>
      <c r="D341" t="s">
        <v>7581</v>
      </c>
      <c r="E341" t="s">
        <v>7582</v>
      </c>
      <c r="F341" t="s">
        <v>7583</v>
      </c>
      <c r="G341" t="s">
        <v>7584</v>
      </c>
      <c r="H341" t="s">
        <v>7585</v>
      </c>
      <c r="I341" t="s">
        <v>7586</v>
      </c>
      <c r="J341" t="s">
        <v>7587</v>
      </c>
      <c r="K341" t="s">
        <v>7588</v>
      </c>
      <c r="L341" t="s">
        <v>7589</v>
      </c>
      <c r="M341" t="s">
        <v>7590</v>
      </c>
      <c r="N341" t="s">
        <v>7591</v>
      </c>
      <c r="O341" t="s">
        <v>7592</v>
      </c>
      <c r="P341" t="s">
        <v>7593</v>
      </c>
      <c r="Q341" t="s">
        <v>7594</v>
      </c>
      <c r="R341" t="s">
        <v>7595</v>
      </c>
      <c r="S341" t="s">
        <v>7596</v>
      </c>
      <c r="T341" t="s">
        <v>7597</v>
      </c>
      <c r="U341" t="s">
        <v>7598</v>
      </c>
      <c r="V341" t="s">
        <v>7599</v>
      </c>
      <c r="W341" t="s">
        <v>7600</v>
      </c>
      <c r="X341" t="s">
        <v>7601</v>
      </c>
      <c r="Y341" t="s">
        <v>7602</v>
      </c>
    </row>
    <row r="342" spans="1:25" x14ac:dyDescent="0.3">
      <c r="A342">
        <v>17050</v>
      </c>
      <c r="B342" t="s">
        <v>7603</v>
      </c>
      <c r="C342" t="s">
        <v>7604</v>
      </c>
      <c r="D342" t="s">
        <v>7605</v>
      </c>
      <c r="E342" t="s">
        <v>7606</v>
      </c>
      <c r="F342" t="s">
        <v>7607</v>
      </c>
      <c r="G342" t="s">
        <v>7608</v>
      </c>
      <c r="H342" t="s">
        <v>7609</v>
      </c>
      <c r="I342" t="s">
        <v>7610</v>
      </c>
      <c r="J342" t="s">
        <v>7611</v>
      </c>
      <c r="K342" t="s">
        <v>7612</v>
      </c>
      <c r="L342" t="s">
        <v>7613</v>
      </c>
      <c r="M342" t="s">
        <v>7614</v>
      </c>
      <c r="N342" t="s">
        <v>7615</v>
      </c>
      <c r="O342" t="s">
        <v>7616</v>
      </c>
      <c r="P342" t="s">
        <v>7617</v>
      </c>
      <c r="Q342" t="s">
        <v>7618</v>
      </c>
      <c r="R342" t="s">
        <v>7619</v>
      </c>
      <c r="S342" t="s">
        <v>7620</v>
      </c>
      <c r="T342" t="s">
        <v>7621</v>
      </c>
      <c r="U342" t="s">
        <v>7622</v>
      </c>
      <c r="V342" t="s">
        <v>7623</v>
      </c>
      <c r="W342" t="s">
        <v>7624</v>
      </c>
      <c r="X342" t="s">
        <v>7625</v>
      </c>
      <c r="Y342" t="s">
        <v>7626</v>
      </c>
    </row>
    <row r="343" spans="1:25" x14ac:dyDescent="0.3">
      <c r="A343">
        <v>17100</v>
      </c>
      <c r="B343" t="s">
        <v>7627</v>
      </c>
      <c r="C343" t="s">
        <v>7628</v>
      </c>
      <c r="D343" t="s">
        <v>7629</v>
      </c>
      <c r="E343" t="s">
        <v>7630</v>
      </c>
      <c r="F343" t="s">
        <v>7631</v>
      </c>
      <c r="G343" t="s">
        <v>7632</v>
      </c>
      <c r="H343" t="s">
        <v>7633</v>
      </c>
      <c r="I343" t="s">
        <v>7634</v>
      </c>
      <c r="J343" t="s">
        <v>7635</v>
      </c>
      <c r="K343" t="s">
        <v>7636</v>
      </c>
      <c r="L343" t="s">
        <v>7637</v>
      </c>
      <c r="M343" t="s">
        <v>7638</v>
      </c>
      <c r="N343" t="s">
        <v>7639</v>
      </c>
      <c r="O343" t="s">
        <v>7640</v>
      </c>
      <c r="P343" t="s">
        <v>7641</v>
      </c>
      <c r="Q343" t="s">
        <v>7642</v>
      </c>
      <c r="R343" t="s">
        <v>7643</v>
      </c>
      <c r="S343" t="s">
        <v>7644</v>
      </c>
      <c r="T343" t="s">
        <v>7645</v>
      </c>
      <c r="U343" t="s">
        <v>7646</v>
      </c>
      <c r="V343" t="s">
        <v>7647</v>
      </c>
      <c r="W343" t="s">
        <v>7648</v>
      </c>
      <c r="X343" t="s">
        <v>7649</v>
      </c>
      <c r="Y343" t="s">
        <v>7650</v>
      </c>
    </row>
    <row r="344" spans="1:25" x14ac:dyDescent="0.3">
      <c r="A344">
        <v>17150</v>
      </c>
      <c r="B344" t="s">
        <v>7651</v>
      </c>
      <c r="C344" t="s">
        <v>7652</v>
      </c>
      <c r="D344" t="s">
        <v>7653</v>
      </c>
      <c r="E344" t="s">
        <v>7654</v>
      </c>
      <c r="F344" t="s">
        <v>7655</v>
      </c>
      <c r="G344" t="s">
        <v>7656</v>
      </c>
      <c r="H344" t="s">
        <v>7657</v>
      </c>
      <c r="I344" t="s">
        <v>7658</v>
      </c>
      <c r="J344" t="s">
        <v>7659</v>
      </c>
      <c r="K344" t="s">
        <v>7660</v>
      </c>
      <c r="L344" t="s">
        <v>7661</v>
      </c>
      <c r="M344" t="s">
        <v>7662</v>
      </c>
      <c r="N344" t="s">
        <v>7663</v>
      </c>
      <c r="O344" t="s">
        <v>7664</v>
      </c>
      <c r="P344" t="s">
        <v>7665</v>
      </c>
      <c r="Q344" t="s">
        <v>7666</v>
      </c>
      <c r="R344" t="s">
        <v>7667</v>
      </c>
      <c r="S344" t="s">
        <v>7668</v>
      </c>
      <c r="T344" t="s">
        <v>7669</v>
      </c>
      <c r="U344" t="s">
        <v>7670</v>
      </c>
      <c r="V344" t="s">
        <v>7671</v>
      </c>
      <c r="W344" t="s">
        <v>7672</v>
      </c>
      <c r="X344" t="s">
        <v>7673</v>
      </c>
      <c r="Y344" t="s">
        <v>7674</v>
      </c>
    </row>
    <row r="345" spans="1:25" x14ac:dyDescent="0.3">
      <c r="A345">
        <v>17200</v>
      </c>
      <c r="B345" t="s">
        <v>7675</v>
      </c>
      <c r="C345" t="s">
        <v>7676</v>
      </c>
      <c r="D345" t="s">
        <v>7677</v>
      </c>
      <c r="E345" t="s">
        <v>7678</v>
      </c>
      <c r="F345" t="s">
        <v>7679</v>
      </c>
      <c r="G345" t="s">
        <v>7680</v>
      </c>
      <c r="H345" t="s">
        <v>7681</v>
      </c>
      <c r="I345" t="s">
        <v>7682</v>
      </c>
      <c r="J345" t="s">
        <v>7683</v>
      </c>
      <c r="K345" t="s">
        <v>7684</v>
      </c>
      <c r="L345" t="s">
        <v>7685</v>
      </c>
      <c r="M345" t="s">
        <v>7686</v>
      </c>
      <c r="N345" t="s">
        <v>7687</v>
      </c>
      <c r="O345" t="s">
        <v>7688</v>
      </c>
      <c r="P345" t="s">
        <v>7689</v>
      </c>
      <c r="Q345" t="s">
        <v>7690</v>
      </c>
      <c r="R345" t="s">
        <v>7691</v>
      </c>
      <c r="S345" t="s">
        <v>7692</v>
      </c>
      <c r="T345" t="s">
        <v>7693</v>
      </c>
      <c r="U345" t="s">
        <v>7694</v>
      </c>
      <c r="V345" t="s">
        <v>7695</v>
      </c>
      <c r="W345" t="s">
        <v>7696</v>
      </c>
      <c r="X345" t="s">
        <v>7697</v>
      </c>
      <c r="Y345" t="s">
        <v>7698</v>
      </c>
    </row>
    <row r="346" spans="1:25" x14ac:dyDescent="0.3">
      <c r="A346">
        <v>17250</v>
      </c>
      <c r="B346" t="s">
        <v>7699</v>
      </c>
      <c r="C346" t="s">
        <v>7700</v>
      </c>
      <c r="D346" t="s">
        <v>7701</v>
      </c>
      <c r="E346" t="s">
        <v>7702</v>
      </c>
      <c r="F346" t="s">
        <v>7703</v>
      </c>
      <c r="G346" t="s">
        <v>7704</v>
      </c>
      <c r="H346" t="s">
        <v>7705</v>
      </c>
      <c r="I346" t="s">
        <v>7706</v>
      </c>
      <c r="J346" t="s">
        <v>7707</v>
      </c>
      <c r="K346" t="s">
        <v>7708</v>
      </c>
      <c r="L346" t="s">
        <v>7709</v>
      </c>
      <c r="M346" t="s">
        <v>7710</v>
      </c>
      <c r="N346" t="s">
        <v>7711</v>
      </c>
      <c r="O346" t="s">
        <v>7712</v>
      </c>
      <c r="P346" t="s">
        <v>7713</v>
      </c>
      <c r="Q346" t="s">
        <v>7714</v>
      </c>
      <c r="R346" t="s">
        <v>7715</v>
      </c>
      <c r="S346" t="s">
        <v>7716</v>
      </c>
      <c r="T346" t="s">
        <v>7717</v>
      </c>
      <c r="U346" t="s">
        <v>7718</v>
      </c>
      <c r="V346" t="s">
        <v>7719</v>
      </c>
      <c r="W346" t="s">
        <v>7720</v>
      </c>
      <c r="X346" t="s">
        <v>7721</v>
      </c>
      <c r="Y346" t="s">
        <v>7722</v>
      </c>
    </row>
    <row r="347" spans="1:25" x14ac:dyDescent="0.3">
      <c r="A347">
        <v>17300</v>
      </c>
      <c r="B347" t="s">
        <v>7723</v>
      </c>
      <c r="C347" t="s">
        <v>7724</v>
      </c>
      <c r="D347" t="s">
        <v>7725</v>
      </c>
      <c r="E347" t="s">
        <v>7726</v>
      </c>
      <c r="F347" t="s">
        <v>7727</v>
      </c>
      <c r="G347" t="s">
        <v>7728</v>
      </c>
      <c r="H347" t="s">
        <v>7729</v>
      </c>
      <c r="I347" t="s">
        <v>7730</v>
      </c>
      <c r="J347" t="s">
        <v>7731</v>
      </c>
      <c r="K347" t="s">
        <v>7732</v>
      </c>
      <c r="L347" t="s">
        <v>7733</v>
      </c>
      <c r="M347" t="s">
        <v>7734</v>
      </c>
      <c r="N347" t="s">
        <v>7735</v>
      </c>
      <c r="O347" t="s">
        <v>7736</v>
      </c>
      <c r="P347" t="s">
        <v>7737</v>
      </c>
      <c r="Q347" t="s">
        <v>7738</v>
      </c>
      <c r="R347" t="s">
        <v>7739</v>
      </c>
      <c r="S347" t="s">
        <v>7740</v>
      </c>
      <c r="T347" t="s">
        <v>7741</v>
      </c>
      <c r="U347" t="s">
        <v>7742</v>
      </c>
      <c r="V347" t="s">
        <v>7743</v>
      </c>
      <c r="W347" t="s">
        <v>7744</v>
      </c>
      <c r="X347" t="s">
        <v>7745</v>
      </c>
      <c r="Y347" t="s">
        <v>7746</v>
      </c>
    </row>
    <row r="348" spans="1:25" x14ac:dyDescent="0.3">
      <c r="A348">
        <v>17350</v>
      </c>
      <c r="B348" t="s">
        <v>7747</v>
      </c>
      <c r="C348" t="s">
        <v>7748</v>
      </c>
      <c r="D348" t="s">
        <v>7749</v>
      </c>
      <c r="E348" t="s">
        <v>7750</v>
      </c>
      <c r="F348" t="s">
        <v>7751</v>
      </c>
      <c r="G348" t="s">
        <v>7752</v>
      </c>
      <c r="H348" t="s">
        <v>7753</v>
      </c>
      <c r="I348" t="s">
        <v>7754</v>
      </c>
      <c r="J348" t="s">
        <v>7755</v>
      </c>
      <c r="K348" t="s">
        <v>7756</v>
      </c>
      <c r="L348" t="s">
        <v>7757</v>
      </c>
      <c r="M348" t="s">
        <v>7758</v>
      </c>
      <c r="N348" t="s">
        <v>7759</v>
      </c>
      <c r="O348" t="s">
        <v>7760</v>
      </c>
      <c r="P348" t="s">
        <v>7761</v>
      </c>
      <c r="Q348" t="s">
        <v>7762</v>
      </c>
      <c r="R348" t="s">
        <v>7763</v>
      </c>
      <c r="S348" t="s">
        <v>7764</v>
      </c>
      <c r="T348" t="s">
        <v>7765</v>
      </c>
      <c r="U348" t="s">
        <v>7766</v>
      </c>
      <c r="V348" t="s">
        <v>7767</v>
      </c>
      <c r="W348" t="s">
        <v>7768</v>
      </c>
      <c r="X348" t="s">
        <v>7769</v>
      </c>
      <c r="Y348" t="s">
        <v>7770</v>
      </c>
    </row>
    <row r="349" spans="1:25" x14ac:dyDescent="0.3">
      <c r="A349">
        <v>17400</v>
      </c>
      <c r="B349" t="s">
        <v>7771</v>
      </c>
      <c r="C349" t="s">
        <v>7772</v>
      </c>
      <c r="D349" t="s">
        <v>7773</v>
      </c>
      <c r="E349" t="s">
        <v>7774</v>
      </c>
      <c r="F349" t="s">
        <v>7775</v>
      </c>
      <c r="G349" t="s">
        <v>7776</v>
      </c>
      <c r="H349" t="s">
        <v>7777</v>
      </c>
      <c r="I349" t="s">
        <v>7778</v>
      </c>
      <c r="J349" t="s">
        <v>7779</v>
      </c>
      <c r="K349" t="s">
        <v>7780</v>
      </c>
      <c r="L349" t="s">
        <v>7781</v>
      </c>
      <c r="M349" t="s">
        <v>7782</v>
      </c>
      <c r="N349" t="s">
        <v>7783</v>
      </c>
      <c r="O349" t="s">
        <v>7784</v>
      </c>
      <c r="P349" t="s">
        <v>7785</v>
      </c>
      <c r="Q349" t="s">
        <v>7786</v>
      </c>
      <c r="R349" t="s">
        <v>7787</v>
      </c>
      <c r="S349" t="s">
        <v>7788</v>
      </c>
      <c r="T349" t="s">
        <v>7789</v>
      </c>
      <c r="U349" t="s">
        <v>7790</v>
      </c>
      <c r="V349" t="s">
        <v>7791</v>
      </c>
      <c r="W349" t="s">
        <v>7792</v>
      </c>
      <c r="X349" t="s">
        <v>7793</v>
      </c>
      <c r="Y349" t="s">
        <v>7794</v>
      </c>
    </row>
    <row r="350" spans="1:25" x14ac:dyDescent="0.3">
      <c r="A350">
        <v>17450</v>
      </c>
      <c r="B350" t="s">
        <v>7795</v>
      </c>
      <c r="C350" t="s">
        <v>7796</v>
      </c>
      <c r="D350" t="s">
        <v>7797</v>
      </c>
      <c r="E350" t="s">
        <v>7798</v>
      </c>
      <c r="F350" t="s">
        <v>7799</v>
      </c>
      <c r="G350" t="s">
        <v>7800</v>
      </c>
      <c r="H350" t="s">
        <v>7801</v>
      </c>
      <c r="I350" t="s">
        <v>7802</v>
      </c>
      <c r="J350" t="s">
        <v>7803</v>
      </c>
      <c r="K350" t="s">
        <v>7804</v>
      </c>
      <c r="L350" t="s">
        <v>7805</v>
      </c>
      <c r="M350" t="s">
        <v>7806</v>
      </c>
      <c r="N350" t="s">
        <v>7807</v>
      </c>
      <c r="O350" t="s">
        <v>7808</v>
      </c>
      <c r="P350" t="s">
        <v>7809</v>
      </c>
      <c r="Q350" t="s">
        <v>7810</v>
      </c>
      <c r="R350" t="s">
        <v>7811</v>
      </c>
      <c r="S350" t="s">
        <v>7812</v>
      </c>
      <c r="T350" t="s">
        <v>7813</v>
      </c>
      <c r="U350" t="s">
        <v>7814</v>
      </c>
      <c r="V350" t="s">
        <v>7815</v>
      </c>
      <c r="W350" t="s">
        <v>7816</v>
      </c>
      <c r="X350" t="s">
        <v>7817</v>
      </c>
      <c r="Y350" t="s">
        <v>7818</v>
      </c>
    </row>
    <row r="351" spans="1:25" x14ac:dyDescent="0.3">
      <c r="A351">
        <v>17500</v>
      </c>
      <c r="B351" t="s">
        <v>7819</v>
      </c>
      <c r="C351" t="s">
        <v>7820</v>
      </c>
      <c r="D351" t="s">
        <v>7821</v>
      </c>
      <c r="E351" t="s">
        <v>7822</v>
      </c>
      <c r="F351" t="s">
        <v>7823</v>
      </c>
      <c r="G351" t="s">
        <v>7824</v>
      </c>
      <c r="H351" t="s">
        <v>7825</v>
      </c>
      <c r="I351" t="s">
        <v>7826</v>
      </c>
      <c r="J351" t="s">
        <v>7827</v>
      </c>
      <c r="K351" t="s">
        <v>7828</v>
      </c>
      <c r="L351" t="s">
        <v>7829</v>
      </c>
      <c r="M351" t="s">
        <v>7830</v>
      </c>
      <c r="N351" t="s">
        <v>7831</v>
      </c>
      <c r="O351" t="s">
        <v>7832</v>
      </c>
      <c r="P351" t="s">
        <v>7833</v>
      </c>
      <c r="Q351" t="s">
        <v>7834</v>
      </c>
      <c r="R351" t="s">
        <v>7835</v>
      </c>
      <c r="S351" t="s">
        <v>7836</v>
      </c>
      <c r="T351" t="s">
        <v>7837</v>
      </c>
      <c r="U351" t="s">
        <v>7838</v>
      </c>
      <c r="V351" t="s">
        <v>7839</v>
      </c>
      <c r="W351" t="s">
        <v>7840</v>
      </c>
      <c r="X351" t="s">
        <v>7841</v>
      </c>
      <c r="Y351" t="s">
        <v>7842</v>
      </c>
    </row>
    <row r="352" spans="1:25" x14ac:dyDescent="0.3">
      <c r="A352">
        <v>17550</v>
      </c>
      <c r="B352" t="s">
        <v>7843</v>
      </c>
      <c r="C352" t="s">
        <v>7844</v>
      </c>
      <c r="D352" t="s">
        <v>7845</v>
      </c>
      <c r="E352" t="s">
        <v>7846</v>
      </c>
      <c r="F352" t="s">
        <v>7847</v>
      </c>
      <c r="G352" t="s">
        <v>7848</v>
      </c>
      <c r="H352" t="s">
        <v>7849</v>
      </c>
      <c r="I352" t="s">
        <v>7850</v>
      </c>
      <c r="J352" t="s">
        <v>7851</v>
      </c>
      <c r="K352" t="s">
        <v>7852</v>
      </c>
      <c r="L352" t="s">
        <v>7853</v>
      </c>
      <c r="M352" t="s">
        <v>7854</v>
      </c>
      <c r="N352" t="s">
        <v>7855</v>
      </c>
      <c r="O352" t="s">
        <v>7856</v>
      </c>
      <c r="P352" t="s">
        <v>7857</v>
      </c>
      <c r="Q352" t="s">
        <v>7858</v>
      </c>
      <c r="R352" t="s">
        <v>7859</v>
      </c>
      <c r="S352" t="s">
        <v>7860</v>
      </c>
      <c r="T352" t="s">
        <v>7861</v>
      </c>
      <c r="U352" t="s">
        <v>7862</v>
      </c>
      <c r="V352" t="s">
        <v>7863</v>
      </c>
      <c r="W352" t="s">
        <v>7864</v>
      </c>
      <c r="X352" t="s">
        <v>7865</v>
      </c>
      <c r="Y352" t="s">
        <v>7866</v>
      </c>
    </row>
    <row r="353" spans="1:25" x14ac:dyDescent="0.3">
      <c r="A353">
        <v>17600</v>
      </c>
      <c r="B353" t="s">
        <v>7867</v>
      </c>
      <c r="C353" t="s">
        <v>7868</v>
      </c>
      <c r="D353" t="s">
        <v>7869</v>
      </c>
      <c r="E353" t="s">
        <v>7870</v>
      </c>
      <c r="F353" t="s">
        <v>7871</v>
      </c>
      <c r="G353" t="s">
        <v>7872</v>
      </c>
      <c r="H353" t="s">
        <v>7873</v>
      </c>
      <c r="I353" t="s">
        <v>7874</v>
      </c>
      <c r="J353" t="s">
        <v>7875</v>
      </c>
      <c r="K353" t="s">
        <v>7876</v>
      </c>
      <c r="L353" t="s">
        <v>7877</v>
      </c>
      <c r="M353" t="s">
        <v>7878</v>
      </c>
      <c r="N353" t="s">
        <v>7879</v>
      </c>
      <c r="O353" t="s">
        <v>7880</v>
      </c>
      <c r="P353" t="s">
        <v>7881</v>
      </c>
      <c r="Q353" t="s">
        <v>7882</v>
      </c>
      <c r="R353" t="s">
        <v>7883</v>
      </c>
      <c r="S353" t="s">
        <v>7884</v>
      </c>
      <c r="T353" t="s">
        <v>7885</v>
      </c>
      <c r="U353" t="s">
        <v>7886</v>
      </c>
      <c r="V353" t="s">
        <v>7887</v>
      </c>
      <c r="W353" t="s">
        <v>7888</v>
      </c>
      <c r="X353" t="s">
        <v>7889</v>
      </c>
      <c r="Y353" t="s">
        <v>7890</v>
      </c>
    </row>
    <row r="354" spans="1:25" x14ac:dyDescent="0.3">
      <c r="A354">
        <v>17650</v>
      </c>
      <c r="B354" t="s">
        <v>7891</v>
      </c>
      <c r="C354" t="s">
        <v>7892</v>
      </c>
      <c r="D354" t="s">
        <v>7893</v>
      </c>
      <c r="E354" t="s">
        <v>7894</v>
      </c>
      <c r="F354" t="s">
        <v>7895</v>
      </c>
      <c r="G354" t="s">
        <v>7896</v>
      </c>
      <c r="H354" t="s">
        <v>7897</v>
      </c>
      <c r="I354" t="s">
        <v>7898</v>
      </c>
      <c r="J354" t="s">
        <v>7899</v>
      </c>
      <c r="K354" t="s">
        <v>7900</v>
      </c>
      <c r="L354" t="s">
        <v>7901</v>
      </c>
      <c r="M354" t="s">
        <v>7902</v>
      </c>
      <c r="N354" t="s">
        <v>7903</v>
      </c>
      <c r="O354" t="s">
        <v>7904</v>
      </c>
      <c r="P354" t="s">
        <v>7905</v>
      </c>
      <c r="Q354" t="s">
        <v>7906</v>
      </c>
      <c r="R354" t="s">
        <v>7907</v>
      </c>
      <c r="S354" t="s">
        <v>7908</v>
      </c>
      <c r="T354" t="s">
        <v>7909</v>
      </c>
      <c r="U354" t="s">
        <v>7910</v>
      </c>
      <c r="V354" t="s">
        <v>7911</v>
      </c>
      <c r="W354" t="s">
        <v>7912</v>
      </c>
      <c r="X354" t="s">
        <v>7913</v>
      </c>
      <c r="Y354" t="s">
        <v>7914</v>
      </c>
    </row>
    <row r="355" spans="1:25" x14ac:dyDescent="0.3">
      <c r="A355">
        <v>17700</v>
      </c>
      <c r="B355" t="s">
        <v>7915</v>
      </c>
      <c r="C355" t="s">
        <v>7916</v>
      </c>
      <c r="D355" t="s">
        <v>7917</v>
      </c>
      <c r="E355" t="s">
        <v>7918</v>
      </c>
      <c r="F355" t="s">
        <v>7919</v>
      </c>
      <c r="G355" t="s">
        <v>7920</v>
      </c>
      <c r="H355" t="s">
        <v>7921</v>
      </c>
      <c r="I355" t="s">
        <v>7922</v>
      </c>
      <c r="J355" t="s">
        <v>7923</v>
      </c>
      <c r="K355" t="s">
        <v>7924</v>
      </c>
      <c r="L355" t="s">
        <v>7925</v>
      </c>
      <c r="M355" t="s">
        <v>7926</v>
      </c>
      <c r="N355" t="s">
        <v>7927</v>
      </c>
      <c r="O355" t="s">
        <v>7928</v>
      </c>
      <c r="P355" t="s">
        <v>7929</v>
      </c>
      <c r="Q355" t="s">
        <v>7930</v>
      </c>
      <c r="R355" t="s">
        <v>7931</v>
      </c>
      <c r="S355" t="s">
        <v>7932</v>
      </c>
      <c r="T355" t="s">
        <v>7933</v>
      </c>
      <c r="U355" t="s">
        <v>7934</v>
      </c>
      <c r="V355" t="s">
        <v>7935</v>
      </c>
      <c r="W355" t="s">
        <v>7936</v>
      </c>
      <c r="X355" t="s">
        <v>7937</v>
      </c>
      <c r="Y355" t="s">
        <v>7938</v>
      </c>
    </row>
    <row r="356" spans="1:25" x14ac:dyDescent="0.3">
      <c r="A356">
        <v>17750</v>
      </c>
      <c r="B356" t="s">
        <v>7939</v>
      </c>
      <c r="C356" t="s">
        <v>7940</v>
      </c>
      <c r="D356" t="s">
        <v>7941</v>
      </c>
      <c r="E356" t="s">
        <v>7942</v>
      </c>
      <c r="F356" t="s">
        <v>7943</v>
      </c>
      <c r="G356" t="s">
        <v>7944</v>
      </c>
      <c r="H356" t="s">
        <v>7945</v>
      </c>
      <c r="I356" t="s">
        <v>7946</v>
      </c>
      <c r="J356" t="s">
        <v>7947</v>
      </c>
      <c r="K356" t="s">
        <v>7948</v>
      </c>
      <c r="L356" t="s">
        <v>7949</v>
      </c>
      <c r="M356" t="s">
        <v>7950</v>
      </c>
      <c r="N356" t="s">
        <v>7951</v>
      </c>
      <c r="O356" t="s">
        <v>7952</v>
      </c>
      <c r="P356" t="s">
        <v>7953</v>
      </c>
      <c r="Q356" t="s">
        <v>7954</v>
      </c>
      <c r="R356" t="s">
        <v>7955</v>
      </c>
      <c r="S356" t="s">
        <v>7956</v>
      </c>
      <c r="T356" t="s">
        <v>7957</v>
      </c>
      <c r="U356" t="s">
        <v>7958</v>
      </c>
      <c r="V356" t="s">
        <v>7959</v>
      </c>
      <c r="W356" t="s">
        <v>7960</v>
      </c>
      <c r="X356" t="s">
        <v>7961</v>
      </c>
      <c r="Y356" t="s">
        <v>7962</v>
      </c>
    </row>
    <row r="357" spans="1:25" x14ac:dyDescent="0.3">
      <c r="A357">
        <v>17800</v>
      </c>
      <c r="B357" t="s">
        <v>7963</v>
      </c>
      <c r="C357" t="s">
        <v>7964</v>
      </c>
      <c r="D357" t="s">
        <v>7965</v>
      </c>
      <c r="E357" t="s">
        <v>7966</v>
      </c>
      <c r="F357" t="s">
        <v>7967</v>
      </c>
      <c r="G357" t="s">
        <v>7968</v>
      </c>
      <c r="H357" t="s">
        <v>7969</v>
      </c>
      <c r="I357" t="s">
        <v>7970</v>
      </c>
      <c r="J357" t="s">
        <v>7971</v>
      </c>
      <c r="K357" t="s">
        <v>7972</v>
      </c>
      <c r="L357" t="s">
        <v>7973</v>
      </c>
      <c r="M357" t="s">
        <v>7974</v>
      </c>
      <c r="N357" t="s">
        <v>7975</v>
      </c>
      <c r="O357" t="s">
        <v>7976</v>
      </c>
      <c r="P357" t="s">
        <v>7977</v>
      </c>
      <c r="Q357" t="s">
        <v>7978</v>
      </c>
      <c r="R357" t="s">
        <v>7979</v>
      </c>
      <c r="S357" t="s">
        <v>7980</v>
      </c>
      <c r="T357" t="s">
        <v>7981</v>
      </c>
      <c r="U357" t="s">
        <v>7982</v>
      </c>
      <c r="V357" t="s">
        <v>7983</v>
      </c>
      <c r="W357" t="s">
        <v>7984</v>
      </c>
      <c r="X357" t="s">
        <v>7985</v>
      </c>
      <c r="Y357" t="s">
        <v>7986</v>
      </c>
    </row>
    <row r="358" spans="1:25" x14ac:dyDescent="0.3">
      <c r="A358">
        <v>17850</v>
      </c>
      <c r="B358" t="s">
        <v>7987</v>
      </c>
      <c r="C358" t="s">
        <v>7988</v>
      </c>
      <c r="D358" t="s">
        <v>7989</v>
      </c>
      <c r="E358" t="s">
        <v>7990</v>
      </c>
      <c r="F358" t="s">
        <v>7991</v>
      </c>
      <c r="G358" t="s">
        <v>7992</v>
      </c>
      <c r="H358" t="s">
        <v>7993</v>
      </c>
      <c r="I358" t="s">
        <v>7994</v>
      </c>
      <c r="J358" t="s">
        <v>7995</v>
      </c>
      <c r="K358" t="s">
        <v>7996</v>
      </c>
      <c r="L358" t="s">
        <v>7997</v>
      </c>
      <c r="M358" t="s">
        <v>7998</v>
      </c>
      <c r="N358" t="s">
        <v>7999</v>
      </c>
      <c r="O358" t="s">
        <v>8000</v>
      </c>
      <c r="P358" t="s">
        <v>8001</v>
      </c>
      <c r="Q358" t="s">
        <v>8002</v>
      </c>
      <c r="R358" t="s">
        <v>8003</v>
      </c>
      <c r="S358" t="s">
        <v>8004</v>
      </c>
      <c r="T358" t="s">
        <v>8005</v>
      </c>
      <c r="U358" t="s">
        <v>8006</v>
      </c>
      <c r="V358" t="s">
        <v>8007</v>
      </c>
      <c r="W358" t="s">
        <v>8008</v>
      </c>
      <c r="X358" t="s">
        <v>8009</v>
      </c>
      <c r="Y358" t="s">
        <v>8010</v>
      </c>
    </row>
    <row r="359" spans="1:25" x14ac:dyDescent="0.3">
      <c r="A359">
        <v>17900</v>
      </c>
      <c r="B359" t="s">
        <v>8011</v>
      </c>
      <c r="C359" t="s">
        <v>8012</v>
      </c>
      <c r="D359" t="s">
        <v>8013</v>
      </c>
      <c r="E359" t="s">
        <v>8014</v>
      </c>
      <c r="F359" t="s">
        <v>8015</v>
      </c>
      <c r="G359" t="s">
        <v>8016</v>
      </c>
      <c r="H359" t="s">
        <v>8017</v>
      </c>
      <c r="I359" t="s">
        <v>8018</v>
      </c>
      <c r="J359" t="s">
        <v>8019</v>
      </c>
      <c r="K359" t="s">
        <v>8020</v>
      </c>
      <c r="L359" t="s">
        <v>8021</v>
      </c>
      <c r="M359" t="s">
        <v>8022</v>
      </c>
      <c r="N359" t="s">
        <v>8023</v>
      </c>
      <c r="O359" t="s">
        <v>8024</v>
      </c>
      <c r="P359" t="s">
        <v>8025</v>
      </c>
      <c r="Q359" t="s">
        <v>8026</v>
      </c>
      <c r="R359" t="s">
        <v>8027</v>
      </c>
      <c r="S359" t="s">
        <v>8028</v>
      </c>
      <c r="T359" t="s">
        <v>8029</v>
      </c>
      <c r="U359" t="s">
        <v>8030</v>
      </c>
      <c r="V359" t="s">
        <v>8031</v>
      </c>
      <c r="W359" t="s">
        <v>8032</v>
      </c>
      <c r="X359" t="s">
        <v>8033</v>
      </c>
      <c r="Y359" t="s">
        <v>8034</v>
      </c>
    </row>
    <row r="360" spans="1:25" x14ac:dyDescent="0.3">
      <c r="A360">
        <v>17950</v>
      </c>
      <c r="B360" t="s">
        <v>8035</v>
      </c>
      <c r="C360" t="s">
        <v>8036</v>
      </c>
      <c r="D360" t="s">
        <v>8037</v>
      </c>
      <c r="E360" t="s">
        <v>8038</v>
      </c>
      <c r="F360" t="s">
        <v>8039</v>
      </c>
      <c r="G360" t="s">
        <v>8040</v>
      </c>
      <c r="H360" t="s">
        <v>8041</v>
      </c>
      <c r="I360" t="s">
        <v>8042</v>
      </c>
      <c r="J360" t="s">
        <v>8043</v>
      </c>
      <c r="K360" t="s">
        <v>8044</v>
      </c>
      <c r="L360" t="s">
        <v>8045</v>
      </c>
      <c r="M360" t="s">
        <v>8046</v>
      </c>
      <c r="N360" t="s">
        <v>8047</v>
      </c>
      <c r="O360" t="s">
        <v>8048</v>
      </c>
      <c r="P360" t="s">
        <v>8049</v>
      </c>
      <c r="Q360" t="s">
        <v>8050</v>
      </c>
      <c r="R360" t="s">
        <v>8051</v>
      </c>
      <c r="S360" t="s">
        <v>8052</v>
      </c>
      <c r="T360" t="s">
        <v>8053</v>
      </c>
      <c r="U360" t="s">
        <v>8054</v>
      </c>
      <c r="V360" t="s">
        <v>8055</v>
      </c>
      <c r="W360" t="s">
        <v>8056</v>
      </c>
      <c r="X360" t="s">
        <v>8057</v>
      </c>
      <c r="Y360" t="s">
        <v>8058</v>
      </c>
    </row>
    <row r="361" spans="1:25" x14ac:dyDescent="0.3">
      <c r="A361">
        <v>18000</v>
      </c>
      <c r="B361" t="s">
        <v>8059</v>
      </c>
      <c r="C361" t="s">
        <v>8060</v>
      </c>
      <c r="D361" t="s">
        <v>8061</v>
      </c>
      <c r="E361" t="s">
        <v>8062</v>
      </c>
      <c r="F361" t="s">
        <v>8063</v>
      </c>
      <c r="G361" t="s">
        <v>8064</v>
      </c>
      <c r="H361" t="s">
        <v>8065</v>
      </c>
      <c r="I361" t="s">
        <v>8066</v>
      </c>
      <c r="J361" t="s">
        <v>8067</v>
      </c>
      <c r="K361" t="s">
        <v>8068</v>
      </c>
      <c r="L361" t="s">
        <v>8069</v>
      </c>
      <c r="M361" t="s">
        <v>8070</v>
      </c>
      <c r="N361" t="s">
        <v>8071</v>
      </c>
      <c r="O361" t="s">
        <v>8072</v>
      </c>
      <c r="P361" t="s">
        <v>8073</v>
      </c>
      <c r="Q361" t="s">
        <v>8074</v>
      </c>
      <c r="R361" t="s">
        <v>8075</v>
      </c>
      <c r="S361" t="s">
        <v>8076</v>
      </c>
      <c r="T361" t="s">
        <v>8077</v>
      </c>
      <c r="U361" t="s">
        <v>8078</v>
      </c>
      <c r="V361" t="s">
        <v>8079</v>
      </c>
      <c r="W361" t="s">
        <v>8080</v>
      </c>
      <c r="X361" t="s">
        <v>8081</v>
      </c>
      <c r="Y361" t="s">
        <v>8082</v>
      </c>
    </row>
    <row r="362" spans="1:25" x14ac:dyDescent="0.3">
      <c r="A362">
        <v>18050</v>
      </c>
      <c r="B362" t="s">
        <v>8083</v>
      </c>
      <c r="C362" t="s">
        <v>8084</v>
      </c>
      <c r="D362" t="s">
        <v>8085</v>
      </c>
      <c r="E362" t="s">
        <v>8086</v>
      </c>
      <c r="F362" t="s">
        <v>8087</v>
      </c>
      <c r="G362" t="s">
        <v>8088</v>
      </c>
      <c r="H362" t="s">
        <v>8089</v>
      </c>
      <c r="I362" t="s">
        <v>8090</v>
      </c>
      <c r="J362" t="s">
        <v>8091</v>
      </c>
      <c r="K362" t="s">
        <v>8092</v>
      </c>
      <c r="L362" t="s">
        <v>8093</v>
      </c>
      <c r="M362" t="s">
        <v>8094</v>
      </c>
      <c r="N362" t="s">
        <v>8095</v>
      </c>
      <c r="O362" t="s">
        <v>8096</v>
      </c>
      <c r="P362" t="s">
        <v>8097</v>
      </c>
      <c r="Q362" t="s">
        <v>8098</v>
      </c>
      <c r="R362" t="s">
        <v>8099</v>
      </c>
      <c r="S362" t="s">
        <v>8100</v>
      </c>
      <c r="T362" t="s">
        <v>8101</v>
      </c>
      <c r="U362" t="s">
        <v>8102</v>
      </c>
      <c r="V362" t="s">
        <v>8103</v>
      </c>
      <c r="W362" t="s">
        <v>8104</v>
      </c>
      <c r="X362" t="s">
        <v>8105</v>
      </c>
      <c r="Y362" t="s">
        <v>8106</v>
      </c>
    </row>
    <row r="363" spans="1:25" x14ac:dyDescent="0.3">
      <c r="A363">
        <v>18100</v>
      </c>
      <c r="B363" t="s">
        <v>8107</v>
      </c>
      <c r="C363" t="s">
        <v>8108</v>
      </c>
      <c r="D363" t="s">
        <v>8109</v>
      </c>
      <c r="E363" t="s">
        <v>8110</v>
      </c>
      <c r="F363" t="s">
        <v>8111</v>
      </c>
      <c r="G363" t="s">
        <v>8112</v>
      </c>
      <c r="H363" t="s">
        <v>8113</v>
      </c>
      <c r="I363" t="s">
        <v>8114</v>
      </c>
      <c r="J363" t="s">
        <v>8115</v>
      </c>
      <c r="K363" t="s">
        <v>8116</v>
      </c>
      <c r="L363" t="s">
        <v>8117</v>
      </c>
      <c r="M363" t="s">
        <v>8118</v>
      </c>
      <c r="N363" t="s">
        <v>8119</v>
      </c>
      <c r="O363" t="s">
        <v>8120</v>
      </c>
      <c r="P363" t="s">
        <v>8121</v>
      </c>
      <c r="Q363" t="s">
        <v>8122</v>
      </c>
      <c r="R363" t="s">
        <v>8123</v>
      </c>
      <c r="S363" t="s">
        <v>8124</v>
      </c>
      <c r="T363" t="s">
        <v>8125</v>
      </c>
      <c r="U363" t="s">
        <v>8126</v>
      </c>
      <c r="V363" t="s">
        <v>8127</v>
      </c>
      <c r="W363" t="s">
        <v>8128</v>
      </c>
      <c r="X363" t="s">
        <v>8129</v>
      </c>
      <c r="Y363" t="s">
        <v>8130</v>
      </c>
    </row>
    <row r="364" spans="1:25" x14ac:dyDescent="0.3">
      <c r="A364">
        <v>18150</v>
      </c>
      <c r="B364" t="s">
        <v>8131</v>
      </c>
      <c r="C364" t="s">
        <v>8132</v>
      </c>
      <c r="D364" t="s">
        <v>8133</v>
      </c>
      <c r="E364" t="s">
        <v>8134</v>
      </c>
      <c r="F364" t="s">
        <v>8135</v>
      </c>
      <c r="G364" t="s">
        <v>8136</v>
      </c>
      <c r="H364" t="s">
        <v>8137</v>
      </c>
      <c r="I364" t="s">
        <v>8138</v>
      </c>
      <c r="J364" t="s">
        <v>8139</v>
      </c>
      <c r="K364" t="s">
        <v>8140</v>
      </c>
      <c r="L364" t="s">
        <v>8141</v>
      </c>
      <c r="M364" t="s">
        <v>8142</v>
      </c>
      <c r="N364" t="s">
        <v>8143</v>
      </c>
      <c r="O364" t="s">
        <v>8144</v>
      </c>
      <c r="P364" t="s">
        <v>8145</v>
      </c>
      <c r="Q364" t="s">
        <v>8146</v>
      </c>
      <c r="R364" t="s">
        <v>8147</v>
      </c>
      <c r="S364" t="s">
        <v>8148</v>
      </c>
      <c r="T364" t="s">
        <v>8149</v>
      </c>
      <c r="U364" t="s">
        <v>8150</v>
      </c>
      <c r="V364" t="s">
        <v>8151</v>
      </c>
      <c r="W364" t="s">
        <v>8152</v>
      </c>
      <c r="X364" t="s">
        <v>8153</v>
      </c>
      <c r="Y364" t="s">
        <v>8154</v>
      </c>
    </row>
    <row r="365" spans="1:25" x14ac:dyDescent="0.3">
      <c r="A365">
        <v>18200</v>
      </c>
      <c r="B365" t="s">
        <v>8155</v>
      </c>
      <c r="C365" t="s">
        <v>8156</v>
      </c>
      <c r="D365" t="s">
        <v>8157</v>
      </c>
      <c r="E365" t="s">
        <v>8158</v>
      </c>
      <c r="F365" t="s">
        <v>8159</v>
      </c>
      <c r="G365" t="s">
        <v>8160</v>
      </c>
      <c r="H365" t="s">
        <v>8161</v>
      </c>
      <c r="I365" t="s">
        <v>8162</v>
      </c>
      <c r="J365" t="s">
        <v>8163</v>
      </c>
      <c r="K365" t="s">
        <v>8164</v>
      </c>
      <c r="L365" t="s">
        <v>8165</v>
      </c>
      <c r="M365" t="s">
        <v>8166</v>
      </c>
      <c r="N365" t="s">
        <v>8167</v>
      </c>
      <c r="O365" t="s">
        <v>8168</v>
      </c>
      <c r="P365" t="s">
        <v>8169</v>
      </c>
      <c r="Q365" t="s">
        <v>8170</v>
      </c>
      <c r="R365" t="s">
        <v>8171</v>
      </c>
      <c r="S365" t="s">
        <v>8172</v>
      </c>
      <c r="T365" t="s">
        <v>8173</v>
      </c>
      <c r="U365" t="s">
        <v>8174</v>
      </c>
      <c r="V365" t="s">
        <v>8175</v>
      </c>
      <c r="W365" t="s">
        <v>8176</v>
      </c>
      <c r="X365" t="s">
        <v>8177</v>
      </c>
      <c r="Y365" t="s">
        <v>8178</v>
      </c>
    </row>
    <row r="366" spans="1:25" x14ac:dyDescent="0.3">
      <c r="A366">
        <v>18250</v>
      </c>
      <c r="B366" t="s">
        <v>8179</v>
      </c>
      <c r="C366" t="s">
        <v>8180</v>
      </c>
      <c r="D366" t="s">
        <v>8181</v>
      </c>
      <c r="E366" t="s">
        <v>8182</v>
      </c>
      <c r="F366" t="s">
        <v>8183</v>
      </c>
      <c r="G366" t="s">
        <v>8184</v>
      </c>
      <c r="H366" t="s">
        <v>8185</v>
      </c>
      <c r="I366" t="s">
        <v>8186</v>
      </c>
      <c r="J366" t="s">
        <v>8187</v>
      </c>
      <c r="K366" t="s">
        <v>8188</v>
      </c>
      <c r="L366" t="s">
        <v>8189</v>
      </c>
      <c r="M366" t="s">
        <v>8190</v>
      </c>
      <c r="N366" t="s">
        <v>8191</v>
      </c>
      <c r="O366" t="s">
        <v>8192</v>
      </c>
      <c r="P366" t="s">
        <v>8193</v>
      </c>
      <c r="Q366" t="s">
        <v>8194</v>
      </c>
      <c r="R366" t="s">
        <v>8195</v>
      </c>
      <c r="S366" t="s">
        <v>8196</v>
      </c>
      <c r="T366" t="s">
        <v>8197</v>
      </c>
      <c r="U366" t="s">
        <v>8198</v>
      </c>
      <c r="V366" t="s">
        <v>8199</v>
      </c>
      <c r="W366" t="s">
        <v>8200</v>
      </c>
      <c r="X366" t="s">
        <v>8201</v>
      </c>
      <c r="Y366" t="s">
        <v>8202</v>
      </c>
    </row>
    <row r="367" spans="1:25" x14ac:dyDescent="0.3">
      <c r="A367">
        <v>18300</v>
      </c>
      <c r="B367" t="s">
        <v>8203</v>
      </c>
      <c r="C367" t="s">
        <v>8204</v>
      </c>
      <c r="D367" t="s">
        <v>8205</v>
      </c>
      <c r="E367" t="s">
        <v>8206</v>
      </c>
      <c r="F367" t="s">
        <v>8207</v>
      </c>
      <c r="G367" t="s">
        <v>8208</v>
      </c>
      <c r="H367" t="s">
        <v>8209</v>
      </c>
      <c r="I367" t="s">
        <v>8210</v>
      </c>
      <c r="J367" t="s">
        <v>8211</v>
      </c>
      <c r="K367" t="s">
        <v>8212</v>
      </c>
      <c r="L367" t="s">
        <v>8213</v>
      </c>
      <c r="M367" t="s">
        <v>8214</v>
      </c>
      <c r="N367" t="s">
        <v>8215</v>
      </c>
      <c r="O367" t="s">
        <v>8216</v>
      </c>
      <c r="P367" t="s">
        <v>8217</v>
      </c>
      <c r="Q367" t="s">
        <v>8218</v>
      </c>
      <c r="R367" t="s">
        <v>8219</v>
      </c>
      <c r="S367" t="s">
        <v>8220</v>
      </c>
      <c r="T367" t="s">
        <v>8221</v>
      </c>
      <c r="U367" t="s">
        <v>8222</v>
      </c>
      <c r="V367" t="s">
        <v>8223</v>
      </c>
      <c r="W367" t="s">
        <v>8224</v>
      </c>
      <c r="X367" t="s">
        <v>8225</v>
      </c>
      <c r="Y367" t="s">
        <v>8226</v>
      </c>
    </row>
    <row r="368" spans="1:25" x14ac:dyDescent="0.3">
      <c r="A368">
        <v>18350</v>
      </c>
      <c r="B368" t="s">
        <v>8227</v>
      </c>
      <c r="C368" t="s">
        <v>8228</v>
      </c>
      <c r="D368" t="s">
        <v>8229</v>
      </c>
      <c r="E368" t="s">
        <v>8230</v>
      </c>
      <c r="F368" t="s">
        <v>8231</v>
      </c>
      <c r="G368" t="s">
        <v>8232</v>
      </c>
      <c r="H368" t="s">
        <v>8233</v>
      </c>
      <c r="I368" t="s">
        <v>8234</v>
      </c>
      <c r="J368" t="s">
        <v>8235</v>
      </c>
      <c r="K368" t="s">
        <v>8236</v>
      </c>
      <c r="L368" t="s">
        <v>8237</v>
      </c>
      <c r="M368" t="s">
        <v>8238</v>
      </c>
      <c r="N368" t="s">
        <v>8239</v>
      </c>
      <c r="O368" t="s">
        <v>8240</v>
      </c>
      <c r="P368" t="s">
        <v>8241</v>
      </c>
      <c r="Q368" t="s">
        <v>8242</v>
      </c>
      <c r="R368" t="s">
        <v>8243</v>
      </c>
      <c r="S368" t="s">
        <v>8244</v>
      </c>
      <c r="T368" t="s">
        <v>8245</v>
      </c>
      <c r="U368" t="s">
        <v>8246</v>
      </c>
      <c r="V368" t="s">
        <v>8247</v>
      </c>
      <c r="W368" t="s">
        <v>8248</v>
      </c>
      <c r="X368" t="s">
        <v>8249</v>
      </c>
      <c r="Y368" t="s">
        <v>8250</v>
      </c>
    </row>
    <row r="369" spans="1:25" x14ac:dyDescent="0.3">
      <c r="A369">
        <v>18400</v>
      </c>
      <c r="B369" t="s">
        <v>8251</v>
      </c>
      <c r="C369" t="s">
        <v>8252</v>
      </c>
      <c r="D369" t="s">
        <v>8253</v>
      </c>
      <c r="E369" t="s">
        <v>8254</v>
      </c>
      <c r="F369" t="s">
        <v>8255</v>
      </c>
      <c r="G369" t="s">
        <v>8256</v>
      </c>
      <c r="H369" t="s">
        <v>8257</v>
      </c>
      <c r="I369" t="s">
        <v>8258</v>
      </c>
      <c r="J369" t="s">
        <v>8259</v>
      </c>
      <c r="K369" t="s">
        <v>8260</v>
      </c>
      <c r="L369" t="s">
        <v>8261</v>
      </c>
      <c r="M369" t="s">
        <v>8262</v>
      </c>
      <c r="N369" t="s">
        <v>8263</v>
      </c>
      <c r="O369" t="s">
        <v>8264</v>
      </c>
      <c r="P369" t="s">
        <v>8265</v>
      </c>
      <c r="Q369" t="s">
        <v>8266</v>
      </c>
      <c r="R369" t="s">
        <v>8267</v>
      </c>
      <c r="S369" t="s">
        <v>8268</v>
      </c>
      <c r="T369" t="s">
        <v>8269</v>
      </c>
      <c r="U369" t="s">
        <v>8270</v>
      </c>
      <c r="V369" t="s">
        <v>8271</v>
      </c>
      <c r="W369" t="s">
        <v>8272</v>
      </c>
      <c r="X369" t="s">
        <v>8273</v>
      </c>
      <c r="Y369" t="s">
        <v>8274</v>
      </c>
    </row>
    <row r="370" spans="1:25" x14ac:dyDescent="0.3">
      <c r="A370">
        <v>18450</v>
      </c>
      <c r="B370" t="s">
        <v>8275</v>
      </c>
      <c r="C370" t="s">
        <v>8276</v>
      </c>
      <c r="D370" t="s">
        <v>8277</v>
      </c>
      <c r="E370" t="s">
        <v>8278</v>
      </c>
      <c r="F370" t="s">
        <v>8279</v>
      </c>
      <c r="G370" t="s">
        <v>8280</v>
      </c>
      <c r="H370" t="s">
        <v>8281</v>
      </c>
      <c r="I370" t="s">
        <v>8282</v>
      </c>
      <c r="J370" t="s">
        <v>8283</v>
      </c>
      <c r="K370" t="s">
        <v>8284</v>
      </c>
      <c r="L370" t="s">
        <v>8285</v>
      </c>
      <c r="M370" t="s">
        <v>8286</v>
      </c>
      <c r="N370" t="s">
        <v>8287</v>
      </c>
      <c r="O370" t="s">
        <v>8288</v>
      </c>
      <c r="P370" t="s">
        <v>8289</v>
      </c>
      <c r="Q370" t="s">
        <v>8290</v>
      </c>
      <c r="R370" t="s">
        <v>8291</v>
      </c>
      <c r="S370" t="s">
        <v>8292</v>
      </c>
      <c r="T370" t="s">
        <v>8293</v>
      </c>
      <c r="U370" t="s">
        <v>8294</v>
      </c>
      <c r="V370" t="s">
        <v>8295</v>
      </c>
      <c r="W370" t="s">
        <v>8296</v>
      </c>
      <c r="X370" t="s">
        <v>8297</v>
      </c>
      <c r="Y370" t="s">
        <v>8298</v>
      </c>
    </row>
    <row r="371" spans="1:25" x14ac:dyDescent="0.3">
      <c r="A371">
        <v>18500</v>
      </c>
      <c r="B371" t="s">
        <v>8299</v>
      </c>
      <c r="C371" t="s">
        <v>8300</v>
      </c>
      <c r="D371" t="s">
        <v>8301</v>
      </c>
      <c r="E371" t="s">
        <v>8302</v>
      </c>
      <c r="F371" t="s">
        <v>8303</v>
      </c>
      <c r="G371" t="s">
        <v>8304</v>
      </c>
      <c r="H371" t="s">
        <v>8305</v>
      </c>
      <c r="I371" t="s">
        <v>8306</v>
      </c>
      <c r="J371" t="s">
        <v>8307</v>
      </c>
      <c r="K371" t="s">
        <v>8308</v>
      </c>
      <c r="L371" t="s">
        <v>8309</v>
      </c>
      <c r="M371" t="s">
        <v>8310</v>
      </c>
      <c r="N371" t="s">
        <v>8311</v>
      </c>
      <c r="O371" t="s">
        <v>8312</v>
      </c>
      <c r="P371" t="s">
        <v>8313</v>
      </c>
      <c r="Q371" t="s">
        <v>8314</v>
      </c>
      <c r="R371" t="s">
        <v>8315</v>
      </c>
      <c r="S371" t="s">
        <v>8316</v>
      </c>
      <c r="T371" t="s">
        <v>8317</v>
      </c>
      <c r="U371" t="s">
        <v>8318</v>
      </c>
      <c r="V371" t="s">
        <v>8319</v>
      </c>
      <c r="W371" t="s">
        <v>8320</v>
      </c>
      <c r="X371" t="s">
        <v>8321</v>
      </c>
      <c r="Y371" t="s">
        <v>8322</v>
      </c>
    </row>
    <row r="372" spans="1:25" x14ac:dyDescent="0.3">
      <c r="A372">
        <v>18550</v>
      </c>
      <c r="B372" t="s">
        <v>8323</v>
      </c>
      <c r="C372" t="s">
        <v>8324</v>
      </c>
      <c r="D372" t="s">
        <v>8325</v>
      </c>
      <c r="E372" t="s">
        <v>8326</v>
      </c>
      <c r="F372" t="s">
        <v>8327</v>
      </c>
      <c r="G372" t="s">
        <v>8328</v>
      </c>
      <c r="H372" t="s">
        <v>8329</v>
      </c>
      <c r="I372" t="s">
        <v>8330</v>
      </c>
      <c r="J372" t="s">
        <v>8331</v>
      </c>
      <c r="K372" t="s">
        <v>8332</v>
      </c>
      <c r="L372" t="s">
        <v>8333</v>
      </c>
      <c r="M372" t="s">
        <v>8334</v>
      </c>
      <c r="N372" t="s">
        <v>8335</v>
      </c>
      <c r="O372" t="s">
        <v>8336</v>
      </c>
      <c r="P372" t="s">
        <v>8337</v>
      </c>
      <c r="Q372" t="s">
        <v>8338</v>
      </c>
      <c r="R372" t="s">
        <v>8339</v>
      </c>
      <c r="S372" t="s">
        <v>8340</v>
      </c>
      <c r="T372" t="s">
        <v>8341</v>
      </c>
      <c r="U372" t="s">
        <v>8342</v>
      </c>
      <c r="V372" t="s">
        <v>8343</v>
      </c>
      <c r="W372" t="s">
        <v>8344</v>
      </c>
      <c r="X372" t="s">
        <v>8345</v>
      </c>
      <c r="Y372" t="s">
        <v>8346</v>
      </c>
    </row>
    <row r="373" spans="1:25" x14ac:dyDescent="0.3">
      <c r="A373">
        <v>18600</v>
      </c>
      <c r="B373" t="s">
        <v>8347</v>
      </c>
      <c r="C373" t="s">
        <v>8348</v>
      </c>
      <c r="D373" t="s">
        <v>8349</v>
      </c>
      <c r="E373" t="s">
        <v>8350</v>
      </c>
      <c r="F373" t="s">
        <v>8351</v>
      </c>
      <c r="G373" t="s">
        <v>8352</v>
      </c>
      <c r="H373" t="s">
        <v>8353</v>
      </c>
      <c r="I373" t="s">
        <v>8354</v>
      </c>
      <c r="J373" t="s">
        <v>8355</v>
      </c>
      <c r="K373" t="s">
        <v>8356</v>
      </c>
      <c r="L373" t="s">
        <v>8357</v>
      </c>
      <c r="M373" t="s">
        <v>8358</v>
      </c>
      <c r="N373" t="s">
        <v>8359</v>
      </c>
      <c r="O373" t="s">
        <v>8360</v>
      </c>
      <c r="P373" t="s">
        <v>8361</v>
      </c>
      <c r="Q373" t="s">
        <v>8362</v>
      </c>
      <c r="R373" t="s">
        <v>8363</v>
      </c>
      <c r="S373" t="s">
        <v>8364</v>
      </c>
      <c r="T373" t="s">
        <v>8365</v>
      </c>
      <c r="U373" t="s">
        <v>8366</v>
      </c>
      <c r="V373" t="s">
        <v>8367</v>
      </c>
      <c r="W373" t="s">
        <v>8368</v>
      </c>
      <c r="X373" t="s">
        <v>8369</v>
      </c>
      <c r="Y373" t="s">
        <v>8370</v>
      </c>
    </row>
    <row r="374" spans="1:25" x14ac:dyDescent="0.3">
      <c r="A374">
        <v>18650</v>
      </c>
      <c r="B374" t="s">
        <v>8371</v>
      </c>
      <c r="C374" t="s">
        <v>8372</v>
      </c>
      <c r="D374" t="s">
        <v>8373</v>
      </c>
      <c r="E374" t="s">
        <v>8374</v>
      </c>
      <c r="F374" t="s">
        <v>8375</v>
      </c>
      <c r="G374" t="s">
        <v>8376</v>
      </c>
      <c r="H374" t="s">
        <v>8377</v>
      </c>
      <c r="I374" t="s">
        <v>8378</v>
      </c>
      <c r="J374" t="s">
        <v>8379</v>
      </c>
      <c r="K374" t="s">
        <v>8380</v>
      </c>
      <c r="L374" t="s">
        <v>8381</v>
      </c>
      <c r="M374" t="s">
        <v>8382</v>
      </c>
      <c r="N374" t="s">
        <v>8383</v>
      </c>
      <c r="O374" t="s">
        <v>8384</v>
      </c>
      <c r="P374" t="s">
        <v>8385</v>
      </c>
      <c r="Q374" t="s">
        <v>8386</v>
      </c>
      <c r="R374" t="s">
        <v>8387</v>
      </c>
      <c r="S374" t="s">
        <v>8388</v>
      </c>
      <c r="T374" t="s">
        <v>8389</v>
      </c>
      <c r="U374" t="s">
        <v>8390</v>
      </c>
      <c r="V374" t="s">
        <v>8391</v>
      </c>
      <c r="W374" t="s">
        <v>8392</v>
      </c>
      <c r="X374" t="s">
        <v>8393</v>
      </c>
      <c r="Y374" t="s">
        <v>8394</v>
      </c>
    </row>
    <row r="375" spans="1:25" x14ac:dyDescent="0.3">
      <c r="A375">
        <v>18700</v>
      </c>
      <c r="B375" t="s">
        <v>8395</v>
      </c>
      <c r="C375" t="s">
        <v>8396</v>
      </c>
      <c r="D375" t="s">
        <v>8397</v>
      </c>
      <c r="E375" t="s">
        <v>8398</v>
      </c>
      <c r="F375" t="s">
        <v>8399</v>
      </c>
      <c r="G375" t="s">
        <v>8400</v>
      </c>
      <c r="H375" t="s">
        <v>8401</v>
      </c>
      <c r="I375" t="s">
        <v>8402</v>
      </c>
      <c r="J375" t="s">
        <v>8403</v>
      </c>
      <c r="K375" t="s">
        <v>8404</v>
      </c>
      <c r="L375" t="s">
        <v>8405</v>
      </c>
      <c r="M375" t="s">
        <v>8406</v>
      </c>
      <c r="N375" t="s">
        <v>8407</v>
      </c>
      <c r="O375" t="s">
        <v>8408</v>
      </c>
      <c r="P375" t="s">
        <v>8409</v>
      </c>
      <c r="Q375" t="s">
        <v>8410</v>
      </c>
      <c r="R375" t="s">
        <v>8411</v>
      </c>
      <c r="S375" t="s">
        <v>8412</v>
      </c>
      <c r="T375" t="s">
        <v>8413</v>
      </c>
      <c r="U375" t="s">
        <v>8414</v>
      </c>
      <c r="V375" t="s">
        <v>8415</v>
      </c>
      <c r="W375" t="s">
        <v>8416</v>
      </c>
      <c r="X375" t="s">
        <v>8417</v>
      </c>
      <c r="Y375" t="s">
        <v>8418</v>
      </c>
    </row>
    <row r="376" spans="1:25" x14ac:dyDescent="0.3">
      <c r="A376">
        <v>18750</v>
      </c>
      <c r="B376" t="s">
        <v>8419</v>
      </c>
      <c r="C376" t="s">
        <v>8420</v>
      </c>
      <c r="D376" t="s">
        <v>8421</v>
      </c>
      <c r="E376" t="s">
        <v>8422</v>
      </c>
      <c r="F376" t="s">
        <v>8423</v>
      </c>
      <c r="G376" t="s">
        <v>8424</v>
      </c>
      <c r="H376" t="s">
        <v>8425</v>
      </c>
      <c r="I376" t="s">
        <v>8426</v>
      </c>
      <c r="J376" t="s">
        <v>8427</v>
      </c>
      <c r="K376" t="s">
        <v>8428</v>
      </c>
      <c r="L376" t="s">
        <v>8429</v>
      </c>
      <c r="M376" t="s">
        <v>8430</v>
      </c>
      <c r="N376" t="s">
        <v>8431</v>
      </c>
      <c r="O376" t="s">
        <v>8432</v>
      </c>
      <c r="P376" t="s">
        <v>8433</v>
      </c>
      <c r="Q376" t="s">
        <v>8434</v>
      </c>
      <c r="R376" t="s">
        <v>8435</v>
      </c>
      <c r="S376" t="s">
        <v>8436</v>
      </c>
      <c r="T376" t="s">
        <v>8437</v>
      </c>
      <c r="U376" t="s">
        <v>8438</v>
      </c>
      <c r="V376" t="s">
        <v>8439</v>
      </c>
      <c r="W376" t="s">
        <v>8440</v>
      </c>
      <c r="X376" t="s">
        <v>8441</v>
      </c>
      <c r="Y376" t="s">
        <v>8442</v>
      </c>
    </row>
    <row r="377" spans="1:25" x14ac:dyDescent="0.3">
      <c r="A377">
        <v>18800</v>
      </c>
      <c r="B377" t="s">
        <v>8443</v>
      </c>
      <c r="C377" t="s">
        <v>8444</v>
      </c>
      <c r="D377" t="s">
        <v>8445</v>
      </c>
      <c r="E377" t="s">
        <v>8446</v>
      </c>
      <c r="F377" t="s">
        <v>8447</v>
      </c>
      <c r="G377" t="s">
        <v>8448</v>
      </c>
      <c r="H377" t="s">
        <v>8449</v>
      </c>
      <c r="I377" t="s">
        <v>8450</v>
      </c>
      <c r="J377" t="s">
        <v>8451</v>
      </c>
      <c r="K377" t="s">
        <v>8452</v>
      </c>
      <c r="L377" t="s">
        <v>8453</v>
      </c>
      <c r="M377" t="s">
        <v>8454</v>
      </c>
      <c r="N377" t="s">
        <v>8455</v>
      </c>
      <c r="O377" t="s">
        <v>8456</v>
      </c>
      <c r="P377" t="s">
        <v>8457</v>
      </c>
      <c r="Q377" t="s">
        <v>8458</v>
      </c>
      <c r="R377" t="s">
        <v>8459</v>
      </c>
      <c r="S377" t="s">
        <v>8460</v>
      </c>
      <c r="T377" t="s">
        <v>8461</v>
      </c>
      <c r="U377" t="s">
        <v>8462</v>
      </c>
      <c r="V377" t="s">
        <v>8463</v>
      </c>
      <c r="W377" t="s">
        <v>8464</v>
      </c>
      <c r="X377" t="s">
        <v>8465</v>
      </c>
      <c r="Y377" t="s">
        <v>8466</v>
      </c>
    </row>
    <row r="378" spans="1:25" x14ac:dyDescent="0.3">
      <c r="A378">
        <v>18850</v>
      </c>
      <c r="B378" t="s">
        <v>8467</v>
      </c>
      <c r="C378" t="s">
        <v>8468</v>
      </c>
      <c r="D378" t="s">
        <v>8469</v>
      </c>
      <c r="E378" t="s">
        <v>8470</v>
      </c>
      <c r="F378" t="s">
        <v>8471</v>
      </c>
      <c r="G378" t="s">
        <v>8472</v>
      </c>
      <c r="H378" t="s">
        <v>8473</v>
      </c>
      <c r="I378" t="s">
        <v>8474</v>
      </c>
      <c r="J378" t="s">
        <v>8475</v>
      </c>
      <c r="K378" t="s">
        <v>8476</v>
      </c>
      <c r="L378" t="s">
        <v>8477</v>
      </c>
      <c r="M378" t="s">
        <v>8478</v>
      </c>
      <c r="N378" t="s">
        <v>8479</v>
      </c>
      <c r="O378" t="s">
        <v>8480</v>
      </c>
      <c r="P378" t="s">
        <v>8481</v>
      </c>
      <c r="Q378" t="s">
        <v>8482</v>
      </c>
      <c r="R378" t="s">
        <v>8483</v>
      </c>
      <c r="S378" t="s">
        <v>8484</v>
      </c>
      <c r="T378" t="s">
        <v>8485</v>
      </c>
      <c r="U378" t="s">
        <v>8486</v>
      </c>
      <c r="V378" t="s">
        <v>8487</v>
      </c>
      <c r="W378" t="s">
        <v>8488</v>
      </c>
      <c r="X378" t="s">
        <v>8489</v>
      </c>
      <c r="Y378" t="s">
        <v>8490</v>
      </c>
    </row>
    <row r="379" spans="1:25" x14ac:dyDescent="0.3">
      <c r="A379">
        <v>18900</v>
      </c>
      <c r="B379" t="s">
        <v>8491</v>
      </c>
      <c r="C379" t="s">
        <v>8492</v>
      </c>
      <c r="D379" t="s">
        <v>8493</v>
      </c>
      <c r="E379" t="s">
        <v>8494</v>
      </c>
      <c r="F379" t="s">
        <v>8495</v>
      </c>
      <c r="G379" t="s">
        <v>8496</v>
      </c>
      <c r="H379" t="s">
        <v>8497</v>
      </c>
      <c r="I379" t="s">
        <v>8498</v>
      </c>
      <c r="J379" t="s">
        <v>8499</v>
      </c>
      <c r="K379" t="s">
        <v>8500</v>
      </c>
      <c r="L379" t="s">
        <v>8501</v>
      </c>
      <c r="M379" t="s">
        <v>8502</v>
      </c>
      <c r="N379" t="s">
        <v>8503</v>
      </c>
      <c r="O379" t="s">
        <v>8504</v>
      </c>
      <c r="P379" t="s">
        <v>8505</v>
      </c>
      <c r="Q379" t="s">
        <v>8506</v>
      </c>
      <c r="R379" t="s">
        <v>8507</v>
      </c>
      <c r="S379" t="s">
        <v>8508</v>
      </c>
      <c r="T379" t="s">
        <v>8509</v>
      </c>
      <c r="U379" t="s">
        <v>8510</v>
      </c>
      <c r="V379" t="s">
        <v>8511</v>
      </c>
      <c r="W379" t="s">
        <v>8512</v>
      </c>
      <c r="X379" t="s">
        <v>8513</v>
      </c>
      <c r="Y379" t="s">
        <v>8514</v>
      </c>
    </row>
    <row r="380" spans="1:25" x14ac:dyDescent="0.3">
      <c r="A380">
        <v>18950</v>
      </c>
      <c r="B380" t="s">
        <v>8515</v>
      </c>
      <c r="C380" t="s">
        <v>8516</v>
      </c>
      <c r="D380" t="s">
        <v>8517</v>
      </c>
      <c r="E380" t="s">
        <v>8518</v>
      </c>
      <c r="F380" t="s">
        <v>8519</v>
      </c>
      <c r="G380" t="s">
        <v>8520</v>
      </c>
      <c r="H380" t="s">
        <v>8521</v>
      </c>
      <c r="I380" t="s">
        <v>8522</v>
      </c>
      <c r="J380" t="s">
        <v>8523</v>
      </c>
      <c r="K380" t="s">
        <v>8524</v>
      </c>
      <c r="L380" t="s">
        <v>8525</v>
      </c>
      <c r="M380" t="s">
        <v>8526</v>
      </c>
      <c r="N380" t="s">
        <v>8527</v>
      </c>
      <c r="O380" t="s">
        <v>8528</v>
      </c>
      <c r="P380" t="s">
        <v>8529</v>
      </c>
      <c r="Q380" t="s">
        <v>8530</v>
      </c>
      <c r="R380" t="s">
        <v>8531</v>
      </c>
      <c r="S380" t="s">
        <v>8532</v>
      </c>
      <c r="T380" t="s">
        <v>8533</v>
      </c>
      <c r="U380" t="s">
        <v>8534</v>
      </c>
      <c r="V380" t="s">
        <v>8535</v>
      </c>
      <c r="W380" t="s">
        <v>8536</v>
      </c>
      <c r="X380" t="s">
        <v>8537</v>
      </c>
      <c r="Y380" t="s">
        <v>8538</v>
      </c>
    </row>
    <row r="381" spans="1:25" x14ac:dyDescent="0.3">
      <c r="A381">
        <v>19000</v>
      </c>
      <c r="B381" t="s">
        <v>8539</v>
      </c>
      <c r="C381" t="s">
        <v>8540</v>
      </c>
      <c r="D381" t="s">
        <v>8541</v>
      </c>
      <c r="E381" t="s">
        <v>8542</v>
      </c>
      <c r="F381" t="s">
        <v>8543</v>
      </c>
      <c r="G381" t="s">
        <v>8544</v>
      </c>
      <c r="H381" t="s">
        <v>8545</v>
      </c>
      <c r="I381" t="s">
        <v>8546</v>
      </c>
      <c r="J381" t="s">
        <v>8547</v>
      </c>
      <c r="K381" t="s">
        <v>8548</v>
      </c>
      <c r="L381" t="s">
        <v>8549</v>
      </c>
      <c r="M381" t="s">
        <v>8550</v>
      </c>
      <c r="N381" t="s">
        <v>8551</v>
      </c>
      <c r="O381" t="s">
        <v>8552</v>
      </c>
      <c r="P381" t="s">
        <v>8553</v>
      </c>
      <c r="Q381" t="s">
        <v>8554</v>
      </c>
      <c r="R381" t="s">
        <v>8555</v>
      </c>
      <c r="S381" t="s">
        <v>8556</v>
      </c>
      <c r="T381" t="s">
        <v>8557</v>
      </c>
      <c r="U381" t="s">
        <v>8558</v>
      </c>
      <c r="V381" t="s">
        <v>8559</v>
      </c>
      <c r="W381" t="s">
        <v>8560</v>
      </c>
      <c r="X381" t="s">
        <v>8561</v>
      </c>
      <c r="Y381" t="s">
        <v>8562</v>
      </c>
    </row>
    <row r="382" spans="1:25" x14ac:dyDescent="0.3">
      <c r="A382">
        <v>19050</v>
      </c>
      <c r="B382" t="s">
        <v>8563</v>
      </c>
      <c r="C382" t="s">
        <v>8564</v>
      </c>
      <c r="D382" t="s">
        <v>8565</v>
      </c>
      <c r="E382" t="s">
        <v>8566</v>
      </c>
      <c r="F382" t="s">
        <v>8567</v>
      </c>
      <c r="G382" t="s">
        <v>8568</v>
      </c>
      <c r="H382" t="s">
        <v>8569</v>
      </c>
      <c r="I382" t="s">
        <v>8570</v>
      </c>
      <c r="J382" t="s">
        <v>8571</v>
      </c>
      <c r="K382" t="s">
        <v>8572</v>
      </c>
      <c r="L382" t="s">
        <v>8573</v>
      </c>
      <c r="M382" t="s">
        <v>8574</v>
      </c>
      <c r="N382" t="s">
        <v>8575</v>
      </c>
      <c r="O382" t="s">
        <v>8576</v>
      </c>
      <c r="P382" t="s">
        <v>8577</v>
      </c>
      <c r="Q382" t="s">
        <v>8578</v>
      </c>
      <c r="R382" t="s">
        <v>8579</v>
      </c>
      <c r="S382" t="s">
        <v>8580</v>
      </c>
      <c r="T382" t="s">
        <v>8581</v>
      </c>
      <c r="U382" t="s">
        <v>8582</v>
      </c>
      <c r="V382" t="s">
        <v>8583</v>
      </c>
      <c r="W382" t="s">
        <v>8584</v>
      </c>
      <c r="X382" t="s">
        <v>8585</v>
      </c>
      <c r="Y382" t="s">
        <v>8586</v>
      </c>
    </row>
    <row r="383" spans="1:25" x14ac:dyDescent="0.3">
      <c r="A383">
        <v>19100</v>
      </c>
      <c r="B383" t="s">
        <v>8587</v>
      </c>
      <c r="C383" t="s">
        <v>8588</v>
      </c>
      <c r="D383" t="s">
        <v>8589</v>
      </c>
      <c r="E383" t="s">
        <v>8590</v>
      </c>
      <c r="F383" t="s">
        <v>8591</v>
      </c>
      <c r="G383" t="s">
        <v>8592</v>
      </c>
      <c r="H383" t="s">
        <v>8593</v>
      </c>
      <c r="I383" t="s">
        <v>8594</v>
      </c>
      <c r="J383" t="s">
        <v>8595</v>
      </c>
      <c r="K383" t="s">
        <v>8596</v>
      </c>
      <c r="L383" t="s">
        <v>8597</v>
      </c>
      <c r="M383" t="s">
        <v>8598</v>
      </c>
      <c r="N383" t="s">
        <v>8599</v>
      </c>
      <c r="O383" t="s">
        <v>8600</v>
      </c>
      <c r="P383" t="s">
        <v>8601</v>
      </c>
      <c r="Q383" t="s">
        <v>8602</v>
      </c>
      <c r="R383" t="s">
        <v>8603</v>
      </c>
      <c r="S383" t="s">
        <v>8604</v>
      </c>
      <c r="T383" t="s">
        <v>8605</v>
      </c>
      <c r="U383" t="s">
        <v>8606</v>
      </c>
      <c r="V383" t="s">
        <v>8607</v>
      </c>
      <c r="W383" t="s">
        <v>8608</v>
      </c>
      <c r="X383" t="s">
        <v>8609</v>
      </c>
      <c r="Y383" t="s">
        <v>8610</v>
      </c>
    </row>
    <row r="384" spans="1:25" x14ac:dyDescent="0.3">
      <c r="A384">
        <v>19150</v>
      </c>
      <c r="B384" t="s">
        <v>8611</v>
      </c>
      <c r="C384" t="s">
        <v>8612</v>
      </c>
      <c r="D384" t="s">
        <v>8613</v>
      </c>
      <c r="E384" t="s">
        <v>8614</v>
      </c>
      <c r="F384" t="s">
        <v>8615</v>
      </c>
      <c r="G384" t="s">
        <v>8616</v>
      </c>
      <c r="H384" t="s">
        <v>8617</v>
      </c>
      <c r="I384" t="s">
        <v>8618</v>
      </c>
      <c r="J384" t="s">
        <v>8619</v>
      </c>
      <c r="K384" t="s">
        <v>8620</v>
      </c>
      <c r="L384" t="s">
        <v>8621</v>
      </c>
      <c r="M384" t="s">
        <v>8622</v>
      </c>
      <c r="N384" t="s">
        <v>8623</v>
      </c>
      <c r="O384" t="s">
        <v>8624</v>
      </c>
      <c r="P384" t="s">
        <v>8625</v>
      </c>
      <c r="Q384" t="s">
        <v>8626</v>
      </c>
      <c r="R384" t="s">
        <v>8627</v>
      </c>
      <c r="S384" t="s">
        <v>8628</v>
      </c>
      <c r="T384" t="s">
        <v>8629</v>
      </c>
      <c r="U384" t="s">
        <v>8630</v>
      </c>
      <c r="V384" t="s">
        <v>8631</v>
      </c>
      <c r="W384" t="s">
        <v>8632</v>
      </c>
      <c r="X384" t="s">
        <v>8633</v>
      </c>
      <c r="Y384" t="s">
        <v>8634</v>
      </c>
    </row>
    <row r="385" spans="1:25" x14ac:dyDescent="0.3">
      <c r="A385">
        <v>19200</v>
      </c>
      <c r="B385" t="s">
        <v>8635</v>
      </c>
      <c r="C385" t="s">
        <v>8636</v>
      </c>
      <c r="D385" t="s">
        <v>8637</v>
      </c>
      <c r="E385" t="s">
        <v>8638</v>
      </c>
      <c r="F385" t="s">
        <v>8639</v>
      </c>
      <c r="G385" t="s">
        <v>8640</v>
      </c>
      <c r="H385" t="s">
        <v>8641</v>
      </c>
      <c r="I385" t="s">
        <v>8642</v>
      </c>
      <c r="J385" t="s">
        <v>8643</v>
      </c>
      <c r="K385" t="s">
        <v>8644</v>
      </c>
      <c r="L385" t="s">
        <v>8645</v>
      </c>
      <c r="M385" t="s">
        <v>8646</v>
      </c>
      <c r="N385" t="s">
        <v>8647</v>
      </c>
      <c r="O385" t="s">
        <v>8648</v>
      </c>
      <c r="P385" t="s">
        <v>8649</v>
      </c>
      <c r="Q385" t="s">
        <v>8650</v>
      </c>
      <c r="R385" t="s">
        <v>8651</v>
      </c>
      <c r="S385" t="s">
        <v>8652</v>
      </c>
      <c r="T385" t="s">
        <v>8653</v>
      </c>
      <c r="U385" t="s">
        <v>8654</v>
      </c>
      <c r="V385" t="s">
        <v>8655</v>
      </c>
      <c r="W385" t="s">
        <v>8656</v>
      </c>
      <c r="X385" t="s">
        <v>8657</v>
      </c>
      <c r="Y385" t="s">
        <v>8658</v>
      </c>
    </row>
    <row r="386" spans="1:25" x14ac:dyDescent="0.3">
      <c r="A386">
        <v>19250</v>
      </c>
      <c r="B386" t="s">
        <v>8659</v>
      </c>
      <c r="C386" t="s">
        <v>8660</v>
      </c>
      <c r="D386" t="s">
        <v>8661</v>
      </c>
      <c r="E386" t="s">
        <v>8662</v>
      </c>
      <c r="F386" t="s">
        <v>8663</v>
      </c>
      <c r="G386" t="s">
        <v>8664</v>
      </c>
      <c r="H386" t="s">
        <v>8665</v>
      </c>
      <c r="I386" t="s">
        <v>8666</v>
      </c>
      <c r="J386" t="s">
        <v>8667</v>
      </c>
      <c r="K386" t="s">
        <v>8668</v>
      </c>
      <c r="L386" t="s">
        <v>8669</v>
      </c>
      <c r="M386" t="s">
        <v>8670</v>
      </c>
      <c r="N386" t="s">
        <v>8671</v>
      </c>
      <c r="O386" t="s">
        <v>8672</v>
      </c>
      <c r="P386" t="s">
        <v>8673</v>
      </c>
      <c r="Q386" t="s">
        <v>8674</v>
      </c>
      <c r="R386" t="s">
        <v>8675</v>
      </c>
      <c r="S386" t="s">
        <v>8676</v>
      </c>
      <c r="T386" t="s">
        <v>8677</v>
      </c>
      <c r="U386" t="s">
        <v>8678</v>
      </c>
      <c r="V386" t="s">
        <v>8679</v>
      </c>
      <c r="W386" t="s">
        <v>8680</v>
      </c>
      <c r="X386" t="s">
        <v>8681</v>
      </c>
      <c r="Y386" t="s">
        <v>8682</v>
      </c>
    </row>
    <row r="387" spans="1:25" x14ac:dyDescent="0.3">
      <c r="A387">
        <v>19300</v>
      </c>
      <c r="B387" t="s">
        <v>8683</v>
      </c>
      <c r="C387" t="s">
        <v>8684</v>
      </c>
      <c r="D387" t="s">
        <v>8685</v>
      </c>
      <c r="E387" t="s">
        <v>8686</v>
      </c>
      <c r="F387" t="s">
        <v>8687</v>
      </c>
      <c r="G387" t="s">
        <v>8688</v>
      </c>
      <c r="H387" t="s">
        <v>8689</v>
      </c>
      <c r="I387" t="s">
        <v>8690</v>
      </c>
      <c r="J387" t="s">
        <v>8691</v>
      </c>
      <c r="K387" t="s">
        <v>8692</v>
      </c>
      <c r="L387" t="s">
        <v>8693</v>
      </c>
      <c r="M387" t="s">
        <v>8694</v>
      </c>
      <c r="N387" t="s">
        <v>8695</v>
      </c>
      <c r="O387" t="s">
        <v>8696</v>
      </c>
      <c r="P387" t="s">
        <v>8697</v>
      </c>
      <c r="Q387" t="s">
        <v>8698</v>
      </c>
      <c r="R387" t="s">
        <v>8699</v>
      </c>
      <c r="S387" t="s">
        <v>8700</v>
      </c>
      <c r="T387" t="s">
        <v>8701</v>
      </c>
      <c r="U387" t="s">
        <v>8702</v>
      </c>
      <c r="V387" t="s">
        <v>8703</v>
      </c>
      <c r="W387" t="s">
        <v>8704</v>
      </c>
      <c r="X387" t="s">
        <v>8705</v>
      </c>
      <c r="Y387" t="s">
        <v>8706</v>
      </c>
    </row>
    <row r="388" spans="1:25" x14ac:dyDescent="0.3">
      <c r="A388">
        <v>19350</v>
      </c>
      <c r="B388" t="s">
        <v>8707</v>
      </c>
      <c r="C388" t="s">
        <v>8708</v>
      </c>
      <c r="D388" t="s">
        <v>8709</v>
      </c>
      <c r="E388" t="s">
        <v>8710</v>
      </c>
      <c r="F388" t="s">
        <v>8711</v>
      </c>
      <c r="G388" t="s">
        <v>8712</v>
      </c>
      <c r="H388" t="s">
        <v>8713</v>
      </c>
      <c r="I388" t="s">
        <v>8714</v>
      </c>
      <c r="J388" t="s">
        <v>8715</v>
      </c>
      <c r="K388" t="s">
        <v>8716</v>
      </c>
      <c r="L388" t="s">
        <v>8717</v>
      </c>
      <c r="M388">
        <f>-694.049112347333 -45.1104056656493 -240.540527292201</f>
        <v>-979.70004530518327</v>
      </c>
      <c r="N388" t="s">
        <v>8718</v>
      </c>
      <c r="O388" t="s">
        <v>8719</v>
      </c>
      <c r="P388" t="s">
        <v>8720</v>
      </c>
      <c r="Q388" t="s">
        <v>8721</v>
      </c>
      <c r="R388" t="s">
        <v>8722</v>
      </c>
      <c r="S388" t="s">
        <v>8723</v>
      </c>
      <c r="T388" t="s">
        <v>8724</v>
      </c>
      <c r="U388" t="s">
        <v>8725</v>
      </c>
      <c r="V388" t="s">
        <v>8726</v>
      </c>
      <c r="W388" t="s">
        <v>8727</v>
      </c>
      <c r="X388" t="s">
        <v>8728</v>
      </c>
      <c r="Y388" t="s">
        <v>8729</v>
      </c>
    </row>
    <row r="389" spans="1:25" x14ac:dyDescent="0.3">
      <c r="A389">
        <v>19400</v>
      </c>
      <c r="B389" t="s">
        <v>8730</v>
      </c>
      <c r="C389" t="s">
        <v>8731</v>
      </c>
      <c r="D389" t="s">
        <v>8732</v>
      </c>
      <c r="E389" t="s">
        <v>8733</v>
      </c>
      <c r="F389" t="s">
        <v>8734</v>
      </c>
      <c r="G389" t="s">
        <v>8735</v>
      </c>
      <c r="H389" t="s">
        <v>8736</v>
      </c>
      <c r="I389" t="s">
        <v>8737</v>
      </c>
      <c r="J389" t="s">
        <v>8738</v>
      </c>
      <c r="K389" t="s">
        <v>8739</v>
      </c>
      <c r="L389" t="s">
        <v>8740</v>
      </c>
      <c r="M389">
        <f>-712.034176518816 -81.5319501383251 -243.169416339775</f>
        <v>-1036.7355429969161</v>
      </c>
      <c r="N389" t="s">
        <v>8741</v>
      </c>
      <c r="O389" t="s">
        <v>8742</v>
      </c>
      <c r="P389" t="s">
        <v>8743</v>
      </c>
      <c r="Q389" t="s">
        <v>8744</v>
      </c>
      <c r="R389" t="s">
        <v>8745</v>
      </c>
      <c r="S389" t="s">
        <v>8746</v>
      </c>
      <c r="T389" t="s">
        <v>8747</v>
      </c>
      <c r="U389" t="s">
        <v>8748</v>
      </c>
      <c r="V389" t="s">
        <v>8749</v>
      </c>
      <c r="W389" t="s">
        <v>8750</v>
      </c>
      <c r="X389" t="s">
        <v>8751</v>
      </c>
      <c r="Y389" t="s">
        <v>8752</v>
      </c>
    </row>
    <row r="390" spans="1:25" x14ac:dyDescent="0.3">
      <c r="A390">
        <v>19450</v>
      </c>
      <c r="B390" t="s">
        <v>8753</v>
      </c>
      <c r="C390" t="s">
        <v>8754</v>
      </c>
      <c r="D390" t="s">
        <v>8755</v>
      </c>
      <c r="E390" t="s">
        <v>8756</v>
      </c>
      <c r="F390" t="s">
        <v>8757</v>
      </c>
      <c r="G390" t="s">
        <v>8758</v>
      </c>
      <c r="H390" t="s">
        <v>8759</v>
      </c>
      <c r="I390" t="s">
        <v>8760</v>
      </c>
      <c r="J390" t="s">
        <v>8761</v>
      </c>
      <c r="K390" t="s">
        <v>8762</v>
      </c>
      <c r="L390" t="s">
        <v>8763</v>
      </c>
      <c r="M390">
        <f>-740.810369588447 -142.829409601192 -239.900200981806</f>
        <v>-1123.539980171445</v>
      </c>
      <c r="N390" t="s">
        <v>8764</v>
      </c>
      <c r="O390" t="s">
        <v>8765</v>
      </c>
      <c r="P390" t="s">
        <v>8766</v>
      </c>
      <c r="Q390" t="s">
        <v>8767</v>
      </c>
      <c r="R390" t="s">
        <v>8768</v>
      </c>
      <c r="S390" t="s">
        <v>8769</v>
      </c>
      <c r="T390" t="s">
        <v>8770</v>
      </c>
      <c r="U390" t="s">
        <v>8771</v>
      </c>
      <c r="V390" t="s">
        <v>8772</v>
      </c>
      <c r="W390" t="s">
        <v>8773</v>
      </c>
      <c r="X390" t="s">
        <v>8774</v>
      </c>
      <c r="Y390" t="s">
        <v>8775</v>
      </c>
    </row>
    <row r="391" spans="1:25" x14ac:dyDescent="0.3">
      <c r="A391">
        <v>19500</v>
      </c>
      <c r="B391" t="s">
        <v>8776</v>
      </c>
      <c r="C391" t="s">
        <v>8777</v>
      </c>
      <c r="D391" t="s">
        <v>8778</v>
      </c>
      <c r="E391" t="s">
        <v>8779</v>
      </c>
      <c r="F391" t="s">
        <v>8780</v>
      </c>
      <c r="G391" t="s">
        <v>8781</v>
      </c>
      <c r="H391" t="s">
        <v>8782</v>
      </c>
      <c r="I391" t="s">
        <v>8783</v>
      </c>
      <c r="J391" t="s">
        <v>8784</v>
      </c>
      <c r="K391" t="s">
        <v>8785</v>
      </c>
      <c r="L391">
        <f>-695.330589639541 -16.6593475310515 -436.981944139917</f>
        <v>-1148.9718813105096</v>
      </c>
      <c r="M391">
        <f>-752.055043300474 -166.337981977705 -231.99239865649</f>
        <v>-1150.385423934669</v>
      </c>
      <c r="N391" t="s">
        <v>8786</v>
      </c>
      <c r="O391" t="s">
        <v>8787</v>
      </c>
      <c r="P391" t="s">
        <v>8788</v>
      </c>
      <c r="Q391" t="s">
        <v>8789</v>
      </c>
      <c r="R391" t="s">
        <v>8790</v>
      </c>
      <c r="S391" t="s">
        <v>8791</v>
      </c>
      <c r="T391" t="s">
        <v>8792</v>
      </c>
      <c r="U391" t="s">
        <v>8793</v>
      </c>
      <c r="V391" t="s">
        <v>8794</v>
      </c>
      <c r="W391" t="s">
        <v>8795</v>
      </c>
      <c r="X391" t="s">
        <v>8796</v>
      </c>
      <c r="Y391" t="s">
        <v>8797</v>
      </c>
    </row>
    <row r="392" spans="1:25" x14ac:dyDescent="0.3">
      <c r="A392">
        <v>19550</v>
      </c>
      <c r="B392" t="s">
        <v>8798</v>
      </c>
      <c r="C392" t="s">
        <v>8799</v>
      </c>
      <c r="D392" t="s">
        <v>8800</v>
      </c>
      <c r="E392" t="s">
        <v>8801</v>
      </c>
      <c r="F392" t="s">
        <v>8802</v>
      </c>
      <c r="G392" t="s">
        <v>8803</v>
      </c>
      <c r="H392" t="s">
        <v>8804</v>
      </c>
      <c r="I392" t="s">
        <v>8805</v>
      </c>
      <c r="J392" t="s">
        <v>8806</v>
      </c>
      <c r="K392" t="s">
        <v>8807</v>
      </c>
      <c r="L392">
        <f>-724.432065022086 -59.9403507183929 -419.070626816636</f>
        <v>-1203.4430425571149</v>
      </c>
      <c r="M392">
        <f>-763.681232273941 -202.110414155036 -204.852980182532</f>
        <v>-1170.644626611509</v>
      </c>
      <c r="N392" t="s">
        <v>8808</v>
      </c>
      <c r="O392" t="s">
        <v>8809</v>
      </c>
      <c r="P392" t="s">
        <v>8810</v>
      </c>
      <c r="Q392" t="s">
        <v>8811</v>
      </c>
      <c r="R392" t="s">
        <v>8812</v>
      </c>
      <c r="S392" t="s">
        <v>8813</v>
      </c>
      <c r="T392" t="s">
        <v>8814</v>
      </c>
      <c r="U392" t="s">
        <v>8815</v>
      </c>
      <c r="V392" t="s">
        <v>8816</v>
      </c>
      <c r="W392" t="s">
        <v>8817</v>
      </c>
      <c r="X392" t="s">
        <v>8818</v>
      </c>
      <c r="Y392" t="s">
        <v>8819</v>
      </c>
    </row>
    <row r="393" spans="1:25" x14ac:dyDescent="0.3">
      <c r="A393">
        <v>19600</v>
      </c>
      <c r="B393" t="s">
        <v>8820</v>
      </c>
      <c r="C393" t="s">
        <v>8821</v>
      </c>
      <c r="D393" t="s">
        <v>8822</v>
      </c>
      <c r="E393" t="s">
        <v>8823</v>
      </c>
      <c r="F393" t="s">
        <v>8824</v>
      </c>
      <c r="G393" t="s">
        <v>8825</v>
      </c>
      <c r="H393" t="s">
        <v>8826</v>
      </c>
      <c r="I393">
        <f>-977.717434874039 -19.3504929260316 -875.356670457517</f>
        <v>-1872.4245982575876</v>
      </c>
      <c r="J393" t="s">
        <v>8827</v>
      </c>
      <c r="K393">
        <f>-787.72145374806 -25.1049259827657 -717.032128157156</f>
        <v>-1529.8585078879817</v>
      </c>
      <c r="L393">
        <f>-738.865060712909 -84.9715358648748 -410.087135650362</f>
        <v>-1233.9237322281458</v>
      </c>
      <c r="M393">
        <f>-764.382630963321 -216.826984319605 -187.365128288773</f>
        <v>-1168.5747435716989</v>
      </c>
      <c r="N393" t="s">
        <v>8828</v>
      </c>
      <c r="O393" t="s">
        <v>8829</v>
      </c>
      <c r="P393" t="s">
        <v>8830</v>
      </c>
      <c r="Q393" t="s">
        <v>8831</v>
      </c>
      <c r="R393" t="s">
        <v>8832</v>
      </c>
      <c r="S393" t="s">
        <v>8833</v>
      </c>
      <c r="T393" t="s">
        <v>8834</v>
      </c>
      <c r="U393" t="s">
        <v>8835</v>
      </c>
      <c r="V393" t="s">
        <v>8836</v>
      </c>
      <c r="W393" t="s">
        <v>8837</v>
      </c>
      <c r="X393" t="s">
        <v>8838</v>
      </c>
      <c r="Y393" t="s">
        <v>8839</v>
      </c>
    </row>
    <row r="394" spans="1:25" x14ac:dyDescent="0.3">
      <c r="A394">
        <v>19650</v>
      </c>
      <c r="B394" t="s">
        <v>8840</v>
      </c>
      <c r="C394" t="s">
        <v>8841</v>
      </c>
      <c r="D394" t="s">
        <v>8842</v>
      </c>
      <c r="E394" t="s">
        <v>8843</v>
      </c>
      <c r="F394" t="s">
        <v>8844</v>
      </c>
      <c r="G394">
        <f>-967.538994223059 -13.2550927370864 -630.558630671097</f>
        <v>-1611.3527176312425</v>
      </c>
      <c r="H394">
        <f>-995.816950032994 -42.4988408385643 -777.341309802316</f>
        <v>-1815.6571006738741</v>
      </c>
      <c r="I394">
        <f>-1008.07493167941 -86.1328012352196 -868.603566038784</f>
        <v>-1962.8112989534136</v>
      </c>
      <c r="J394">
        <f>-952.650672004999 -36.7069724689381 -716.876092504817</f>
        <v>-1706.2337369787542</v>
      </c>
      <c r="K394">
        <f>-814.173316562846 -85.9407816595328 -714.663872153454</f>
        <v>-1614.7779703758329</v>
      </c>
      <c r="L394">
        <f>-756.065674497968 -135.70729204818 -407.527151755202</f>
        <v>-1299.3001183013498</v>
      </c>
      <c r="M394">
        <f>-744.641451829775 -229.792107227078 -165.32979130796</f>
        <v>-1139.7633503648128</v>
      </c>
      <c r="N394">
        <f>-1013.95894334283 -22.4116164117527 -707.912975978004</f>
        <v>-1744.2835357325866</v>
      </c>
      <c r="O394" t="s">
        <v>8845</v>
      </c>
      <c r="P394" t="s">
        <v>8846</v>
      </c>
      <c r="Q394" t="s">
        <v>8847</v>
      </c>
      <c r="R394" t="s">
        <v>8848</v>
      </c>
      <c r="S394" t="s">
        <v>8849</v>
      </c>
      <c r="T394" t="s">
        <v>8850</v>
      </c>
      <c r="U394" t="s">
        <v>8851</v>
      </c>
      <c r="V394" t="s">
        <v>8852</v>
      </c>
      <c r="W394" t="s">
        <v>8853</v>
      </c>
      <c r="X394" t="s">
        <v>8854</v>
      </c>
      <c r="Y394" t="s">
        <v>8855</v>
      </c>
    </row>
    <row r="395" spans="1:25" x14ac:dyDescent="0.3">
      <c r="A395">
        <v>19700</v>
      </c>
      <c r="B395" t="s">
        <v>8856</v>
      </c>
      <c r="C395">
        <f>-946.617571312328 -3.9280884207692 -181.859915246087</f>
        <v>-1132.4055749791842</v>
      </c>
      <c r="D395">
        <f>-940.794991602664 -3.25799829175776 -302.828680378484</f>
        <v>-1246.8816702729059</v>
      </c>
      <c r="E395">
        <f>-947.927182917002 -13.2153651151525 -423.412901730858</f>
        <v>-1384.5554497630126</v>
      </c>
      <c r="F395">
        <f>-959.70442075057 -26.4318599562371 -531.493760938687</f>
        <v>-1517.6300416454942</v>
      </c>
      <c r="G395">
        <f>-976.83455865259 -43.6185747359655 -638.292801202574</f>
        <v>-1658.7459345911293</v>
      </c>
      <c r="H395">
        <f>-1006.25359278911 -71.5076332585297 -785.114863667947</f>
        <v>-1862.8760897155867</v>
      </c>
      <c r="I395">
        <f>-1018.73335962217 -115.209380598843 -876.314566547442</f>
        <v>-2010.2573067684552</v>
      </c>
      <c r="J395">
        <f>-962.548069668642 -65.901696519735 -725.020596732021</f>
        <v>-1753.470362920398</v>
      </c>
      <c r="K395">
        <f>-823.283547807507 -113.75921931537 -725.496252848419</f>
        <v>-1662.5390199712961</v>
      </c>
      <c r="L395">
        <f>-763.353181503357 -154.232481357833 -417.34617431319</f>
        <v>-1334.9318371743798</v>
      </c>
      <c r="M395">
        <f>-733.512235667974 -223.679088948665 -168.491257622681</f>
        <v>-1125.68258223932</v>
      </c>
      <c r="N395">
        <f>-1023.92510635423 -52.4334706222569 -715.280661007922</f>
        <v>-1791.6392379844092</v>
      </c>
      <c r="O395" t="s">
        <v>8857</v>
      </c>
      <c r="P395" t="s">
        <v>8858</v>
      </c>
      <c r="Q395" t="s">
        <v>8859</v>
      </c>
      <c r="R395">
        <f>-847.468523597934 -14.40260973879 -173.344951583334</f>
        <v>-1035.2160849200579</v>
      </c>
      <c r="S395" t="s">
        <v>8860</v>
      </c>
      <c r="T395" t="s">
        <v>8861</v>
      </c>
      <c r="U395" t="s">
        <v>8862</v>
      </c>
      <c r="V395" t="s">
        <v>8863</v>
      </c>
      <c r="W395" t="s">
        <v>8864</v>
      </c>
      <c r="X395" t="s">
        <v>8865</v>
      </c>
      <c r="Y395" t="s">
        <v>8866</v>
      </c>
    </row>
    <row r="396" spans="1:25" x14ac:dyDescent="0.3">
      <c r="A396">
        <v>19750</v>
      </c>
      <c r="B396" t="s">
        <v>8867</v>
      </c>
      <c r="C396">
        <f>-966.064830885555 -62.3700269588148 -194.90042036731</f>
        <v>-1223.3352782116799</v>
      </c>
      <c r="D396">
        <f>-959.53273037652 -63.4370571199356 -315.830128183637</f>
        <v>-1338.7999156800927</v>
      </c>
      <c r="E396">
        <f>-966.947015524202 -74.3751060423251 -436.312374778697</f>
        <v>-1477.6344963452241</v>
      </c>
      <c r="F396">
        <f>-979.335772979623 -88.1944430092126 -544.249385487421</f>
        <v>-1611.7796014762566</v>
      </c>
      <c r="G396">
        <f>-997.409199004162 -105.715059280062 -650.838337112073</f>
        <v>-1753.9625953962968</v>
      </c>
      <c r="H396">
        <f>-1028.46078654822 -133.801768513979 -797.286111802532</f>
        <v>-1959.5486668647309</v>
      </c>
      <c r="I396">
        <f>-1041.25194868687 -177.796201447073 -888.301866643675</f>
        <v>-2107.3500167776178</v>
      </c>
      <c r="J396">
        <f>-983.953704690582 -127.306160772671 -737.873615281842</f>
        <v>-1849.1334807450949</v>
      </c>
      <c r="K396">
        <f>-843.713052522454 -171.144328810661 -742.598028731711</f>
        <v>-1757.4554100648261</v>
      </c>
      <c r="L396">
        <f>-773.103325820093 -186.007642850024 -434.410579145293</f>
        <v>-1393.52154781541</v>
      </c>
      <c r="M396">
        <f>-724.067012621902 -218.216776351477 -181.033229230467</f>
        <v>-1123.3170182038459</v>
      </c>
      <c r="N396">
        <f>-1045.48913848272 -115.442347234453 -727.101387218253</f>
        <v>-1888.032872935426</v>
      </c>
      <c r="O396">
        <f>-1176.55508984488 -62.9231901588178 -686.033131793321</f>
        <v>-1925.5114117970188</v>
      </c>
      <c r="P396">
        <f>-1151.55178619882 -13.2572098535093 -374.433679297771</f>
        <v>-1539.2426753501004</v>
      </c>
      <c r="Q396">
        <f>-1160.44736612305 -12.5520989457859 -114.505890443294</f>
        <v>-1287.5053555121299</v>
      </c>
      <c r="R396">
        <f>-869.391455306592 -71.3780584017481 -188.335528405639</f>
        <v>-1129.1050421139792</v>
      </c>
      <c r="S396" t="s">
        <v>8868</v>
      </c>
      <c r="T396" t="s">
        <v>8869</v>
      </c>
      <c r="U396" t="s">
        <v>8870</v>
      </c>
      <c r="V396">
        <f>-1063.38751541562 -54.8130105123669 -202.297535493904</f>
        <v>-1320.498061421891</v>
      </c>
      <c r="W396" t="s">
        <v>8871</v>
      </c>
      <c r="X396" t="s">
        <v>8872</v>
      </c>
      <c r="Y396" t="s">
        <v>8873</v>
      </c>
    </row>
    <row r="397" spans="1:25" x14ac:dyDescent="0.3">
      <c r="A397">
        <v>19800</v>
      </c>
      <c r="B397" t="s">
        <v>8874</v>
      </c>
      <c r="C397">
        <f>-974.047415588391 -88.8722043162463 -199.965971054767</f>
        <v>-1262.8855909594045</v>
      </c>
      <c r="D397">
        <f>-965.456437061701 -89.7590704511445 -320.768404471049</f>
        <v>-1375.9839119838946</v>
      </c>
      <c r="E397">
        <f>-971.894669072528 -101.516337246531 -441.229447511399</f>
        <v>-1514.640453830458</v>
      </c>
      <c r="F397">
        <f>-983.821045350724 -116.490923758654 -549.064365260733</f>
        <v>-1649.376334370111</v>
      </c>
      <c r="G397">
        <f>-1001.8363205355 -135.583942791573 -655.392882754825</f>
        <v>-1792.8131460818979</v>
      </c>
      <c r="H397">
        <f>-1033.20910160029 -166.291022018566 -801.245095580784</f>
        <v>-2000.7452191996401</v>
      </c>
      <c r="I397">
        <f>-1045.56855762661 -211.106227445484 -891.919289343569</f>
        <v>-2148.5940744156628</v>
      </c>
      <c r="J397">
        <f>-988.471811212654 -158.027532639678 -742.226274795128</f>
        <v>-1888.7256186474601</v>
      </c>
      <c r="K397">
        <f>-847.144123302515 -197.674041784776 -747.756886922529</f>
        <v>-1792.57505200982</v>
      </c>
      <c r="L397">
        <f>-767.887589939395 -199.057856142799 -441.321410277163</f>
        <v>-1408.266856359357</v>
      </c>
      <c r="M397">
        <f>-715.158413923569 -223.535868622445 -187.820941144423</f>
        <v>-1126.5152236904371</v>
      </c>
      <c r="N397">
        <f>-1050.18344134413 -147.380695147838 -731.193611955228</f>
        <v>-1928.7577484471958</v>
      </c>
      <c r="O397">
        <f>-1182.56228568437 -98.1262524338522 -689.905091519738</f>
        <v>-1970.59362963796</v>
      </c>
      <c r="P397">
        <f>-1164.5050340693 -47.4994218084044 -377.980329982733</f>
        <v>-1589.9847858604376</v>
      </c>
      <c r="Q397">
        <f>-1178.49139788337 -52.1529732816723 -118.317419206426</f>
        <v>-1348.9617903714682</v>
      </c>
      <c r="R397">
        <f>-876.491752994797 -97.0060831992087 -193.343590789672</f>
        <v>-1166.8414269836776</v>
      </c>
      <c r="S397" t="s">
        <v>8875</v>
      </c>
      <c r="T397" t="s">
        <v>8876</v>
      </c>
      <c r="U397" t="s">
        <v>8877</v>
      </c>
      <c r="V397">
        <f>-1070.51050978356 -80.5255086579018 -207.930814866467</f>
        <v>-1358.9668333079289</v>
      </c>
      <c r="W397" t="s">
        <v>8878</v>
      </c>
      <c r="X397" t="s">
        <v>8879</v>
      </c>
      <c r="Y397" t="s">
        <v>8880</v>
      </c>
    </row>
    <row r="398" spans="1:25" x14ac:dyDescent="0.3">
      <c r="A398">
        <v>19850</v>
      </c>
      <c r="B398" t="s">
        <v>8881</v>
      </c>
      <c r="C398">
        <f>-980.270690332377 -131.438584138701 -207.921529128073</f>
        <v>-1319.630803599151</v>
      </c>
      <c r="D398">
        <f>-970.301215407366 -132.986024129555 -328.611280977036</f>
        <v>-1431.898520513957</v>
      </c>
      <c r="E398">
        <f>-975.837078201845 -146.877887916831 -448.889854777745</f>
        <v>-1571.6048208964207</v>
      </c>
      <c r="F398">
        <f>-987.070173741385 -164.445467612676 -556.407612473651</f>
        <v>-1707.923253827712</v>
      </c>
      <c r="G398">
        <f>-1004.47217362453 -186.831502302789 -662.194431792318</f>
        <v>-1853.4981077196371</v>
      </c>
      <c r="H398">
        <f>-1035.03093776841 -222.876686002909 -806.994081885118</f>
        <v>-2064.9017056564371</v>
      </c>
      <c r="I398">
        <f>-1045.90913561578 -269.773381482958 -896.801367944347</f>
        <v>-2212.4838850430851</v>
      </c>
      <c r="J398">
        <f>-990.428211252039 -210.47264950985 -748.601783040415</f>
        <v>-1949.5026438023037</v>
      </c>
      <c r="K398">
        <f>-846.240698137168 -238.963648013166 -754.592503420105</f>
        <v>-1839.796849570439</v>
      </c>
      <c r="L398">
        <f>-754.603390392672 -221.388603968675 -452.136077351113</f>
        <v>-1428.12807171246</v>
      </c>
      <c r="M398">
        <f>-694.183031594083 -240.28913380129 -199.877884430315</f>
        <v>-1134.3500498256878</v>
      </c>
      <c r="N398">
        <f>-1052.59107751692 -203.383036033254 -737.247686752111</f>
        <v>-1993.2218003022849</v>
      </c>
      <c r="O398">
        <f>-1187.38239526476 -162.268513301638 -695.428371726856</f>
        <v>-2045.0792802932538</v>
      </c>
      <c r="P398">
        <f>-1187.81309086162 -114.429938737806 -382.542722077736</f>
        <v>-1684.7857516771619</v>
      </c>
      <c r="Q398">
        <f>-1214.5110629901 -130.562650228929 -124.339209535845</f>
        <v>-1469.412922754874</v>
      </c>
      <c r="R398">
        <f>-883.667995757077 -138.867564880252 -200.709417376011</f>
        <v>-1223.24497801334</v>
      </c>
      <c r="S398" t="s">
        <v>8882</v>
      </c>
      <c r="T398" t="s">
        <v>8883</v>
      </c>
      <c r="U398" t="s">
        <v>8884</v>
      </c>
      <c r="V398">
        <f>-1077.30662589277 -123.142528349199 -214.969410135861</f>
        <v>-1415.4185643778299</v>
      </c>
      <c r="W398" t="s">
        <v>8885</v>
      </c>
      <c r="X398" t="s">
        <v>8886</v>
      </c>
      <c r="Y398" t="s">
        <v>8887</v>
      </c>
    </row>
    <row r="399" spans="1:25" x14ac:dyDescent="0.3">
      <c r="A399">
        <v>19900</v>
      </c>
      <c r="B399" t="s">
        <v>8888</v>
      </c>
      <c r="C399">
        <f>-981.790729343346 -152.054651296407 -210.798483184691</f>
        <v>-1344.643863824444</v>
      </c>
      <c r="D399">
        <f>-972.568226295596 -154.239561370787 -331.537780169583</f>
        <v>-1458.345567835966</v>
      </c>
      <c r="E399">
        <f>-978.276777258151 -169.077730739888 -451.695215998653</f>
        <v>-1599.0497239966921</v>
      </c>
      <c r="F399">
        <f>-989.390427510856 -187.66708565003 -559.053405825719</f>
        <v>-1736.1109189866049</v>
      </c>
      <c r="G399">
        <f>-1006.37630397252 -211.267630243256 -664.643799822612</f>
        <v>-1882.287734038388</v>
      </c>
      <c r="H399">
        <f>-1036.02791442379 -249.226104783391 -809.142780914506</f>
        <v>-2094.3968001216872</v>
      </c>
      <c r="I399">
        <f>-1045.83643545793 -297.196787597492 -898.504879104132</f>
        <v>-2241.538102159554</v>
      </c>
      <c r="J399">
        <f>-991.740395006369 -235.046515272767 -750.915013131938</f>
        <v>-1977.7019234110739</v>
      </c>
      <c r="K399">
        <f>-846.766597834295 -258.570749072074 -756.995322225298</f>
        <v>-1862.332669131667</v>
      </c>
      <c r="L399">
        <f>-753.700066480585 -233.722746441763 -455.48676584441</f>
        <v>-1442.9095787667579</v>
      </c>
      <c r="M399">
        <f>-690.555893750814 -250.921761379124 -203.774472165021</f>
        <v>-1145.2521272949591</v>
      </c>
      <c r="N399">
        <f>-1054.07560043869 -229.814795581018 -739.497932390885</f>
        <v>-2023.3883284105927</v>
      </c>
      <c r="O399">
        <f>-1190.3905559035 -193.30938343761 -698.023087652442</f>
        <v>-2081.7230269935517</v>
      </c>
      <c r="P399">
        <f>-1199.74764295394 -148.714480226656 -384.798025223578</f>
        <v>-1733.2601484041738</v>
      </c>
      <c r="Q399">
        <f>-1232.49342053188 -171.155766330797 -127.764692866542</f>
        <v>-1531.4138797292189</v>
      </c>
      <c r="R399">
        <f>-884.585743889066 -157.906349934484 -204.052907343903</f>
        <v>-1246.5450011674529</v>
      </c>
      <c r="S399" t="s">
        <v>8889</v>
      </c>
      <c r="T399" t="s">
        <v>8890</v>
      </c>
      <c r="U399" t="s">
        <v>8891</v>
      </c>
      <c r="V399">
        <f>-1079.64855707634 -145.358518427837 -216.997422356279</f>
        <v>-1442.004497860456</v>
      </c>
      <c r="W399" t="s">
        <v>8892</v>
      </c>
      <c r="X399" t="s">
        <v>8893</v>
      </c>
      <c r="Y399" t="s">
        <v>8894</v>
      </c>
    </row>
    <row r="400" spans="1:25" x14ac:dyDescent="0.3">
      <c r="A400">
        <v>19950</v>
      </c>
      <c r="B400" t="s">
        <v>8895</v>
      </c>
      <c r="C400">
        <f>-982.199140273896 -196.072188873235 -212.899369542986</f>
        <v>-1391.170698690117</v>
      </c>
      <c r="D400">
        <f>-974.153579083825 -197.757161246966 -333.730888463796</f>
        <v>-1505.6416287945869</v>
      </c>
      <c r="E400">
        <f>-979.701888315809 -213.20844203645 -453.818476460305</f>
        <v>-1646.728806812564</v>
      </c>
      <c r="F400">
        <f>-990.033811406758 -232.883058207268 -561.061293868435</f>
        <v>-1783.9781634824608</v>
      </c>
      <c r="G400">
        <f>-1005.5487356987 -258.14676746564 -666.493019794125</f>
        <v>-1930.188522958465</v>
      </c>
      <c r="H400">
        <f>-1032.38851976943 -299.061798558944 -810.734616712598</f>
        <v>-2142.1849350409721</v>
      </c>
      <c r="I400">
        <f>-1038.85993972665 -348.820034593825 -899.420590681384</f>
        <v>-2287.1005650018592</v>
      </c>
      <c r="J400">
        <f>-989.223487324183 -281.83563654271 -752.485430131376</f>
        <v>-2023.5445539982691</v>
      </c>
      <c r="K400">
        <f>-843.032499762901 -296.650111650507 -757.691941384634</f>
        <v>-1897.374552798042</v>
      </c>
      <c r="L400">
        <f>-752.146830455847 -259.80883641658 -456.745613014689</f>
        <v>-1468.701279887116</v>
      </c>
      <c r="M400">
        <f>-689.113625139775 -275.809912746809 -204.926547259064</f>
        <v>-1169.8500851456479</v>
      </c>
      <c r="N400">
        <f>-1051.80200526145 -280.080697713883 -741.338949231652</f>
        <v>-2073.2216522069848</v>
      </c>
      <c r="O400">
        <f>-1190.690939545 -252.063774796436 -701.884961497751</f>
        <v>-2144.639675839187</v>
      </c>
      <c r="P400">
        <f>-1215.04433847911 -215.30407394883 -388.449468746797</f>
        <v>-1818.7978811747369</v>
      </c>
      <c r="Q400">
        <f>-1258.29892760081 -250.642163240136 -134.436976354646</f>
        <v>-1643.3780671955919</v>
      </c>
      <c r="R400">
        <f>-884.655138618677 -200.212592053115 -206.658814556639</f>
        <v>-1291.5265452284311</v>
      </c>
      <c r="S400" t="s">
        <v>8896</v>
      </c>
      <c r="T400" t="s">
        <v>8897</v>
      </c>
      <c r="U400" t="s">
        <v>8898</v>
      </c>
      <c r="V400">
        <f>-1080.38849828207 -191.215964287227 -218.216046643242</f>
        <v>-1489.820509212539</v>
      </c>
      <c r="W400" t="s">
        <v>8899</v>
      </c>
      <c r="X400" t="s">
        <v>8900</v>
      </c>
      <c r="Y400" t="s">
        <v>8901</v>
      </c>
    </row>
    <row r="401" spans="1:25" x14ac:dyDescent="0.3">
      <c r="A401">
        <v>20000</v>
      </c>
      <c r="B401" t="s">
        <v>8902</v>
      </c>
      <c r="C401">
        <f>-982.83901616975 -218.921271554155 -212.5005921197</f>
        <v>-1414.2608798436052</v>
      </c>
      <c r="D401">
        <f>-975.72029706253 -220.620413148245 -333.389976308745</f>
        <v>-1529.7306865195198</v>
      </c>
      <c r="E401">
        <f>-981.23264275209 -236.493711211736 -453.424166827394</f>
        <v>-1671.1505207912201</v>
      </c>
      <c r="F401">
        <f>-991.095614837757 -256.742657098356 -560.604227332944</f>
        <v>-1808.442499269057</v>
      </c>
      <c r="G401">
        <f>-1005.68022779124 -282.790383794954 -665.977967250501</f>
        <v>-1954.4485788366951</v>
      </c>
      <c r="H401">
        <f>-1030.72352778178 -325.02929755887 -810.160948813814</f>
        <v>-2165.9137741544637</v>
      </c>
      <c r="I401">
        <f>-1035.22192756245 -375.305502438629 -898.676818547492</f>
        <v>-2309.2042485485708</v>
      </c>
      <c r="J401">
        <f>-988.313871721837 -306.42141837694 -751.782133194148</f>
        <v>-2046.5174232929251</v>
      </c>
      <c r="K401">
        <f>-841.707255315281 -317.266411184419 -755.992254799221</f>
        <v>-1914.9659212989209</v>
      </c>
      <c r="L401">
        <f>-753.745487972551 -275.708824060299 -454.79156124868</f>
        <v>-1484.2458732815298</v>
      </c>
      <c r="M401">
        <f>-691.500366091556 -291.449748067019 -202.760156373728</f>
        <v>-1185.710270532303</v>
      </c>
      <c r="N401">
        <f>-1050.97140519793 -306.258301875968 -740.946890588743</f>
        <v>-2098.1765976626411</v>
      </c>
      <c r="O401">
        <f>-1190.79686552786 -282.053796639219 -702.466861401276</f>
        <v>-2175.3175235683548</v>
      </c>
      <c r="P401">
        <f>-1221.97538833328 -249.06117850242 -389.216890145353</f>
        <v>-1860.2534569810532</v>
      </c>
      <c r="Q401">
        <f>-1269.68810175539 -290.615036358279 -136.949461601766</f>
        <v>-1697.2525997154351</v>
      </c>
      <c r="R401">
        <f>-885.431550329211 -223.585974926544 -206.057057000856</f>
        <v>-1315.0745822566109</v>
      </c>
      <c r="S401" t="s">
        <v>8903</v>
      </c>
      <c r="T401" t="s">
        <v>8904</v>
      </c>
      <c r="U401" t="s">
        <v>8905</v>
      </c>
      <c r="V401">
        <f>-1081.32108164064 -213.959349001393 -217.330366020418</f>
        <v>-1512.6107966624511</v>
      </c>
      <c r="W401" t="s">
        <v>8906</v>
      </c>
      <c r="X401" t="s">
        <v>8907</v>
      </c>
      <c r="Y401" t="s">
        <v>8908</v>
      </c>
    </row>
    <row r="402" spans="1:25" x14ac:dyDescent="0.3">
      <c r="A402">
        <v>20050</v>
      </c>
      <c r="B402" t="s">
        <v>8909</v>
      </c>
      <c r="C402">
        <f>-984.671626078737 -265.494784359029 -209.325451942335</f>
        <v>-1459.4918623801009</v>
      </c>
      <c r="D402">
        <f>-978.929950506948 -268.325364554909 -330.266960488834</f>
        <v>-1577.5222755506909</v>
      </c>
      <c r="E402">
        <f>-983.953381928613 -285.470129743315 -450.147542502055</f>
        <v>-1719.5710541739832</v>
      </c>
      <c r="F402">
        <f>-992.553432606502 -306.952273950719 -557.196231941166</f>
        <v>-1856.7019384983869</v>
      </c>
      <c r="G402">
        <f>-1005.02106484693 -334.336750691359 -662.502936706065</f>
        <v>-2001.860752244354</v>
      </c>
      <c r="H402">
        <f>-1026.20178918516 -378.559982220813 -806.710010089082</f>
        <v>-2211.471781495055</v>
      </c>
      <c r="I402">
        <f>-1027.03749641352 -429.341628096483 -895.047434398036</f>
        <v>-2351.4265589080392</v>
      </c>
      <c r="J402">
        <f>-985.453846041396 -357.759354070384 -747.889495754195</f>
        <v>-2091.102695865975</v>
      </c>
      <c r="K402">
        <f>-838.381247027857 -361.981234319958 -749.653377800192</f>
        <v>-1950.0158591480069</v>
      </c>
      <c r="L402">
        <f>-760.33642834779 -314.413189936582 -446.614562846269</f>
        <v>-1521.3641811306411</v>
      </c>
      <c r="M402">
        <f>-700.153182713475 -328.230686825464 -193.970374629478</f>
        <v>-1222.3542441684172</v>
      </c>
      <c r="N402">
        <f>-1048.20609928006 -360.225791836232 -737.916182262175</f>
        <v>-2146.3480733784672</v>
      </c>
      <c r="O402">
        <f>-1189.39797480036 -342.210877867293 -701.36606789933</f>
        <v>-2232.9749205669832</v>
      </c>
      <c r="P402">
        <f>-1232.77697451069 -316.935853819325 -388.851113515286</f>
        <v>-1938.5639418453011</v>
      </c>
      <c r="Q402">
        <f>-1288.04781785398 -368.610785464314 -140.020058512132</f>
        <v>-1796.6786618304259</v>
      </c>
      <c r="R402">
        <f>-887.479646918383 -271.064316781476 -203.107168209619</f>
        <v>-1361.651131909478</v>
      </c>
      <c r="S402" t="s">
        <v>8910</v>
      </c>
      <c r="T402" t="s">
        <v>8911</v>
      </c>
      <c r="U402" t="s">
        <v>8912</v>
      </c>
      <c r="V402">
        <f>-1082.22689356133 -259.697382571672 -213.458119489361</f>
        <v>-1555.382395622363</v>
      </c>
      <c r="W402" t="s">
        <v>8913</v>
      </c>
      <c r="X402" t="s">
        <v>8914</v>
      </c>
      <c r="Y402" t="s">
        <v>8915</v>
      </c>
    </row>
    <row r="403" spans="1:25" x14ac:dyDescent="0.3">
      <c r="A403">
        <v>20100</v>
      </c>
      <c r="B403" t="s">
        <v>8916</v>
      </c>
      <c r="C403">
        <f>-985.131854125524 -288.69810276778 -205.613744592731</f>
        <v>-1479.443701486035</v>
      </c>
      <c r="D403">
        <f>-979.607792593807 -293.047416100516 -326.520225851361</f>
        <v>-1599.1754345456839</v>
      </c>
      <c r="E403">
        <f>-984.078770744322 -311.115217313552 -446.287249019187</f>
        <v>-1741.481237077061</v>
      </c>
      <c r="F403">
        <f>-991.866559557745 -333.193052921105 -553.27671442674</f>
        <v>-1878.3363269055899</v>
      </c>
      <c r="G403">
        <f>-1003.21223700943 -360.940893892855 -658.615218723878</f>
        <v>-2022.7683496261629</v>
      </c>
      <c r="H403">
        <f>-1022.51414466562 -405.434543839746 -803.002666998504</f>
        <v>-2230.9513555038702</v>
      </c>
      <c r="I403">
        <f>-1021.80586671112 -456.218249076067 -891.339987630132</f>
        <v>-2369.3641034173188</v>
      </c>
      <c r="J403">
        <f>-982.574392250255 -384.086623690104 -743.825043655409</f>
        <v>-2110.486059595768</v>
      </c>
      <c r="K403">
        <f>-835.471696562715 -386.184511570086 -744.226970871733</f>
        <v>-1965.8831790045342</v>
      </c>
      <c r="L403">
        <f>-764.398850117657 -336.475273782312 -439.81959371786</f>
        <v>-1540.6937176178292</v>
      </c>
      <c r="M403">
        <f>-706.866013647454 -349.155155828606 -186.499231895561</f>
        <v>-1242.5204013716211</v>
      </c>
      <c r="N403">
        <f>-1045.37291329183 -387.40835154563 -734.406417728991</f>
        <v>-2167.1876825664508</v>
      </c>
      <c r="O403">
        <f>-1187.26822278242 -371.703295387079 -699.314573156522</f>
        <v>-2258.2860913260211</v>
      </c>
      <c r="P403">
        <f>-1234.70217935102 -350.417417536274 -387.091788353114</f>
        <v>-1972.2113852404079</v>
      </c>
      <c r="Q403">
        <f>-1293.01684643375 -406.107132684143 -139.826464425317</f>
        <v>-1838.95044354321</v>
      </c>
      <c r="R403">
        <f>-887.49106243 -293.559245537621 -199.135446416921</f>
        <v>-1380.185754384542</v>
      </c>
      <c r="S403" t="s">
        <v>8917</v>
      </c>
      <c r="T403" t="s">
        <v>8918</v>
      </c>
      <c r="U403" t="s">
        <v>8919</v>
      </c>
      <c r="V403">
        <f>-1082.49030468109 -283.056915550772 -210.132941436031</f>
        <v>-1575.6801616678929</v>
      </c>
      <c r="W403" t="s">
        <v>8920</v>
      </c>
      <c r="X403" t="s">
        <v>8921</v>
      </c>
      <c r="Y403" t="s">
        <v>8922</v>
      </c>
    </row>
    <row r="404" spans="1:25" x14ac:dyDescent="0.3">
      <c r="A404">
        <v>20150</v>
      </c>
      <c r="B404" t="s">
        <v>8923</v>
      </c>
      <c r="C404">
        <f>-983.880390191331 -338.962008246117 -195.069083923041</f>
        <v>-1517.9114823604891</v>
      </c>
      <c r="D404">
        <f>-977.578969029274 -345.653255356717 -315.83052272351</f>
        <v>-1639.0627471095011</v>
      </c>
      <c r="E404">
        <f>-980.109188169939 -364.833244009566 -435.48120708288</f>
        <v>-1780.423639262385</v>
      </c>
      <c r="F404">
        <f>-985.692922454239 -387.421018501978 -542.502005609446</f>
        <v>-1915.6159465656629</v>
      </c>
      <c r="G404">
        <f>-994.401749068857 -415.191464393029 -648.085311346613</f>
        <v>-2057.6785248084989</v>
      </c>
      <c r="H404">
        <f>-1009.6038629903 -459.219979936431 -793.103878050625</f>
        <v>-2261.9277209773559</v>
      </c>
      <c r="I404">
        <f>-1005.80887767864 -509.563860547121 -881.61416359144</f>
        <v>-2396.9869018172012</v>
      </c>
      <c r="J404">
        <f>-971.406801485539 -437.557343827053 -732.898893299052</f>
        <v>-2141.8630386116438</v>
      </c>
      <c r="K404">
        <f>-824.42151050855 -437.321207253465 -729.364604130608</f>
        <v>-1991.1073218926231</v>
      </c>
      <c r="L404">
        <f>-766.244767163797 -384.620573629315 -422.73078644959</f>
        <v>-1573.5961272427021</v>
      </c>
      <c r="M404">
        <f>-716.412717858512 -395.456220086574 -167.698561926347</f>
        <v>-1279.567499871433</v>
      </c>
      <c r="N404">
        <f>-1034.3479948924 -441.920102078494 -724.976399598306</f>
        <v>-2201.2444965692002</v>
      </c>
      <c r="O404">
        <f>-1177.28952438875 -428.333120007488 -693.183763277561</f>
        <v>-2298.8064076737987</v>
      </c>
      <c r="P404">
        <f>-1231.23738461426 -414.463254942864 -381.601617102236</f>
        <v>-2027.30225665936</v>
      </c>
      <c r="Q404">
        <f>-1293.33059044676 -476.527393166166 -136.786300077843</f>
        <v>-1906.644283690769</v>
      </c>
      <c r="R404">
        <f>-885.381021671689 -343.911529907728 -189.021032672393</f>
        <v>-1418.31358425181</v>
      </c>
      <c r="S404" t="s">
        <v>8924</v>
      </c>
      <c r="T404" t="s">
        <v>8925</v>
      </c>
      <c r="U404" t="s">
        <v>8926</v>
      </c>
      <c r="V404">
        <f>-1081.56391657051 -333.975356089342 -200.479867663377</f>
        <v>-1616.0191403232291</v>
      </c>
      <c r="W404" t="s">
        <v>8927</v>
      </c>
      <c r="X404" t="s">
        <v>8928</v>
      </c>
      <c r="Y404" t="s">
        <v>8929</v>
      </c>
    </row>
    <row r="405" spans="1:25" x14ac:dyDescent="0.3">
      <c r="A405">
        <v>20200</v>
      </c>
      <c r="B405" t="s">
        <v>8930</v>
      </c>
      <c r="C405">
        <f>-982.890836875376 -366.803647507951 -188.745982728106</f>
        <v>-1538.4404671114328</v>
      </c>
      <c r="D405">
        <f>-976.021176441933 -373.447510488201 -309.478950598643</f>
        <v>-1658.947637528777</v>
      </c>
      <c r="E405">
        <f>-977.438099493407 -392.406149767149 -429.183347857907</f>
        <v>-1799.0275971184628</v>
      </c>
      <c r="F405">
        <f>-981.793105075856 -414.726956158389 -536.317254874225</f>
        <v>-1932.8373161084701</v>
      </c>
      <c r="G405">
        <f>-989.049272337896 -442.166216705843 -642.096614535211</f>
        <v>-2073.31210357895</v>
      </c>
      <c r="H405">
        <f>-1001.99765174388 -485.670378549898 -787.491781582316</f>
        <v>-2275.159811876094</v>
      </c>
      <c r="I405">
        <f>-996.610742330888 -535.568012744032 -876.171952015929</f>
        <v>-2408.350707090849</v>
      </c>
      <c r="J405">
        <f>-964.756894088669 -464.066164129417 -726.669883960961</f>
        <v>-2155.4929421790471</v>
      </c>
      <c r="K405">
        <f>-817.807542674943 -462.881327640133 -720.738067523273</f>
        <v>-2001.426937838349</v>
      </c>
      <c r="L405">
        <f>-764.959785063737 -410.023101016243 -413.168031316974</f>
        <v>-1588.1509173969539</v>
      </c>
      <c r="M405">
        <f>-718.957668534646 -419.505279204458 -157.363574038254</f>
        <v>-1295.826521777358</v>
      </c>
      <c r="N405">
        <f>-1027.7799272817 -468.776215474117 -719.648012555175</f>
        <v>-2216.2041553109921</v>
      </c>
      <c r="O405">
        <f>-1171.08437380189 -455.501040312042 -689.498579598803</f>
        <v>-2316.0839937127348</v>
      </c>
      <c r="P405">
        <f>-1226.45011938827 -444.085873316136 -378.065621914808</f>
        <v>-2048.6016146192142</v>
      </c>
      <c r="Q405">
        <f>-1289.59757276954 -508.434700936188 -134.111377597295</f>
        <v>-1932.1436513030228</v>
      </c>
      <c r="R405">
        <f>-884.553504588531 -373.249597034326 -183.219299020825</f>
        <v>-1441.022400643682</v>
      </c>
      <c r="S405" t="s">
        <v>8931</v>
      </c>
      <c r="T405" t="s">
        <v>8932</v>
      </c>
      <c r="U405" t="s">
        <v>8933</v>
      </c>
      <c r="V405">
        <f>-1080.91501845216 -361.378513218198 -194.099975020324</f>
        <v>-1636.393506690682</v>
      </c>
      <c r="W405" t="s">
        <v>8934</v>
      </c>
      <c r="X405" t="s">
        <v>8935</v>
      </c>
      <c r="Y405" t="s">
        <v>8936</v>
      </c>
    </row>
    <row r="406" spans="1:25" x14ac:dyDescent="0.3">
      <c r="A406">
        <v>20250</v>
      </c>
      <c r="B406" t="s">
        <v>8937</v>
      </c>
      <c r="C406">
        <f>-982.709348926688 -425.670169529892 -172.601779935014</f>
        <v>-1580.981298391594</v>
      </c>
      <c r="D406">
        <f>-975.956314634696 -430.736012145866 -293.418006929728</f>
        <v>-1700.11033371029</v>
      </c>
      <c r="E406">
        <f>-975.764654080662 -448.448156221926 -413.321326268658</f>
        <v>-1837.5341365712461</v>
      </c>
      <c r="F406">
        <f>-977.941822405625 -469.767813790208 -520.72511565287</f>
        <v>-1968.4347518487029</v>
      </c>
      <c r="G406">
        <f>-982.278732536071 -496.324504801641 -626.889005816743</f>
        <v>-2105.4922431544551</v>
      </c>
      <c r="H406">
        <f>-990.381545034054 -538.719222738874 -772.961111450329</f>
        <v>-2302.0618792232572</v>
      </c>
      <c r="I406">
        <f>-981.62043057974 -587.606022527305 -861.934633217218</f>
        <v>-2431.1610863242631</v>
      </c>
      <c r="J406">
        <f>-955.213168892975 -517.314212788434 -710.848799935725</f>
        <v>-2183.3761816171341</v>
      </c>
      <c r="K406">
        <f>-808.563582808812 -514.59755388021 -699.781261428753</f>
        <v>-2022.9423981177752</v>
      </c>
      <c r="L406">
        <f>-764.198376102744 -464.093737381968 -390.479877143206</f>
        <v>-1618.7719906279181</v>
      </c>
      <c r="M406">
        <f>-724.542221822643 -470.419864677426 -133.518084935522</f>
        <v>-1328.480171435591</v>
      </c>
      <c r="N406">
        <f>-1018.3794198975 -522.607485611404 -705.80864726194</f>
        <v>-2246.7955527708436</v>
      </c>
      <c r="O406">
        <f>-1162.32323163191 -509.947571880144 -678.79795263854</f>
        <v>-2351.0687561505938</v>
      </c>
      <c r="P406">
        <f>-1217.24614412988 -499.009362730872 -367.269369583656</f>
        <v>-2083.5248764444077</v>
      </c>
      <c r="Q406">
        <f>-1280.03635276132 -564.281285555954 -123.468185340237</f>
        <v>-1967.7858236575109</v>
      </c>
      <c r="R406">
        <f>-884.786455608808 -433.352350737038 -168.29140621196</f>
        <v>-1486.430212557806</v>
      </c>
      <c r="S406" t="s">
        <v>8938</v>
      </c>
      <c r="T406" t="s">
        <v>8939</v>
      </c>
      <c r="U406" t="s">
        <v>8940</v>
      </c>
      <c r="V406">
        <f>-1081.34564460437 -418.317182101036 -176.48973682142</f>
        <v>-1676.1525635268258</v>
      </c>
      <c r="W406" t="s">
        <v>8941</v>
      </c>
      <c r="X406" t="s">
        <v>8942</v>
      </c>
      <c r="Y406" t="s">
        <v>8943</v>
      </c>
    </row>
    <row r="407" spans="1:25" x14ac:dyDescent="0.3">
      <c r="A407">
        <v>20300</v>
      </c>
      <c r="B407" t="s">
        <v>8944</v>
      </c>
      <c r="C407">
        <f>-983.603506732013 -457.435323806064 -164.48931706032</f>
        <v>-1605.528147598397</v>
      </c>
      <c r="D407">
        <f>-978.19018900621 -460.963927723973 -285.427542080675</f>
        <v>-1724.581658810858</v>
      </c>
      <c r="E407">
        <f>-977.895439719985 -477.475360379668 -405.501962500193</f>
        <v>-1860.8727625998461</v>
      </c>
      <c r="F407">
        <f>-979.374651435844 -497.826666551035 -513.105406629579</f>
        <v>-1990.306724616458</v>
      </c>
      <c r="G407">
        <f>-982.395676520111 -523.519412561474 -619.52709266997</f>
        <v>-2125.4421817515549</v>
      </c>
      <c r="H407">
        <f>-988.014237956464 -564.809041336344 -766.031752499408</f>
        <v>-2318.8550317922159</v>
      </c>
      <c r="I407">
        <f>-977.723322192627 -612.95404831708 -855.245692475258</f>
        <v>-2445.9230629849653</v>
      </c>
      <c r="J407">
        <f>-953.917283068104 -543.77620332487 -703.199088241708</f>
        <v>-2200.8925746346822</v>
      </c>
      <c r="K407">
        <f>-807.479267841206 -541.008959561139 -689.520489504078</f>
        <v>-2038.0087169064232</v>
      </c>
      <c r="L407">
        <f>-767.604702470111 -491.647316025087 -379.424257594217</f>
        <v>-1638.6762760894148</v>
      </c>
      <c r="M407">
        <f>-731.074570571784 -498.303315506908 -122.00765605868</f>
        <v>-1351.3855421373719</v>
      </c>
      <c r="N407">
        <f>-1017.13909971461 -549.30305824458 -699.216955780759</f>
        <v>-2265.6591137399491</v>
      </c>
      <c r="O407">
        <f>-1161.51211674059 -537.635991448993 -673.882449548778</f>
        <v>-2373.030557738361</v>
      </c>
      <c r="P407">
        <f>-1214.14782203133 -524.45825936247 -362.045918718406</f>
        <v>-2100.6520001122062</v>
      </c>
      <c r="Q407">
        <f>-1276.47900343197 -587.807299189319 -117.620507910624</f>
        <v>-1981.9068105319129</v>
      </c>
      <c r="R407">
        <f>-886.550280297244 -465.399814582286 -161.791353229938</f>
        <v>-1513.7414481094679</v>
      </c>
      <c r="S407" t="s">
        <v>8945</v>
      </c>
      <c r="T407" t="s">
        <v>8946</v>
      </c>
      <c r="U407" t="s">
        <v>8947</v>
      </c>
      <c r="V407">
        <f>-1082.58311567409 -449.174925758202 -166.20643484752</f>
        <v>-1697.9644762798121</v>
      </c>
      <c r="W407" t="s">
        <v>8948</v>
      </c>
      <c r="X407" t="s">
        <v>8949</v>
      </c>
      <c r="Y407" t="s">
        <v>8950</v>
      </c>
    </row>
    <row r="408" spans="1:25" x14ac:dyDescent="0.3">
      <c r="A408">
        <v>20350</v>
      </c>
      <c r="B408" t="s">
        <v>8951</v>
      </c>
      <c r="C408">
        <f>-989.570352723051 -526.498127368249 -150.454742091258</f>
        <v>-1666.5232221825579</v>
      </c>
      <c r="D408">
        <f>-990.745627023178 -522.426402163309 -271.491299222677</f>
        <v>-1784.6633284091643</v>
      </c>
      <c r="E408">
        <f>-992.264079353731 -534.410880377645 -392.092313694624</f>
        <v>-1918.767273426</v>
      </c>
      <c r="F408">
        <f>-993.397858634732 -551.803095682573 -500.217718935239</f>
        <v>-2045.4186732525438</v>
      </c>
      <c r="G408">
        <f>-994.062371502181 -575.588855255866 -607.122504276929</f>
        <v>-2176.7737310349758</v>
      </c>
      <c r="H408">
        <f>-994.287983861845 -615.244984412522 -754.184884844469</f>
        <v>-2363.7178531188356</v>
      </c>
      <c r="I408">
        <f>-980.555832648525 -662.276397152826 -843.529516587477</f>
        <v>-2486.3617463888277</v>
      </c>
      <c r="J408">
        <f>-962.550050626199 -594.676214130093 -689.977880880683</f>
        <v>-2247.2041456369752</v>
      </c>
      <c r="K408">
        <f>-816.97469136175 -591.058720874557 -669.753936355284</f>
        <v>-2077.7873485915911</v>
      </c>
      <c r="L408">
        <f>-783.816614270374 -545.584751260635 -358.275516321379</f>
        <v>-1687.6768818523881</v>
      </c>
      <c r="M408">
        <f>-753.4858132518 -554.332534093872 -100.117411222655</f>
        <v>-1407.9357585683269</v>
      </c>
      <c r="N408">
        <f>-1025.8262770922 -600.720579087522 -688.250973033907</f>
        <v>-2314.797829213629</v>
      </c>
      <c r="O408">
        <f>-1170.555476798 -588.693381703911 -664.468545175115</f>
        <v>-2423.7174036770257</v>
      </c>
      <c r="P408">
        <f>-1218.77550201554 -572.767697925178 -352.046874880622</f>
        <v>-2143.5900748213398</v>
      </c>
      <c r="Q408">
        <f>-1278.65485333786 -621.802693462747 -103.748405729244</f>
        <v>-2004.2059525298509</v>
      </c>
      <c r="R408">
        <f>-892.038245380527 -532.986495100759 -152.200921089628</f>
        <v>-1577.2256615709141</v>
      </c>
      <c r="S408" t="s">
        <v>8952</v>
      </c>
      <c r="T408" t="s">
        <v>8953</v>
      </c>
      <c r="U408" t="s">
        <v>8954</v>
      </c>
      <c r="V408">
        <f>-1089.30239340767 -519.181533826237 -145.878703934043</f>
        <v>-1754.36263116795</v>
      </c>
      <c r="W408" t="s">
        <v>8955</v>
      </c>
      <c r="X408" t="s">
        <v>8956</v>
      </c>
      <c r="Y408" t="s">
        <v>8957</v>
      </c>
    </row>
    <row r="409" spans="1:25" x14ac:dyDescent="0.3">
      <c r="A409">
        <v>20400</v>
      </c>
      <c r="B409" t="s">
        <v>8958</v>
      </c>
      <c r="C409">
        <f>-993.66972796401 -552.513032452768 -160.089979816605</f>
        <v>-1706.2727402333828</v>
      </c>
      <c r="D409">
        <f>-996.649456637023 -547.178418036197 -281.046480827957</f>
        <v>-1824.874355501177</v>
      </c>
      <c r="E409">
        <f>-998.276710228946 -557.943666020909 -401.76106150421</f>
        <v>-1957.9814377540647</v>
      </c>
      <c r="F409">
        <f>-998.858096691108 -574.22409561089 -510.063765881486</f>
        <v>-2083.1459581834843</v>
      </c>
      <c r="G409">
        <f>-998.346095234175 -596.872493395691 -617.216178094554</f>
        <v>-2212.4347667244201</v>
      </c>
      <c r="H409">
        <f>-996.309503940128 -634.906825597566 -764.692386984445</f>
        <v>-2395.908716522139</v>
      </c>
      <c r="I409">
        <f>-981.247108079795 -681.456586381205 -854.07485470497</f>
        <v>-2516.7785491659697</v>
      </c>
      <c r="J409">
        <f>-965.594751102816 -614.744927297467 -699.861658856575</f>
        <v>-2280.2013372568581</v>
      </c>
      <c r="K409">
        <f>-820.312387163561 -610.728722721069 -678.04995433545</f>
        <v>-2109.0910642200797</v>
      </c>
      <c r="L409">
        <f>-791.388773771564 -569.369754071794 -365.577443783819</f>
        <v>-1726.3359716271771</v>
      </c>
      <c r="M409">
        <f>-762.661149156125 -579.782178795324 -107.297818282793</f>
        <v>-1449.741146234242</v>
      </c>
      <c r="N409">
        <f>-1028.82649736586 -621.410634615177 -699.015747366592</f>
        <v>-2349.2528793476286</v>
      </c>
      <c r="O409">
        <f>-1174.06347154393 -611.093839644516 -677.297452637504</f>
        <v>-2462.4547638259501</v>
      </c>
      <c r="P409">
        <f>-1216.12515716812 -592.336386602996 -364.143796842905</f>
        <v>-2172.6053406140209</v>
      </c>
      <c r="Q409">
        <f>-1273.48657670087 -631.243058098749 -113.468754374325</f>
        <v>-2018.198389173944</v>
      </c>
      <c r="R409">
        <f>-889.059774402828 -554.845691423265 -166.449232036867</f>
        <v>-1610.3546978629599</v>
      </c>
      <c r="S409" t="s">
        <v>8959</v>
      </c>
      <c r="T409" t="s">
        <v>8960</v>
      </c>
      <c r="U409" t="s">
        <v>8961</v>
      </c>
      <c r="V409">
        <f>-1098.66052540178 -547.270251225636 -150.579801964998</f>
        <v>-1796.510578592414</v>
      </c>
      <c r="W409" t="s">
        <v>8962</v>
      </c>
      <c r="X409" t="s">
        <v>8963</v>
      </c>
      <c r="Y409" t="s">
        <v>8964</v>
      </c>
    </row>
    <row r="410" spans="1:25" x14ac:dyDescent="0.3">
      <c r="A410">
        <v>20450</v>
      </c>
      <c r="B410" t="s">
        <v>8965</v>
      </c>
      <c r="C410">
        <f>-993.259287055238 -614.175262062604 -174.494779389413</f>
        <v>-1781.9293285072549</v>
      </c>
      <c r="D410">
        <f>-997.360007156422 -605.505170154716 -295.2252267196</f>
        <v>-1898.0904040307378</v>
      </c>
      <c r="E410">
        <f>-998.766322007719 -613.684039371911 -416.145432571506</f>
        <v>-2028.5957939511361</v>
      </c>
      <c r="F410">
        <f>-998.609381667276 -627.916830083343 -524.737495964045</f>
        <v>-2151.2637077146642</v>
      </c>
      <c r="G410">
        <f>-996.829629657576 -648.794118522286 -632.235489816224</f>
        <v>-2277.859237996086</v>
      </c>
      <c r="H410">
        <f>-992.48651717084 -684.639785529138 -780.209335546137</f>
        <v>-2457.3356382461152</v>
      </c>
      <c r="I410">
        <f>-975.708993913095 -730.462498613041 -869.661907674283</f>
        <v>-2575.833400200419</v>
      </c>
      <c r="J410">
        <f>-962.868260060467 -664.769306058052 -714.781042306727</f>
        <v>-2342.418608425246</v>
      </c>
      <c r="K410">
        <f>-817.672946023953 -659.521296470465 -692.176653728179</f>
        <v>-2169.3708962225974</v>
      </c>
      <c r="L410">
        <f>-791.577631905539 -621.902582632819 -378.983374748359</f>
        <v>-1792.4635892867168</v>
      </c>
      <c r="M410">
        <f>-765.722332905848 -644.991422198969 -121.222867178312</f>
        <v>-1531.9366222831291</v>
      </c>
      <c r="N410">
        <f>-1025.94815584533 -672.789080193921 -714.689829233013</f>
        <v>-2413.4270652722639</v>
      </c>
      <c r="O410">
        <f>-1171.64007583206 -666.507564739939 -695.871947593467</f>
        <v>-2534.0195881654658</v>
      </c>
      <c r="P410">
        <f>-1207.91077466853 -636.928874321703 -382.829266327167</f>
        <v>-2227.6689153173998</v>
      </c>
      <c r="Q410">
        <f>-1256.89838487969 -658.149655870897 -128.286581502328</f>
        <v>-2043.3346222529151</v>
      </c>
      <c r="R410">
        <f>-885.390271029956 -622.467394959702 -184.179965673261</f>
        <v>-1692.037631662919</v>
      </c>
      <c r="S410" t="s">
        <v>8966</v>
      </c>
      <c r="T410" t="s">
        <v>8967</v>
      </c>
      <c r="U410" t="s">
        <v>8968</v>
      </c>
      <c r="V410">
        <f>-1098.34061779277 -609.250366939508 -165.284445556783</f>
        <v>-1872.8754302890611</v>
      </c>
      <c r="W410" t="s">
        <v>8969</v>
      </c>
      <c r="X410" t="s">
        <v>8970</v>
      </c>
      <c r="Y410" t="s">
        <v>8971</v>
      </c>
    </row>
    <row r="411" spans="1:25" x14ac:dyDescent="0.3">
      <c r="A411">
        <v>20500</v>
      </c>
      <c r="B411" t="s">
        <v>8972</v>
      </c>
      <c r="C411">
        <f>-979.600432675488 -646.707268798035 -185.860654718202</f>
        <v>-1812.1683561917253</v>
      </c>
      <c r="D411">
        <f>-984.36317249004 -635.916348889597 -306.395602192174</f>
        <v>-1926.6751235718111</v>
      </c>
      <c r="E411">
        <f>-985.917355796357 -643.112139836139 -427.376548400208</f>
        <v>-2056.4060440327039</v>
      </c>
      <c r="F411">
        <f>-985.688291496294 -656.913420676406 -536.024185133632</f>
        <v>-2178.6258973063323</v>
      </c>
      <c r="G411">
        <f>-983.637651753158 -677.808295854508 -643.513987600005</f>
        <v>-2304.9599352076707</v>
      </c>
      <c r="H411">
        <f>-978.716521471264 -714.134970583655 -791.352358839436</f>
        <v>-2484.2038508943551</v>
      </c>
      <c r="I411">
        <f>-961.045828381296 -759.858846958647 -880.683505466266</f>
        <v>-2601.588180806209</v>
      </c>
      <c r="J411">
        <f>-949.407963542419 -693.64802559044 -725.974844247781</f>
        <v>-2369.0308333806397</v>
      </c>
      <c r="K411">
        <f>-804.194711840818 -686.906462882464 -703.329958345632</f>
        <v>-2194.4311330689138</v>
      </c>
      <c r="L411">
        <f>-775.40378811039 -650.043882741121 -390.28303246429</f>
        <v>-1815.7307033158011</v>
      </c>
      <c r="M411">
        <f>-749.122925547594 -681.506628349623 -133.453309760588</f>
        <v>-1564.0828636578053</v>
      </c>
      <c r="N411">
        <f>-1012.37998363832 -702.475104277926 -725.90202543893</f>
        <v>-2440.757113355176</v>
      </c>
      <c r="O411">
        <f>-1158.0524228979 -697.394998217875 -707.003690639741</f>
        <v>-2562.4511117555157</v>
      </c>
      <c r="P411">
        <f>-1193.55383735132 -663.793430863052 -394.278899243849</f>
        <v>-2251.6261674582211</v>
      </c>
      <c r="Q411">
        <f>-1240.24115184437 -676.875253236954 -138.757427365333</f>
        <v>-2055.8738324466572</v>
      </c>
      <c r="R411">
        <f>-877.173663050757 -648.054245527914 -193.39261096797</f>
        <v>-1718.6205195466409</v>
      </c>
      <c r="S411" t="s">
        <v>8973</v>
      </c>
      <c r="T411" t="s">
        <v>8974</v>
      </c>
      <c r="U411" t="s">
        <v>8975</v>
      </c>
      <c r="V411">
        <f>-1078.02774168161 -646.62122263746 -181.250583168847</f>
        <v>-1905.8995474879171</v>
      </c>
      <c r="W411" t="s">
        <v>8976</v>
      </c>
      <c r="X411" t="s">
        <v>8977</v>
      </c>
      <c r="Y411" t="s">
        <v>8978</v>
      </c>
    </row>
    <row r="412" spans="1:25" x14ac:dyDescent="0.3">
      <c r="A412">
        <v>20550</v>
      </c>
      <c r="B412" t="s">
        <v>8979</v>
      </c>
      <c r="C412">
        <f>-962.138428807728 -701.482855621373 -205.06815559531</f>
        <v>-1868.6894400244109</v>
      </c>
      <c r="D412">
        <f>-965.793344269477 -690.261419921535 -325.602534215232</f>
        <v>-1981.6572984062441</v>
      </c>
      <c r="E412">
        <f>-966.701510944033 -697.654789051277 -446.578016105854</f>
        <v>-2110.9343161011639</v>
      </c>
      <c r="F412">
        <f>-966.170710418119 -711.912186147046 -555.165803584854</f>
        <v>-2233.248700150019</v>
      </c>
      <c r="G412">
        <f>-964.168179623395 -733.556488409217 -662.508072707361</f>
        <v>-2360.232740739973</v>
      </c>
      <c r="H412">
        <f>-959.734424102819 -771.245164023926 -810.020401543495</f>
        <v>-2540.9999896702402</v>
      </c>
      <c r="I412">
        <f>-941.221733438931 -817.289866033488 -899.015635519725</f>
        <v>-2657.5272349921443</v>
      </c>
      <c r="J412">
        <f>-930.344267516252 -749.302098692177 -745.154126405318</f>
        <v>-2424.8004926137469</v>
      </c>
      <c r="K412">
        <f>-785.102138011881 -738.615436216202 -724.845894432787</f>
        <v>-2248.5634686608701</v>
      </c>
      <c r="L412">
        <f>-748.725821134852 -703.533171965492 -412.384415039202</f>
        <v>-1864.643408139546</v>
      </c>
      <c r="M412">
        <f>-717.970291149927 -751.21621532571 -158.568514960442</f>
        <v>-1627.755021436079</v>
      </c>
      <c r="N412">
        <f>-993.048193750413 -759.836173629711 -744.347439702337</f>
        <v>-2497.2318070824608</v>
      </c>
      <c r="O412">
        <f>-1138.770788828 -757.556984189797 -724.695127835607</f>
        <v>-2621.0229008534038</v>
      </c>
      <c r="P412">
        <f>-1171.81105715822 -720.447722281293 -412.097369421883</f>
        <v>-2304.3561488613959</v>
      </c>
      <c r="Q412">
        <f>-1216.21987041872 -723.313166230685 -155.851961125727</f>
        <v>-2095.384997775132</v>
      </c>
      <c r="R412">
        <f>-864.700331448183 -694.308999236708 -205.978722057484</f>
        <v>-1764.988052742375</v>
      </c>
      <c r="S412" t="s">
        <v>8980</v>
      </c>
      <c r="T412" t="s">
        <v>8981</v>
      </c>
      <c r="U412" t="s">
        <v>8982</v>
      </c>
      <c r="V412">
        <f>-1058.35980617082 -709.379439509773 -204.722379513902</f>
        <v>-1972.4616251944951</v>
      </c>
      <c r="W412" t="s">
        <v>8983</v>
      </c>
      <c r="X412" t="s">
        <v>8984</v>
      </c>
      <c r="Y412" t="s">
        <v>8985</v>
      </c>
    </row>
    <row r="413" spans="1:25" x14ac:dyDescent="0.3">
      <c r="A413">
        <v>20600</v>
      </c>
      <c r="B413" t="s">
        <v>8986</v>
      </c>
      <c r="C413">
        <f>-958.671553047633 -726.490621960725 -209.509789304453</f>
        <v>-1894.671964312811</v>
      </c>
      <c r="D413">
        <f>-961.208550640689 -714.90783013859 -330.038781259692</f>
        <v>-2006.155162038971</v>
      </c>
      <c r="E413">
        <f>-961.509619984233 -722.255091884219 -451.020107762</f>
        <v>-2134.7848196304521</v>
      </c>
      <c r="F413">
        <f>-960.67809991944 -736.609201522744 -559.593194283707</f>
        <v>-2256.8804957258908</v>
      </c>
      <c r="G413">
        <f>-958.65298616984 -758.495866893275 -666.885984131895</f>
        <v>-2384.0348371950099</v>
      </c>
      <c r="H413">
        <f>-954.501630477308 -796.67850988427 -814.279496726031</f>
        <v>-2565.4596370876093</v>
      </c>
      <c r="I413">
        <f>-935.818893088414 -842.931939813027 -903.130792374011</f>
        <v>-2681.8816252754523</v>
      </c>
      <c r="J413">
        <f>-925.087289033428 -773.968236400882 -749.688765437809</f>
        <v>-2448.7442908721187</v>
      </c>
      <c r="K413">
        <f>-779.732976972873 -761.300759586937 -731.151653992575</f>
        <v>-2272.1853905523849</v>
      </c>
      <c r="L413">
        <f>-740.022112431037 -726.004417587854 -419.120547675264</f>
        <v>-1885.1470776941551</v>
      </c>
      <c r="M413">
        <f>-707.406898139131 -782.05725012952 -167.254724559304</f>
        <v>-1656.7188728279552</v>
      </c>
      <c r="N413">
        <f>-987.589654738604 -785.599516779161 -748.435924309709</f>
        <v>-2521.6250958274741</v>
      </c>
      <c r="O413">
        <f>-1133.22669549542 -785.95232344054 -728.433879376743</f>
        <v>-2647.6128983127028</v>
      </c>
      <c r="P413">
        <f>-1165.63215406797 -745.733298981237 -416.154267219091</f>
        <v>-2327.5197202682984</v>
      </c>
      <c r="Q413">
        <f>-1208.67207782763 -748.305421281054 -159.672449878714</f>
        <v>-2116.6499489873977</v>
      </c>
      <c r="R413">
        <f>-862.065269252801 -715.148212444303 -208.819355109789</f>
        <v>-1786.0328368068931</v>
      </c>
      <c r="S413" t="s">
        <v>8987</v>
      </c>
      <c r="T413" t="s">
        <v>8988</v>
      </c>
      <c r="U413" t="s">
        <v>8989</v>
      </c>
      <c r="V413">
        <f>-1055.23097533247 -737.305996350182 -209.907624703299</f>
        <v>-2002.4445963859512</v>
      </c>
      <c r="W413" t="s">
        <v>8990</v>
      </c>
      <c r="X413" t="s">
        <v>8991</v>
      </c>
      <c r="Y413" t="s">
        <v>8992</v>
      </c>
    </row>
    <row r="414" spans="1:25" x14ac:dyDescent="0.3">
      <c r="A414">
        <v>20650</v>
      </c>
      <c r="B414" t="s">
        <v>8993</v>
      </c>
      <c r="C414">
        <f>-955.330141990505 -769.359633678746 -212.548463401362</f>
        <v>-1937.238239070613</v>
      </c>
      <c r="D414">
        <f>-956.844187444541 -756.932162233 -333.010417361445</f>
        <v>-2046.786767038986</v>
      </c>
      <c r="E414">
        <f>-956.427508221446 -764.230371411525 -453.994440295013</f>
        <v>-2174.6523199279841</v>
      </c>
      <c r="F414">
        <f>-955.144200631423 -778.86999533632 -562.524905091061</f>
        <v>-2296.5391010588041</v>
      </c>
      <c r="G414">
        <f>-952.921243397913 -801.37482462449 -669.685625641042</f>
        <v>-2423.9816936634452</v>
      </c>
      <c r="H414">
        <f>-948.805382978302 -840.762935448575 -816.762810264201</f>
        <v>-2606.331128691078</v>
      </c>
      <c r="I414">
        <f>-929.597766540916 -887.362542481391 -905.320864084887</f>
        <v>-2722.2811731071943</v>
      </c>
      <c r="J414">
        <f>-919.675974574996 -816.138651163269 -752.74681157746</f>
        <v>-2488.561437315725</v>
      </c>
      <c r="K414">
        <f>-774.706198791597 -797.515532399656 -736.781978124964</f>
        <v>-2309.0037093162168</v>
      </c>
      <c r="L414">
        <f>-726.230042579007 -759.79850257727 -426.276357252951</f>
        <v>-1912.3049024092279</v>
      </c>
      <c r="M414">
        <f>-691.145797511818 -830.40266124742 -178.433252523762</f>
        <v>-1699.9817112830001</v>
      </c>
      <c r="N414">
        <f>-981.577088980487 -830.531224884322 -750.624680293497</f>
        <v>-2562.7329941583062</v>
      </c>
      <c r="O414">
        <f>-1126.98180415128 -836.738406627237 -729.434511412888</f>
        <v>-2693.1547221914052</v>
      </c>
      <c r="P414">
        <f>-1160.48137886152 -791.221299224275 -417.998886317522</f>
        <v>-2369.7015644033172</v>
      </c>
      <c r="Q414">
        <f>-1203.07083489752 -796.936594514273 -161.492487635801</f>
        <v>-2161.499917047594</v>
      </c>
      <c r="R414">
        <f>-859.565983445236 -750.014685960012 -209.938330488508</f>
        <v>-1819.518999893756</v>
      </c>
      <c r="S414" t="s">
        <v>8994</v>
      </c>
      <c r="T414" t="s">
        <v>8995</v>
      </c>
      <c r="U414" t="s">
        <v>8996</v>
      </c>
      <c r="V414">
        <f>-1052.05404585237 -787.733625521045 -213.497301974233</f>
        <v>-2053.2849733476482</v>
      </c>
      <c r="W414" t="s">
        <v>8997</v>
      </c>
      <c r="X414" t="s">
        <v>8998</v>
      </c>
      <c r="Y414" t="s">
        <v>8999</v>
      </c>
    </row>
    <row r="415" spans="1:25" x14ac:dyDescent="0.3">
      <c r="A415">
        <v>20700</v>
      </c>
      <c r="B415" t="s">
        <v>9000</v>
      </c>
      <c r="C415">
        <f>-954.095840309316 -791.086335528406 -212.404280942511</f>
        <v>-1957.586456780233</v>
      </c>
      <c r="D415">
        <f>-955.44300704178 -778.632595525383 -332.865620824873</f>
        <v>-2066.9412233920361</v>
      </c>
      <c r="E415">
        <f>-954.819131174975 -786.15023622277 -453.835276821136</f>
        <v>-2194.8046442188811</v>
      </c>
      <c r="F415">
        <f>-953.356213542865 -801.086235132112 -562.323118694894</f>
        <v>-2316.765567369871</v>
      </c>
      <c r="G415">
        <f>-950.982662673802 -823.984932086835 -669.397258261269</f>
        <v>-2444.3648530219061</v>
      </c>
      <c r="H415">
        <f>-946.704026284523 -864.019862470828 -816.2947529395</f>
        <v>-2627.0186416948509</v>
      </c>
      <c r="I415">
        <f>-927.065082219194 -910.81190562354 -904.656572286501</f>
        <v>-2742.533560129235</v>
      </c>
      <c r="J415">
        <f>-917.860206911603 -838.27962266193 -752.589252781445</f>
        <v>-2508.7290823549779</v>
      </c>
      <c r="K415">
        <f>-773.36957476934 -815.554588253143 -737.824427282361</f>
        <v>-2326.7485903048441</v>
      </c>
      <c r="L415">
        <f>-721.393230697804 -776.637215143959 -428.034158542441</f>
        <v>-1926.0646043842041</v>
      </c>
      <c r="M415">
        <f>-683.522848802572 -850.966846505939 -181.694913616979</f>
        <v>-1716.1846089254898</v>
      </c>
      <c r="N415">
        <f>-979.334165953498 -854.331660363057 -750.005105088836</f>
        <v>-2583.670931405391</v>
      </c>
      <c r="O415">
        <f>-1124.43185357327 -864.000308264544 -727.925358889948</f>
        <v>-2716.3575207277618</v>
      </c>
      <c r="P415">
        <f>-1158.59225611214 -818.046268352654 -416.625637245833</f>
        <v>-2393.2641617106269</v>
      </c>
      <c r="Q415">
        <f>-1201.17845562229 -825.850736549761 -160.173854467389</f>
        <v>-2187.2030466394399</v>
      </c>
      <c r="R415">
        <f>-858.994289734287 -768.899024223357 -209.156535282864</f>
        <v>-1837.0498492405079</v>
      </c>
      <c r="S415" t="s">
        <v>9001</v>
      </c>
      <c r="T415" t="s">
        <v>9002</v>
      </c>
      <c r="U415" t="s">
        <v>9003</v>
      </c>
      <c r="V415">
        <f>-1049.9331564114 -813.215787224836 -213.298162545152</f>
        <v>-2076.4471061813879</v>
      </c>
      <c r="W415" t="s">
        <v>9004</v>
      </c>
      <c r="X415" t="s">
        <v>9005</v>
      </c>
      <c r="Y415" t="s">
        <v>9006</v>
      </c>
    </row>
    <row r="416" spans="1:25" x14ac:dyDescent="0.3">
      <c r="A416">
        <v>20750</v>
      </c>
      <c r="B416" t="s">
        <v>9007</v>
      </c>
      <c r="C416">
        <f>-952.392313862551 -832.89295018791 -207.486988779146</f>
        <v>-1992.7722528296069</v>
      </c>
      <c r="D416">
        <f>-954.620505662986 -821.808442787513 -328.06885538685</f>
        <v>-2104.4978038373488</v>
      </c>
      <c r="E416">
        <f>-954.08646912638 -830.387155190608 -448.968416204243</f>
        <v>-2233.4420405212313</v>
      </c>
      <c r="F416">
        <f>-952.391127105 -846.146080277121 -557.336404155763</f>
        <v>-2355.8736115378838</v>
      </c>
      <c r="G416">
        <f>-949.489857437144 -869.730767558449 -664.248514234847</f>
        <v>-2483.4691392304399</v>
      </c>
      <c r="H416">
        <f>-944.181441672286 -910.576162870695 -810.889131829688</f>
        <v>-2665.6467363726688</v>
      </c>
      <c r="I416">
        <f>-923.317974690628 -957.439920547404 -898.931798275646</f>
        <v>-2779.6896935136779</v>
      </c>
      <c r="J416">
        <f>-916.414298307543 -882.455528368918 -747.713738242359</f>
        <v>-2546.5835649188198</v>
      </c>
      <c r="K416">
        <f>-773.466554370639 -850.282288699237 -735.746926519133</f>
        <v>-2359.4957695890089</v>
      </c>
      <c r="L416">
        <f>-720.103686627624 -807.428352767918 -426.712845414869</f>
        <v>-1954.2448848104111</v>
      </c>
      <c r="M416">
        <f>-674.253943401203 -881.401377945116 -181.625317307323</f>
        <v>-1737.280638653642</v>
      </c>
      <c r="N416">
        <f>-976.646200532946 -902.5511942019 -744.296716316076</f>
        <v>-2623.4941110509221</v>
      </c>
      <c r="O416">
        <f>-1120.57917846117 -921.165904406341 -720.362704984909</f>
        <v>-2762.1077878524202</v>
      </c>
      <c r="P416">
        <f>-1155.56614692592 -876.087339640215 -409.02665745188</f>
        <v>-2440.6801440180152</v>
      </c>
      <c r="Q416">
        <f>-1196.82295849706 -888.186296949978 -152.524247334814</f>
        <v>-2237.5335027818519</v>
      </c>
      <c r="R416">
        <f>-859.80243861499 -803.213238314523 -204.978096418324</f>
        <v>-1867.9937733478371</v>
      </c>
      <c r="S416" t="s">
        <v>9008</v>
      </c>
      <c r="T416" t="s">
        <v>9009</v>
      </c>
      <c r="U416" t="s">
        <v>9010</v>
      </c>
      <c r="V416">
        <f>-1045.5093244096 -862.269720439243 -207.926471214882</f>
        <v>-2115.7055160637251</v>
      </c>
      <c r="W416" t="s">
        <v>9011</v>
      </c>
      <c r="X416" t="s">
        <v>9012</v>
      </c>
      <c r="Y416" t="s">
        <v>9013</v>
      </c>
    </row>
    <row r="417" spans="1:25" x14ac:dyDescent="0.3">
      <c r="A417">
        <v>20800</v>
      </c>
      <c r="B417" t="s">
        <v>9014</v>
      </c>
      <c r="C417">
        <f>-952.375651359434 -853.124640304838 -203.685677041877</f>
        <v>-2009.185968706149</v>
      </c>
      <c r="D417">
        <f>-955.536975629751 -843.049276457296 -324.335232503792</f>
        <v>-2122.9214845908391</v>
      </c>
      <c r="E417">
        <f>-955.295825038585 -852.333305039778 -445.183515510868</f>
        <v>-2252.8126455892311</v>
      </c>
      <c r="F417">
        <f>-953.594834587535 -868.597385444291 -553.4766899425</f>
        <v>-2375.6689099743262</v>
      </c>
      <c r="G417">
        <f>-950.418802244231 -892.553772102806 -660.298301945332</f>
        <v>-2503.2708762923689</v>
      </c>
      <c r="H417">
        <f>-944.446493697257 -933.775973170925 -806.8080120851</f>
        <v>-2685.030478953282</v>
      </c>
      <c r="I417">
        <f>-922.706722258738 -980.572180879669 -894.674262404608</f>
        <v>-2797.9531655430146</v>
      </c>
      <c r="J417">
        <f>-917.406205706219 -904.312226101114 -743.930066781255</f>
        <v>-2565.6484985885882</v>
      </c>
      <c r="K417">
        <f>-775.698879967607 -866.621101993586 -733.370506583405</f>
        <v>-2375.6904885445979</v>
      </c>
      <c r="L417">
        <f>-722.165312749795 -820.500335648482 -424.836579168643</f>
        <v>-1967.5022275669201</v>
      </c>
      <c r="M417">
        <f>-672.470765556396 -890.915906842045 -179.450851231</f>
        <v>-1742.837523629441</v>
      </c>
      <c r="N417">
        <f>-976.771902278891 -926.760616462907 -740.033928925208</f>
        <v>-2643.5664476670058</v>
      </c>
      <c r="O417">
        <f>-1119.63853036041 -951.082294352123 -714.942335799689</f>
        <v>-2785.6631605122216</v>
      </c>
      <c r="P417">
        <f>-1155.36215661214 -906.082365285786 -403.678816497518</f>
        <v>-2465.1233383954441</v>
      </c>
      <c r="Q417">
        <f>-1195.43607542571 -920.290027587953 -147.096801456059</f>
        <v>-2262.8229044697218</v>
      </c>
      <c r="R417">
        <f>-860.968982253262 -819.899906880343 -201.907540804113</f>
        <v>-1882.7764299377181</v>
      </c>
      <c r="S417" t="s">
        <v>9015</v>
      </c>
      <c r="T417" t="s">
        <v>9016</v>
      </c>
      <c r="U417" t="s">
        <v>9017</v>
      </c>
      <c r="V417">
        <f>-1044.44028252097 -886.381093975754 -203.851754118163</f>
        <v>-2134.6731306148872</v>
      </c>
      <c r="W417" t="s">
        <v>9018</v>
      </c>
      <c r="X417" t="s">
        <v>9019</v>
      </c>
      <c r="Y417" t="s">
        <v>9020</v>
      </c>
    </row>
    <row r="418" spans="1:25" x14ac:dyDescent="0.3">
      <c r="A418">
        <v>20850</v>
      </c>
      <c r="B418" t="s">
        <v>9021</v>
      </c>
      <c r="C418">
        <f>-954.12705818289 -893.860807745771 -195.638812937965</f>
        <v>-2043.626678866626</v>
      </c>
      <c r="D418">
        <f>-958.611494876692 -886.618249920866 -316.449598673754</f>
        <v>-2161.6793434713118</v>
      </c>
      <c r="E418">
        <f>-958.809769987899 -897.897931949255 -437.127999871971</f>
        <v>-2293.8357018091251</v>
      </c>
      <c r="F418">
        <f>-957.090171805668 -915.596613155168 -545.195833582705</f>
        <v>-2417.882618543541</v>
      </c>
      <c r="G418">
        <f>-953.458380076214 -940.611210651231 -651.759998659373</f>
        <v>-2545.829589386818</v>
      </c>
      <c r="H418">
        <f>-946.371937602013 -982.905640926429 -797.913965544302</f>
        <v>-2727.1915440727439</v>
      </c>
      <c r="I418">
        <f>-922.735731942562 -1029.68464931176 -885.298430626028</f>
        <v>-2837.7188118803497</v>
      </c>
      <c r="J418">
        <f>-920.904379611995 -950.54789218588 -735.80679368284</f>
        <v>-2607.2590654807145</v>
      </c>
      <c r="K418">
        <f>-782.837215484267 -900.491047011695 -728.216561391005</f>
        <v>-2411.5448238869672</v>
      </c>
      <c r="L418">
        <f>-729.45982462093 -846.315852842645 -420.967324507916</f>
        <v>-1996.7430019714909</v>
      </c>
      <c r="M418">
        <f>-672.352621136125 -901.715295697189 -173.355359532157</f>
        <v>-1747.4232763654711</v>
      </c>
      <c r="N418">
        <f>-978.110536670587 -977.835421369535 -730.684046007056</f>
        <v>-2686.6300040471779</v>
      </c>
      <c r="O418">
        <f>-1117.73386040454 -1014.30717535583 -702.585443052792</f>
        <v>-2834.6264788131621</v>
      </c>
      <c r="P418">
        <f>-1155.68212729944 -971.085340413506 -391.333226470585</f>
        <v>-2518.1006941835312</v>
      </c>
      <c r="Q418">
        <f>-1193.08717609326 -988.676894622609 -134.558061923306</f>
        <v>-2316.3221326391749</v>
      </c>
      <c r="R418">
        <f>-864.439726893391 -855.090780082505 -195.514918756179</f>
        <v>-1915.045425732075</v>
      </c>
      <c r="S418" t="s">
        <v>9022</v>
      </c>
      <c r="T418" t="s">
        <v>9023</v>
      </c>
      <c r="U418" t="s">
        <v>9024</v>
      </c>
      <c r="V418">
        <f>-1043.28705614984 -932.815803660455 -194.525116358875</f>
        <v>-2170.6279761691699</v>
      </c>
      <c r="W418" t="s">
        <v>9025</v>
      </c>
      <c r="X418" t="s">
        <v>9026</v>
      </c>
      <c r="Y418" t="s">
        <v>9027</v>
      </c>
    </row>
    <row r="419" spans="1:25" x14ac:dyDescent="0.3">
      <c r="A419">
        <v>20900</v>
      </c>
      <c r="B419" t="s">
        <v>9028</v>
      </c>
      <c r="C419">
        <f>-954.85183591099 -915.758089543227 -192.035393793605</f>
        <v>-2062.645319247822</v>
      </c>
      <c r="D419">
        <f>-960.080091579153 -909.910419873387 -312.891823057206</f>
        <v>-2182.8823345097462</v>
      </c>
      <c r="E419">
        <f>-960.584962979657 -922.219650054763 -433.468644016599</f>
        <v>-2316.2732570510188</v>
      </c>
      <c r="F419">
        <f>-958.942110342157 -940.6851752145 -541.409266811912</f>
        <v>-2441.0365523685687</v>
      </c>
      <c r="G419">
        <f>-955.179035101429 -966.298258727138 -647.826688179264</f>
        <v>-2569.3039820078311</v>
      </c>
      <c r="H419">
        <f>-947.683978724913 -1009.24513670364 -793.769831215005</f>
        <v>-2750.698946643558</v>
      </c>
      <c r="I419">
        <f>-923.146337977167 -1056.18633630602 -880.818101917086</f>
        <v>-2860.150776200273</v>
      </c>
      <c r="J419">
        <f>-922.990074495551 -975.483096960064 -732.099252407134</f>
        <v>-2630.572423862749</v>
      </c>
      <c r="K419">
        <f>-787.189236765888 -919.464146613822 -726.21443743914</f>
        <v>-2432.8678208188503</v>
      </c>
      <c r="L419">
        <f>-735.068039844062 -860.424883720101 -419.646433764312</f>
        <v>-2015.1393573284749</v>
      </c>
      <c r="M419">
        <f>-675.230974048669 -904.642431315131 -170.434859741724</f>
        <v>-1750.308265105524</v>
      </c>
      <c r="N419">
        <f>-979.010547383646 -1005.00185120437 -726.289759439232</f>
        <v>-2710.302158027248</v>
      </c>
      <c r="O419">
        <f>-1116.73699358808 -1047.18732242148 -696.577371413716</f>
        <v>-2860.5016874232761</v>
      </c>
      <c r="P419">
        <f>-1155.80568284944 -1006.11041020865 -385.173284710304</f>
        <v>-2547.0893777683941</v>
      </c>
      <c r="Q419">
        <f>-1191.60226800602 -1025.48879849145 -128.297563554507</f>
        <v>-2345.3886300519771</v>
      </c>
      <c r="R419">
        <f>-866.535405383462 -873.914119763244 -192.854752978609</f>
        <v>-1933.304278125315</v>
      </c>
      <c r="S419" t="s">
        <v>9029</v>
      </c>
      <c r="T419" t="s">
        <v>9030</v>
      </c>
      <c r="U419" t="s">
        <v>9031</v>
      </c>
      <c r="V419">
        <f>-1043.06771582762 -958.57409126439 -190.092400606175</f>
        <v>-2191.7342076981849</v>
      </c>
      <c r="W419" t="s">
        <v>9032</v>
      </c>
      <c r="X419" t="s">
        <v>9033</v>
      </c>
      <c r="Y419" t="s">
        <v>9034</v>
      </c>
    </row>
    <row r="420" spans="1:25" x14ac:dyDescent="0.3">
      <c r="A420">
        <v>20950</v>
      </c>
      <c r="B420" t="s">
        <v>9035</v>
      </c>
      <c r="C420">
        <f>-958.956183497097 -961.260118478135 -184.9361483699</f>
        <v>-2105.1524503451319</v>
      </c>
      <c r="D420">
        <f>-965.298687692167 -957.443170847305 -305.820507269264</f>
        <v>-2228.5623658087361</v>
      </c>
      <c r="E420">
        <f>-966.165262347319 -971.495437710913 -426.204684246936</f>
        <v>-2363.8653843051679</v>
      </c>
      <c r="F420">
        <f>-964.519515712761 -991.392054626789 -533.890668154566</f>
        <v>-2489.802238494116</v>
      </c>
      <c r="G420">
        <f>-960.422072153391 -1018.2832681983 -639.97981941716</f>
        <v>-2618.685159768851</v>
      </c>
      <c r="H420">
        <f>-952.110242458909 -1062.83761560845 -785.395800903554</f>
        <v>-2800.3436589709131</v>
      </c>
      <c r="I420">
        <f>-925.68778030315 -1110.49663419785 -871.497242852207</f>
        <v>-2907.6816573532069</v>
      </c>
      <c r="J420">
        <f>-929.026167239662 -1026.34247053418 -724.665734791813</f>
        <v>-2680.0343725656548</v>
      </c>
      <c r="K420">
        <f>-797.779522451053 -960.03866273701 -722.415870338145</f>
        <v>-2480.2340555262081</v>
      </c>
      <c r="L420">
        <f>-748.780290063837 -888.81307662911 -417.929103027968</f>
        <v>-2055.5224697209151</v>
      </c>
      <c r="M420">
        <f>-687.64485451194 -905.112800506273 -165.661643143541</f>
        <v>-1758.4192981617539</v>
      </c>
      <c r="N420">
        <f>-982.549768895357 -1059.90497916598 -717.441887661891</f>
        <v>-2759.896635723228</v>
      </c>
      <c r="O420">
        <f>-1115.80360842939 -1112.63066030741 -684.543155199863</f>
        <v>-2912.9774239366629</v>
      </c>
      <c r="P420">
        <f>-1156.09405826201 -1074.81924132931 -372.881282538089</f>
        <v>-2603.7945821294093</v>
      </c>
      <c r="Q420">
        <f>-1187.32257208263 -1100.94955938021 -116.007682486791</f>
        <v>-2404.2798139496308</v>
      </c>
      <c r="R420">
        <f>-873.27962386981 -912.352863327017 -187.407554908164</f>
        <v>-1973.040042104991</v>
      </c>
      <c r="S420" t="s">
        <v>9036</v>
      </c>
      <c r="T420" t="s">
        <v>9037</v>
      </c>
      <c r="U420" t="s">
        <v>9038</v>
      </c>
      <c r="V420">
        <f>-1043.84975481263 -1010.68849227874 -181.974038454611</f>
        <v>-2236.5122855459813</v>
      </c>
      <c r="W420" t="s">
        <v>9039</v>
      </c>
      <c r="X420" t="s">
        <v>9040</v>
      </c>
      <c r="Y420" t="s">
        <v>9041</v>
      </c>
    </row>
    <row r="421" spans="1:25" x14ac:dyDescent="0.3">
      <c r="A421">
        <v>21000</v>
      </c>
      <c r="B421" t="s">
        <v>9042</v>
      </c>
      <c r="C421">
        <f>-961.617917604972 -983.443224963403 -181.116278323643</f>
        <v>-2126.1774208920183</v>
      </c>
      <c r="D421">
        <f>-968.634298809632 -980.560757259957 -301.989282476264</f>
        <v>-2251.1843385458533</v>
      </c>
      <c r="E421">
        <f>-969.740221902185 -995.478604432116 -422.26735771529</f>
        <v>-2387.486184049591</v>
      </c>
      <c r="F421">
        <f>-968.13700629226 -1016.1187355024 -529.813844946201</f>
        <v>-2514.0695867408613</v>
      </c>
      <c r="G421">
        <f>-963.917018569881 -1043.71292313992 -635.717597261679</f>
        <v>-2643.3475389714795</v>
      </c>
      <c r="H421">
        <f>-955.268050338 -1089.19848178995 -780.825359524101</f>
        <v>-2825.2918916520512</v>
      </c>
      <c r="I421">
        <f>-928.019678268457 -1137.26161062422 -866.443386663914</f>
        <v>-2931.7246755565911</v>
      </c>
      <c r="J421">
        <f>-933.006692978571 -1051.34566935365 -720.621280633826</f>
        <v>-2704.973642966047</v>
      </c>
      <c r="K421">
        <f>-804.091951947655 -980.579588948201 -719.996752797068</f>
        <v>-2504.6682936929242</v>
      </c>
      <c r="L421">
        <f>-755.65951243745 -901.115003721202 -417.464405458116</f>
        <v>-2074.238921616768</v>
      </c>
      <c r="M421">
        <f>-695.764940572827 -901.910055249381 -164.37533984842</f>
        <v>-1762.0503356706281</v>
      </c>
      <c r="N421">
        <f>-985.183193374862 -1086.79933697779 -712.617966135909</f>
        <v>-2784.6004964885615</v>
      </c>
      <c r="O421">
        <f>-1115.9403130545 -1144.32080911385 -677.881729170512</f>
        <v>-2938.1428513388619</v>
      </c>
      <c r="P421">
        <f>-1156.39699264191 -1106.88293810579 -366.196254037038</f>
        <v>-2629.4761847847376</v>
      </c>
      <c r="Q421">
        <f>-1184.39556602087 -1137.96387930937 -109.501658742417</f>
        <v>-2431.8611040726573</v>
      </c>
      <c r="R421">
        <f>-878.011966221919 -930.849252730239 -184.355648071079</f>
        <v>-1993.216867023237</v>
      </c>
      <c r="S421" t="s">
        <v>9043</v>
      </c>
      <c r="T421" t="s">
        <v>9044</v>
      </c>
      <c r="U421" t="s">
        <v>9045</v>
      </c>
      <c r="V421">
        <f>-1043.73582680175 -1035.03647306121 -177.213527423723</f>
        <v>-2255.9858272866827</v>
      </c>
      <c r="W421" t="s">
        <v>9046</v>
      </c>
      <c r="X421" t="s">
        <v>9047</v>
      </c>
      <c r="Y421" t="s">
        <v>9048</v>
      </c>
    </row>
    <row r="422" spans="1:25" x14ac:dyDescent="0.3">
      <c r="A422">
        <v>21050</v>
      </c>
      <c r="B422" t="s">
        <v>9049</v>
      </c>
      <c r="C422">
        <f>-967.016384329296 -1027.27280026969 -172.028663793326</f>
        <v>-2166.317848392312</v>
      </c>
      <c r="D422">
        <f>-975.599673203065 -1026.29776055028 -292.830897074628</f>
        <v>-2294.728330827973</v>
      </c>
      <c r="E422">
        <f>-977.115033150957 -1043.49046035048 -412.800389420667</f>
        <v>-2433.405882922104</v>
      </c>
      <c r="F422">
        <f>-975.440856941324 -1066.31127895917 -519.90440800269</f>
        <v>-2561.6565439031842</v>
      </c>
      <c r="G422">
        <f>-970.741903959134 -1096.20333398116 -625.162293267284</f>
        <v>-2692.1075312075782</v>
      </c>
      <c r="H422">
        <f>-961.027908346583 -1144.99316439936 -769.124775972593</f>
        <v>-2875.1458487185359</v>
      </c>
      <c r="I422">
        <f>-931.752480549491 -1194.30484263689 -853.352412246931</f>
        <v>-2979.4097354333117</v>
      </c>
      <c r="J422">
        <f>-940.647094031248 -1103.97353741088 -710.346175547313</f>
        <v>-2754.966806989441</v>
      </c>
      <c r="K422">
        <f>-816.497050756709 -1025.56827533604 -711.100789849031</f>
        <v>-2553.1661159417799</v>
      </c>
      <c r="L422">
        <f>-765.819093755674 -922.378805591551 -416.19419688984</f>
        <v>-2104.3920962370648</v>
      </c>
      <c r="M422">
        <f>-710.451931536435 -893.677609200074 -163.701028289184</f>
        <v>-1767.8305690256932</v>
      </c>
      <c r="N422">
        <f>-990.00501325569 -1142.83682029797 -700.505602299701</f>
        <v>-2833.3474358533608</v>
      </c>
      <c r="O422">
        <f>-1115.51394148873 -1209.17344105482 -661.58815858991</f>
        <v>-2986.2755411334601</v>
      </c>
      <c r="P422">
        <f>-1157.60374559793 -1169.78169405506 -350.36004848814</f>
        <v>-2677.7454881411295</v>
      </c>
      <c r="Q422">
        <f>-1179.27565159428 -1210.60334055342 -94.4186551027278</f>
        <v>-2484.2976472504279</v>
      </c>
      <c r="R422">
        <f>-888.694850980641 -968.18220474747 -176.440088227228</f>
        <v>-2033.3171439553389</v>
      </c>
      <c r="S422" t="s">
        <v>9050</v>
      </c>
      <c r="T422" t="s">
        <v>9051</v>
      </c>
      <c r="U422" t="s">
        <v>9052</v>
      </c>
      <c r="V422">
        <f>-1044.53765274119 -1085.56577340014 -167.188839797808</f>
        <v>-2297.2922659391379</v>
      </c>
      <c r="W422" t="s">
        <v>9053</v>
      </c>
      <c r="X422" t="s">
        <v>9054</v>
      </c>
      <c r="Y422" t="s">
        <v>9055</v>
      </c>
    </row>
    <row r="423" spans="1:25" x14ac:dyDescent="0.3">
      <c r="A423">
        <v>21100</v>
      </c>
      <c r="B423" t="s">
        <v>9056</v>
      </c>
      <c r="C423">
        <f>-967.613749604266 -1047.13991114225 -170.489259951493</f>
        <v>-2185.2429206980087</v>
      </c>
      <c r="D423">
        <f>-975.684419661961 -1046.07535421389 -291.32613027498</f>
        <v>-2313.0859041508311</v>
      </c>
      <c r="E423">
        <f>-976.707415172869 -1064.39125423339 -411.134513528609</f>
        <v>-2452.2331829348677</v>
      </c>
      <c r="F423">
        <f>-974.592222116618 -1088.69142597963 -517.90467774884</f>
        <v>-2581.188325845088</v>
      </c>
      <c r="G423">
        <f>-969.461280818208 -1120.50773808637 -622.57671302152</f>
        <v>-2712.5457319260977</v>
      </c>
      <c r="H423">
        <f>-959.159776751856 -1172.41175560262 -765.404840918996</f>
        <v>-2896.9763732734718</v>
      </c>
      <c r="I423">
        <f>-928.597708689554 -1223.02579135446 -848.393774018781</f>
        <v>-3000.017274062795</v>
      </c>
      <c r="J423">
        <f>-939.719019541212 -1129.34968393065 -707.780026651189</f>
        <v>-2776.8487301230512</v>
      </c>
      <c r="K423">
        <f>-818.267557681799 -1046.61528963017 -710.33011877962</f>
        <v>-2575.2129660915889</v>
      </c>
      <c r="L423">
        <f>-768.010327652992 -928.717660356731 -420.915986323609</f>
        <v>-2117.6439743333322</v>
      </c>
      <c r="M423">
        <f>-715.364795592264 -885.648644130728 -169.886961235599</f>
        <v>-1770.9004009585913</v>
      </c>
      <c r="N423">
        <f>-987.716724349783 -1169.54198844665 -696.63571488723</f>
        <v>-2853.8944276836628</v>
      </c>
      <c r="O423">
        <f>-1110.42389085328 -1239.15925582714 -654.98590814899</f>
        <v>-3004.5690548294101</v>
      </c>
      <c r="P423">
        <f>-1154.27754017052 -1200.22482053376 -343.943780631868</f>
        <v>-2698.4461413361482</v>
      </c>
      <c r="Q423">
        <f>-1172.7027444072 -1242.91494179915 -88.0529939180476</f>
        <v>-2503.6706801243981</v>
      </c>
      <c r="R423">
        <f>-890.720245062312 -984.901871471491 -174.723701219485</f>
        <v>-2050.345817753288</v>
      </c>
      <c r="S423" t="s">
        <v>9057</v>
      </c>
      <c r="T423" t="s">
        <v>9058</v>
      </c>
      <c r="U423" t="s">
        <v>9059</v>
      </c>
      <c r="V423">
        <f>-1044.45803014545 -1108.87700168816 -166.638732514358</f>
        <v>-2319.9737643479675</v>
      </c>
      <c r="W423" t="s">
        <v>9060</v>
      </c>
      <c r="X423" t="s">
        <v>9061</v>
      </c>
      <c r="Y423" t="s">
        <v>9062</v>
      </c>
    </row>
    <row r="424" spans="1:25" x14ac:dyDescent="0.3">
      <c r="A424">
        <v>21150</v>
      </c>
      <c r="B424" t="s">
        <v>9063</v>
      </c>
      <c r="C424">
        <f>-970.518643329294 -1087.43810683554 -171.935642631123</f>
        <v>-2229.8923927959572</v>
      </c>
      <c r="D424">
        <f>-977.417501425574 -1089.08274014685 -292.838529894423</f>
        <v>-2359.338771466847</v>
      </c>
      <c r="E424">
        <f>-977.769832810842 -1112.03117810623 -411.850317160333</f>
        <v>-2501.6513280774047</v>
      </c>
      <c r="F424">
        <f>-975.26028017346 -1141.22506675953 -517.378754442519</f>
        <v>-2633.8641013755091</v>
      </c>
      <c r="G424">
        <f>-969.965327853329 -1178.59602357781 -620.190467783986</f>
        <v>-2768.7518192151251</v>
      </c>
      <c r="H424">
        <f>-959.689564698732 -1238.85717203474 -759.700382120612</f>
        <v>-2958.247118854084</v>
      </c>
      <c r="I424">
        <f>-927.136277603964 -1293.04471807637 -839.618837642781</f>
        <v>-3059.7998333231153</v>
      </c>
      <c r="J424">
        <f>-941.656926070999 -1191.08742835599 -705.425152365686</f>
        <v>-2838.1695067926748</v>
      </c>
      <c r="K424">
        <f>-825.667176820854 -1101.07216919476 -716.338147860406</f>
        <v>-2643.0774938760201</v>
      </c>
      <c r="L424">
        <f>-784.566028674299 -955.35091565117 -438.377364481245</f>
        <v>-2178.2943088067141</v>
      </c>
      <c r="M424">
        <f>-740.601137836212 -884.010769571795 -192.166565365328</f>
        <v>-1816.7784727733351</v>
      </c>
      <c r="N424">
        <f>-986.815609686146 -1233.29951809115 -690.517950379862</f>
        <v>-2910.6330781571578</v>
      </c>
      <c r="O424">
        <f>-1102.48120228238 -1309.83714785422 -642.210626893915</f>
        <v>-3054.5289770305153</v>
      </c>
      <c r="P424">
        <f>-1149.91881146135 -1269.483102048 -331.876132272804</f>
        <v>-2751.2780457821545</v>
      </c>
      <c r="Q424">
        <f>-1161.28470731172 -1309.91484214099 -75.2087764445154</f>
        <v>-2546.4083258972255</v>
      </c>
      <c r="R424">
        <f>-899.03877742326 -1021.30593025714 -176.12638214846</f>
        <v>-2096.4710898288599</v>
      </c>
      <c r="S424" t="s">
        <v>9064</v>
      </c>
      <c r="T424" t="s">
        <v>9065</v>
      </c>
      <c r="U424" t="s">
        <v>9066</v>
      </c>
      <c r="V424">
        <f>-1041.14737325809 -1155.57976456937 -166.457408707751</f>
        <v>-2363.1845465352108</v>
      </c>
      <c r="W424" t="s">
        <v>9067</v>
      </c>
      <c r="X424" t="s">
        <v>9068</v>
      </c>
      <c r="Y424" t="s">
        <v>9069</v>
      </c>
    </row>
    <row r="425" spans="1:25" x14ac:dyDescent="0.3">
      <c r="A425">
        <v>21200</v>
      </c>
      <c r="B425" t="s">
        <v>9070</v>
      </c>
      <c r="C425">
        <f>-970.570359918652 -1112.44889397349 -174.862610859474</f>
        <v>-2257.8818647516159</v>
      </c>
      <c r="D425">
        <f>-976.817394397314 -1116.28479383469 -295.751275262177</f>
        <v>-2388.8534634941807</v>
      </c>
      <c r="E425">
        <f>-976.776799669074 -1142.01863256969 -414.192579167287</f>
        <v>-2532.9880114060511</v>
      </c>
      <c r="F425">
        <f>-974.023161344499 -1173.92866950282 -518.925630581507</f>
        <v>-2666.8774614288259</v>
      </c>
      <c r="G425">
        <f>-968.604432383637 -1214.19069726564 -620.633406984386</f>
        <v>-2803.428536633663</v>
      </c>
      <c r="H425">
        <f>-958.288279540003 -1278.62718335208 -758.261524320047</f>
        <v>-2995.1769872121304</v>
      </c>
      <c r="I425">
        <f>-924.776868054735 -1334.74244094414 -836.434725826459</f>
        <v>-3095.954034825334</v>
      </c>
      <c r="J425">
        <f>-941.02663490404 -1228.59347423903 -705.805920485249</f>
        <v>-2875.4260296283187</v>
      </c>
      <c r="K425">
        <f>-828.64069455113 -1135.07075427982 -720.817623760689</f>
        <v>-2684.5290725916389</v>
      </c>
      <c r="L425">
        <f>-792.046768044619 -975.569688842283 -449.881186280811</f>
        <v>-2217.4976431677128</v>
      </c>
      <c r="M425">
        <f>-754.209509607923 -891.612248441811 -206.649718736355</f>
        <v>-1852.4714767860889</v>
      </c>
      <c r="N425">
        <f>-984.679047319212 -1271.63862758795 -688.924555435606</f>
        <v>-2945.2422303427675</v>
      </c>
      <c r="O425">
        <f>-1096.80018583999 -1351.484713249 -637.109244049709</f>
        <v>-3085.3941431386988</v>
      </c>
      <c r="P425">
        <f>-1147.24228034942 -1310.91501211586 -327.277260820269</f>
        <v>-2785.4345532855491</v>
      </c>
      <c r="Q425">
        <f>-1157.07128112122 -1347.69218422318 -69.9973778739835</f>
        <v>-2574.7608432183838</v>
      </c>
      <c r="R425">
        <f>-904.153323286553 -1041.85984434186 -179.254776313647</f>
        <v>-2125.2679439420604</v>
      </c>
      <c r="S425" t="s">
        <v>9071</v>
      </c>
      <c r="T425" t="s">
        <v>9072</v>
      </c>
      <c r="U425" t="s">
        <v>9073</v>
      </c>
      <c r="V425">
        <f>-1035.86759539607 -1185.50222611845 -169.932161524909</f>
        <v>-2391.3019830394292</v>
      </c>
      <c r="W425" t="s">
        <v>9074</v>
      </c>
      <c r="X425" t="s">
        <v>9075</v>
      </c>
      <c r="Y425" t="s">
        <v>9076</v>
      </c>
    </row>
    <row r="426" spans="1:25" x14ac:dyDescent="0.3">
      <c r="A426">
        <v>21250</v>
      </c>
      <c r="B426" t="s">
        <v>9077</v>
      </c>
      <c r="C426">
        <f>-972.459876386796 -1154.82663819716 -180.615926558314</f>
        <v>-2307.9024411422702</v>
      </c>
      <c r="D426">
        <f>-976.70388403672 -1162.11273835015 -301.432685176229</f>
        <v>-2440.2493075630991</v>
      </c>
      <c r="E426">
        <f>-974.664179500398 -1192.36589122971 -418.783247263766</f>
        <v>-2585.8133179938741</v>
      </c>
      <c r="F426">
        <f>-970.144639657684 -1228.71247935649 -521.998392137328</f>
        <v>-2720.8555111515016</v>
      </c>
      <c r="G426">
        <f>-963.035203348174 -1273.71581624885 -621.592580420761</f>
        <v>-2858.3436000177849</v>
      </c>
      <c r="H426">
        <f>-950.475039788721 -1345.00802681022 -755.606208355228</f>
        <v>-3051.089274954169</v>
      </c>
      <c r="I426">
        <f>-914.388561353807 -1403.75916328911 -830.633218578877</f>
        <v>-3148.7809432217937</v>
      </c>
      <c r="J426">
        <f>-935.603704839217 -1291.21332661042 -706.231262686795</f>
        <v>-2933.0482941364321</v>
      </c>
      <c r="K426">
        <f>-829.78436196665 -1191.53986098753 -728.260192114534</f>
        <v>-2749.5844150687135</v>
      </c>
      <c r="L426">
        <f>-805.84242160144 -1006.43522632906 -472.625154726149</f>
        <v>-2284.9028026566489</v>
      </c>
      <c r="M426">
        <f>-780.533372120253 -899.774392284675 -236.775724134648</f>
        <v>-1917.0834885395761</v>
      </c>
      <c r="N426">
        <f>-976.461348161809 -1335.71356185307 -686.387437447199</f>
        <v>-2998.5623474620779</v>
      </c>
      <c r="O426">
        <f>-1082.455516737 -1420.14804381609 -629.166155874652</f>
        <v>-3131.7697164277415</v>
      </c>
      <c r="P426">
        <f>-1139.41146593721 -1378.41404893831 -320.620463928857</f>
        <v>-2838.4459788043773</v>
      </c>
      <c r="Q426">
        <f>-1150.22080938468 -1406.71467282503 -62.3099554742706</f>
        <v>-2619.245437683981</v>
      </c>
      <c r="R426">
        <f>-911.769217246056 -1078.8850616831 -185.939023417856</f>
        <v>-2176.593302347012</v>
      </c>
      <c r="S426" t="s">
        <v>9078</v>
      </c>
      <c r="T426" t="s">
        <v>9079</v>
      </c>
      <c r="U426" t="s">
        <v>9080</v>
      </c>
      <c r="V426">
        <f>-1034.04864166267 -1230.3283658141 -175.276583848233</f>
        <v>-2439.6535913250027</v>
      </c>
      <c r="W426" t="s">
        <v>9081</v>
      </c>
      <c r="X426" t="s">
        <v>9082</v>
      </c>
      <c r="Y426" t="s">
        <v>9083</v>
      </c>
    </row>
    <row r="427" spans="1:25" x14ac:dyDescent="0.3">
      <c r="A427">
        <v>21300</v>
      </c>
      <c r="B427" t="s">
        <v>9084</v>
      </c>
      <c r="C427">
        <f>-971.684490626237 -1172.81035757088 -183.689704486697</f>
        <v>-2328.1845526838138</v>
      </c>
      <c r="D427">
        <f>-974.919539514465 -1181.53366941557 -304.442610189465</f>
        <v>-2460.8958191195002</v>
      </c>
      <c r="E427">
        <f>-971.554438767941 -1213.79376435763 -421.226747155479</f>
        <v>-2606.57495028105</v>
      </c>
      <c r="F427">
        <f>-965.74443258294 -1252.14151103624 -523.650062951819</f>
        <v>-2741.5360065709992</v>
      </c>
      <c r="G427">
        <f>-957.279719366643 -1299.30672913728 -622.131748199237</f>
        <v>-2878.7181967031597</v>
      </c>
      <c r="H427">
        <f>-942.792257374289 -1373.74126533727 -754.228761726472</f>
        <v>-3070.7622844380312</v>
      </c>
      <c r="I427">
        <f>-905.144946065602 -1433.45099105332 -827.716271242992</f>
        <v>-3166.3122083619137</v>
      </c>
      <c r="J427">
        <f>-929.465957255424 -1318.22676827676 -706.338531943801</f>
        <v>-2954.0312574759846</v>
      </c>
      <c r="K427">
        <f>-826.702713739182 -1215.9918306116 -731.311389472893</f>
        <v>-2774.0059338236752</v>
      </c>
      <c r="L427">
        <f>-810.073604726888 -1022.17578086892 -481.621709271718</f>
        <v>-2313.8710948675262</v>
      </c>
      <c r="M427">
        <f>-791.957982622254 -905.605784322484 -249.834391954263</f>
        <v>-1947.3981588990011</v>
      </c>
      <c r="N427">
        <f>-968.939042246812 -1363.38577969828 -685.221254378323</f>
        <v>-3017.546076323415</v>
      </c>
      <c r="O427">
        <f>-1072.13261718503 -1449.72590107892 -625.971421757817</f>
        <v>-3147.829940021767</v>
      </c>
      <c r="P427">
        <f>-1133.28029792315 -1406.51933080104 -318.43218929292</f>
        <v>-2858.2318180171105</v>
      </c>
      <c r="Q427">
        <f>-1144.23500071896 -1431.13256340273 -59.7505778009478</f>
        <v>-2635.1181419226377</v>
      </c>
      <c r="R427">
        <f>-912.00533810314 -1095.304565946 -190.17960154988</f>
        <v>-2197.48950559902</v>
      </c>
      <c r="S427" t="s">
        <v>9085</v>
      </c>
      <c r="T427" t="s">
        <v>9086</v>
      </c>
      <c r="U427" t="s">
        <v>9087</v>
      </c>
      <c r="V427">
        <f>-1031.63584459066 -1249.11952450337 -177.788078301732</f>
        <v>-2458.5434473957625</v>
      </c>
      <c r="W427" t="s">
        <v>9088</v>
      </c>
      <c r="X427" t="s">
        <v>9089</v>
      </c>
      <c r="Y427" t="s">
        <v>9090</v>
      </c>
    </row>
    <row r="428" spans="1:25" x14ac:dyDescent="0.3">
      <c r="A428">
        <v>21350</v>
      </c>
      <c r="B428" t="s">
        <v>9091</v>
      </c>
      <c r="C428">
        <f>-969.450661663253 -1204.64530977936 -190.795042315835</f>
        <v>-2364.891013758448</v>
      </c>
      <c r="D428">
        <f>-970.169211511135 -1216.70117402939 -311.302099502383</f>
        <v>-2498.1724850429077</v>
      </c>
      <c r="E428">
        <f>-963.542743497972 -1252.91879713541 -426.779018787496</f>
        <v>-2643.2405594208781</v>
      </c>
      <c r="F428">
        <f>-954.543772270659 -1295.00850788005 -527.488175958965</f>
        <v>-2777.0404561096739</v>
      </c>
      <c r="G428">
        <f>-942.696288224898 -1346.03154300315 -623.671099767215</f>
        <v>-2912.3989309952631</v>
      </c>
      <c r="H428">
        <f>-923.345677734727 -1425.8950147033 -751.918440074394</f>
        <v>-3101.1591325124209</v>
      </c>
      <c r="I428">
        <f>-881.974020434984 -1486.91771159605 -822.257559372806</f>
        <v>-3191.1492914038399</v>
      </c>
      <c r="J428">
        <f>-913.667336982916 -1367.30675470415 -706.899818379854</f>
        <v>-2987.87391006692</v>
      </c>
      <c r="K428">
        <f>-817.973513789006 -1259.81361372501 -737.000109605667</f>
        <v>-2814.7872371196831</v>
      </c>
      <c r="L428">
        <f>-814.097750175643 -1054.62500860488 -496.025361870196</f>
        <v>-2364.7481206507186</v>
      </c>
      <c r="M428">
        <f>-810.391096078864 -922.974248446704 -271.756875088089</f>
        <v>-2005.1222196136571</v>
      </c>
      <c r="N428">
        <f>-950.148108308576 -1413.80904966228 -683.445994331496</f>
        <v>-3047.4031523023518</v>
      </c>
      <c r="O428">
        <f>-1047.4710053449 -1503.99661979508 -620.048382196936</f>
        <v>-3171.5160073369161</v>
      </c>
      <c r="P428">
        <f>-1119.30637959553 -1456.6596098193 -315.441951083199</f>
        <v>-2891.4079404980289</v>
      </c>
      <c r="Q428">
        <f>-1131.15283493025 -1475.20190557928 -56.29360292864</f>
        <v>-2662.6483434381703</v>
      </c>
      <c r="R428">
        <f>-914.671425059906 -1123.5913391606 -198.758397188092</f>
        <v>-2237.0211614085983</v>
      </c>
      <c r="S428" t="s">
        <v>9092</v>
      </c>
      <c r="T428" t="s">
        <v>9093</v>
      </c>
      <c r="U428" t="s">
        <v>9094</v>
      </c>
      <c r="V428">
        <f>-1024.17181519453 -1285.27692589867 -182.415599381124</f>
        <v>-2491.8643404743239</v>
      </c>
      <c r="W428" t="s">
        <v>9095</v>
      </c>
      <c r="X428" t="s">
        <v>9096</v>
      </c>
      <c r="Y428" t="s">
        <v>9097</v>
      </c>
    </row>
    <row r="429" spans="1:25" x14ac:dyDescent="0.3">
      <c r="A429">
        <v>21400</v>
      </c>
      <c r="B429" t="s">
        <v>9098</v>
      </c>
      <c r="C429">
        <f>-968.316251496564 -1218.5689738518 -193.847119616467</f>
        <v>-2380.7323449648306</v>
      </c>
      <c r="D429">
        <f>-967.717884462773 -1232.35283772345 -314.16930006031</f>
        <v>-2514.240022246533</v>
      </c>
      <c r="E429">
        <f>-959.293715013403 -1270.26005558136 -428.985040437913</f>
        <v>-2658.5388110326758</v>
      </c>
      <c r="F429">
        <f>-948.503700301341 -1313.82714180451 -528.886706522322</f>
        <v>-2791.2175486281731</v>
      </c>
      <c r="G429">
        <f>-934.720808599371 -1366.26301045975 -624.046389587415</f>
        <v>-2925.0302086465358</v>
      </c>
      <c r="H429">
        <f>-912.54821817608 -1448.00636158041 -750.641773334256</f>
        <v>-3111.196353090746</v>
      </c>
      <c r="I429">
        <f>-869.006712919674 -1509.22298968488 -819.486959743987</f>
        <v>-3197.7166623485409</v>
      </c>
      <c r="J429">
        <f>-904.878855507053 -1388.23657420814 -706.804952238288</f>
        <v>-2999.920381953481</v>
      </c>
      <c r="K429">
        <f>-812.668472455814 -1278.32553142425 -738.953107088589</f>
        <v>-2829.9471109686533</v>
      </c>
      <c r="L429">
        <f>-815.161527930968 -1069.07031811012 -501.482528334479</f>
        <v>-2385.7143743755669</v>
      </c>
      <c r="M429">
        <f>-817.673452345096 -932.608137806688 -280.092005592256</f>
        <v>-2030.3735957440399</v>
      </c>
      <c r="N429">
        <f>-939.838945405116 -1435.43833872945 -682.449570758972</f>
        <v>-3057.7268548935381</v>
      </c>
      <c r="O429">
        <f>-1034.31401707568 -1527.38813336618 -617.290148905742</f>
        <v>-3178.9922993476021</v>
      </c>
      <c r="P429">
        <f>-1110.83902143987 -1478.80954577522 -314.024275824969</f>
        <v>-2903.672843040059</v>
      </c>
      <c r="Q429">
        <f>-1124.82978487752 -1493.62402549008 -54.7428212481381</f>
        <v>-2673.1966316157382</v>
      </c>
      <c r="R429">
        <f>-917.114715388474 -1135.56421182884 -202.54320606264</f>
        <v>-2255.2221332799536</v>
      </c>
      <c r="S429" t="s">
        <v>9099</v>
      </c>
      <c r="T429" t="s">
        <v>9100</v>
      </c>
      <c r="U429" t="s">
        <v>9101</v>
      </c>
      <c r="V429">
        <f>-1019.97442451355 -1301.0727637997 -184.320384894722</f>
        <v>-2505.3675732079719</v>
      </c>
      <c r="W429" t="s">
        <v>9102</v>
      </c>
      <c r="X429" t="s">
        <v>9103</v>
      </c>
      <c r="Y429" t="s">
        <v>9104</v>
      </c>
    </row>
    <row r="430" spans="1:25" x14ac:dyDescent="0.3">
      <c r="A430">
        <v>21450</v>
      </c>
      <c r="B430" t="s">
        <v>9105</v>
      </c>
      <c r="C430">
        <f>-964.083664598059 -1244.16523103921 -198.151715253349</f>
        <v>-2406.4006108906178</v>
      </c>
      <c r="D430">
        <f>-961.388160042598 -1261.00071372035 -318.056284743694</f>
        <v>-2540.4451585066417</v>
      </c>
      <c r="E430">
        <f>-949.414444854421 -1301.31386759114 -431.731392802282</f>
        <v>-2682.459705247843</v>
      </c>
      <c r="F430">
        <f>-934.917116648165 -1346.76459682611 -530.31605510196</f>
        <v>-2811.9977685762351</v>
      </c>
      <c r="G430">
        <f>-916.991235680974 -1400.79222999618 -623.881617350743</f>
        <v>-2941.6650830278968</v>
      </c>
      <c r="H430">
        <f>-888.661702737783 -1484.43928065432 -747.980895345938</f>
        <v>-3121.0818787380413</v>
      </c>
      <c r="I430">
        <f>-840.438676766618 -1544.83978256958 -814.383427300954</f>
        <v>-3199.6618866371518</v>
      </c>
      <c r="J430">
        <f>-885.24289670001 -1423.07331356379 -705.844751586159</f>
        <v>-3014.1609618499588</v>
      </c>
      <c r="K430">
        <f>-799.637464754509 -1308.738191178 -740.750657620912</f>
        <v>-2849.1263135534214</v>
      </c>
      <c r="L430">
        <f>-816.056107558202 -1093.53180771379 -509.227918500675</f>
        <v>-2418.8158337726668</v>
      </c>
      <c r="M430">
        <f>-830.668981490908 -950.388372641338 -292.574994341468</f>
        <v>-2073.632348473714</v>
      </c>
      <c r="N430">
        <f>-917.150374201524 -1471.78278257692 -680.296853822536</f>
        <v>-3069.2300106009798</v>
      </c>
      <c r="O430">
        <f>-1005.76410094988 -1567.66150105984 -612.595607946133</f>
        <v>-3186.021209955853</v>
      </c>
      <c r="P430">
        <f>-1090.49596956791 -1518.79460515493 -311.566203719742</f>
        <v>-2920.8567784425818</v>
      </c>
      <c r="Q430">
        <f>-1111.11375977119 -1522.63533836185 -52.3323184278</f>
        <v>-2686.0814165608404</v>
      </c>
      <c r="R430">
        <f>-919.804674618765 -1157.94186640559 -208.849656289105</f>
        <v>-2286.5961973134599</v>
      </c>
      <c r="S430" t="s">
        <v>9106</v>
      </c>
      <c r="T430" t="s">
        <v>9107</v>
      </c>
      <c r="U430" t="s">
        <v>9108</v>
      </c>
      <c r="V430">
        <f>-1008.41341045276 -1330.67622545584 -186.369051718542</f>
        <v>-2525.4586876271419</v>
      </c>
      <c r="W430" t="s">
        <v>9109</v>
      </c>
      <c r="X430" t="s">
        <v>9110</v>
      </c>
      <c r="Y430" t="s">
        <v>9111</v>
      </c>
    </row>
    <row r="431" spans="1:25" x14ac:dyDescent="0.3">
      <c r="A431">
        <v>21500</v>
      </c>
      <c r="B431" t="s">
        <v>9112</v>
      </c>
      <c r="C431">
        <f>-962.378835339154 -1255.92535718408 -199.042031018153</f>
        <v>-2417.3462235413867</v>
      </c>
      <c r="D431">
        <f>-958.608021262669 -1273.84552819549 -318.760372281688</f>
        <v>-2551.2139217398471</v>
      </c>
      <c r="E431">
        <f>-944.709832008544 -1314.76026554356 -432.000659610678</f>
        <v>-2691.4707571627823</v>
      </c>
      <c r="F431">
        <f>-928.18149112402 -1360.56061886934 -530.102705281215</f>
        <v>-2818.844815274575</v>
      </c>
      <c r="G431">
        <f>-907.969659973993 -1414.75501545296 -623.104332683306</f>
        <v>-2945.8290081102587</v>
      </c>
      <c r="H431">
        <f>-876.229316230502 -1498.45142065107 -746.34181729356</f>
        <v>-3121.022554175132</v>
      </c>
      <c r="I431">
        <f>-825.544431709309 -1557.81644574071 -811.838370630947</f>
        <v>-3195.1992480809658</v>
      </c>
      <c r="J431">
        <f>-875.246814868396 -1436.59277425902 -704.802978418457</f>
        <v>-3016.6425675458727</v>
      </c>
      <c r="K431">
        <f>-793.588374273335 -1319.73887309952 -740.787678597358</f>
        <v>-2854.1149259702133</v>
      </c>
      <c r="L431">
        <f>-816.555718699162 -1102.47842612004 -511.753592715592</f>
        <v>-2430.7877375347939</v>
      </c>
      <c r="M431">
        <f>-837.817928333906 -956.500230221149 -297.556602376215</f>
        <v>-2091.87476093127</v>
      </c>
      <c r="N431">
        <f>-905.300067572972 -1486.24390543346 -678.822943098418</f>
        <v>-3070.3669161048497</v>
      </c>
      <c r="O431">
        <f>-989.962818798546 -1584.55661798534 -609.585344375292</f>
        <v>-3184.1047811591779</v>
      </c>
      <c r="P431">
        <f>-1080.12493002865 -1537.7038079051 -309.815822014685</f>
        <v>-2927.644559948435</v>
      </c>
      <c r="Q431">
        <f>-1106.54093928441 -1534.18519298098 -51.1038573783528</f>
        <v>-2691.8299896437425</v>
      </c>
      <c r="R431">
        <f>-921.509484291107 -1167.62168526416 -210.94315503041</f>
        <v>-2300.074324585677</v>
      </c>
      <c r="S431" t="s">
        <v>9113</v>
      </c>
      <c r="T431" t="s">
        <v>9114</v>
      </c>
      <c r="U431" t="s">
        <v>9115</v>
      </c>
      <c r="V431">
        <f>-1002.91840731244 -1344.10985928029 -186.291457617985</f>
        <v>-2533.3197242107149</v>
      </c>
      <c r="W431" t="s">
        <v>9116</v>
      </c>
      <c r="X431" t="s">
        <v>9117</v>
      </c>
      <c r="Y431" t="s">
        <v>9118</v>
      </c>
    </row>
    <row r="432" spans="1:25" x14ac:dyDescent="0.3">
      <c r="A432">
        <v>21550</v>
      </c>
      <c r="B432" t="s">
        <v>9119</v>
      </c>
      <c r="C432">
        <f>-962.81711463789 -1278.40543682497 -197.550939674349</f>
        <v>-2438.773491137209</v>
      </c>
      <c r="D432">
        <f>-957.455804928435 -1296.78366609786 -317.139077708152</f>
        <v>-2571.3785487344471</v>
      </c>
      <c r="E432">
        <f>-940.087408122489 -1337.39077672456 -430.010610856158</f>
        <v>-2707.4887957032074</v>
      </c>
      <c r="F432">
        <f>-919.719633671695 -1382.59950369209 -527.663915068315</f>
        <v>-2829.9830524320996</v>
      </c>
      <c r="G432">
        <f>-895.01231772199 -1435.90440167964 -620.092193257834</f>
        <v>-2951.0089126594639</v>
      </c>
      <c r="H432">
        <f>-856.381859672197 -1518.06102936225 -742.395010355815</f>
        <v>-3116.837899390262</v>
      </c>
      <c r="I432">
        <f>-800.857229834166 -1574.12864581458 -806.865357744017</f>
        <v>-3181.8512333927629</v>
      </c>
      <c r="J432">
        <f>-860.756545952769 -1455.82024677529 -701.653434685579</f>
        <v>-3018.2302274136382</v>
      </c>
      <c r="K432">
        <f>-788.735609469263 -1333.26541976928 -739.34266504419</f>
        <v>-2861.3436942827329</v>
      </c>
      <c r="L432">
        <f>-827.598703801286 -1113.47231927468 -514.917132943541</f>
        <v>-2455.9881560195072</v>
      </c>
      <c r="M432">
        <f>-862.910508854151 -963.636445170533 -305.288098569438</f>
        <v>-2131.8350525941219</v>
      </c>
      <c r="N432">
        <f>-886.192720570719 -1507.59830635872 -674.906036505388</f>
        <v>-3068.6970634348268</v>
      </c>
      <c r="O432">
        <f>-960.70720923069 -1611.96532205995 -602.844174140719</f>
        <v>-3175.5167054313592</v>
      </c>
      <c r="P432">
        <f>-1066.83085273285 -1572.01355121434 -307.331238723071</f>
        <v>-2946.1756426702605</v>
      </c>
      <c r="Q432">
        <f>-1112.7191608686 -1551.17178584032 -52.18047105172</f>
        <v>-2716.0714177606396</v>
      </c>
      <c r="R432">
        <f>-931.765718654801 -1186.75091719122 -210.355310215775</f>
        <v>-2328.8719460617958</v>
      </c>
      <c r="S432" t="s">
        <v>9120</v>
      </c>
      <c r="T432" t="s">
        <v>9121</v>
      </c>
      <c r="U432" t="s">
        <v>9122</v>
      </c>
      <c r="V432">
        <f>-995.358007059365 -1369.90193008575 -184.297320554327</f>
        <v>-2549.5572576994423</v>
      </c>
      <c r="W432" t="s">
        <v>9123</v>
      </c>
      <c r="X432" t="s">
        <v>9124</v>
      </c>
      <c r="Y432" t="s">
        <v>9125</v>
      </c>
    </row>
    <row r="433" spans="1:25" x14ac:dyDescent="0.3">
      <c r="A433">
        <v>21600</v>
      </c>
      <c r="B433" t="s">
        <v>9126</v>
      </c>
      <c r="C433">
        <f>-962.353589540605 -1289.44765514553 -196.174237910713</f>
        <v>-2447.975482596848</v>
      </c>
      <c r="D433">
        <f>-956.774711281859 -1307.32478363261 -315.828273601117</f>
        <v>-2579.9277685155857</v>
      </c>
      <c r="E433">
        <f>-938.136887585096 -1346.97198856905 -428.838462157725</f>
        <v>-2713.9473383118711</v>
      </c>
      <c r="F433">
        <f>-916.189026003379 -1391.12133664869 -526.634053065721</f>
        <v>-2833.9444157177895</v>
      </c>
      <c r="G433">
        <f>-889.470819867755 -1443.18011782955 -619.213111476402</f>
        <v>-2951.8640491737069</v>
      </c>
      <c r="H433">
        <f>-847.598817374604 -1523.41117396495 -741.727153161939</f>
        <v>-3112.7371445014928</v>
      </c>
      <c r="I433">
        <f>-789.806483975374 -1577.15477132989 -806.183802244286</f>
        <v>-3173.1450575495501</v>
      </c>
      <c r="J433">
        <f>-854.803590574681 -1461.43159326329 -700.989785045737</f>
        <v>-3017.2249688837078</v>
      </c>
      <c r="K433">
        <f>-788.490436234334 -1335.92762335519 -739.394860793583</f>
        <v>-2863.8129203831072</v>
      </c>
      <c r="L433">
        <f>-838.983981384767 -1116.39107349945 -517.043055537154</f>
        <v>-2472.4181104213712</v>
      </c>
      <c r="M433">
        <f>-883.395461779143 -966.390419350467 -309.270504708251</f>
        <v>-2159.0563858378609</v>
      </c>
      <c r="N433">
        <f>-877.448128484507 -1514.39126446912 -674.047298702111</f>
        <v>-3065.8866916557481</v>
      </c>
      <c r="O433">
        <f>-945.917907258481 -1622.05621177861 -600.814303447395</f>
        <v>-3168.7884224844861</v>
      </c>
      <c r="P433">
        <f>-1064.88807002872 -1586.28994179484 -309.690452303032</f>
        <v>-2960.8684641265922</v>
      </c>
      <c r="Q433">
        <f>-1123.41311864388 -1557.48570588059 -57.9223871227973</f>
        <v>-2738.8212116472673</v>
      </c>
      <c r="R433">
        <f>-934.982775346025 -1196.49267800074 -208.742582499659</f>
        <v>-2340.2180358464238</v>
      </c>
      <c r="S433" t="s">
        <v>9127</v>
      </c>
      <c r="T433" t="s">
        <v>9128</v>
      </c>
      <c r="U433" t="s">
        <v>9129</v>
      </c>
      <c r="V433">
        <f>-990.519598227084 -1382.43313521525 -183.009098041755</f>
        <v>-2555.9618314840891</v>
      </c>
      <c r="W433" t="s">
        <v>9130</v>
      </c>
      <c r="X433" t="s">
        <v>9131</v>
      </c>
      <c r="Y433" t="s">
        <v>9132</v>
      </c>
    </row>
    <row r="434" spans="1:25" x14ac:dyDescent="0.3">
      <c r="A434">
        <v>21650</v>
      </c>
      <c r="B434" t="s">
        <v>9133</v>
      </c>
      <c r="C434">
        <f>-959.949253949721 -1310.52275675264 -192.856132130667</f>
        <v>-2463.3281428330279</v>
      </c>
      <c r="D434">
        <f>-954.304784540445 -1326.95562980815 -312.714005756262</f>
        <v>-2593.974420104857</v>
      </c>
      <c r="E434">
        <f>-933.990049953123 -1363.92552702806 -426.341149697702</f>
        <v>-2724.2567266788851</v>
      </c>
      <c r="F434">
        <f>-909.834340468523 -1405.15703267566 -524.887105822165</f>
        <v>-2839.8784789663478</v>
      </c>
      <c r="G434">
        <f>-880.199553520712 -1453.82280369266 -618.419304964319</f>
        <v>-2952.4416621776909</v>
      </c>
      <c r="H434">
        <f>-833.520130774493 -1528.85805808399 -742.478817150141</f>
        <v>-3104.857006008624</v>
      </c>
      <c r="I434">
        <f>-772.056441355922 -1577.28625987657 -807.746749327072</f>
        <v>-3157.0894505595638</v>
      </c>
      <c r="J434">
        <f>-845.929813296408 -1468.10764235422 -701.147142948397</f>
        <v>-3015.1845985990249</v>
      </c>
      <c r="K434">
        <f>-793.161388217449 -1336.6871306061 -741.087852611682</f>
        <v>-2870.9363714352312</v>
      </c>
      <c r="L434">
        <f>-874.282615276014 -1123.67459721961 -521.471719770037</f>
        <v>-2519.4289322656609</v>
      </c>
      <c r="M434">
        <f>-945.600631473528 -978.609837178309 -317.726726204796</f>
        <v>-2241.9371948566331</v>
      </c>
      <c r="N434">
        <f>-862.418861492165 -1523.2069056833 -674.025527442703</f>
        <v>-3059.6512946181679</v>
      </c>
      <c r="O434">
        <f>-917.286216091222 -1637.02107127811 -598.98235850122</f>
        <v>-3153.2896458705518</v>
      </c>
      <c r="P434">
        <f>-1068.47304490966 -1601.67530363969 -323.15734386958</f>
        <v>-2993.30569241893</v>
      </c>
      <c r="Q434">
        <f>-1153.76419771575 -1558.10538806701 -81.3534477134425</f>
        <v>-2793.2230334962023</v>
      </c>
      <c r="R434">
        <f>-940.322996552304 -1214.35453804023 -204.749689449234</f>
        <v>-2359.4272240417681</v>
      </c>
      <c r="S434" t="s">
        <v>9134</v>
      </c>
      <c r="T434" t="s">
        <v>9135</v>
      </c>
      <c r="U434" t="s">
        <v>9136</v>
      </c>
      <c r="V434">
        <f>-980.14940636208 -1405.47336986802 -180.067433363783</f>
        <v>-2565.6902095938831</v>
      </c>
      <c r="W434" t="s">
        <v>9137</v>
      </c>
      <c r="X434" t="s">
        <v>9138</v>
      </c>
      <c r="Y434" t="s">
        <v>9139</v>
      </c>
    </row>
    <row r="435" spans="1:25" x14ac:dyDescent="0.3">
      <c r="A435">
        <v>21700</v>
      </c>
      <c r="B435" t="s">
        <v>9140</v>
      </c>
      <c r="C435">
        <f>-958.83306735594 -1318.74270517824 -191.058156214239</f>
        <v>-2468.6339287484188</v>
      </c>
      <c r="D435">
        <f>-953.236485671177 -1334.32900956555 -311.031240795116</f>
        <v>-2598.5967360318427</v>
      </c>
      <c r="E435">
        <f>-932.259440137465 -1369.8176594686 -425.009701006208</f>
        <v>-2727.0868006122732</v>
      </c>
      <c r="F435">
        <f>-907.21412439119 -1409.46494964782 -523.982918442776</f>
        <v>-2840.661992481786</v>
      </c>
      <c r="G435">
        <f>-876.399475766227 -1456.32002340165 -618.056894618258</f>
        <v>-2950.776393786135</v>
      </c>
      <c r="H435">
        <f>-827.778461811984 -1528.61644998784 -742.99360654271</f>
        <v>-3099.3885183425341</v>
      </c>
      <c r="I435">
        <f>-764.937493082523 -1574.43800501136 -808.829767078462</f>
        <v>-3148.2052651723452</v>
      </c>
      <c r="J435">
        <f>-842.631953521635 -1468.66599458978 -701.301529992485</f>
        <v>-3012.5994781038999</v>
      </c>
      <c r="K435">
        <f>-797.60644534467 -1334.56396476237 -741.730034074389</f>
        <v>-2873.9004441814291</v>
      </c>
      <c r="L435">
        <f>-896.589316281997 -1128.7005696262 -522.620750582815</f>
        <v>-2547.9106364910122</v>
      </c>
      <c r="M435">
        <f>-985.045117278657 -990.760771929201 -320.654982168338</f>
        <v>-2296.4608713761959</v>
      </c>
      <c r="N435">
        <f>-855.951577386703 -1524.58905197194 -674.124422731215</f>
        <v>-3054.6650520898579</v>
      </c>
      <c r="O435">
        <f>-904.797249297418 -1640.83241271106 -598.494023550517</f>
        <v>-3144.123685558995</v>
      </c>
      <c r="P435">
        <f>-1070.97356846065 -1597.04068311817 -332.685994687705</f>
        <v>-3000.700246266525</v>
      </c>
      <c r="Q435">
        <f>-1166.97646260699 -1540.13825393381 -97.7655333128121</f>
        <v>-2804.8802498536124</v>
      </c>
      <c r="R435">
        <f>-944.051912886047 -1221.92673969203 -202.736341800223</f>
        <v>-2368.7149943782997</v>
      </c>
      <c r="S435" t="s">
        <v>9141</v>
      </c>
      <c r="T435" t="s">
        <v>9142</v>
      </c>
      <c r="U435" t="s">
        <v>9143</v>
      </c>
      <c r="V435">
        <f>-974.157081339474 -1413.9841577274 -178.796169632882</f>
        <v>-2566.9374086997559</v>
      </c>
      <c r="W435" t="s">
        <v>9144</v>
      </c>
      <c r="X435" t="s">
        <v>9145</v>
      </c>
      <c r="Y435" t="s">
        <v>9146</v>
      </c>
    </row>
    <row r="436" spans="1:25" x14ac:dyDescent="0.3">
      <c r="A436">
        <v>21750</v>
      </c>
      <c r="B436" t="s">
        <v>9147</v>
      </c>
      <c r="C436">
        <f>-956.915053100061 -1325.64557294096 -187.531313367572</f>
        <v>-2470.0919394085931</v>
      </c>
      <c r="D436">
        <f>-951.340710365085 -1337.97651024326 -307.883657206005</f>
        <v>-2597.20087781435</v>
      </c>
      <c r="E436">
        <f>-928.889581464978 -1369.9098705162 -422.630261878604</f>
        <v>-2721.4297138597822</v>
      </c>
      <c r="F436">
        <f>-901.966332462776 -1406.26222664429 -522.372292931463</f>
        <v>-2830.600852038529</v>
      </c>
      <c r="G436">
        <f>-868.774877229526 -1449.77845311108 -617.238107316256</f>
        <v>-2935.7914376568619</v>
      </c>
      <c r="H436">
        <f>-816.37590460896 -1517.41002789109 -743.255329296807</f>
        <v>-3077.0412617968568</v>
      </c>
      <c r="I436">
        <f>-751.221033371608 -1558.51523651972 -809.949945981929</f>
        <v>-3119.686215873257</v>
      </c>
      <c r="J436">
        <f>-835.744387831571 -1459.0394832587 -701.176071677754</f>
        <v>-2995.959942768025</v>
      </c>
      <c r="K436">
        <f>-804.284928745896 -1321.25235563412 -741.867210625535</f>
        <v>-2867.4044950055509</v>
      </c>
      <c r="L436">
        <f>-940.194221088173 -1139.11129398552 -521.550367317686</f>
        <v>-2600.8558823913786</v>
      </c>
      <c r="M436">
        <f>-1060.57992452947 -1026.0239872356 -320.650969819833</f>
        <v>-2407.2548815849027</v>
      </c>
      <c r="N436">
        <f>-843.377216785626 -1515.93084096727 -673.817145611294</f>
        <v>-3033.1252033641899</v>
      </c>
      <c r="O436">
        <f>-882.491579028051 -1635.001809507 -597.033366411836</f>
        <v>-3114.5267549468872</v>
      </c>
      <c r="P436">
        <f>-1073.1712166688 -1568.71119204177 -353.244419347087</f>
        <v>-2995.1268280576569</v>
      </c>
      <c r="Q436">
        <f>-1180.56928904433 -1477.48473237117 -134.645608711615</f>
        <v>-2792.6996301271147</v>
      </c>
      <c r="R436">
        <f>-953.649819984223 -1229.30838034791 -197.133508097542</f>
        <v>-2380.0917084296748</v>
      </c>
      <c r="S436" t="s">
        <v>9148</v>
      </c>
      <c r="T436" t="s">
        <v>9149</v>
      </c>
      <c r="U436" t="s">
        <v>9150</v>
      </c>
      <c r="V436">
        <f>-961.242496830893 -1420.80900270408 -177.496260250408</f>
        <v>-2559.547759785381</v>
      </c>
      <c r="W436" t="s">
        <v>9151</v>
      </c>
      <c r="X436" t="s">
        <v>9152</v>
      </c>
      <c r="Y436" t="s">
        <v>9153</v>
      </c>
    </row>
    <row r="437" spans="1:25" x14ac:dyDescent="0.3">
      <c r="A437">
        <v>21800</v>
      </c>
      <c r="B437" t="s">
        <v>9154</v>
      </c>
      <c r="C437">
        <f>-958.947548649215 -1323.06955052203 -187.159018381051</f>
        <v>-2469.1761175522961</v>
      </c>
      <c r="D437">
        <f>-954.554779507499 -1333.22164525339 -307.763534711926</f>
        <v>-2595.5399594728151</v>
      </c>
      <c r="E437">
        <f>-931.896697175426 -1363.33312458684 -422.961135009771</f>
        <v>-2718.1909567720372</v>
      </c>
      <c r="F437">
        <f>-904.259761884531 -1398.18041290139 -523.044640909025</f>
        <v>-2825.4848156949461</v>
      </c>
      <c r="G437">
        <f>-869.863132251724 -1440.32813386793 -618.098870702394</f>
        <v>-2928.2901368220478</v>
      </c>
      <c r="H437">
        <f>-815.316036757739 -1506.1848727221 -744.144433564832</f>
        <v>-3065.6453430446709</v>
      </c>
      <c r="I437">
        <f>-748.961366022438 -1545.22634152091 -810.896288666074</f>
        <v>-3105.0839962094224</v>
      </c>
      <c r="J437">
        <f>-836.85198938835 -1448.51249961759 -702.156155749583</f>
        <v>-2987.5206447555229</v>
      </c>
      <c r="K437">
        <f>-810.983487047568 -1309.64848417729 -742.888251432649</f>
        <v>-2863.5202226575066</v>
      </c>
      <c r="L437">
        <f>-962.981870133497 -1142.57939513148 -521.143753650423</f>
        <v>-2626.7050189154002</v>
      </c>
      <c r="M437">
        <f>-1095.12317117925 -1045.55424219094 -319.235720767701</f>
        <v>-2459.9131341378911</v>
      </c>
      <c r="N437">
        <f>-842.050844335603 -1505.57813667149 -674.590165412922</f>
        <v>-3022.219146420015</v>
      </c>
      <c r="O437">
        <f>-876.404085480065 -1625.28230278646 -596.447501252867</f>
        <v>-3098.1338895193917</v>
      </c>
      <c r="P437">
        <f>-1076.62116797999 -1551.86281545249 -362.548235264615</f>
        <v>-2991.0322186970952</v>
      </c>
      <c r="Q437">
        <f>-1182.19227482039 -1444.89577181015 -150.286901927596</f>
        <v>-2777.3749485581357</v>
      </c>
      <c r="R437">
        <f>-959.416110830972 -1226.50751204657 -195.143485725171</f>
        <v>-2381.0671086027128</v>
      </c>
      <c r="S437" t="s">
        <v>9155</v>
      </c>
      <c r="T437" t="s">
        <v>9156</v>
      </c>
      <c r="U437" t="s">
        <v>9157</v>
      </c>
      <c r="V437">
        <f>-959.872352448265 -1418.99986987172 -178.957830023683</f>
        <v>-2557.8300523436678</v>
      </c>
      <c r="W437" t="s">
        <v>9158</v>
      </c>
      <c r="X437" t="s">
        <v>9159</v>
      </c>
      <c r="Y437" t="s">
        <v>9160</v>
      </c>
    </row>
    <row r="438" spans="1:25" x14ac:dyDescent="0.3">
      <c r="A438">
        <v>21850</v>
      </c>
      <c r="B438" t="s">
        <v>9161</v>
      </c>
      <c r="C438">
        <f>-976.585378323611 -1303.97369105402 -188.550196271146</f>
        <v>-2469.1092656487772</v>
      </c>
      <c r="D438">
        <f>-976.719249660834 -1311.19184639116 -309.445582097827</f>
        <v>-2597.3566781498207</v>
      </c>
      <c r="E438">
        <f>-954.912930842277 -1338.63971899746 -425.470055911553</f>
        <v>-2719.0227057512902</v>
      </c>
      <c r="F438">
        <f>-926.606224946513 -1371.16135655692 -526.147389112066</f>
        <v>-2823.914970615499</v>
      </c>
      <c r="G438">
        <f>-890.170483096607 -1411.03457505824 -621.422842197134</f>
        <v>-2922.6279003519808</v>
      </c>
      <c r="H438">
        <f>-831.449378185357 -1473.73530539033 -747.202331423145</f>
        <v>-3052.387014998832</v>
      </c>
      <c r="I438">
        <f>-762.926270173508 -1509.36744308954 -813.6696687813</f>
        <v>-3085.9633820443482</v>
      </c>
      <c r="J438">
        <f>-856.709469529775 -1417.41182566827 -705.458834218335</f>
        <v>-2979.5801294163803</v>
      </c>
      <c r="K438">
        <f>-841.585409688788 -1277.04455100507 -746.264673920301</f>
        <v>-2864.8946346141588</v>
      </c>
      <c r="L438">
        <f>-1018.84968317681 -1143.69132697608 -520.476186029431</f>
        <v>-2683.0171961823212</v>
      </c>
      <c r="M438">
        <f>-1162.40980553252 -1082.5874008014 -312.39240384291</f>
        <v>-2557.38961017683</v>
      </c>
      <c r="N438">
        <f>-858.153805380489 -1474.57255203352 -677.638676809951</f>
        <v>-3010.3650342239598</v>
      </c>
      <c r="O438">
        <f>-883.946041274751 -1594.40418166121 -596.363762584433</f>
        <v>-3074.7139855203941</v>
      </c>
      <c r="P438">
        <f>-1089.90057128207 -1523.29971209226 -366.770478834174</f>
        <v>-2979.9707622085039</v>
      </c>
      <c r="Q438">
        <f>-1184.46501067413 -1390.13307305481 -164.369293785531</f>
        <v>-2738.9673775144711</v>
      </c>
      <c r="R438">
        <f>-983.032547411507 -1207.33051136443 -193.586724990746</f>
        <v>-2383.9497837666831</v>
      </c>
      <c r="S438" t="s">
        <v>9162</v>
      </c>
      <c r="T438" t="s">
        <v>9163</v>
      </c>
      <c r="U438" t="s">
        <v>9164</v>
      </c>
      <c r="V438">
        <f>-972.215993539589 -1400.66485806288 -182.645410156703</f>
        <v>-2555.526261759172</v>
      </c>
      <c r="W438" t="s">
        <v>9165</v>
      </c>
      <c r="X438" t="s">
        <v>9166</v>
      </c>
      <c r="Y438" t="s">
        <v>9167</v>
      </c>
    </row>
    <row r="439" spans="1:25" x14ac:dyDescent="0.3">
      <c r="A439">
        <v>21900</v>
      </c>
      <c r="B439" t="s">
        <v>9168</v>
      </c>
      <c r="C439">
        <f>-992.727470590406 -1292.17229799789 -188.010338295791</f>
        <v>-2472.9101068840869</v>
      </c>
      <c r="D439">
        <f>-994.906591976716 -1298.39670870611 -308.941356341351</f>
        <v>-2602.2446570241768</v>
      </c>
      <c r="E439">
        <f>-973.725257535571 -1324.69419455842 -425.347415650359</f>
        <v>-2723.7668677443498</v>
      </c>
      <c r="F439">
        <f>-945.370578341826 -1356.05878611552 -526.377718185913</f>
        <v>-2827.8070826432586</v>
      </c>
      <c r="G439">
        <f>-908.268686672558 -1394.62128271375 -621.935214040035</f>
        <v>-2924.8251834263428</v>
      </c>
      <c r="H439">
        <f>-847.983222543196 -1455.30127127317 -747.965436189292</f>
        <v>-3051.2499300056579</v>
      </c>
      <c r="I439">
        <f>-778.709247172749 -1488.91289240483 -814.706391638195</f>
        <v>-3082.3285312157741</v>
      </c>
      <c r="J439">
        <f>-874.911293542919 -1399.85433351522 -706.091307775959</f>
        <v>-2980.856934834098</v>
      </c>
      <c r="K439">
        <f>-865.573870405195 -1259.02189169007 -747.125018639639</f>
        <v>-2871.7207807349041</v>
      </c>
      <c r="L439">
        <f>-1050.47927553585 -1143.40835467594 -517.71340374048</f>
        <v>-2711.60103395227</v>
      </c>
      <c r="M439">
        <f>-1196.10125108179 -1100.65788782204 -306.505724193455</f>
        <v>-2603.2648630972849</v>
      </c>
      <c r="N439">
        <f>-874.404030267577 -1457.05019573677 -678.310506848179</f>
        <v>-3009.7647328525263</v>
      </c>
      <c r="O439">
        <f>-896.457579701418 -1577.15167404545 -596.119027060344</f>
        <v>-3069.7282808072123</v>
      </c>
      <c r="P439">
        <f>-1100.56542212677 -1503.42063797239 -365.706510001007</f>
        <v>-2969.6925701001674</v>
      </c>
      <c r="Q439">
        <f>-1193.05727003523 -1367.2277596204 -164.363950325037</f>
        <v>-2724.6489799806668</v>
      </c>
      <c r="R439">
        <f>-1000.48163192187 -1194.70320618781 -192.12277847063</f>
        <v>-2387.3076165803104</v>
      </c>
      <c r="S439" t="s">
        <v>9169</v>
      </c>
      <c r="T439" t="s">
        <v>9170</v>
      </c>
      <c r="U439" t="s">
        <v>9171</v>
      </c>
      <c r="V439">
        <f>-986.779316317463 -1389.73206077872 -182.633248024348</f>
        <v>-2559.1446251205311</v>
      </c>
      <c r="W439" t="s">
        <v>9172</v>
      </c>
      <c r="X439" t="s">
        <v>9173</v>
      </c>
      <c r="Y439" t="s">
        <v>9174</v>
      </c>
    </row>
    <row r="440" spans="1:25" x14ac:dyDescent="0.3">
      <c r="A440">
        <v>21950</v>
      </c>
      <c r="B440" t="s">
        <v>9175</v>
      </c>
      <c r="C440">
        <f>-1031.47810992098 -1281.86192952098 -185.887719996506</f>
        <v>-2499.2277594384659</v>
      </c>
      <c r="D440">
        <f>-1034.90115286108 -1287.67542214295 -306.810411985366</f>
        <v>-2629.3869869893961</v>
      </c>
      <c r="E440">
        <f>-1013.98878243072 -1312.53414861592 -423.580638125346</f>
        <v>-2750.1035691719862</v>
      </c>
      <c r="F440">
        <f>-985.399194115798 -1342.10064644547 -525.085791211412</f>
        <v>-2852.5856317726798</v>
      </c>
      <c r="G440">
        <f>-947.540356608058 -1378.33137238136 -621.257048704693</f>
        <v>-2947.1287776941108</v>
      </c>
      <c r="H440">
        <f>-885.624341545918 -1435.1805407602 -748.278982393377</f>
        <v>-3069.0838646994953</v>
      </c>
      <c r="I440">
        <f>-815.38733405488 -1464.72767908021 -815.930494637767</f>
        <v>-3096.045507772857</v>
      </c>
      <c r="J440">
        <f>-915.310161510028 -1381.51302388832 -705.953245491086</f>
        <v>-3002.7764308894339</v>
      </c>
      <c r="K440">
        <f>-915.412330947914 -1240.26097724884 -747.046973937603</f>
        <v>-2902.7202821343571</v>
      </c>
      <c r="L440">
        <f>-1103.80732269714 -1146.42819727355 -510.638673049256</f>
        <v>-2760.8741930199458</v>
      </c>
      <c r="M440">
        <f>-1244.40888246761 -1130.99443257998 -292.384050419543</f>
        <v>-2667.787365467133</v>
      </c>
      <c r="N440">
        <f>-910.730328263009 -1438.54003522381 -678.198157287926</f>
        <v>-3027.4685207747452</v>
      </c>
      <c r="O440">
        <f>-926.064998977387 -1559.93967605742 -596.658165615521</f>
        <v>-3082.6628406503278</v>
      </c>
      <c r="P440">
        <f>-1123.09937524239 -1491.69833742476 -358.526374176516</f>
        <v>-2973.324086843666</v>
      </c>
      <c r="Q440">
        <f>-1211.27778769754 -1363.15409400128 -150.336522418264</f>
        <v>-2724.7684041170837</v>
      </c>
      <c r="R440">
        <f>-1041.17319616219 -1185.42526425047 -190.025956813277</f>
        <v>-2416.6244172259367</v>
      </c>
      <c r="S440" t="s">
        <v>9176</v>
      </c>
      <c r="T440" t="s">
        <v>9177</v>
      </c>
      <c r="U440" t="s">
        <v>9178</v>
      </c>
      <c r="V440">
        <f>-1021.57176524592 -1380.31332963009 -181.487327231682</f>
        <v>-2583.3724221076918</v>
      </c>
      <c r="W440" t="s">
        <v>9179</v>
      </c>
      <c r="X440" t="s">
        <v>9180</v>
      </c>
      <c r="Y440" t="s">
        <v>9181</v>
      </c>
    </row>
    <row r="441" spans="1:25" x14ac:dyDescent="0.3">
      <c r="A441">
        <v>22000</v>
      </c>
      <c r="B441" t="s">
        <v>9182</v>
      </c>
      <c r="C441">
        <f>-1041.32554240366 -1279.96065927217 -185.428455920034</f>
        <v>-2506.7146575958641</v>
      </c>
      <c r="D441">
        <f>-1044.32387297083 -1285.81804034589 -306.360335204321</f>
        <v>-2636.5022485210411</v>
      </c>
      <c r="E441">
        <f>-1023.16227189939 -1310.01018876626 -423.225552525063</f>
        <v>-2756.3980131907128</v>
      </c>
      <c r="F441">
        <f>-994.386229862242 -1338.67239185091 -524.937192362884</f>
        <v>-2857.9958140760359</v>
      </c>
      <c r="G441">
        <f>-956.352369124321 -1373.70164590903 -621.48380416422</f>
        <v>-2951.537819197571</v>
      </c>
      <c r="H441">
        <f>-894.176518066336 -1428.57782301562 -749.244386558475</f>
        <v>-3071.9987276404313</v>
      </c>
      <c r="I441">
        <f>-823.708675751444 -1456.22125394628 -817.458101155217</f>
        <v>-3097.3880308529415</v>
      </c>
      <c r="J441">
        <f>-925.01778720914 -1375.86438858396 -706.547331983655</f>
        <v>-3007.4295077767551</v>
      </c>
      <c r="K441">
        <f>-929.005066314008 -1234.70954993333 -747.401888190815</f>
        <v>-2911.1165044381532</v>
      </c>
      <c r="L441">
        <f>-1114.60646053976 -1141.85320556296 -508.412368992379</f>
        <v>-2764.8720350950989</v>
      </c>
      <c r="M441">
        <f>-1247.53664997833 -1130.62111896139 -285.151302365398</f>
        <v>-2663.3090713051179</v>
      </c>
      <c r="N441">
        <f>-918.357020779293 -1432.72923617325 -678.881133633298</f>
        <v>-3029.9673905858408</v>
      </c>
      <c r="O441">
        <f>-928.803815365422 -1555.23398917815 -598.117123556318</f>
        <v>-3082.1549280998897</v>
      </c>
      <c r="P441">
        <f>-1123.12096611093 -1495.986113535 -355.389508931738</f>
        <v>-2974.4965885776678</v>
      </c>
      <c r="Q441">
        <f>-1208.50641420317 -1371.5159975992 -143.591126201114</f>
        <v>-2723.6135380034839</v>
      </c>
      <c r="R441">
        <f>-1050.16821940332 -1184.60333387777 -189.508732928736</f>
        <v>-2424.280286209826</v>
      </c>
      <c r="S441" t="s">
        <v>9183</v>
      </c>
      <c r="T441" t="s">
        <v>9184</v>
      </c>
      <c r="U441" t="s">
        <v>9185</v>
      </c>
      <c r="V441">
        <f>-1030.10531019566 -1377.89016306595 -181.38575266822</f>
        <v>-2589.3812259298297</v>
      </c>
      <c r="W441" t="s">
        <v>9186</v>
      </c>
      <c r="X441" t="s">
        <v>9187</v>
      </c>
      <c r="Y441" t="s">
        <v>9188</v>
      </c>
    </row>
    <row r="442" spans="1:25" x14ac:dyDescent="0.3">
      <c r="A442">
        <v>22050</v>
      </c>
      <c r="B442" t="s">
        <v>9189</v>
      </c>
      <c r="C442">
        <f>-1047.90751755051 -1277.10670916732 -184.436510555967</f>
        <v>-2509.4507372737967</v>
      </c>
      <c r="D442">
        <f>-1050.3007769709 -1282.42094685216 -305.406884922464</f>
        <v>-2638.1286087455237</v>
      </c>
      <c r="E442">
        <f>-1028.64752393553 -1304.72488229537 -422.557380390399</f>
        <v>-2755.9297866212992</v>
      </c>
      <c r="F442">
        <f>-999.462418698211 -1331.16742382666 -524.752672322412</f>
        <v>-2855.3825148472829</v>
      </c>
      <c r="G442">
        <f>-961.03508475215 -1363.50796308428 -622.07840200845</f>
        <v>-2946.6214498448799</v>
      </c>
      <c r="H442">
        <f>-898.305756573018 -1414.19948130727 -751.288956759045</f>
        <v>-3063.794194639333</v>
      </c>
      <c r="I442">
        <f>-827.696984919013 -1438.01974447714 -820.78706242451</f>
        <v>-3086.5037918206631</v>
      </c>
      <c r="J442">
        <f>-931.463315276898 -1363.58303846542 -707.797917759142</f>
        <v>-3002.8442715014598</v>
      </c>
      <c r="K442">
        <f>-942.975343277995 -1222.8136933636 -747.370302566314</f>
        <v>-2913.1593392079089</v>
      </c>
      <c r="L442">
        <f>-1120.01463561958 -1126.66682891407 -503.241125966855</f>
        <v>-2749.9225905005051</v>
      </c>
      <c r="M442">
        <f>-1237.61440994179 -1114.16451695353 -271.603456746581</f>
        <v>-2623.382383641901</v>
      </c>
      <c r="N442">
        <f>-920.659787816198 -1419.95708231821 -680.436542911791</f>
        <v>-3021.0534130461992</v>
      </c>
      <c r="O442">
        <f>-920.033425756856 -1544.23445576443 -601.040549630388</f>
        <v>-3065.3084311516741</v>
      </c>
      <c r="P442">
        <f>-1112.58668203343 -1511.65979645738 -351.945470802348</f>
        <v>-2976.1919492931579</v>
      </c>
      <c r="Q442">
        <f>-1192.59610549194 -1387.42385909134 -137.922254048407</f>
        <v>-2717.942218631687</v>
      </c>
      <c r="R442">
        <f>-1061.30068603554 -1187.70549740955 -186.919886855048</f>
        <v>-2435.9260703001378</v>
      </c>
      <c r="S442" t="s">
        <v>9190</v>
      </c>
      <c r="T442" t="s">
        <v>9191</v>
      </c>
      <c r="U442" t="s">
        <v>9192</v>
      </c>
      <c r="V442">
        <f>-1032.14193649516 -1366.24605001676 -182.268887855744</f>
        <v>-2580.6568743676639</v>
      </c>
      <c r="W442" t="s">
        <v>9193</v>
      </c>
      <c r="X442" t="s">
        <v>9194</v>
      </c>
      <c r="Y442" t="s">
        <v>9195</v>
      </c>
    </row>
    <row r="443" spans="1:25" x14ac:dyDescent="0.3">
      <c r="A443">
        <v>22100</v>
      </c>
      <c r="B443" t="s">
        <v>9196</v>
      </c>
      <c r="C443">
        <f>-1057.61565165251 -1273.64226738329 -185.307513974987</f>
        <v>-2516.5654330107873</v>
      </c>
      <c r="D443">
        <f>-1058.61367235753 -1277.06425353284 -306.365748966072</f>
        <v>-2642.0436748564416</v>
      </c>
      <c r="E443">
        <f>-1035.99240930935 -1297.64661379612 -423.648422064216</f>
        <v>-2757.2874451696862</v>
      </c>
      <c r="F443">
        <f>-1006.10564885591 -1322.61853119488 -526.01067471754</f>
        <v>-2854.73485476833</v>
      </c>
      <c r="G443">
        <f>-967.143267841639 -1353.58964259192 -623.568748237969</f>
        <v>-2944.301658671528</v>
      </c>
      <c r="H443">
        <f>-903.835353835408 -1402.49397109617 -753.185378880207</f>
        <v>-3059.5147038117848</v>
      </c>
      <c r="I443">
        <f>-833.080081637159 -1424.70528997489 -823.066323326822</f>
        <v>-3080.8516949388709</v>
      </c>
      <c r="J443">
        <f>-938.213416240491 -1352.86519492788 -709.504056182852</f>
        <v>-3000.5826673512229</v>
      </c>
      <c r="K443">
        <f>-953.630468534942 -1211.73992941998 -748.85704269705</f>
        <v>-2914.2274406519718</v>
      </c>
      <c r="L443">
        <f>-1125.69156816618 -1114.06500444564 -501.792710610218</f>
        <v>-2741.549283222038</v>
      </c>
      <c r="M443">
        <f>-1238.38530284881 -1097.81741055096 -267.959127522875</f>
        <v>-2604.1618409226448</v>
      </c>
      <c r="N443">
        <f>-925.480817718689 -1408.84546199937 -682.163864028945</f>
        <v>-3016.4901437470035</v>
      </c>
      <c r="O443">
        <f>-919.994853898348 -1532.31691204908 -603.046543889395</f>
        <v>-3055.3583098368226</v>
      </c>
      <c r="P443">
        <f>-1112.69209810427 -1511.20297184022 -352.830322302393</f>
        <v>-2976.7253922468831</v>
      </c>
      <c r="Q443">
        <f>-1192.07925791207 -1384.47482104608 -140.040025020437</f>
        <v>-2716.5941039785871</v>
      </c>
      <c r="R443">
        <f>-1073.6201947759 -1182.84278975336 -187.107109962699</f>
        <v>-2443.570094491959</v>
      </c>
      <c r="S443" t="s">
        <v>9197</v>
      </c>
      <c r="T443" t="s">
        <v>9198</v>
      </c>
      <c r="U443" t="s">
        <v>9199</v>
      </c>
      <c r="V443">
        <f>-1043.21924801803 -1362.91034258733 -182.501031486951</f>
        <v>-2588.6306220923111</v>
      </c>
      <c r="W443" t="s">
        <v>9200</v>
      </c>
      <c r="X443" t="s">
        <v>9201</v>
      </c>
      <c r="Y443" t="s">
        <v>9202</v>
      </c>
    </row>
    <row r="444" spans="1:25" x14ac:dyDescent="0.3">
      <c r="A444">
        <v>22150</v>
      </c>
      <c r="B444" t="s">
        <v>9203</v>
      </c>
      <c r="C444">
        <f>-1071.95794967328 -1268.79712971409 -185.16710754716</f>
        <v>-2525.9221869345297</v>
      </c>
      <c r="D444">
        <f>-1071.50101241248 -1271.76508628968 -306.240531945137</f>
        <v>-2649.5066306472968</v>
      </c>
      <c r="E444">
        <f>-1048.08100948984 -1291.72592130827 -423.47379665861</f>
        <v>-2763.2807274567199</v>
      </c>
      <c r="F444">
        <f>-1017.73793098455 -1316.08675124806 -525.849073738958</f>
        <v>-2859.673755971568</v>
      </c>
      <c r="G444">
        <f>-978.573093768911 -1346.41888029504 -623.526832389474</f>
        <v>-2948.518806453425</v>
      </c>
      <c r="H444">
        <f>-915.232405785717 -1394.42545359369 -753.462569368445</f>
        <v>-3063.1204287478522</v>
      </c>
      <c r="I444">
        <f>-844.578179893964 -1415.55130426689 -823.780920170824</f>
        <v>-3083.9104043316784</v>
      </c>
      <c r="J444">
        <f>-950.474746707827 -1345.44780420315 -709.735151197153</f>
        <v>-3005.6577021081298</v>
      </c>
      <c r="K444">
        <f>-969.390529957938 -1205.04735514347 -749.567891851469</f>
        <v>-2924.0057769528771</v>
      </c>
      <c r="L444">
        <f>-1138.09729025628 -1106.40271930868 -500.583123141865</f>
        <v>-2745.0831327068254</v>
      </c>
      <c r="M444">
        <f>-1246.36525481408 -1087.52299152095 -264.863506617877</f>
        <v>-2598.7517529529073</v>
      </c>
      <c r="N444">
        <f>-936.042642259092 -1400.9202294463 -682.204785126272</f>
        <v>-3019.1676568316639</v>
      </c>
      <c r="O444">
        <f>-925.30842616984 -1523.85180832837 -602.422165477576</f>
        <v>-3051.5823999757863</v>
      </c>
      <c r="P444">
        <f>-1117.79034443422 -1511.36843602295 -351.461880723839</f>
        <v>-2980.6206611810089</v>
      </c>
      <c r="Q444">
        <f>-1196.2510046974 -1380.82612252775 -140.642799433461</f>
        <v>-2717.7199266586108</v>
      </c>
      <c r="R444">
        <f>-1092.95460501503 -1176.42378446744 -186.730560883045</f>
        <v>-2456.1089503655153</v>
      </c>
      <c r="S444" t="s">
        <v>9204</v>
      </c>
      <c r="T444" t="s">
        <v>9205</v>
      </c>
      <c r="U444" t="s">
        <v>9206</v>
      </c>
      <c r="V444">
        <f>-1052.82417361256 -1360.82230794649 -181.341201474086</f>
        <v>-2594.9876830331359</v>
      </c>
      <c r="W444" t="s">
        <v>9207</v>
      </c>
      <c r="X444" t="s">
        <v>9208</v>
      </c>
      <c r="Y444" t="s">
        <v>9209</v>
      </c>
    </row>
    <row r="445" spans="1:25" x14ac:dyDescent="0.3">
      <c r="A445">
        <v>22200</v>
      </c>
      <c r="B445" t="s">
        <v>9210</v>
      </c>
      <c r="C445">
        <f>-1096.21338806053 -1269.72181222413 -184.496021990533</f>
        <v>-2550.4312222751928</v>
      </c>
      <c r="D445">
        <f>-1096.76807609508 -1270.53486791186 -305.602587127958</f>
        <v>-2672.905531134898</v>
      </c>
      <c r="E445">
        <f>-1073.4736605453 -1289.08294832518 -423.092720194277</f>
        <v>-2785.6493290647568</v>
      </c>
      <c r="F445">
        <f>-1042.87723805853 -1312.42124851435 -525.630590889179</f>
        <v>-2880.9290774620595</v>
      </c>
      <c r="G445">
        <f>-1003.10225330424 -1341.95092970068 -623.307717534831</f>
        <v>-2968.3609005397511</v>
      </c>
      <c r="H445">
        <f>-938.561741908705 -1389.02999554582 -752.992183523933</f>
        <v>-3080.5839209784581</v>
      </c>
      <c r="I445">
        <f>-867.586936623746 -1408.60523930689 -823.436319667302</f>
        <v>-3099.6284955979381</v>
      </c>
      <c r="J445">
        <f>-975.495019539631 -1340.94258707229 -709.674137899048</f>
        <v>-3026.1117445109694</v>
      </c>
      <c r="K445">
        <f>-1000.01836678575 -1201.92129547914 -751.455635978192</f>
        <v>-2953.3952982430819</v>
      </c>
      <c r="L445">
        <f>-1169.09768168804 -1104.78905579716 -502.129281935279</f>
        <v>-2776.0160194204786</v>
      </c>
      <c r="M445">
        <f>-1271.76775809453 -1092.00657818254 -263.513444595387</f>
        <v>-2627.287780872457</v>
      </c>
      <c r="N445">
        <f>-958.742824623644 -1395.45538547308 -681.547437018665</f>
        <v>-3035.7456471153891</v>
      </c>
      <c r="O445">
        <f>-942.00146246833 -1515.92978373167 -599.246044366949</f>
        <v>-3057.1772905669495</v>
      </c>
      <c r="P445">
        <f>-1131.25476145193 -1510.2299348094 -345.5989933799</f>
        <v>-2987.0836896412302</v>
      </c>
      <c r="Q445">
        <f>-1209.9914972683 -1370.63754411082 -140.766029057456</f>
        <v>-2721.3950704365761</v>
      </c>
      <c r="R445">
        <f>-1126.61550809662 -1176.43538804292 -184.767663215477</f>
        <v>-2487.818559355017</v>
      </c>
      <c r="S445" t="s">
        <v>9211</v>
      </c>
      <c r="T445" t="s">
        <v>9212</v>
      </c>
      <c r="U445" t="s">
        <v>9213</v>
      </c>
      <c r="V445">
        <f>-1066.40399139357 -1364.99984150375 -183.585624777875</f>
        <v>-2614.9894576751954</v>
      </c>
      <c r="W445" t="s">
        <v>9214</v>
      </c>
      <c r="X445" t="s">
        <v>9215</v>
      </c>
      <c r="Y445" t="s">
        <v>9216</v>
      </c>
    </row>
    <row r="446" spans="1:25" x14ac:dyDescent="0.3">
      <c r="A446">
        <v>22250</v>
      </c>
      <c r="B446" t="s">
        <v>9217</v>
      </c>
      <c r="C446">
        <f>-1102.48722289551 -1274.588632314 -184.93481664997</f>
        <v>-2562.0106718594802</v>
      </c>
      <c r="D446">
        <f>-1104.01785019231 -1275.94303068966 -306.028275406587</f>
        <v>-2685.9891562885573</v>
      </c>
      <c r="E446">
        <f>-1080.63364325605 -1294.37120455565 -423.519341581073</f>
        <v>-2798.5241893927728</v>
      </c>
      <c r="F446">
        <f>-1049.58842367452 -1317.37853469089 -525.997157792611</f>
        <v>-2892.9641161580212</v>
      </c>
      <c r="G446">
        <f>-1009.04289566273 -1346.38887183839 -623.51289945618</f>
        <v>-2978.9446669572999</v>
      </c>
      <c r="H446">
        <f>-943.14377215504 -1392.57800191081 -752.833676168225</f>
        <v>-3088.5554502340747</v>
      </c>
      <c r="I446">
        <f>-871.436676141089 -1411.47723289302 -822.718527663032</f>
        <v>-3105.6324366971412</v>
      </c>
      <c r="J446">
        <f>-981.297404580712 -1345.16385724807 -709.832259531786</f>
        <v>-3036.2935213605679</v>
      </c>
      <c r="K446">
        <f>-1008.44711009721 -1206.96217567329 -751.99852188618</f>
        <v>-2967.4078076566802</v>
      </c>
      <c r="L446">
        <f>-1182.18726344949 -1112.40065384238 -504.89799247789</f>
        <v>-2799.4859097697604</v>
      </c>
      <c r="M446">
        <f>-1278.13554621156 -1118.01430380242 -263.227717996044</f>
        <v>-2659.3775680100243</v>
      </c>
      <c r="N446">
        <f>-963.306757765192 -1399.1176272878 -681.394226332054</f>
        <v>-3043.8186113850461</v>
      </c>
      <c r="O446">
        <f>-943.032212088785 -1518.27977246712 -597.588984540668</f>
        <v>-3058.9009690965731</v>
      </c>
      <c r="P446">
        <f>-1126.20026575855 -1506.72172263482 -339.708943104913</f>
        <v>-2972.6309314982832</v>
      </c>
      <c r="Q446">
        <f>-1204.44113320732 -1361.29661683583 -138.781219610047</f>
        <v>-2704.5189696531975</v>
      </c>
      <c r="R446">
        <f>-1137.71117067798 -1183.37697583889 -185.258685962596</f>
        <v>-2506.3468324794658</v>
      </c>
      <c r="S446" t="s">
        <v>9218</v>
      </c>
      <c r="T446" t="s">
        <v>9219</v>
      </c>
      <c r="U446" t="s">
        <v>9220</v>
      </c>
      <c r="V446">
        <f>-1065.7821389111 -1367.52656872646 -184.081129789205</f>
        <v>-2617.3898374267651</v>
      </c>
      <c r="W446" t="s">
        <v>9221</v>
      </c>
      <c r="X446" t="s">
        <v>9222</v>
      </c>
      <c r="Y446" t="s">
        <v>9223</v>
      </c>
    </row>
    <row r="447" spans="1:25" x14ac:dyDescent="0.3">
      <c r="A447">
        <v>22300</v>
      </c>
      <c r="B447" t="s">
        <v>9224</v>
      </c>
      <c r="C447">
        <f>-1103.35478548091 -1277.85682883169 -185.110010984092</f>
        <v>-2566.3216252966922</v>
      </c>
      <c r="D447">
        <f>-1105.83282418378 -1279.74872494208 -306.180579934532</f>
        <v>-2691.762129060392</v>
      </c>
      <c r="E447">
        <f>-1082.87696548459 -1298.38347988915 -423.72347798175</f>
        <v>-2804.9839233554903</v>
      </c>
      <c r="F447">
        <f>-1052.01802382922 -1321.44537643993 -526.245257905764</f>
        <v>-2899.708658174914</v>
      </c>
      <c r="G447">
        <f>-1011.46838143889 -1350.38154374839 -623.781403340274</f>
        <v>-2985.6313285275537</v>
      </c>
      <c r="H447">
        <f>-945.378275387819 -1396.3359026093 -753.088315789574</f>
        <v>-3094.802493786693</v>
      </c>
      <c r="I447">
        <f>-873.437360696167 -1414.85651003778 -822.834066459853</f>
        <v>-3111.1279371938003</v>
      </c>
      <c r="J447">
        <f>-983.90662611662 -1349.15946261733 -710.159638540936</f>
        <v>-3043.2257272748861</v>
      </c>
      <c r="K447">
        <f>-1012.34546543036 -1211.29044844555 -752.561692661676</f>
        <v>-2976.1976065375857</v>
      </c>
      <c r="L447">
        <f>-1187.02191709845 -1120.24148439705 -504.802901027027</f>
        <v>-2812.0663025225272</v>
      </c>
      <c r="M447">
        <f>-1280.76466817725 -1135.70400997356 -262.69704088914</f>
        <v>-2679.1657190399501</v>
      </c>
      <c r="N447">
        <f>-965.335585724465 -1402.8455502674 -681.58836313038</f>
        <v>-3049.7694991222452</v>
      </c>
      <c r="O447">
        <f>-943.774683001124 -1521.55439292864 -597.396962342036</f>
        <v>-3062.7260382718005</v>
      </c>
      <c r="P447">
        <f>-1125.1898887156 -1504.38223210809 -338.592377738702</f>
        <v>-2968.1644985623921</v>
      </c>
      <c r="Q447">
        <f>-1201.36568547472 -1356.78730125401 -138.454876285243</f>
        <v>-2696.6078630139727</v>
      </c>
      <c r="R447">
        <f>-1139.59232306955 -1186.88936128094 -185.807856616673</f>
        <v>-2512.2895409671628</v>
      </c>
      <c r="S447" t="s">
        <v>9225</v>
      </c>
      <c r="T447" t="s">
        <v>9226</v>
      </c>
      <c r="U447" t="s">
        <v>9227</v>
      </c>
      <c r="V447">
        <f>-1065.68246150312 -1370.3006961873 -183.982312926931</f>
        <v>-2619.965470617351</v>
      </c>
      <c r="W447" t="s">
        <v>9228</v>
      </c>
      <c r="X447" t="s">
        <v>9229</v>
      </c>
      <c r="Y447" t="s">
        <v>9230</v>
      </c>
    </row>
    <row r="448" spans="1:25" x14ac:dyDescent="0.3">
      <c r="A448">
        <v>22350</v>
      </c>
      <c r="B448" t="s">
        <v>9231</v>
      </c>
      <c r="C448">
        <f>-1108.56141724195 -1280.83042983717 -186.160503167199</f>
        <v>-2575.5523502463188</v>
      </c>
      <c r="D448">
        <f>-1111.86224350853 -1282.92202003502 -307.208198850069</f>
        <v>-2701.992462393619</v>
      </c>
      <c r="E448">
        <f>-1089.60092388908 -1301.8460211181 -424.838404749878</f>
        <v>-2816.2853497570582</v>
      </c>
      <c r="F448">
        <f>-1059.28402306991 -1325.15782076908 -527.465388853397</f>
        <v>-2911.9072326923874</v>
      </c>
      <c r="G448">
        <f>-1019.1730039379 -1354.30440037009 -625.119991053866</f>
        <v>-2998.5973953618559</v>
      </c>
      <c r="H448">
        <f>-953.571583695795 -1400.48317543005 -754.595806991642</f>
        <v>-3108.650566117487</v>
      </c>
      <c r="I448">
        <f>-881.662716210031 -1418.36220360314 -824.541815579406</f>
        <v>-3124.5667353925769</v>
      </c>
      <c r="J448">
        <f>-992.500346339669 -1353.53146978745 -711.78217355327</f>
        <v>-3057.8139896803887</v>
      </c>
      <c r="K448">
        <f>-1024.47688251798 -1216.75839365225 -755.319814211866</f>
        <v>-2996.5550903820958</v>
      </c>
      <c r="L448">
        <f>-1197.97313042306 -1132.35022710373 -504.400400254287</f>
        <v>-2834.723757781077</v>
      </c>
      <c r="M448">
        <f>-1287.55910146924 -1151.48082185719 -260.986334375605</f>
        <v>-2700.0262577020349</v>
      </c>
      <c r="N448">
        <f>-972.695967737793 -1406.56953306828 -682.831305560832</f>
        <v>-3062.0968063669047</v>
      </c>
      <c r="O448">
        <f>-948.711970747051 -1524.09365473849 -597.697239224313</f>
        <v>-3070.5028647098538</v>
      </c>
      <c r="P448">
        <f>-1127.18989338405 -1498.4657437772 -337.553001522913</f>
        <v>-2963.2086386841629</v>
      </c>
      <c r="Q448">
        <f>-1200.39001070389 -1346.94034049663 -139.250579634158</f>
        <v>-2686.5809308346779</v>
      </c>
      <c r="R448">
        <f>-1146.52214267714 -1187.87479655214 -186.384521623171</f>
        <v>-2520.7814608524513</v>
      </c>
      <c r="S448" t="s">
        <v>9232</v>
      </c>
      <c r="T448" t="s">
        <v>9233</v>
      </c>
      <c r="U448" t="s">
        <v>9234</v>
      </c>
      <c r="V448">
        <f>-1070.84642595907 -1373.07129885393 -184.739846718627</f>
        <v>-2628.6575715316271</v>
      </c>
      <c r="W448" t="s">
        <v>9235</v>
      </c>
      <c r="X448" t="s">
        <v>9236</v>
      </c>
      <c r="Y448" t="s">
        <v>9237</v>
      </c>
    </row>
    <row r="449" spans="1:25" x14ac:dyDescent="0.3">
      <c r="A449">
        <v>22400</v>
      </c>
      <c r="B449" t="s">
        <v>9238</v>
      </c>
      <c r="C449">
        <f>-1110.78800199862 -1281.46541774007 -186.169648224598</f>
        <v>-2578.4230679632883</v>
      </c>
      <c r="D449">
        <f>-1113.68535409524 -1283.29631964408 -307.23188048484</f>
        <v>-2704.2135542241604</v>
      </c>
      <c r="E449">
        <f>-1091.3573156895 -1302.30202979019 -424.836398419078</f>
        <v>-2818.4957438987685</v>
      </c>
      <c r="F449">
        <f>-1061.09660882039 -1325.80153762566 -527.437043248188</f>
        <v>-2914.3351896942386</v>
      </c>
      <c r="G449">
        <f>-1021.14341508944 -1355.23435579835 -625.070590242046</f>
        <v>-3001.448361129836</v>
      </c>
      <c r="H449">
        <f>-955.852762794988 -1401.89849036678 -754.529440995971</f>
        <v>-3112.2806941577392</v>
      </c>
      <c r="I449">
        <f>-884.080007236546 -1419.65556871898 -824.646068175051</f>
        <v>-3128.3816441305767</v>
      </c>
      <c r="J449">
        <f>-994.921479019561 -1354.91989839004 -711.873097079498</f>
        <v>-3061.7144744890993</v>
      </c>
      <c r="K449">
        <f>-1028.4822332245 -1218.75354676645 -756.160283146147</f>
        <v>-3003.3960631370969</v>
      </c>
      <c r="L449">
        <f>-1200.00437751692 -1134.43737509506 -503.856702200634</f>
        <v>-2838.2984548126137</v>
      </c>
      <c r="M449">
        <f>-1287.12517646001 -1148.04714415403 -259.179783082049</f>
        <v>-2694.3521036960892</v>
      </c>
      <c r="N449">
        <f>-974.562220676122 -1407.58222410352 -682.62273413129</f>
        <v>-3064.7671789109322</v>
      </c>
      <c r="O449">
        <f>-949.277458771521 -1524.6583624332 -597.2719811155</f>
        <v>-3071.2078023202212</v>
      </c>
      <c r="P449">
        <f>-1127.36920732691 -1497.02902548976 -337.067915357133</f>
        <v>-2961.4661481738035</v>
      </c>
      <c r="Q449">
        <f>-1200.74070374935 -1344.21637400567 -139.81945062156</f>
        <v>-2684.7765283765798</v>
      </c>
      <c r="R449">
        <f>-1149.05666811278 -1189.1083862879 -185.922332049002</f>
        <v>-2524.0873864496816</v>
      </c>
      <c r="S449" t="s">
        <v>9239</v>
      </c>
      <c r="T449" t="s">
        <v>9240</v>
      </c>
      <c r="U449" t="s">
        <v>9241</v>
      </c>
      <c r="V449">
        <f>-1072.32857090308 -1373.40083300211 -185.147477360068</f>
        <v>-2630.8768812652579</v>
      </c>
      <c r="W449" t="s">
        <v>9242</v>
      </c>
      <c r="X449" t="s">
        <v>9243</v>
      </c>
      <c r="Y449" t="s">
        <v>9244</v>
      </c>
    </row>
    <row r="450" spans="1:25" x14ac:dyDescent="0.3">
      <c r="A450">
        <v>22450</v>
      </c>
      <c r="B450" t="s">
        <v>9245</v>
      </c>
      <c r="C450">
        <f>-1112.23588081566 -1282.52180972578 -185.253027062371</f>
        <v>-2580.0107176038109</v>
      </c>
      <c r="D450">
        <f>-1115.19387512552 -1283.95158276421 -306.319267338976</f>
        <v>-2705.4647252287059</v>
      </c>
      <c r="E450">
        <f>-1093.06820444755 -1302.99537077875 -423.955737717535</f>
        <v>-2820.0193129438348</v>
      </c>
      <c r="F450">
        <f>-1063.03218974924 -1326.68677684737 -526.578301673082</f>
        <v>-2916.2972682696918</v>
      </c>
      <c r="G450">
        <f>-1023.33668416464 -1356.45485024104 -624.215308701002</f>
        <v>-3004.006843106682</v>
      </c>
      <c r="H450">
        <f>-958.431687097983 -1403.7188621007 -753.650437899522</f>
        <v>-3115.800987098205</v>
      </c>
      <c r="I450">
        <f>-886.921690159304 -1421.39700049307 -824.0550004198</f>
        <v>-3132.3736910721741</v>
      </c>
      <c r="J450">
        <f>-997.673421765156 -1356.71171132255 -711.184846233328</f>
        <v>-3065.5699793210342</v>
      </c>
      <c r="K450">
        <f>-1032.1399661964 -1221.07483130223 -756.345403222261</f>
        <v>-3009.5602007208909</v>
      </c>
      <c r="L450">
        <f>-1200.78256663188 -1131.97092743615 -503.746158910125</f>
        <v>-2836.4996529781547</v>
      </c>
      <c r="M450">
        <f>-1285.31839495653 -1142.64748665169 -258.019134095934</f>
        <v>-2685.9850157041542</v>
      </c>
      <c r="N450">
        <f>-976.626889942196 -1408.90028655299 -681.574074481723</f>
        <v>-3067.1012509769093</v>
      </c>
      <c r="O450">
        <f>-949.192038329319 -1524.96786440552 -595.552597725991</f>
        <v>-3069.7125004608297</v>
      </c>
      <c r="P450">
        <f>-1125.11748798256 -1499.88003652654 -333.623179542651</f>
        <v>-2958.6207040517511</v>
      </c>
      <c r="Q450">
        <f>-1198.9479099841 -1341.50699688064 -140.985921732734</f>
        <v>-2681.4408285974741</v>
      </c>
      <c r="R450">
        <f>-1149.39669897306 -1191.45702217334 -184.842860233331</f>
        <v>-2525.696581379731</v>
      </c>
      <c r="S450" t="s">
        <v>9246</v>
      </c>
      <c r="T450" t="s">
        <v>9247</v>
      </c>
      <c r="U450" t="s">
        <v>9248</v>
      </c>
      <c r="V450">
        <f>-1074.53821464089 -1373.59439735418 -184.925460900641</f>
        <v>-2633.0580728957111</v>
      </c>
      <c r="W450" t="s">
        <v>9249</v>
      </c>
      <c r="X450" t="s">
        <v>9250</v>
      </c>
      <c r="Y450" t="s">
        <v>9251</v>
      </c>
    </row>
    <row r="451" spans="1:25" x14ac:dyDescent="0.3">
      <c r="A451">
        <v>22500</v>
      </c>
      <c r="B451" t="s">
        <v>9252</v>
      </c>
      <c r="C451">
        <f>-1112.90600247199 -1282.89411037046 -184.844204701657</f>
        <v>-2580.6443175441073</v>
      </c>
      <c r="D451">
        <f>-1116.37731482265 -1284.2045531254 -305.898109474767</f>
        <v>-2706.4799774228168</v>
      </c>
      <c r="E451">
        <f>-1094.43900077049 -1303.2540903918 -423.568823484855</f>
        <v>-2821.2619146471452</v>
      </c>
      <c r="F451">
        <f>-1064.4469591972 -1326.9981144726 -526.192231823479</f>
        <v>-2917.6373054932792</v>
      </c>
      <c r="G451">
        <f>-1024.67971653127 -1356.86132046609 -623.770898351077</f>
        <v>-3005.3119353484371</v>
      </c>
      <c r="H451">
        <f>-959.566591371624 -1404.29545553637 -753.039192986056</f>
        <v>-3116.9012398940499</v>
      </c>
      <c r="I451">
        <f>-888.012673671864 -1422.13058497952 -823.359351969953</f>
        <v>-3133.5026106213372</v>
      </c>
      <c r="J451">
        <f>-998.907893542681 -1357.25045207594 -710.707766968848</f>
        <v>-3066.8661125874687</v>
      </c>
      <c r="K451">
        <f>-1033.32449422836 -1221.68370565961 -756.159759064118</f>
        <v>-3011.1679589520882</v>
      </c>
      <c r="L451">
        <f>-1201.34646516099 -1130.24274268419 -503.982460727735</f>
        <v>-2835.5716685729149</v>
      </c>
      <c r="M451">
        <f>-1283.57425045683 -1140.76523738964 -257.466861330466</f>
        <v>-2681.8063491769362</v>
      </c>
      <c r="N451">
        <f>-977.846369425274 -1409.36419533652 -680.97618729039</f>
        <v>-3068.1867520521851</v>
      </c>
      <c r="O451">
        <f>-950.088336591715 -1525.13871355978 -594.691529947967</f>
        <v>-3069.9185800994619</v>
      </c>
      <c r="P451">
        <f>-1125.16877552306 -1501.49811592748 -332.062319468193</f>
        <v>-2958.7292109187329</v>
      </c>
      <c r="Q451">
        <f>-1197.57529416035 -1340.06879336947 -141.431933183544</f>
        <v>-2679.0760207133644</v>
      </c>
      <c r="R451">
        <f>-1150.55036593821 -1191.8327458335 -184.238184821207</f>
        <v>-2526.6212965929171</v>
      </c>
      <c r="S451" t="s">
        <v>9253</v>
      </c>
      <c r="T451" t="s">
        <v>9254</v>
      </c>
      <c r="U451" t="s">
        <v>9255</v>
      </c>
      <c r="V451">
        <f>-1075.45957145633 -1373.90767940595 -184.627632987331</f>
        <v>-2633.9948838496107</v>
      </c>
      <c r="W451" t="s">
        <v>9256</v>
      </c>
      <c r="X451" t="s">
        <v>9257</v>
      </c>
      <c r="Y451" t="s">
        <v>9258</v>
      </c>
    </row>
    <row r="452" spans="1:25" x14ac:dyDescent="0.3">
      <c r="A452">
        <v>22550</v>
      </c>
      <c r="B452" t="s">
        <v>9259</v>
      </c>
      <c r="C452">
        <f>-1113.94267812998 -1283.92734155419 -184.076794496746</f>
        <v>-2581.9468141809161</v>
      </c>
      <c r="D452">
        <f>-1118.63842696466 -1285.53554162755 -305.08577712061</f>
        <v>-2709.2597457128204</v>
      </c>
      <c r="E452">
        <f>-1097.2285342651 -1304.99201762823 -422.787106006866</f>
        <v>-2825.0076579001961</v>
      </c>
      <c r="F452">
        <f>-1067.44843443999 -1329.14431167038 -525.376891711217</f>
        <v>-2921.9696378215872</v>
      </c>
      <c r="G452">
        <f>-1027.6490214104 -1359.44893026706 -622.806253431156</f>
        <v>-3009.9042051086162</v>
      </c>
      <c r="H452">
        <f>-962.263079748146 -1407.52166331511 -751.700481714963</f>
        <v>-3121.4852247782192</v>
      </c>
      <c r="I452">
        <f>-890.550370369864 -1425.91624077609 -821.714043342296</f>
        <v>-3138.1806544882502</v>
      </c>
      <c r="J452">
        <f>-1001.6193436825 -1360.22559521898 -709.663742560215</f>
        <v>-3071.5086814616952</v>
      </c>
      <c r="K452">
        <f>-1035.60583943736 -1224.76651723047 -755.792434124951</f>
        <v>-3016.1647907927809</v>
      </c>
      <c r="L452">
        <f>-1202.7331870709 -1128.20092312781 -504.934419963079</f>
        <v>-2835.8685301617893</v>
      </c>
      <c r="M452">
        <f>-1280.10786848766 -1139.15727504924 -256.871548745796</f>
        <v>-2676.136692282696</v>
      </c>
      <c r="N452">
        <f>-980.769299608063 -1412.27633903745 -679.673762744799</f>
        <v>-3072.7194013903118</v>
      </c>
      <c r="O452">
        <f>-953.236141564381 -1527.70461774975 -592.900609010863</f>
        <v>-3073.8413683249937</v>
      </c>
      <c r="P452">
        <f>-1125.83124451568 -1503.65721583607 -328.668022492347</f>
        <v>-2958.1564828440974</v>
      </c>
      <c r="Q452">
        <f>-1196.46839662231 -1338.35931781516 -140.707841154236</f>
        <v>-2675.5355555917058</v>
      </c>
      <c r="R452">
        <f>-1150.97905435303 -1192.77857170705 -183.204889059857</f>
        <v>-2526.9625151199371</v>
      </c>
      <c r="S452" t="s">
        <v>9260</v>
      </c>
      <c r="T452" t="s">
        <v>9261</v>
      </c>
      <c r="U452" t="s">
        <v>9262</v>
      </c>
      <c r="V452">
        <f>-1076.92684332618 -1375.61873505239 -183.987892634238</f>
        <v>-2636.5334710128081</v>
      </c>
      <c r="W452" t="s">
        <v>9263</v>
      </c>
      <c r="X452" t="s">
        <v>9264</v>
      </c>
      <c r="Y452" t="s">
        <v>9265</v>
      </c>
    </row>
    <row r="453" spans="1:25" x14ac:dyDescent="0.3">
      <c r="A453">
        <v>22600</v>
      </c>
      <c r="B453" t="s">
        <v>9266</v>
      </c>
      <c r="C453">
        <f>-1113.80090449793 -1284.57595668694 -184.333185577974</f>
        <v>-2582.7100467628438</v>
      </c>
      <c r="D453">
        <f>-1119.14255245525 -1286.60697348967 -305.308849362897</f>
        <v>-2711.0583753078172</v>
      </c>
      <c r="E453">
        <f>-1097.97745420626 -1306.53033168237 -422.976542610557</f>
        <v>-2827.4843284991866</v>
      </c>
      <c r="F453">
        <f>-1068.26389423262 -1331.11218590987 -525.48350693197</f>
        <v>-2924.8595870744603</v>
      </c>
      <c r="G453">
        <f>-1028.38818976527 -1361.84441399191 -622.74772624042</f>
        <v>-3012.9803299976002</v>
      </c>
      <c r="H453">
        <f>-962.762048482369 -1410.49975863278 -751.300615397787</f>
        <v>-3124.5624225129363</v>
      </c>
      <c r="I453">
        <f>-890.822415877027 -1429.20980300892 -820.997222753226</f>
        <v>-3141.0294416391735</v>
      </c>
      <c r="J453">
        <f>-1002.10247388682 -1362.96049793691 -709.524136815379</f>
        <v>-3074.5871086391089</v>
      </c>
      <c r="K453">
        <f>-1035.81305120668 -1227.55882449415 -756.089801969122</f>
        <v>-3019.4616776699522</v>
      </c>
      <c r="L453">
        <f>-1202.48126457935 -1129.30701929104 -505.581252560359</f>
        <v>-2837.3695364307491</v>
      </c>
      <c r="M453">
        <f>-1276.71046545604 -1137.71453923558 -256.460028386632</f>
        <v>-2670.8850330782525</v>
      </c>
      <c r="N453">
        <f>-981.496676578723 -1414.98205105371 -679.315572522923</f>
        <v>-3075.7943001553563</v>
      </c>
      <c r="O453">
        <f>-954.503097914742 -1530.25785329265 -592.107472373236</f>
        <v>-3076.8684235806281</v>
      </c>
      <c r="P453">
        <f>-1126.70020065763 -1503.75239674609 -327.85044367043</f>
        <v>-2958.3030410741499</v>
      </c>
      <c r="Q453">
        <f>-1196.8050955713 -1337.42437885481 -140.600995162333</f>
        <v>-2674.8304695884426</v>
      </c>
      <c r="R453">
        <f>-1150.09910265091 -1193.16493096059 -183.91200771652</f>
        <v>-2527.1760413280199</v>
      </c>
      <c r="S453" t="s">
        <v>9267</v>
      </c>
      <c r="T453" t="s">
        <v>9268</v>
      </c>
      <c r="U453" t="s">
        <v>9269</v>
      </c>
      <c r="V453">
        <f>-1077.13588328168 -1376.17633336535 -184.029654990042</f>
        <v>-2637.3418716370725</v>
      </c>
      <c r="W453" t="s">
        <v>9270</v>
      </c>
      <c r="X453" t="s">
        <v>9271</v>
      </c>
      <c r="Y453" t="s">
        <v>9272</v>
      </c>
    </row>
    <row r="454" spans="1:25" x14ac:dyDescent="0.3">
      <c r="A454">
        <v>22650</v>
      </c>
      <c r="B454" t="s">
        <v>9273</v>
      </c>
      <c r="C454">
        <f>-1113.25254324319 -1285.26101735449 -185.122469500793</f>
        <v>-2583.6360300984734</v>
      </c>
      <c r="D454">
        <f>-1118.92604993748 -1287.81857466622 -306.073316760422</f>
        <v>-2712.8179413641219</v>
      </c>
      <c r="E454">
        <f>-1097.69920633148 -1308.5884135927 -423.58321656097</f>
        <v>-2829.87083648515</v>
      </c>
      <c r="F454">
        <f>-1067.77890197013 -1334.03299277818 -525.819274866173</f>
        <v>-2927.631169614483</v>
      </c>
      <c r="G454">
        <f>-1027.56059509851 -1365.69914293223 -622.641733506432</f>
        <v>-3015.9014715371718</v>
      </c>
      <c r="H454">
        <f>-961.335303094604 -1415.7005982606 -750.368237338424</f>
        <v>-3127.4041386936278</v>
      </c>
      <c r="I454">
        <f>-889.003336580995 -1435.06801637697 -819.476769394025</f>
        <v>-3143.5481223519901</v>
      </c>
      <c r="J454">
        <f>-1000.64811039896 -1367.60063266095 -709.212308211428</f>
        <v>-3077.461051271338</v>
      </c>
      <c r="K454">
        <f>-1033.77562050741 -1232.52611930331 -756.962810880326</f>
        <v>-3023.2645506910458</v>
      </c>
      <c r="L454">
        <f>-1196.80818336039 -1132.84534062119 -504.633062113965</f>
        <v>-2834.2865860955453</v>
      </c>
      <c r="M454">
        <f>-1267.84669736674 -1135.63699205259 -254.457606485425</f>
        <v>-2657.941295904755</v>
      </c>
      <c r="N454">
        <f>-980.627755734731 -1419.55236365917 -678.494189898674</f>
        <v>-3078.6743092925749</v>
      </c>
      <c r="O454">
        <f>-954.991235847559 -1534.52536209396 -590.444554458487</f>
        <v>-3079.9611524000056</v>
      </c>
      <c r="P454">
        <f>-1124.14755163486 -1502.20739167571 -324.873710735199</f>
        <v>-2951.228654045769</v>
      </c>
      <c r="Q454">
        <f>-1190.74608466528 -1334.88045637786 -137.234732599269</f>
        <v>-2662.8612736424088</v>
      </c>
      <c r="R454">
        <f>-1148.10152875912 -1193.54290974646 -185.050646058546</f>
        <v>-2526.6950845641263</v>
      </c>
      <c r="S454" t="s">
        <v>9274</v>
      </c>
      <c r="T454" t="s">
        <v>9275</v>
      </c>
      <c r="U454" t="s">
        <v>9276</v>
      </c>
      <c r="V454">
        <f>-1077.99493854496 -1376.90199440376 -184.409312177795</f>
        <v>-2639.306245126515</v>
      </c>
      <c r="W454" t="s">
        <v>9277</v>
      </c>
      <c r="X454" t="s">
        <v>9278</v>
      </c>
      <c r="Y454" t="s">
        <v>9279</v>
      </c>
    </row>
    <row r="455" spans="1:25" x14ac:dyDescent="0.3">
      <c r="A455">
        <v>22700</v>
      </c>
      <c r="B455" t="s">
        <v>9280</v>
      </c>
      <c r="C455">
        <f>-1113.44611935876 -1286.34138816011 -185.129712110406</f>
        <v>-2584.9172196292757</v>
      </c>
      <c r="D455">
        <f>-1119.32227540498 -1289.05047469925 -306.067396604236</f>
        <v>-2714.4401467084658</v>
      </c>
      <c r="E455">
        <f>-1098.1175488442 -1310.17345435455 -423.518541448127</f>
        <v>-2831.8095446468769</v>
      </c>
      <c r="F455">
        <f>-1068.15367212251 -1336.01382362312 -525.642361823281</f>
        <v>-2929.809857568911</v>
      </c>
      <c r="G455">
        <f>-1027.83887640506 -1368.14538894448 -622.271237031746</f>
        <v>-3018.2555023812856</v>
      </c>
      <c r="H455">
        <f>-961.436446158738 -1418.85857572985 -749.624654985468</f>
        <v>-3129.9196768740562</v>
      </c>
      <c r="I455">
        <f>-888.933738822921 -1438.56558222544 -818.457665975799</f>
        <v>-3145.9569870241598</v>
      </c>
      <c r="J455">
        <f>-1000.6475210527 -1370.4409336323 -708.745046758708</f>
        <v>-3079.833501443708</v>
      </c>
      <c r="K455">
        <f>-1032.96635192109 -1235.20875113021 -756.763098829092</f>
        <v>-3024.9382018803922</v>
      </c>
      <c r="L455">
        <f>-1193.87580531996 -1135.74963093539 -502.98720140616</f>
        <v>-2832.6126376615102</v>
      </c>
      <c r="M455">
        <f>-1264.57347051996 -1136.19912779457 -252.699882742162</f>
        <v>-2653.4724810566922</v>
      </c>
      <c r="N455">
        <f>-980.987410071634 -1422.39817035561 -677.804421182154</f>
        <v>-3081.1900016093982</v>
      </c>
      <c r="O455">
        <f>-956.063852628642 -1537.18074604914 -589.333156599375</f>
        <v>-3082.5777552771569</v>
      </c>
      <c r="P455">
        <f>-1124.95928215564 -1500.07877171344 -324.221893720817</f>
        <v>-2949.2599475898969</v>
      </c>
      <c r="Q455">
        <f>-1189.49025499307 -1332.92951389331 -135.70422523371</f>
        <v>-2658.1239941200902</v>
      </c>
      <c r="R455">
        <f>-1147.88500908116 -1194.63738165088 -184.920613917763</f>
        <v>-2527.4430046498028</v>
      </c>
      <c r="S455" t="s">
        <v>9281</v>
      </c>
      <c r="T455" t="s">
        <v>9282</v>
      </c>
      <c r="U455" t="s">
        <v>9283</v>
      </c>
      <c r="V455">
        <f>-1079.03813902722 -1378.01589838691 -184.440296622313</f>
        <v>-2641.494334036443</v>
      </c>
      <c r="W455" t="s">
        <v>9284</v>
      </c>
      <c r="X455" t="s">
        <v>9285</v>
      </c>
      <c r="Y455" t="s">
        <v>9286</v>
      </c>
    </row>
    <row r="456" spans="1:25" x14ac:dyDescent="0.3">
      <c r="A456">
        <v>22750</v>
      </c>
      <c r="B456" t="s">
        <v>9287</v>
      </c>
      <c r="C456">
        <f>-1117.99668370116 -1290.19254969345 -184.890373058107</f>
        <v>-2593.0796064527167</v>
      </c>
      <c r="D456">
        <f>-1124.23510243805 -1292.81883756304 -305.811800160631</f>
        <v>-2722.8657401617211</v>
      </c>
      <c r="E456">
        <f>-1102.97984073507 -1314.31038165717 -423.186803183125</f>
        <v>-2840.4770255753651</v>
      </c>
      <c r="F456">
        <f>-1072.83611934764 -1340.67624479797 -525.123373378058</f>
        <v>-2938.6357375236685</v>
      </c>
      <c r="G456">
        <f>-1032.23793334599 -1373.52281404467 -621.392447841283</f>
        <v>-3027.1531952319428</v>
      </c>
      <c r="H456">
        <f>-965.366887282429 -1425.42064372922 -748.021248852647</f>
        <v>-3138.8087798642964</v>
      </c>
      <c r="I456">
        <f>-892.605084107758 -1445.88104771864 -816.359251092368</f>
        <v>-3154.8453829187661</v>
      </c>
      <c r="J456">
        <f>-1004.432722471 -1376.46108621443 -707.651357632937</f>
        <v>-3088.5451663183671</v>
      </c>
      <c r="K456">
        <f>-1034.99829962147 -1241.11758633288 -756.30849695085</f>
        <v>-3032.4243829052002</v>
      </c>
      <c r="L456">
        <f>-1190.94900745094 -1142.43179974276 -499.157422288164</f>
        <v>-2832.5382294818642</v>
      </c>
      <c r="M456">
        <f>-1261.18970395792 -1138.02799723756 -248.779982014533</f>
        <v>-2647.9976832100128</v>
      </c>
      <c r="N456">
        <f>-985.477739872746 -1428.45385494547 -676.332488702774</f>
        <v>-3090.26408352099</v>
      </c>
      <c r="O456">
        <f>-961.782983709728 -1542.99043798455 -587.163780636216</f>
        <v>-3091.9372023304941</v>
      </c>
      <c r="P456">
        <f>-1127.68740801641 -1496.87338561348 -321.579265862782</f>
        <v>-2946.1400594926722</v>
      </c>
      <c r="Q456">
        <f>-1187.48246062289 -1330.65168483109 -130.694654175308</f>
        <v>-2648.8287996292879</v>
      </c>
      <c r="R456">
        <f>-1153.40803163927 -1198.77170320936 -184.910097113143</f>
        <v>-2537.0898319617727</v>
      </c>
      <c r="S456" t="s">
        <v>9288</v>
      </c>
      <c r="T456" t="s">
        <v>9289</v>
      </c>
      <c r="U456" t="s">
        <v>9290</v>
      </c>
      <c r="V456">
        <f>-1083.26716414184 -1381.83815282162 -184.4675241687</f>
        <v>-2649.5728411321602</v>
      </c>
      <c r="W456" t="s">
        <v>9291</v>
      </c>
      <c r="X456" t="s">
        <v>9292</v>
      </c>
      <c r="Y456" t="s">
        <v>9293</v>
      </c>
    </row>
    <row r="457" spans="1:25" x14ac:dyDescent="0.3">
      <c r="A457">
        <v>22800</v>
      </c>
      <c r="B457" t="s">
        <v>9294</v>
      </c>
      <c r="C457">
        <f>-1120.50873837126 -1292.51508969729 -184.865695945019</f>
        <v>-2597.8895240135689</v>
      </c>
      <c r="D457">
        <f>-1127.31091641307 -1294.8727612528 -305.76219093522</f>
        <v>-2727.9458686010903</v>
      </c>
      <c r="E457">
        <f>-1106.32995786874 -1316.45587639985 -423.169847616077</f>
        <v>-2845.9556818846668</v>
      </c>
      <c r="F457">
        <f>-1076.31752871221 -1343.03741227971 -525.088989856003</f>
        <v>-2944.4439308479232</v>
      </c>
      <c r="G457">
        <f>-1035.74314694324 -1376.21753250841 -621.253666340068</f>
        <v>-3033.2143457917177</v>
      </c>
      <c r="H457">
        <f>-968.806115858021 -1428.68501311059 -747.612697807454</f>
        <v>-3145.103826776065</v>
      </c>
      <c r="I457">
        <f>-895.983825158312 -1449.58421553867 -815.753209521778</f>
        <v>-3161.3212502187598</v>
      </c>
      <c r="J457">
        <f>-1007.7638870791 -1379.4736913481 -707.444919694146</f>
        <v>-3094.6824981213458</v>
      </c>
      <c r="K457">
        <f>-1037.5702137048 -1244.01880720063 -756.394853002328</f>
        <v>-3037.9838739077577</v>
      </c>
      <c r="L457">
        <f>-1191.22257444499 -1145.51692338386 -497.793678316249</f>
        <v>-2834.5331761450993</v>
      </c>
      <c r="M457">
        <f>-1260.09652055215 -1139.60215240851 -247.067871734236</f>
        <v>-2646.7665446948959</v>
      </c>
      <c r="N457">
        <f>-989.083472741303 -1431.46587540061 -675.960689964202</f>
        <v>-3096.5100381061147</v>
      </c>
      <c r="O457">
        <f>-965.733082040018 -1545.71448760719 -586.318902898324</f>
        <v>-3097.7664725455325</v>
      </c>
      <c r="P457">
        <f>-1130.95842851346 -1496.1856441858 -320.925466769156</f>
        <v>-2948.0695394684158</v>
      </c>
      <c r="Q457">
        <f>-1187.22109004456 -1331.23912312596 -127.873109642548</f>
        <v>-2646.3333228130682</v>
      </c>
      <c r="R457">
        <f>-1155.97885860518 -1201.45943966256 -184.26488929766</f>
        <v>-2541.7031875653997</v>
      </c>
      <c r="S457" t="s">
        <v>9295</v>
      </c>
      <c r="T457" t="s">
        <v>9296</v>
      </c>
      <c r="U457" t="s">
        <v>9297</v>
      </c>
      <c r="V457">
        <f>-1085.89321676276 -1384.14130118757 -184.736664927631</f>
        <v>-2654.7711828779611</v>
      </c>
      <c r="W457" t="s">
        <v>9298</v>
      </c>
      <c r="X457" t="s">
        <v>9299</v>
      </c>
      <c r="Y457" t="s">
        <v>9300</v>
      </c>
    </row>
    <row r="458" spans="1:25" x14ac:dyDescent="0.3">
      <c r="A458">
        <v>22850</v>
      </c>
      <c r="B458" t="s">
        <v>9301</v>
      </c>
      <c r="C458">
        <f>-1123.78900430393 -1294.25721209356 -185.284508257559</f>
        <v>-2603.3307246550489</v>
      </c>
      <c r="D458">
        <f>-1130.94988941556 -1296.43564807893 -306.163803263652</f>
        <v>-2733.5493407581416</v>
      </c>
      <c r="E458">
        <f>-1110.20903178385 -1318.48899915066 -423.526543589968</f>
        <v>-2852.2245745244782</v>
      </c>
      <c r="F458">
        <f>-1080.35794179921 -1345.72675057588 -525.319808042026</f>
        <v>-2951.4045004171162</v>
      </c>
      <c r="G458">
        <f>-1039.89351485969 -1379.76396269348 -621.230995798931</f>
        <v>-3040.8884733521008</v>
      </c>
      <c r="H458">
        <f>-973.064066486987 -1433.60096076558 -747.069852996415</f>
        <v>-3153.7348802489823</v>
      </c>
      <c r="I458">
        <f>-900.169273988563 -1455.46432847365 -814.829170645663</f>
        <v>-3170.4627731078763</v>
      </c>
      <c r="J458">
        <f>-1011.65502938624 -1383.77659983282 -707.305686958018</f>
        <v>-3102.7373161770784</v>
      </c>
      <c r="K458">
        <f>-1039.88892036831 -1248.23213851291 -756.889569091946</f>
        <v>-3045.0106279731663</v>
      </c>
      <c r="L458">
        <f>-1189.36068508504 -1147.72552521422 -496.615142557928</f>
        <v>-2833.7013528571874</v>
      </c>
      <c r="M458">
        <f>-1255.2028738796 -1141.41663090935 -245.085725650538</f>
        <v>-2641.7052304394879</v>
      </c>
      <c r="N458">
        <f>-993.613025618865 -1435.78292377593 -675.474413417799</f>
        <v>-3104.8703628125941</v>
      </c>
      <c r="O458">
        <f>-971.171024969682 -1549.50178440893 -584.97822041078</f>
        <v>-3105.6510297893919</v>
      </c>
      <c r="P458">
        <f>-1133.67239538428 -1496.49571643263 -318.576519524386</f>
        <v>-2948.7446313412961</v>
      </c>
      <c r="Q458">
        <f>-1182.07047682278 -1336.88327776171 -119.018066575227</f>
        <v>-2637.9718211597165</v>
      </c>
      <c r="R458">
        <f>-1157.45032749962 -1202.82887647506 -184.178453199928</f>
        <v>-2544.4576571746079</v>
      </c>
      <c r="S458" t="s">
        <v>9302</v>
      </c>
      <c r="T458" t="s">
        <v>9303</v>
      </c>
      <c r="U458" t="s">
        <v>9304</v>
      </c>
      <c r="V458">
        <f>-1089.9120444358 -1385.94378823725 -185.232111504066</f>
        <v>-2661.0879441771158</v>
      </c>
      <c r="W458" t="s">
        <v>9305</v>
      </c>
      <c r="X458" t="s">
        <v>9306</v>
      </c>
      <c r="Y458" t="s">
        <v>9307</v>
      </c>
    </row>
    <row r="459" spans="1:25" x14ac:dyDescent="0.3">
      <c r="A459">
        <v>22900</v>
      </c>
      <c r="B459" t="s">
        <v>9308</v>
      </c>
      <c r="C459">
        <f>-1124.24152670063 -1294.32443117872 -185.416543685447</f>
        <v>-2603.9825015647971</v>
      </c>
      <c r="D459">
        <f>-1130.90257899769 -1296.46434114186 -306.325057626464</f>
        <v>-2733.6919777660137</v>
      </c>
      <c r="E459">
        <f>-1109.90679556822 -1318.79648847081 -423.58971111001</f>
        <v>-2852.2929951490401</v>
      </c>
      <c r="F459">
        <f>-1079.93035356547 -1346.41322119325 -525.243948990359</f>
        <v>-2951.5875237490791</v>
      </c>
      <c r="G459">
        <f>-1039.44758354719 -1380.95230102544 -620.967707314349</f>
        <v>-3041.367591886979</v>
      </c>
      <c r="H459">
        <f>-972.704415191373 -1435.61030571775 -746.497969723387</f>
        <v>-3154.8126906325101</v>
      </c>
      <c r="I459">
        <f>-899.79344865448 -1458.06299238068 -814.046876473401</f>
        <v>-3171.903317508561</v>
      </c>
      <c r="J459">
        <f>-1011.01137325049 -1385.3913003734 -706.956304563407</f>
        <v>-3103.358978187297</v>
      </c>
      <c r="K459">
        <f>-1038.07160216685 -1249.68283351273 -756.82516489151</f>
        <v>-3044.5796005710899</v>
      </c>
      <c r="L459">
        <f>-1186.04419457267 -1148.38952901786 -495.999448472128</f>
        <v>-2830.4331720626578</v>
      </c>
      <c r="M459">
        <f>-1249.81296609373 -1141.17756029837 -243.960586472104</f>
        <v>-2634.9511128642039</v>
      </c>
      <c r="N459">
        <f>-993.461057710563 -1437.4603628082 -674.953225640958</f>
        <v>-3105.8746461597207</v>
      </c>
      <c r="O459">
        <f>-971.935632362682 -1551.00018470303 -584.042306040513</f>
        <v>-3106.9781231062252</v>
      </c>
      <c r="P459">
        <f>-1133.37856220713 -1496.5697537856 -317.284483112956</f>
        <v>-2947.2327991056859</v>
      </c>
      <c r="Q459">
        <f>-1176.88312854019 -1338.99065640536 -115.001967442753</f>
        <v>-2630.8757523883032</v>
      </c>
      <c r="R459">
        <f>-1157.27587711334 -1202.98538343913 -184.146273161728</f>
        <v>-2544.4075337141981</v>
      </c>
      <c r="S459" t="s">
        <v>9309</v>
      </c>
      <c r="T459" t="s">
        <v>9310</v>
      </c>
      <c r="U459" t="s">
        <v>9311</v>
      </c>
      <c r="V459">
        <f>-1090.83261428633 -1386.12106184061 -185.3011203033</f>
        <v>-2662.2547964302403</v>
      </c>
      <c r="W459" t="s">
        <v>9312</v>
      </c>
      <c r="X459" t="s">
        <v>9313</v>
      </c>
      <c r="Y459" t="s">
        <v>9314</v>
      </c>
    </row>
    <row r="460" spans="1:25" x14ac:dyDescent="0.3">
      <c r="A460">
        <v>22950</v>
      </c>
      <c r="B460" t="s">
        <v>9315</v>
      </c>
      <c r="C460">
        <f>-1123.38799031682 -1294.44335878732 -185.142410701008</f>
        <v>-2602.9737598051479</v>
      </c>
      <c r="D460">
        <f>-1129.34878361245 -1296.32794751355 -306.091767417578</f>
        <v>-2731.7684985435781</v>
      </c>
      <c r="E460">
        <f>-1108.01232503362 -1319.10453042856 -423.20939171754</f>
        <v>-2850.3262471797198</v>
      </c>
      <c r="F460">
        <f>-1077.90563226088 -1347.42992841013 -524.629732902886</f>
        <v>-2949.9652935738959</v>
      </c>
      <c r="G460">
        <f>-1037.48906488007 -1382.98997881152 -620.007116612078</f>
        <v>-3040.4861603036679</v>
      </c>
      <c r="H460">
        <f>-971.058035870406 -1439.39482318667 -744.928881065467</f>
        <v>-3155.3817401225433</v>
      </c>
      <c r="I460">
        <f>-898.214025665644 -1463.20048747016 -812.085527862212</f>
        <v>-3173.5000409980162</v>
      </c>
      <c r="J460">
        <f>-1008.60594176608 -1388.28861827657 -705.797786884707</f>
        <v>-3102.692346927357</v>
      </c>
      <c r="K460">
        <f>-1032.49100017868 -1252.14178428375 -756.017508901366</f>
        <v>-3040.6502933637962</v>
      </c>
      <c r="L460">
        <f>-1177.85255708073 -1148.10094778579 -494.805540423713</f>
        <v>-2820.7590452902332</v>
      </c>
      <c r="M460">
        <f>-1238.61053274309 -1139.69316088448 -242.060835821406</f>
        <v>-2620.3645294489761</v>
      </c>
      <c r="N460">
        <f>-992.297454491189 -1440.58623146235 -673.511759058001</f>
        <v>-3106.3954450115398</v>
      </c>
      <c r="O460">
        <f>-972.938690285739 -1554.13016261477 -582.079802488806</f>
        <v>-3109.1486553893146</v>
      </c>
      <c r="P460">
        <f>-1130.77455108745 -1496.45798223927 -313.848632985158</f>
        <v>-2941.081166311878</v>
      </c>
      <c r="Q460">
        <f>-1162.97394908024 -1341.49671790258 -107.469639996261</f>
        <v>-2611.940306979081</v>
      </c>
      <c r="R460">
        <f>-1156.19927467123 -1202.29816344956 -184.040672647052</f>
        <v>-2542.5381107678418</v>
      </c>
      <c r="S460" t="s">
        <v>9316</v>
      </c>
      <c r="T460" t="s">
        <v>9317</v>
      </c>
      <c r="U460" t="s">
        <v>9318</v>
      </c>
      <c r="V460">
        <f>-1090.90014038037 -1386.67380572924 -185.20743767854</f>
        <v>-2662.7813837881499</v>
      </c>
      <c r="W460" t="s">
        <v>9319</v>
      </c>
      <c r="X460" t="s">
        <v>9320</v>
      </c>
      <c r="Y460" t="s">
        <v>9321</v>
      </c>
    </row>
    <row r="461" spans="1:25" x14ac:dyDescent="0.3">
      <c r="A461">
        <v>23000</v>
      </c>
      <c r="B461" t="s">
        <v>9322</v>
      </c>
      <c r="C461">
        <f>-1122.10966112118 -1294.56724286173 -184.796068137253</f>
        <v>-2601.4729721201625</v>
      </c>
      <c r="D461">
        <f>-1128.3848292966 -1296.08852785007 -305.734572909149</f>
        <v>-2730.2079300558189</v>
      </c>
      <c r="E461">
        <f>-1107.40114026822 -1318.94163635141 -422.901047886479</f>
        <v>-2849.2438245061089</v>
      </c>
      <c r="F461">
        <f>-1077.63905692519 -1347.52953231219 -524.349612612444</f>
        <v>-2949.518201849824</v>
      </c>
      <c r="G461">
        <f>-1037.60255517144 -1383.54749015264 -619.715366377919</f>
        <v>-3040.8654117019987</v>
      </c>
      <c r="H461">
        <f>-971.746817868542 -1440.79153776186 -744.559887563862</f>
        <v>-3157.0982431942639</v>
      </c>
      <c r="I461">
        <f>-899.076679094247 -1465.36149704805 -811.629610525309</f>
        <v>-3176.067786667606</v>
      </c>
      <c r="J461">
        <f>-1008.73272903642 -1389.23406855452 -705.485716177555</f>
        <v>-3103.452513768495</v>
      </c>
      <c r="K461">
        <f>-1030.80400601451 -1252.79391428751 -755.715252771142</f>
        <v>-3039.3131730731616</v>
      </c>
      <c r="L461">
        <f>-1174.53345617587 -1146.89313762911 -494.347672781489</f>
        <v>-2815.7742665864694</v>
      </c>
      <c r="M461">
        <f>-1234.38880734135 -1138.90577345076 -241.374139837615</f>
        <v>-2614.6687206297252</v>
      </c>
      <c r="N461">
        <f>-993.039123819533 -1441.69157062327 -673.154261897645</f>
        <v>-3107.8849563404478</v>
      </c>
      <c r="O461">
        <f>-974.64076349686 -1555.29805522275 -581.629427681009</f>
        <v>-3111.568246400619</v>
      </c>
      <c r="P461">
        <f>-1130.25983945353 -1496.66220317556 -312.31420842376</f>
        <v>-2939.2362510528505</v>
      </c>
      <c r="Q461">
        <f>-1158.49316833896 -1342.06484624099 -105.083434685794</f>
        <v>-2605.6414492657441</v>
      </c>
      <c r="R461">
        <f>-1154.20140742446 -1201.69805729811 -183.824811705685</f>
        <v>-2539.7242764282551</v>
      </c>
      <c r="S461" t="s">
        <v>9323</v>
      </c>
      <c r="T461" t="s">
        <v>9324</v>
      </c>
      <c r="U461" t="s">
        <v>9325</v>
      </c>
      <c r="V461">
        <f>-1090.30580982711 -1387.13747605515 -185.18145330947</f>
        <v>-2662.62473919173</v>
      </c>
      <c r="W461" t="s">
        <v>9326</v>
      </c>
      <c r="X461" t="s">
        <v>9327</v>
      </c>
      <c r="Y461" t="s">
        <v>9328</v>
      </c>
    </row>
    <row r="462" spans="1:25" x14ac:dyDescent="0.3">
      <c r="A462">
        <v>23050</v>
      </c>
      <c r="B462" t="s">
        <v>9329</v>
      </c>
      <c r="C462">
        <f>-1119.03051353903 -1295.50869859075 -184.53967055884</f>
        <v>-2599.0788826886201</v>
      </c>
      <c r="D462">
        <f>-1126.01560436853 -1296.14230928847 -305.447181656986</f>
        <v>-2727.6050953139857</v>
      </c>
      <c r="E462">
        <f>-1105.6961320885 -1318.86523518143 -422.756004059951</f>
        <v>-2847.3173713298811</v>
      </c>
      <c r="F462">
        <f>-1076.52941404062 -1347.66524855923 -524.317262608517</f>
        <v>-2948.5119252083668</v>
      </c>
      <c r="G462">
        <f>-1037.10001427834 -1384.22505589388 -619.729947636535</f>
        <v>-3041.0550178087551</v>
      </c>
      <c r="H462">
        <f>-972.119097307159 -1442.5602738057 -744.527647956919</f>
        <v>-3159.2070190697777</v>
      </c>
      <c r="I462">
        <f>-899.661331143873 -1468.48723323657 -811.315759299938</f>
        <v>-3179.4643236803813</v>
      </c>
      <c r="J462">
        <f>-1008.18269235963 -1390.3532665518 -705.453788404483</f>
        <v>-3103.9897473159131</v>
      </c>
      <c r="K462">
        <f>-1026.96708329188 -1253.16592037251 -755.027860344607</f>
        <v>-3035.1608640089971</v>
      </c>
      <c r="L462">
        <f>-1166.29800090411 -1143.80296682965 -492.705885063852</f>
        <v>-2802.8068527976116</v>
      </c>
      <c r="M462">
        <f>-1224.12606556339 -1136.11589643798 -239.252031362268</f>
        <v>-2599.4939933636379</v>
      </c>
      <c r="N462">
        <f>-993.559600169439 -1443.14420285645 -673.163169960813</f>
        <v>-3109.866972986702</v>
      </c>
      <c r="O462">
        <f>-976.885597041434 -1556.61362642325 -581.153549974161</f>
        <v>-3114.6527734388455</v>
      </c>
      <c r="P462">
        <f>-1129.57408962199 -1495.91796523979 -310.619900080955</f>
        <v>-2936.1119549427353</v>
      </c>
      <c r="Q462">
        <f>-1153.34758076754 -1340.95123415476 -103.105515419439</f>
        <v>-2597.4043303417393</v>
      </c>
      <c r="R462">
        <f>-1148.47837328596 -1201.73227202797 -183.906781712374</f>
        <v>-2534.1174270263045</v>
      </c>
      <c r="S462" t="s">
        <v>9330</v>
      </c>
      <c r="T462" t="s">
        <v>9331</v>
      </c>
      <c r="U462" t="s">
        <v>9332</v>
      </c>
      <c r="V462">
        <f>-1088.59832599543 -1388.66913290821 -185.262800494223</f>
        <v>-2662.5302593978631</v>
      </c>
      <c r="W462" t="s">
        <v>9333</v>
      </c>
      <c r="X462" t="s">
        <v>9334</v>
      </c>
      <c r="Y462" t="s">
        <v>9335</v>
      </c>
    </row>
    <row r="463" spans="1:25" x14ac:dyDescent="0.3">
      <c r="A463">
        <v>23100</v>
      </c>
      <c r="B463" t="s">
        <v>9336</v>
      </c>
      <c r="C463">
        <f>-1117.89129731781 -1296.18551627921 -184.610666726714</f>
        <v>-2598.6874803237342</v>
      </c>
      <c r="D463">
        <f>-1124.95942940235 -1296.72106994799 -305.51369905831</f>
        <v>-2727.1941984086502</v>
      </c>
      <c r="E463">
        <f>-1104.7104731889 -1319.55504167493 -422.813192422027</f>
        <v>-2847.078707285857</v>
      </c>
      <c r="F463">
        <f>-1075.61110796287 -1348.54537718792 -524.339716189916</f>
        <v>-2948.4962013407062</v>
      </c>
      <c r="G463">
        <f>-1036.26043435601 -1385.38399067596 -619.677477137802</f>
        <v>-3041.3219021697723</v>
      </c>
      <c r="H463">
        <f>-971.408792267759 -1444.19652825068 -744.318377333735</f>
        <v>-3159.923697852174</v>
      </c>
      <c r="I463">
        <f>-899.027051156532 -1470.74044555497 -810.946429820423</f>
        <v>-3180.7139265319247</v>
      </c>
      <c r="J463">
        <f>-1007.15741305386 -1391.71432949598 -705.323821098309</f>
        <v>-3104.1955636481489</v>
      </c>
      <c r="K463">
        <f>-1024.57486746302 -1254.23837486445 -754.664110859443</f>
        <v>-3033.4773531869132</v>
      </c>
      <c r="L463">
        <f>-1161.14442186346 -1143.46520174608 -491.483017091648</f>
        <v>-2796.092640701188</v>
      </c>
      <c r="M463">
        <f>-1218.03201159013 -1135.40807956674 -237.827919188855</f>
        <v>-2591.2680103457251</v>
      </c>
      <c r="N463">
        <f>-993.049874476685 -1444.63327478679 -673.013529126018</f>
        <v>-3110.6966783894932</v>
      </c>
      <c r="O463">
        <f>-977.271797947043 -1558.00572853833 -580.751256788868</f>
        <v>-3116.0287832742411</v>
      </c>
      <c r="P463">
        <f>-1128.61164467825 -1496.82919778788 -309.568919919079</f>
        <v>-2935.0097623852089</v>
      </c>
      <c r="Q463">
        <f>-1150.37647336716 -1341.00401520271 -102.477523623681</f>
        <v>-2593.8580121935511</v>
      </c>
      <c r="R463">
        <f>-1147.90977066524 -1202.65990638702 -183.745902076644</f>
        <v>-2534.3155791289041</v>
      </c>
      <c r="S463" t="s">
        <v>9337</v>
      </c>
      <c r="T463" t="s">
        <v>9338</v>
      </c>
      <c r="U463" t="s">
        <v>9339</v>
      </c>
      <c r="V463">
        <f>-1087.81887976347 -1389.61597140461 -185.260568440813</f>
        <v>-2662.6954196088932</v>
      </c>
      <c r="W463" t="s">
        <v>9340</v>
      </c>
      <c r="X463" t="s">
        <v>9341</v>
      </c>
      <c r="Y463" t="s">
        <v>9342</v>
      </c>
    </row>
    <row r="464" spans="1:25" x14ac:dyDescent="0.3">
      <c r="A464">
        <v>23150</v>
      </c>
      <c r="B464" t="s">
        <v>9343</v>
      </c>
      <c r="C464">
        <f>-1115.70712985428 -1296.95200329633 -184.437902736678</f>
        <v>-2597.0970358872883</v>
      </c>
      <c r="D464">
        <f>-1123.32045441954 -1297.86913525774 -305.305544107577</f>
        <v>-2726.4951337848574</v>
      </c>
      <c r="E464">
        <f>-1103.28432477342 -1321.13285131833 -422.557053211496</f>
        <v>-2846.9742293032459</v>
      </c>
      <c r="F464">
        <f>-1074.25289122103 -1350.52724196702 -523.986912220494</f>
        <v>-2948.7670454085442</v>
      </c>
      <c r="G464">
        <f>-1034.85977797589 -1387.77691189715 -619.147144777324</f>
        <v>-3041.783834650364</v>
      </c>
      <c r="H464">
        <f>-969.850288092083 -1447.15969307662 -743.434966612919</f>
        <v>-3160.4449477816224</v>
      </c>
      <c r="I464">
        <f>-897.443211241441 -1474.42363435503 -809.743928651468</f>
        <v>-3181.6107742479389</v>
      </c>
      <c r="J464">
        <f>-1005.15482047687 -1394.27956373713 -704.573772615647</f>
        <v>-3104.0081568296473</v>
      </c>
      <c r="K464">
        <f>-1019.941534043 -1256.41232591256 -753.457293351692</f>
        <v>-3029.811153307252</v>
      </c>
      <c r="L464">
        <f>-1151.17106692362 -1144.50544019295 -488.048556951613</f>
        <v>-2783.7250640681832</v>
      </c>
      <c r="M464">
        <f>-1205.01456809684 -1135.33305904017 -233.767574893892</f>
        <v>-2574.1152020309019</v>
      </c>
      <c r="N464">
        <f>-992.075120300267 -1447.48974552646 -672.309281399805</f>
        <v>-3111.8741472265319</v>
      </c>
      <c r="O464">
        <f>-978.252164847791 -1560.76807016687 -579.548835427265</f>
        <v>-3118.5690704419258</v>
      </c>
      <c r="P464">
        <f>-1126.86469008025 -1502.19235589883 -306.291658720188</f>
        <v>-2935.3487046992682</v>
      </c>
      <c r="Q464">
        <f>-1144.98681434958 -1345.44831525655 -99.5432083989114</f>
        <v>-2589.9783380050412</v>
      </c>
      <c r="R464">
        <f>-1144.68838728987 -1203.13464420516 -183.039685971003</f>
        <v>-2530.8627174660328</v>
      </c>
      <c r="S464" t="s">
        <v>9344</v>
      </c>
      <c r="T464" t="s">
        <v>9345</v>
      </c>
      <c r="U464" t="s">
        <v>9346</v>
      </c>
      <c r="V464">
        <f>-1086.84771126965 -1390.70182321794 -184.793871449684</f>
        <v>-2662.3434059372739</v>
      </c>
      <c r="W464" t="s">
        <v>9347</v>
      </c>
      <c r="X464" t="s">
        <v>9348</v>
      </c>
      <c r="Y464" t="s">
        <v>9349</v>
      </c>
    </row>
    <row r="465" spans="1:25" x14ac:dyDescent="0.3">
      <c r="A465">
        <v>23200</v>
      </c>
      <c r="B465" t="s">
        <v>9350</v>
      </c>
      <c r="C465">
        <f>-1113.76519472957 -1296.91186721717 -184.908592404227</f>
        <v>-2595.5856543509672</v>
      </c>
      <c r="D465">
        <f>-1121.17811880788 -1297.82804124648 -305.788757802142</f>
        <v>-2724.7949178565023</v>
      </c>
      <c r="E465">
        <f>-1101.03626194314 -1321.15066599473 -423.010511722447</f>
        <v>-2845.1974396603168</v>
      </c>
      <c r="F465">
        <f>-1071.95291031505 -1350.62752560229 -524.401440201106</f>
        <v>-2946.9818761184461</v>
      </c>
      <c r="G465">
        <f>-1032.55375891306 -1387.99057616216 -619.514764114162</f>
        <v>-3040.0590991893823</v>
      </c>
      <c r="H465">
        <f>-967.584693872717 -1447.56508834359 -743.731858995833</f>
        <v>-3158.8816412121405</v>
      </c>
      <c r="I465">
        <f>-895.218397919021 -1475.09515419237 -809.975474216355</f>
        <v>-3180.2890263277459</v>
      </c>
      <c r="J465">
        <f>-1002.63621026611 -1394.52109229753 -704.864934815876</f>
        <v>-3102.0222373795159</v>
      </c>
      <c r="K465">
        <f>-1015.93105912767 -1256.36552731812 -753.36850461828</f>
        <v>-3025.6650910640701</v>
      </c>
      <c r="L465">
        <f>-1144.16849772099 -1143.10548579134 -487.072741726293</f>
        <v>-2774.3467252386231</v>
      </c>
      <c r="M465">
        <f>-1196.58781912034 -1134.18915326438 -232.485224307103</f>
        <v>-2563.2621966918232</v>
      </c>
      <c r="N465">
        <f>-990.026745503157 -1447.88933644802 -672.674477613223</f>
        <v>-3110.5905595643999</v>
      </c>
      <c r="O465">
        <f>-976.969894334216 -1561.32162148144 -579.94263922668</f>
        <v>-3118.2341550423357</v>
      </c>
      <c r="P465">
        <f>-1125.19021921231 -1504.84822173922 -306.030829984832</f>
        <v>-2936.069270936362</v>
      </c>
      <c r="Q465">
        <f>-1141.90555392039 -1348.01959420354 -99.2279757177427</f>
        <v>-2589.1531238416724</v>
      </c>
      <c r="R465">
        <f>-1141.00059816965 -1202.82070560736 -183.776608610228</f>
        <v>-2527.597912387238</v>
      </c>
      <c r="S465" t="s">
        <v>9351</v>
      </c>
      <c r="T465" t="s">
        <v>9352</v>
      </c>
      <c r="U465" t="s">
        <v>9353</v>
      </c>
      <c r="V465">
        <f>-1086.08602045317 -1390.49732509419 -185.189029103022</f>
        <v>-2661.7723746503825</v>
      </c>
      <c r="W465" t="s">
        <v>9354</v>
      </c>
      <c r="X465" t="s">
        <v>9355</v>
      </c>
      <c r="Y465" t="s">
        <v>9356</v>
      </c>
    </row>
    <row r="466" spans="1:25" x14ac:dyDescent="0.3">
      <c r="A466">
        <v>23250</v>
      </c>
      <c r="B466" t="s">
        <v>9357</v>
      </c>
      <c r="C466">
        <f>-1111.10669149587 -1295.35504577611 -186.26283139423</f>
        <v>-2592.7245686662104</v>
      </c>
      <c r="D466">
        <f>-1117.59393193049 -1295.97775970495 -307.198084578679</f>
        <v>-2720.7697762141188</v>
      </c>
      <c r="E466">
        <f>-1096.87958742922 -1319.24640589671 -424.330708603635</f>
        <v>-2840.4567019295646</v>
      </c>
      <c r="F466">
        <f>-1067.47450098142 -1348.82682275875 -525.598639943871</f>
        <v>-2941.8999636840413</v>
      </c>
      <c r="G466">
        <f>-1027.97625123491 -1386.47643672423 -620.557781584918</f>
        <v>-3035.0104695440582</v>
      </c>
      <c r="H466">
        <f>-963.121955492989 -1446.66746044528 -744.537478005411</f>
        <v>-3154.3268939436803</v>
      </c>
      <c r="I466">
        <f>-890.777979686799 -1474.93434897581 -810.494504737481</f>
        <v>-3176.2068334000901</v>
      </c>
      <c r="J466">
        <f>-997.551304548703 -1393.1855396637 -705.714469631655</f>
        <v>-3096.4513138440579</v>
      </c>
      <c r="K466">
        <f>-1007.34289620075 -1254.30585845732 -753.115058085634</f>
        <v>-3014.763812743704</v>
      </c>
      <c r="L466">
        <f>-1129.44949958785 -1138.21724455624 -485.160626118903</f>
        <v>-2752.8273702629931</v>
      </c>
      <c r="M466">
        <f>-1185.21419299745 -1131.02316517064 -231.230339255364</f>
        <v>-2547.467697423454</v>
      </c>
      <c r="N466">
        <f>-986.084642795874 -1446.88405472569 -673.646215772835</f>
        <v>-3106.6149132943992</v>
      </c>
      <c r="O466">
        <f>-975.309010377723 -1560.8075116264 -581.303702584138</f>
        <v>-3117.4202245882611</v>
      </c>
      <c r="P466">
        <f>-1123.79896602816 -1508.39343473936 -306.731848999346</f>
        <v>-2938.9242497668656</v>
      </c>
      <c r="Q466">
        <f>-1137.23543941147 -1351.08647677811 -100.053227383907</f>
        <v>-2588.3751435734871</v>
      </c>
      <c r="R466">
        <f>-1137.5337190415 -1201.50116168625 -185.281592006512</f>
        <v>-2524.3164727342619</v>
      </c>
      <c r="S466" t="s">
        <v>9358</v>
      </c>
      <c r="T466" t="s">
        <v>9359</v>
      </c>
      <c r="U466" t="s">
        <v>9360</v>
      </c>
      <c r="V466">
        <f>-1084.76714645145 -1389.05715525092 -186.522628430366</f>
        <v>-2660.3469301327359</v>
      </c>
      <c r="W466" t="s">
        <v>9361</v>
      </c>
      <c r="X466" t="s">
        <v>9362</v>
      </c>
      <c r="Y466" t="s">
        <v>9363</v>
      </c>
    </row>
    <row r="467" spans="1:25" x14ac:dyDescent="0.3">
      <c r="A467">
        <v>23300</v>
      </c>
      <c r="B467" t="s">
        <v>9364</v>
      </c>
      <c r="C467">
        <f>-1110.90579864299 -1294.70357045021 -186.73978022455</f>
        <v>-2592.3491493177503</v>
      </c>
      <c r="D467">
        <f>-1117.04913893004 -1295.11363348527 -307.693829764786</f>
        <v>-2719.8566021800962</v>
      </c>
      <c r="E467">
        <f>-1096.07455357237 -1318.330362299 -424.790508008641</f>
        <v>-2839.1954238800108</v>
      </c>
      <c r="F467">
        <f>-1066.50926520695 -1347.96940467666 -525.994551117208</f>
        <v>-2940.4732210008178</v>
      </c>
      <c r="G467">
        <f>-1026.95032643426 -1385.80479817031 -620.854632798468</f>
        <v>-3033.6097574030382</v>
      </c>
      <c r="H467">
        <f>-962.136693016009 -1446.40463284515 -744.656273298762</f>
        <v>-3153.1975991599211</v>
      </c>
      <c r="I467">
        <f>-889.79799979402 -1475.14326730219 -810.414784093687</f>
        <v>-3175.3560511898972</v>
      </c>
      <c r="J467">
        <f>-996.224557426601 -1392.66248206977 -705.89138109067</f>
        <v>-3094.7784205870412</v>
      </c>
      <c r="K467">
        <f>-1004.14807243288 -1253.51404182651 -752.774281680961</f>
        <v>-3010.4363959403508</v>
      </c>
      <c r="L467">
        <f>-1124.10146900405 -1136.41052330082 -484.289287195367</f>
        <v>-2744.8012795002369</v>
      </c>
      <c r="M467">
        <f>-1181.63395233646 -1130.02515717114 -230.732000808104</f>
        <v>-2542.3911103157043</v>
      </c>
      <c r="N467">
        <f>-985.404860574839 -1446.51969749343 -673.864334811146</f>
        <v>-3105.788892879415</v>
      </c>
      <c r="O467">
        <f>-976.113259685957 -1560.59347281079 -581.561719764253</f>
        <v>-3118.2684522609998</v>
      </c>
      <c r="P467">
        <f>-1123.72408017227 -1510.44055015516 -306.09496700244</f>
        <v>-2940.2595973298703</v>
      </c>
      <c r="Q467">
        <f>-1136.52300370585 -1352.81404370444 -99.619554544308</f>
        <v>-2588.9566019545982</v>
      </c>
      <c r="R467">
        <f>-1137.96236679619 -1200.92836938352 -185.608836798667</f>
        <v>-2524.4995729783773</v>
      </c>
      <c r="S467" t="s">
        <v>9365</v>
      </c>
      <c r="T467" t="s">
        <v>9366</v>
      </c>
      <c r="U467" t="s">
        <v>9367</v>
      </c>
      <c r="V467">
        <f>-1084.4697156975 -1388.50243651964 -187.122647470076</f>
        <v>-2660.0947996872164</v>
      </c>
      <c r="W467" t="s">
        <v>9368</v>
      </c>
      <c r="X467" t="s">
        <v>9369</v>
      </c>
      <c r="Y467" t="s">
        <v>9370</v>
      </c>
    </row>
    <row r="468" spans="1:25" x14ac:dyDescent="0.3">
      <c r="A468">
        <v>23350</v>
      </c>
      <c r="B468" t="s">
        <v>9371</v>
      </c>
      <c r="C468">
        <f>-1112.21446701077 -1294.12721168665 -187.35287227309</f>
        <v>-2593.6945509705101</v>
      </c>
      <c r="D468">
        <f>-1118.05465362712 -1294.38410573236 -308.322353577119</f>
        <v>-2720.7611129365991</v>
      </c>
      <c r="E468">
        <f>-1096.52096415204 -1317.61549717439 -425.314563024421</f>
        <v>-2839.4510243508512</v>
      </c>
      <c r="F468">
        <f>-1066.43018978951 -1347.40061187508 -526.320684570652</f>
        <v>-2940.1514862352415</v>
      </c>
      <c r="G468">
        <f>-1026.38238369255 -1385.54724131526 -620.850464728774</f>
        <v>-3032.7800897365842</v>
      </c>
      <c r="H468">
        <f>-960.981173731024 -1446.77732041295 -744.031439057074</f>
        <v>-3151.7899332010479</v>
      </c>
      <c r="I468">
        <f>-888.571495732056 -1476.44136626419 -809.299074897414</f>
        <v>-3174.31193689366</v>
      </c>
      <c r="J468">
        <f>-994.759297664571 -1392.64605739545 -705.537706956173</f>
        <v>-3092.9430620161938</v>
      </c>
      <c r="K468">
        <f>-999.197202847907 -1252.87761336694 -751.070227803574</f>
        <v>-3003.1450440184208</v>
      </c>
      <c r="L468">
        <f>-1118.15574271286 -1133.38637869995 -483.195478339798</f>
        <v>-2734.7375997526078</v>
      </c>
      <c r="M468">
        <f>-1180.06133687255 -1129.46910912726 -230.620064676957</f>
        <v>-2540.1505106767672</v>
      </c>
      <c r="N468">
        <f>-985.079051808917 -1446.72374194988 -673.517512471113</f>
        <v>-3105.3203062299099</v>
      </c>
      <c r="O468">
        <f>-978.1876792864 -1560.8957804519 -581.096250668876</f>
        <v>-3120.1797104071761</v>
      </c>
      <c r="P468">
        <f>-1125.77956246742 -1513.39036858323 -305.15035646771</f>
        <v>-2944.3202875183601</v>
      </c>
      <c r="Q468">
        <f>-1138.60294990093 -1354.83511395897 -99.3887960558658</f>
        <v>-2592.8268599157659</v>
      </c>
      <c r="R468">
        <f>-1139.85341291494 -1200.44103310286 -185.970377307809</f>
        <v>-2526.2648233256091</v>
      </c>
      <c r="S468" t="s">
        <v>9372</v>
      </c>
      <c r="T468" t="s">
        <v>9373</v>
      </c>
      <c r="U468" t="s">
        <v>9374</v>
      </c>
      <c r="V468">
        <f>-1084.5779227273 -1388.12990423107 -187.890371214884</f>
        <v>-2660.5981981732539</v>
      </c>
      <c r="W468" t="s">
        <v>9375</v>
      </c>
      <c r="X468" t="s">
        <v>9376</v>
      </c>
      <c r="Y468" t="s">
        <v>9377</v>
      </c>
    </row>
    <row r="469" spans="1:25" x14ac:dyDescent="0.3">
      <c r="A469">
        <v>23400</v>
      </c>
      <c r="B469" t="s">
        <v>9378</v>
      </c>
      <c r="C469">
        <f>-1112.78878143316 -1294.30301792149 -187.557602159008</f>
        <v>-2594.6494015136582</v>
      </c>
      <c r="D469">
        <f>-1118.53884732122 -1294.63489184498 -308.531334428235</f>
        <v>-2721.7050735944349</v>
      </c>
      <c r="E469">
        <f>-1096.61532325033 -1317.89384017256 -425.445467974606</f>
        <v>-2839.9546313974961</v>
      </c>
      <c r="F469">
        <f>-1066.08437833958 -1347.70150586538 -526.312960115506</f>
        <v>-2940.098844320466</v>
      </c>
      <c r="G469">
        <f>-1025.53396148546 -1385.87580234662 -620.61685336271</f>
        <v>-3032.0266171947901</v>
      </c>
      <c r="H469">
        <f>-959.394947243073 -1447.15500851668 -743.37876931266</f>
        <v>-3149.9287250724133</v>
      </c>
      <c r="I469">
        <f>-886.809685886282 -1477.17869281375 -808.285892288434</f>
        <v>-3172.274270988466</v>
      </c>
      <c r="J469">
        <f>-993.3241816097 -1392.9782538296 -705.082466502993</f>
        <v>-3091.3849019422933</v>
      </c>
      <c r="K469">
        <f>-996.696066832445 -1253.00361588799 -749.968046460182</f>
        <v>-2999.6677291806168</v>
      </c>
      <c r="L469">
        <f>-1115.41104268538 -1132.68725454233 -482.354705996465</f>
        <v>-2730.4530032241746</v>
      </c>
      <c r="M469">
        <f>-1178.48715793534 -1129.39061662105 -230.060093893753</f>
        <v>-2537.9378684501435</v>
      </c>
      <c r="N469">
        <f>-983.994665992904 -1447.10346045932 -673.038348935897</f>
        <v>-3104.1364753881212</v>
      </c>
      <c r="O469">
        <f>-977.713012012403 -1561.32234825449 -580.626405463596</f>
        <v>-3119.6617657304987</v>
      </c>
      <c r="P469">
        <f>-1126.18545210171 -1514.65772080518 -305.009811329905</f>
        <v>-2945.8529842367948</v>
      </c>
      <c r="Q469">
        <f>-1139.48528691953 -1355.41472935073 -99.8103029886059</f>
        <v>-2594.7103192588661</v>
      </c>
      <c r="R469">
        <f>-1140.70576018357 -1200.56606383978 -186.250997669222</f>
        <v>-2527.5228216925716</v>
      </c>
      <c r="S469" t="s">
        <v>9379</v>
      </c>
      <c r="T469" t="s">
        <v>9380</v>
      </c>
      <c r="U469" t="s">
        <v>9381</v>
      </c>
      <c r="V469">
        <f>-1084.63539278339 -1388.3197694094 -188.072009206856</f>
        <v>-2661.0271713996458</v>
      </c>
      <c r="W469" t="s">
        <v>9382</v>
      </c>
      <c r="X469" t="s">
        <v>9383</v>
      </c>
      <c r="Y469" t="s">
        <v>9384</v>
      </c>
    </row>
    <row r="470" spans="1:25" x14ac:dyDescent="0.3">
      <c r="A470">
        <v>23450</v>
      </c>
      <c r="B470" t="s">
        <v>9385</v>
      </c>
      <c r="C470">
        <f>-1113.72188718838 -1294.81480350688 -187.853999655868</f>
        <v>-2596.3906903511279</v>
      </c>
      <c r="D470">
        <f>-1119.31735068292 -1295.31476223766 -308.834406765966</f>
        <v>-2723.4665196865458</v>
      </c>
      <c r="E470">
        <f>-1096.62745207167 -1318.58753391693 -425.599651916365</f>
        <v>-2840.8146379049649</v>
      </c>
      <c r="F470">
        <f>-1065.20441491112 -1348.3593091021 -526.203269370688</f>
        <v>-2939.7669933839079</v>
      </c>
      <c r="G470">
        <f>-1023.60203188187 -1386.45455392053 -620.079973989368</f>
        <v>-3030.1365597917684</v>
      </c>
      <c r="H470">
        <f>-955.875549145491 -1447.58102407676 -742.049974692254</f>
        <v>-3145.5065479145051</v>
      </c>
      <c r="I470">
        <f>-882.793062864891 -1478.12730423362 -806.15030914498</f>
        <v>-3167.0706762434907</v>
      </c>
      <c r="J470">
        <f>-990.353604173916 -1393.4726301441 -704.149341462643</f>
        <v>-3087.9755757806588</v>
      </c>
      <c r="K470">
        <f>-992.664921898084 -1253.09030061244 -747.887856461082</f>
        <v>-2993.643078971606</v>
      </c>
      <c r="L470">
        <f>-1109.25267193566 -1131.11716173942 -480.089459568469</f>
        <v>-2720.4592932435489</v>
      </c>
      <c r="M470">
        <f>-1172.35677063543 -1127.23217151314 -227.810187530654</f>
        <v>-2527.3991296792237</v>
      </c>
      <c r="N470">
        <f>-981.331201837586 -1447.59629554925 -672.014745924372</f>
        <v>-3100.9422433112081</v>
      </c>
      <c r="O470">
        <f>-975.351261858398 -1561.84700411365 -579.614941784539</f>
        <v>-3116.813207756587</v>
      </c>
      <c r="P470">
        <f>-1126.3389564478 -1516.52074060006 -305.143827178847</f>
        <v>-2948.0035242267072</v>
      </c>
      <c r="Q470">
        <f>-1141.30495372118 -1356.33797146561 -100.792288636299</f>
        <v>-2598.4352138230893</v>
      </c>
      <c r="R470">
        <f>-1142.56765323333 -1200.93438764802 -186.612217294254</f>
        <v>-2530.1142581756039</v>
      </c>
      <c r="S470" t="s">
        <v>9386</v>
      </c>
      <c r="T470" t="s">
        <v>9387</v>
      </c>
      <c r="U470" t="s">
        <v>9388</v>
      </c>
      <c r="V470">
        <f>-1084.88805639746 -1388.71825120839 -188.321640338309</f>
        <v>-2661.9279479441589</v>
      </c>
      <c r="W470" t="s">
        <v>9389</v>
      </c>
      <c r="X470" t="s">
        <v>9390</v>
      </c>
      <c r="Y470" t="s">
        <v>9391</v>
      </c>
    </row>
    <row r="471" spans="1:25" x14ac:dyDescent="0.3">
      <c r="A471">
        <v>23500</v>
      </c>
      <c r="B471" t="s">
        <v>9392</v>
      </c>
      <c r="C471">
        <f>-1114.42142568114 -1295.129891638 -187.948138278915</f>
        <v>-2597.4994555980547</v>
      </c>
      <c r="D471">
        <f>-1120.02139948966 -1295.73828815919 -308.927756570953</f>
        <v>-2724.6874442198032</v>
      </c>
      <c r="E471">
        <f>-1097.05375652401 -1319.00260651265 -425.640356408329</f>
        <v>-2841.6967194449885</v>
      </c>
      <c r="F471">
        <f>-1065.283482878 -1348.72554157821 -526.149291316489</f>
        <v>-2940.1583157726986</v>
      </c>
      <c r="G471">
        <f>-1023.25301546379 -1386.73366783305 -619.870561224291</f>
        <v>-3029.8572445211312</v>
      </c>
      <c r="H471">
        <f>-954.863667841131 -1447.70113853018 -741.549934583212</f>
        <v>-3144.1147409545229</v>
      </c>
      <c r="I471">
        <f>-881.526962932325 -1478.33594135945 -805.316838684635</f>
        <v>-3165.1797429764101</v>
      </c>
      <c r="J471">
        <f>-989.619576443375 -1393.66976898555 -703.793370922466</f>
        <v>-3087.0827163513914</v>
      </c>
      <c r="K471">
        <f>-991.708638703273 -1253.13103422106 -747.008072435847</f>
        <v>-2991.8477453601799</v>
      </c>
      <c r="L471">
        <f>-1107.00936510057 -1130.62439266668 -478.895996230282</f>
        <v>-2716.5297539975322</v>
      </c>
      <c r="M471">
        <f>-1169.45559306876 -1126.41043744749 -226.458361790799</f>
        <v>-2522.324392307049</v>
      </c>
      <c r="N471">
        <f>-980.628060230974 -1447.78007547063 -671.627721339773</f>
        <v>-3100.0358570413769</v>
      </c>
      <c r="O471">
        <f>-974.595271454597 -1561.99737207135 -579.198445882806</f>
        <v>-3115.7910894087531</v>
      </c>
      <c r="P471">
        <f>-1126.65872048023 -1516.98832084094 -305.269444911954</f>
        <v>-2948.916486233124</v>
      </c>
      <c r="Q471">
        <f>-1142.25154998866 -1356.49076795422 -101.211950927427</f>
        <v>-2599.9542688703068</v>
      </c>
      <c r="R471">
        <f>-1143.77493798694 -1201.45022488872 -186.712059305029</f>
        <v>-2531.9372221806889</v>
      </c>
      <c r="S471" t="s">
        <v>9393</v>
      </c>
      <c r="T471" t="s">
        <v>9394</v>
      </c>
      <c r="U471" t="s">
        <v>9395</v>
      </c>
      <c r="V471">
        <f>-1085.17365801165 -1388.91545990309 -188.382232186018</f>
        <v>-2662.4713501007582</v>
      </c>
      <c r="W471" t="s">
        <v>9396</v>
      </c>
      <c r="X471" t="s">
        <v>9397</v>
      </c>
      <c r="Y471" t="s">
        <v>9398</v>
      </c>
    </row>
    <row r="472" spans="1:25" x14ac:dyDescent="0.3">
      <c r="A472">
        <v>23550</v>
      </c>
      <c r="B472" t="s">
        <v>9399</v>
      </c>
      <c r="C472">
        <f>-1116.38242282955 -1295.77260956977 -187.954828798929</f>
        <v>-2600.1098611982493</v>
      </c>
      <c r="D472">
        <f>-1121.9662174734 -1296.47898329432 -308.934697671143</f>
        <v>-2727.3798984388632</v>
      </c>
      <c r="E472">
        <f>-1098.4356677122 -1319.6398909323 -425.555740691582</f>
        <v>-2843.6312993360821</v>
      </c>
      <c r="F472">
        <f>-1065.97342091173 -1349.20370840449 -525.890285087595</f>
        <v>-2941.0674144038148</v>
      </c>
      <c r="G472">
        <f>-1023.09995658967 -1386.99529958941 -619.316897090556</f>
        <v>-3029.4121532696363</v>
      </c>
      <c r="H472">
        <f>-953.415632974375 -1447.60710029945 -740.437830840026</f>
        <v>-3141.460564113851</v>
      </c>
      <c r="I472">
        <f>-879.573940297117 -1478.22559385974 -803.627145460913</f>
        <v>-3161.4266796177699</v>
      </c>
      <c r="J472">
        <f>-988.725559718773 -1393.74527939231 -702.954058666693</f>
        <v>-3085.4248977777761</v>
      </c>
      <c r="K472">
        <f>-990.553869916624 -1253.02904224057 -745.658291918553</f>
        <v>-2989.2412040757472</v>
      </c>
      <c r="L472">
        <f>-1103.89067972558 -1129.4204361699 -477.214840240411</f>
        <v>-2710.5259561358907</v>
      </c>
      <c r="M472">
        <f>-1166.40509721026 -1125.11534126957 -224.795619547034</f>
        <v>-2516.3160580268641</v>
      </c>
      <c r="N472">
        <f>-979.772009866736 -1447.83122510162 -670.736971964592</f>
        <v>-3098.3402069329481</v>
      </c>
      <c r="O472">
        <f>-973.689493870454 -1562.03603221623 -578.30766191612</f>
        <v>-3114.0331880028043</v>
      </c>
      <c r="P472">
        <f>-1127.42894774103 -1517.94028022844 -305.166753936116</f>
        <v>-2950.5359819055861</v>
      </c>
      <c r="Q472">
        <f>-1144.91458968899 -1357.13916716796 -101.502112531148</f>
        <v>-2603.555869388098</v>
      </c>
      <c r="R472">
        <f>-1146.48446847123 -1202.22166860406 -186.767830948499</f>
        <v>-2535.473968023789</v>
      </c>
      <c r="S472" t="s">
        <v>9400</v>
      </c>
      <c r="T472" t="s">
        <v>9401</v>
      </c>
      <c r="U472" t="s">
        <v>9402</v>
      </c>
      <c r="V472">
        <f>-1086.26472421805 -1389.31161392997 -188.418619453932</f>
        <v>-2663.9949576019521</v>
      </c>
      <c r="W472" t="s">
        <v>9403</v>
      </c>
      <c r="X472" t="s">
        <v>9404</v>
      </c>
      <c r="Y472" t="s">
        <v>9405</v>
      </c>
    </row>
    <row r="473" spans="1:25" x14ac:dyDescent="0.3">
      <c r="A473">
        <v>23600</v>
      </c>
      <c r="B473" t="s">
        <v>9406</v>
      </c>
      <c r="C473">
        <f>-1117.32574361429 -1296.07031461419 -187.941601232426</f>
        <v>-2601.3376594609058</v>
      </c>
      <c r="D473">
        <f>-1122.80648519494 -1296.69594923938 -308.926553328904</f>
        <v>-2728.4289877632241</v>
      </c>
      <c r="E473">
        <f>-1098.99679919336 -1319.74338139915 -425.513447045304</f>
        <v>-2844.2536276378141</v>
      </c>
      <c r="F473">
        <f>-1066.22986097498 -1349.2020433279 -525.779832541415</f>
        <v>-2941.211736844295</v>
      </c>
      <c r="G473">
        <f>-1023.01399822748 -1386.89126102003 -619.089929754238</f>
        <v>-3028.9951890017483</v>
      </c>
      <c r="H473">
        <f>-952.829441164726 -1447.36734744084 -739.989859471596</f>
        <v>-3140.1866480771619</v>
      </c>
      <c r="I473">
        <f>-878.790805457344 -1477.96656899118 -802.957558750427</f>
        <v>-3159.7149331989513</v>
      </c>
      <c r="J473">
        <f>-988.34305284292 -1393.56671816159 -702.610615972495</f>
        <v>-3084.5203869770048</v>
      </c>
      <c r="K473">
        <f>-990.051452889029 -1252.80420578197 -745.162921711035</f>
        <v>-2988.0185803820341</v>
      </c>
      <c r="L473">
        <f>-1103.22784023805 -1128.98806334372 -476.747491736233</f>
        <v>-2708.9633953180028</v>
      </c>
      <c r="M473">
        <f>-1166.45752321268 -1124.95145687173 -224.501865665265</f>
        <v>-2515.910845749675</v>
      </c>
      <c r="N473">
        <f>-979.424814580935 -1447.65039597766 -670.379888281996</f>
        <v>-3097.4550988405913</v>
      </c>
      <c r="O473">
        <f>-973.353201358418 -1561.90053816587 -578.00211715743</f>
        <v>-3113.2558566817179</v>
      </c>
      <c r="P473">
        <f>-1127.81643869303 -1518.53992403325 -305.152015341638</f>
        <v>-2951.5083780679183</v>
      </c>
      <c r="Q473">
        <f>-1146.0551365887 -1357.82901420076 -101.482133746728</f>
        <v>-2605.3662845361878</v>
      </c>
      <c r="R473">
        <f>-1147.73503437132 -1202.49464005893 -186.778559821093</f>
        <v>-2537.0082342513429</v>
      </c>
      <c r="S473" t="s">
        <v>9407</v>
      </c>
      <c r="T473" t="s">
        <v>9408</v>
      </c>
      <c r="U473" t="s">
        <v>9409</v>
      </c>
      <c r="V473">
        <f>-1086.83451470556 -1389.52965035583 -188.468528224981</f>
        <v>-2664.8326932863711</v>
      </c>
      <c r="W473" t="s">
        <v>9410</v>
      </c>
      <c r="X473" t="s">
        <v>9411</v>
      </c>
      <c r="Y473" t="s">
        <v>9412</v>
      </c>
    </row>
    <row r="474" spans="1:25" x14ac:dyDescent="0.3">
      <c r="A474">
        <v>23650</v>
      </c>
      <c r="B474" t="s">
        <v>9413</v>
      </c>
      <c r="C474">
        <f>-1119.44372307443 -1297.12945147189 -187.842348820558</f>
        <v>-2604.415523366878</v>
      </c>
      <c r="D474">
        <f>-1124.76106016824 -1297.53185538046 -308.835405699918</f>
        <v>-2731.1283212486178</v>
      </c>
      <c r="E474">
        <f>-1100.4527750945 -1320.27147584223 -425.379914247371</f>
        <v>-2846.104165184101</v>
      </c>
      <c r="F474">
        <f>-1067.13103401366 -1349.43755659673 -525.548936786981</f>
        <v>-2942.1175273973708</v>
      </c>
      <c r="G474">
        <f>-1023.28125857486 -1386.82991091979 -618.682556316942</f>
        <v>-3028.7937258115926</v>
      </c>
      <c r="H474">
        <f>-952.159141797744 -1446.89609910183 -739.238305483831</f>
        <v>-3138.2935463834051</v>
      </c>
      <c r="I474">
        <f>-877.797853556448 -1477.42632624547 -801.858528928549</f>
        <v>-3157.0827087304669</v>
      </c>
      <c r="J474">
        <f>-988.053721188104 -1393.25818817261 -701.989616917281</f>
        <v>-3083.3015262779945</v>
      </c>
      <c r="K474">
        <f>-989.754531368683 -1252.41411066467 -744.228340753366</f>
        <v>-2986.396982786719</v>
      </c>
      <c r="L474">
        <f>-1104.17794098502 -1129.5167015058 -475.919428220988</f>
        <v>-2709.6140707118079</v>
      </c>
      <c r="M474">
        <f>-1169.02601936498 -1126.38642420943 -224.072243335454</f>
        <v>-2519.4846869098637</v>
      </c>
      <c r="N474">
        <f>-979.203213203346 -1447.37915574118 -669.802651984138</f>
        <v>-3096.3850209286638</v>
      </c>
      <c r="O474">
        <f>-973.238054013172 -1561.84825736144 -577.678016576278</f>
        <v>-3112.7643279508898</v>
      </c>
      <c r="P474">
        <f>-1128.43789320659 -1520.36243569018 -304.954586086921</f>
        <v>-2953.7549149836914</v>
      </c>
      <c r="Q474">
        <f>-1147.59566690139 -1359.9949706355 -101.098443338876</f>
        <v>-2608.6890808757662</v>
      </c>
      <c r="R474">
        <f>-1150.81524100591 -1204.06065149038 -186.363412700845</f>
        <v>-2541.2393051971349</v>
      </c>
      <c r="S474" t="s">
        <v>9414</v>
      </c>
      <c r="T474" t="s">
        <v>9415</v>
      </c>
      <c r="U474" t="s">
        <v>9416</v>
      </c>
      <c r="V474">
        <f>-1088.2631720834 -1390.35492553577 -188.534570419507</f>
        <v>-2667.1526680386769</v>
      </c>
      <c r="W474" t="s">
        <v>9417</v>
      </c>
      <c r="X474" t="s">
        <v>9418</v>
      </c>
      <c r="Y474" t="s">
        <v>9419</v>
      </c>
    </row>
    <row r="475" spans="1:25" x14ac:dyDescent="0.3">
      <c r="A475">
        <v>23700</v>
      </c>
      <c r="B475" t="s">
        <v>9420</v>
      </c>
      <c r="C475">
        <f>-1120.81255665196 -1297.82969473242 -187.705703560491</f>
        <v>-2606.3479549448712</v>
      </c>
      <c r="D475">
        <f>-1125.98450402721 -1298.08494444373 -308.705600358045</f>
        <v>-2732.7750488289853</v>
      </c>
      <c r="E475">
        <f>-1101.39767302078 -1320.59209840208 -425.236682257222</f>
        <v>-2847.2264536800822</v>
      </c>
      <c r="F475">
        <f>-1067.77922042683 -1349.5192964256 -525.37584198981</f>
        <v>-2942.6743588422401</v>
      </c>
      <c r="G475">
        <f>-1023.59491896052 -1386.64770586717 -618.456973455016</f>
        <v>-3028.6995982827061</v>
      </c>
      <c r="H475">
        <f>-951.975943424949 -1446.32393962892 -738.912168796912</f>
        <v>-3137.2120518507809</v>
      </c>
      <c r="I475">
        <f>-877.475550270726 -1476.74488905194 -801.420183086433</f>
        <v>-3155.6406224090988</v>
      </c>
      <c r="J475">
        <f>-988.120057459313 -1392.84477235248 -701.676543632213</f>
        <v>-3082.6413734440061</v>
      </c>
      <c r="K475">
        <f>-989.950596594702 -1251.94813074012 -743.75342647856</f>
        <v>-2985.652153813382</v>
      </c>
      <c r="L475">
        <f>-1105.29670532428 -1129.95070347566 -475.428789074631</f>
        <v>-2710.6761978745708</v>
      </c>
      <c r="M475">
        <f>-1170.74847969633 -1127.39409955217 -223.731487197407</f>
        <v>-2521.8740664459069</v>
      </c>
      <c r="N475">
        <f>-979.210196306949 -1446.99333463662 -669.552436120904</f>
        <v>-3095.7559670644728</v>
      </c>
      <c r="O475">
        <f>-973.150327774158 -1561.56169361609 -577.572860768659</f>
        <v>-3112.2848821589068</v>
      </c>
      <c r="P475">
        <f>-1128.50161806692 -1521.1410387642 -304.775616087872</f>
        <v>-2954.418272918992</v>
      </c>
      <c r="Q475">
        <f>-1148.32635131968 -1361.00894497214 -100.798297594577</f>
        <v>-2610.1335938863967</v>
      </c>
      <c r="R475">
        <f>-1152.54068688817 -1204.87797964113 -186.154572893228</f>
        <v>-2543.5732394225279</v>
      </c>
      <c r="S475" t="s">
        <v>9421</v>
      </c>
      <c r="T475" t="s">
        <v>9422</v>
      </c>
      <c r="U475" t="s">
        <v>9423</v>
      </c>
      <c r="V475">
        <f>-1089.20352513256 -1390.87258002956 -188.519131630832</f>
        <v>-2668.5952367929517</v>
      </c>
      <c r="W475" t="s">
        <v>9424</v>
      </c>
      <c r="X475" t="s">
        <v>9425</v>
      </c>
      <c r="Y475" t="s">
        <v>9426</v>
      </c>
    </row>
    <row r="476" spans="1:25" x14ac:dyDescent="0.3">
      <c r="A476">
        <v>23750</v>
      </c>
      <c r="B476" t="s">
        <v>9427</v>
      </c>
      <c r="C476">
        <f>-1123.31159798152 -1299.11333406033 -187.545502802298</f>
        <v>-2609.9704348441483</v>
      </c>
      <c r="D476">
        <f>-1128.42835314183 -1299.16822786711 -308.548065122745</f>
        <v>-2736.144646131685</v>
      </c>
      <c r="E476">
        <f>-1103.55478370984 -1321.30966320225 -425.088442059749</f>
        <v>-2849.952888971839</v>
      </c>
      <c r="F476">
        <f>-1069.59101118653 -1349.84595272187 -525.223186478326</f>
        <v>-2944.6601503867259</v>
      </c>
      <c r="G476">
        <f>-1024.9827449081 -1386.52813306691 -618.278954036716</f>
        <v>-3029.7898320117256</v>
      </c>
      <c r="H476">
        <f>-952.701266987857 -1445.53072646366 -738.670256459163</f>
        <v>-3136.9022499106804</v>
      </c>
      <c r="I476">
        <f>-878.033763548313 -1475.67325000238 -801.113810674815</f>
        <v>-3154.8208242255077</v>
      </c>
      <c r="J476">
        <f>-989.262492437163 -1392.34545519116 -701.420823513633</f>
        <v>-3083.028771141956</v>
      </c>
      <c r="K476">
        <f>-991.843298091273 -1251.37691536814 -743.1899072749</f>
        <v>-2986.4101207343128</v>
      </c>
      <c r="L476">
        <f>-1108.18540538409 -1130.99170866784 -474.567395651074</f>
        <v>-2713.744509703004</v>
      </c>
      <c r="M476">
        <f>-1173.87755412275 -1129.17796662292 -222.926154064333</f>
        <v>-2525.9816748100029</v>
      </c>
      <c r="N476">
        <f>-980.104657292894 -1446.50237364613 -669.380806972929</f>
        <v>-3095.9878379119532</v>
      </c>
      <c r="O476">
        <f>-973.532049900135 -1561.23793581814 -577.633770462857</f>
        <v>-3112.4037561811319</v>
      </c>
      <c r="P476">
        <f>-1129.63244564121 -1522.14666213182 -305.07052093065</f>
        <v>-2956.8496287036796</v>
      </c>
      <c r="Q476">
        <f>-1150.74804045244 -1362.45849167675 -100.874819537022</f>
        <v>-2614.0813516662124</v>
      </c>
      <c r="R476">
        <f>-1155.68004913235 -1206.40739406456 -185.890489867104</f>
        <v>-2547.977933064014</v>
      </c>
      <c r="S476" t="s">
        <v>9428</v>
      </c>
      <c r="T476" t="s">
        <v>9429</v>
      </c>
      <c r="U476" t="s">
        <v>9430</v>
      </c>
      <c r="V476">
        <f>-1090.9814663741 -1391.86106219904 -188.498852753781</f>
        <v>-2671.3413813269212</v>
      </c>
      <c r="W476" t="s">
        <v>9431</v>
      </c>
      <c r="X476" t="s">
        <v>9432</v>
      </c>
      <c r="Y476" t="s">
        <v>9433</v>
      </c>
    </row>
    <row r="477" spans="1:25" x14ac:dyDescent="0.3">
      <c r="A477">
        <v>23800</v>
      </c>
      <c r="B477" t="s">
        <v>9434</v>
      </c>
      <c r="C477">
        <f>-1124.245684217 -1299.78272311738 -187.496277888852</f>
        <v>-2611.5246852232322</v>
      </c>
      <c r="D477">
        <f>-1129.26277709618 -1299.7469088422 -308.502948685657</f>
        <v>-2737.5126346240368</v>
      </c>
      <c r="E477">
        <f>-1104.23149039333 -1321.69821596825 -425.045414147387</f>
        <v>-2850.9751205089669</v>
      </c>
      <c r="F477">
        <f>-1070.10078791424 -1350.02219018551 -525.183843727568</f>
        <v>-2945.3068218273183</v>
      </c>
      <c r="G477">
        <f>-1025.30062569866 -1386.45313249214 -618.245974278767</f>
        <v>-3029.9997324695669</v>
      </c>
      <c r="H477">
        <f>-952.726060220563 -1445.06755560977 -738.650640579188</f>
        <v>-3136.4442564095207</v>
      </c>
      <c r="I477">
        <f>-878.006616768746 -1475.01465032292 -801.126072056153</f>
        <v>-3154.1473391478194</v>
      </c>
      <c r="J477">
        <f>-989.508756853312 -1392.05584339842 -701.372004378783</f>
        <v>-3082.9366046305149</v>
      </c>
      <c r="K477">
        <f>-992.544288417873 -1251.06628039491 -743.019292322648</f>
        <v>-2986.6298611354314</v>
      </c>
      <c r="L477">
        <f>-1109.19322071738 -1131.08273028141 -474.350107381551</f>
        <v>-2714.626058380341</v>
      </c>
      <c r="M477">
        <f>-1174.79970408153 -1129.5873513845 -222.684416042069</f>
        <v>-2527.071471508099</v>
      </c>
      <c r="N477">
        <f>-980.167380230455 -1446.20915156631 -669.378931330856</f>
        <v>-3095.7554631276207</v>
      </c>
      <c r="O477">
        <f>-973.287084707334 -1561.01165916257 -577.727638362769</f>
        <v>-3112.0263822326729</v>
      </c>
      <c r="P477">
        <f>-1129.62527805689 -1522.55985085401 -305.209745549671</f>
        <v>-2957.3948744605709</v>
      </c>
      <c r="Q477">
        <f>-1151.41982744257 -1363.00220415242 -100.983345812051</f>
        <v>-2615.4053774070412</v>
      </c>
      <c r="R477">
        <f>-1156.8580005475 -1207.13373948967 -185.795432008659</f>
        <v>-2549.7871720458293</v>
      </c>
      <c r="S477" t="s">
        <v>9435</v>
      </c>
      <c r="T477" t="s">
        <v>9436</v>
      </c>
      <c r="U477" t="s">
        <v>9437</v>
      </c>
      <c r="V477">
        <f>-1091.61242109474 -1392.45945072648 -188.492742938237</f>
        <v>-2672.5646147594571</v>
      </c>
      <c r="W477" t="s">
        <v>9438</v>
      </c>
      <c r="X477" t="s">
        <v>9439</v>
      </c>
      <c r="Y477" t="s">
        <v>9440</v>
      </c>
    </row>
    <row r="478" spans="1:25" x14ac:dyDescent="0.3">
      <c r="A478">
        <v>23850</v>
      </c>
      <c r="B478" t="s">
        <v>9441</v>
      </c>
      <c r="C478">
        <f>-1125.27188938041 -1300.80634820631 -187.401281157336</f>
        <v>-2613.4795187440563</v>
      </c>
      <c r="D478">
        <f>-1130.1333663489 -1300.65501904983 -308.414193543604</f>
        <v>-2739.2025789423337</v>
      </c>
      <c r="E478">
        <f>-1104.76134367027 -1322.21050852742 -424.956968424871</f>
        <v>-2851.928820622561</v>
      </c>
      <c r="F478">
        <f>-1070.24539969858 -1350.06172219845 -525.095842012186</f>
        <v>-2945.4029639092159</v>
      </c>
      <c r="G478">
        <f>-1024.98193375064 -1385.90780400706 -618.161070699038</f>
        <v>-3029.0508084567382</v>
      </c>
      <c r="H478">
        <f>-951.682163505673 -1443.59613265946 -738.573732220673</f>
        <v>-3133.8520283858061</v>
      </c>
      <c r="I478">
        <f>-876.848627138859 -1473.05535766746 -801.144233753363</f>
        <v>-3151.048218559682</v>
      </c>
      <c r="J478">
        <f>-989.008312794489 -1391.00381505872 -701.241065315001</f>
        <v>-3081.2531931682097</v>
      </c>
      <c r="K478">
        <f>-992.941205264142 -1249.94345691939 -742.608009772356</f>
        <v>-2985.492671955888</v>
      </c>
      <c r="L478">
        <f>-1110.26341973433 -1130.84596185137 -473.837586973849</f>
        <v>-2714.9469685595491</v>
      </c>
      <c r="M478">
        <f>-1175.34749963386 -1130.23315795195 -222.032616473802</f>
        <v>-2527.6132740596122</v>
      </c>
      <c r="N478">
        <f>-979.221764143583 -1445.13785491213 -669.348567424959</f>
        <v>-3093.7081864806719</v>
      </c>
      <c r="O478">
        <f>-971.579235545483 -1560.0623855936 -577.921307017421</f>
        <v>-3109.5629281565043</v>
      </c>
      <c r="P478">
        <f>-1128.47243506364 -1522.96429129915 -305.534612050464</f>
        <v>-2956.9713384132542</v>
      </c>
      <c r="Q478">
        <f>-1151.53440967541 -1363.68177217147 -101.232772631934</f>
        <v>-2616.4489544788139</v>
      </c>
      <c r="R478">
        <f>-1158.33566892219 -1208.32538993512 -185.677809088139</f>
        <v>-2552.3388679454492</v>
      </c>
      <c r="S478" t="s">
        <v>9442</v>
      </c>
      <c r="T478" t="s">
        <v>9443</v>
      </c>
      <c r="U478" t="s">
        <v>9444</v>
      </c>
      <c r="V478">
        <f>-1092.08714296463 -1393.2173230999 -188.457775824646</f>
        <v>-2673.762241889176</v>
      </c>
      <c r="W478" t="s">
        <v>9445</v>
      </c>
      <c r="X478" t="s">
        <v>9446</v>
      </c>
      <c r="Y478" t="s">
        <v>9447</v>
      </c>
    </row>
    <row r="479" spans="1:25" x14ac:dyDescent="0.3">
      <c r="A479">
        <v>23900</v>
      </c>
      <c r="B479" t="s">
        <v>9448</v>
      </c>
      <c r="C479">
        <f>-1125.42508101669 -1301.09740296628 -187.390961143577</f>
        <v>-2613.9134451265468</v>
      </c>
      <c r="D479">
        <f>-1130.28335980566 -1300.91702490909 -308.404022433526</f>
        <v>-2739.6044071482756</v>
      </c>
      <c r="E479">
        <f>-1104.83086579639 -1322.31461843218 -424.958228836206</f>
        <v>-2852.1037130647765</v>
      </c>
      <c r="F479">
        <f>-1070.20930049136 -1349.97193083536 -525.114445876869</f>
        <v>-2945.2956772035891</v>
      </c>
      <c r="G479">
        <f>-1024.80656126333 -1385.57546053042 -618.204879726082</f>
        <v>-3028.5869015198323</v>
      </c>
      <c r="H479">
        <f>-951.277711182994 -1442.87866738489 -738.66182739233</f>
        <v>-3132.8182059602141</v>
      </c>
      <c r="I479">
        <f>-876.431162255339 -1472.13806902069 -801.310481716114</f>
        <v>-3149.8797129921431</v>
      </c>
      <c r="J479">
        <f>-988.821217851058 -1390.467685628 -701.292091535705</f>
        <v>-3080.5809950147627</v>
      </c>
      <c r="K479">
        <f>-993.226940651847 -1249.38453074363 -742.570372858824</f>
        <v>-2985.1818442543013</v>
      </c>
      <c r="L479">
        <f>-1110.7386149828 -1130.66585642297 -473.715294020827</f>
        <v>-2715.119765426597</v>
      </c>
      <c r="M479">
        <f>-1175.63187782792 -1130.49678074977 -221.860463003396</f>
        <v>-2527.9891215810862</v>
      </c>
      <c r="N479">
        <f>-978.80267056246 -1444.57987964746 -669.434624688304</f>
        <v>-3092.817174898224</v>
      </c>
      <c r="O479">
        <f>-970.753946013202 -1559.53153363334 -578.087240003517</f>
        <v>-3108.3727196500586</v>
      </c>
      <c r="P479">
        <f>-1127.65624990428 -1523.0687681528 -305.62020547766</f>
        <v>-2956.3452235347399</v>
      </c>
      <c r="Q479">
        <f>-1151.29845551789 -1363.91388652512 -101.285017672701</f>
        <v>-2616.4973597157109</v>
      </c>
      <c r="R479">
        <f>-1158.749093683 -1208.72472226435 -185.64756645219</f>
        <v>-2553.1213823995399</v>
      </c>
      <c r="S479" t="s">
        <v>9449</v>
      </c>
      <c r="T479" t="s">
        <v>9450</v>
      </c>
      <c r="U479" t="s">
        <v>9451</v>
      </c>
      <c r="V479">
        <f>-1091.9877929536 -1393.39267809227 -188.482624601482</f>
        <v>-2673.8630956473517</v>
      </c>
      <c r="W479" t="s">
        <v>9452</v>
      </c>
      <c r="X479" t="s">
        <v>9453</v>
      </c>
      <c r="Y479" t="s">
        <v>9454</v>
      </c>
    </row>
    <row r="480" spans="1:25" x14ac:dyDescent="0.3">
      <c r="A480">
        <v>23950</v>
      </c>
      <c r="B480" t="s">
        <v>9455</v>
      </c>
      <c r="C480">
        <f>-1125.28658288791 -1301.31222012275 -187.424339541266</f>
        <v>-2614.023142551926</v>
      </c>
      <c r="D480">
        <f>-1130.09953439266 -1301.08463185832 -308.439220825445</f>
        <v>-2739.6233870764249</v>
      </c>
      <c r="E480">
        <f>-1104.41029895481 -1322.19698667965 -424.993390221278</f>
        <v>-2851.6006758557378</v>
      </c>
      <c r="F480">
        <f>-1069.49502903689 -1349.49629391828 -525.146006210229</f>
        <v>-2944.137329165399</v>
      </c>
      <c r="G480">
        <f>-1023.71874567738 -1384.64264689382 -618.227175671607</f>
        <v>-3026.588568242807</v>
      </c>
      <c r="H480">
        <f>-949.588878436674 -1441.20848074508 -738.66423394958</f>
        <v>-3129.4615931313338</v>
      </c>
      <c r="I480">
        <f>-874.704506980362 -1470.12031326873 -801.428992423144</f>
        <v>-3146.2538126722357</v>
      </c>
      <c r="J480">
        <f>-987.630063305479 -1389.16030632335 -701.290732389303</f>
        <v>-3078.0811020181318</v>
      </c>
      <c r="K480">
        <f>-993.20969877105 -1248.12386165286 -742.565096698227</f>
        <v>-2983.8986571221371</v>
      </c>
      <c r="L480">
        <f>-1111.06469717484 -1130.26512073779 -473.482027265566</f>
        <v>-2714.8118451781961</v>
      </c>
      <c r="M480">
        <f>-1175.67343199565 -1130.75038244126 -221.554331449886</f>
        <v>-2527.978145886796</v>
      </c>
      <c r="N480">
        <f>-977.148014512929 -1443.19938511968 -669.458332844136</f>
        <v>-3089.8057324767451</v>
      </c>
      <c r="O480">
        <f>-968.263578986948 -1558.1567961594 -578.182895016267</f>
        <v>-3104.6032701626154</v>
      </c>
      <c r="P480">
        <f>-1125.0558913066 -1523.10305953896 -305.467579541032</f>
        <v>-2953.6265303865921</v>
      </c>
      <c r="Q480">
        <f>-1149.78302791838 -1364.18438556644 -101.077169089052</f>
        <v>-2615.044582573872</v>
      </c>
      <c r="R480">
        <f>-1159.14852418787 -1209.18870072095 -185.599923470953</f>
        <v>-2553.9371483797727</v>
      </c>
      <c r="S480" t="s">
        <v>9456</v>
      </c>
      <c r="T480" t="s">
        <v>9457</v>
      </c>
      <c r="U480" t="s">
        <v>9458</v>
      </c>
      <c r="V480">
        <f>-1091.36824361595 -1393.42444132708 -188.565321446455</f>
        <v>-2673.3580063894851</v>
      </c>
      <c r="W480" t="s">
        <v>9459</v>
      </c>
      <c r="X480" t="s">
        <v>9460</v>
      </c>
      <c r="Y480" t="s">
        <v>9461</v>
      </c>
    </row>
    <row r="481" spans="1:25" x14ac:dyDescent="0.3">
      <c r="A481">
        <v>24000</v>
      </c>
      <c r="B481" t="s">
        <v>9462</v>
      </c>
      <c r="C481">
        <f>-1125.1475364284 -1301.33606175568 -187.459772337817</f>
        <v>-2613.9433705218967</v>
      </c>
      <c r="D481">
        <f>-1129.93986864174 -1301.11524750692 -308.475330923631</f>
        <v>-2739.5304470722913</v>
      </c>
      <c r="E481">
        <f>-1104.13467072083 -1322.11230876546 -425.02488187721</f>
        <v>-2851.2718613635002</v>
      </c>
      <c r="F481">
        <f>-1069.07281715611 -1349.25243424986 -525.169400477493</f>
        <v>-2943.4946518834631</v>
      </c>
      <c r="G481">
        <f>-1023.10691550243 -1384.18302169156 -618.238393296228</f>
        <v>-3025.5283304902182</v>
      </c>
      <c r="H481">
        <f>-948.668083453748 -1440.38891472671 -738.653370744253</f>
        <v>-3127.710368924711</v>
      </c>
      <c r="I481">
        <f>-873.820275664323 -1469.18432188216 -801.515239459</f>
        <v>-3144.5198370054832</v>
      </c>
      <c r="J481">
        <f>-986.970159928353 -1388.52483347908 -701.290450733803</f>
        <v>-3076.785444141236</v>
      </c>
      <c r="K481">
        <f>-993.219337532279 -1247.54183874069 -742.638592764581</f>
        <v>-2983.3997690375504</v>
      </c>
      <c r="L481">
        <f>-1111.23280376781 -1130.04841314422 -473.465315601971</f>
        <v>-2714.7465325140006</v>
      </c>
      <c r="M481">
        <f>-1175.66804579078 -1130.76013805812 -221.493801827434</f>
        <v>-2527.9219856763339</v>
      </c>
      <c r="N481">
        <f>-976.239805548184 -1442.5142550557 -669.456576995673</f>
        <v>-3088.2106375995568</v>
      </c>
      <c r="O481">
        <f>-966.85424661561 -1557.40987411123 -578.156539466354</f>
        <v>-3102.4206601931937</v>
      </c>
      <c r="P481">
        <f>-1123.59346574462 -1523.07611986349 -305.319327413943</f>
        <v>-2951.9889130220531</v>
      </c>
      <c r="Q481">
        <f>-1148.81010425303 -1364.22261424974 -100.93789568178</f>
        <v>-2613.97061418455</v>
      </c>
      <c r="R481">
        <f>-1159.29887251916 -1209.37239815422 -185.597516337704</f>
        <v>-2554.268787011084</v>
      </c>
      <c r="S481" t="s">
        <v>9463</v>
      </c>
      <c r="T481" t="s">
        <v>9464</v>
      </c>
      <c r="U481" t="s">
        <v>9465</v>
      </c>
      <c r="V481">
        <f>-1090.95749961942 -1393.30002465705 -188.59456271731</f>
        <v>-2672.8520869937802</v>
      </c>
      <c r="W481" t="s">
        <v>9466</v>
      </c>
      <c r="X481" t="s">
        <v>9467</v>
      </c>
      <c r="Y481" t="s">
        <v>9468</v>
      </c>
    </row>
    <row r="482" spans="1:25" x14ac:dyDescent="0.3">
      <c r="A482">
        <v>24050</v>
      </c>
      <c r="B482" t="s">
        <v>9469</v>
      </c>
      <c r="C482">
        <f>-1124.73709296679 -1301.35221459581 -187.487709665736</f>
        <v>-2613.577017228336</v>
      </c>
      <c r="D482">
        <f>-1129.44161321023 -1301.17425783821 -308.506817637987</f>
        <v>-2739.1226886864265</v>
      </c>
      <c r="E482">
        <f>-1103.47879210367 -1322.00770363527 -425.050720086858</f>
        <v>-2850.5372158257978</v>
      </c>
      <c r="F482">
        <f>-1068.23753907806 -1348.90689301418 -525.197248094429</f>
        <v>-2942.3416801866692</v>
      </c>
      <c r="G482">
        <f>-1022.04911209554 -1383.50154853755 -618.28160643286</f>
        <v>-3023.83226706595</v>
      </c>
      <c r="H482">
        <f>-947.250350226131 -1439.14098571837 -738.73667344735</f>
        <v>-3125.1280093918508</v>
      </c>
      <c r="I482">
        <f>-872.748483963844 -1468.01505883223 -801.972214515608</f>
        <v>-3142.7357573116819</v>
      </c>
      <c r="J482">
        <f>-985.93847050504 -1387.57516515575 -701.358481060704</f>
        <v>-3074.872116721494</v>
      </c>
      <c r="K482">
        <f>-993.577106482849 -1246.71594271559 -742.896969112563</f>
        <v>-2983.1900183110019</v>
      </c>
      <c r="L482">
        <f>-1111.94705577237 -1129.93985174676 -473.568121596839</f>
        <v>-2715.455029115969</v>
      </c>
      <c r="M482">
        <f>-1176.23201178899 -1130.92277628249 -221.559072983818</f>
        <v>-2528.7138610552979</v>
      </c>
      <c r="N482">
        <f>-974.754492206692 -1441.46934876097 -669.519446433989</f>
        <v>-3085.7432874016508</v>
      </c>
      <c r="O482">
        <f>-964.281953516271 -1556.18619932342 -578.114282145442</f>
        <v>-3098.5824349851327</v>
      </c>
      <c r="P482">
        <f>-1121.09297447489 -1523.09769551443 -305.164377552649</f>
        <v>-2949.3550475419688</v>
      </c>
      <c r="Q482">
        <f>-1147.54979611331 -1364.28394714442 -100.909021812736</f>
        <v>-2612.7427650704658</v>
      </c>
      <c r="R482">
        <f>-1159.35249704405 -1209.6824955762 -185.602489778649</f>
        <v>-2554.637482398899</v>
      </c>
      <c r="S482" t="s">
        <v>9470</v>
      </c>
      <c r="T482" t="s">
        <v>9471</v>
      </c>
      <c r="U482" t="s">
        <v>9472</v>
      </c>
      <c r="V482">
        <f>-1090.08760031327 -1393.10232941572 -188.591053904272</f>
        <v>-2671.7809836332622</v>
      </c>
      <c r="W482" t="s">
        <v>9473</v>
      </c>
      <c r="X482" t="s">
        <v>9474</v>
      </c>
      <c r="Y482" t="s">
        <v>9475</v>
      </c>
    </row>
    <row r="483" spans="1:25" x14ac:dyDescent="0.3">
      <c r="A483">
        <v>24100</v>
      </c>
      <c r="B483" t="s">
        <v>9476</v>
      </c>
      <c r="C483">
        <f>-1124.56391489271 -1301.37697427834 -187.471896976683</f>
        <v>-2613.4127861477332</v>
      </c>
      <c r="D483">
        <f>-1129.27551643947 -1301.21831264887 -308.490897379808</f>
        <v>-2738.984726468148</v>
      </c>
      <c r="E483">
        <f>-1103.29409330238 -1321.95892329335 -425.047124089794</f>
        <v>-2850.3001406855237</v>
      </c>
      <c r="F483">
        <f>-1068.01939802052 -1348.72499901133 -525.217619236161</f>
        <v>-2941.9620162680112</v>
      </c>
      <c r="G483">
        <f>-1021.77645228352 -1383.13716358854 -618.342548325977</f>
        <v>-3023.2561641980374</v>
      </c>
      <c r="H483">
        <f>-946.875716040214 -1438.47202160981 -738.874347490368</f>
        <v>-3124.2220851403922</v>
      </c>
      <c r="I483">
        <f>-872.666180966823 -1467.52839638184 -802.369642279864</f>
        <v>-3142.5642196285271</v>
      </c>
      <c r="J483">
        <f>-985.718002990613 -1387.05627353674 -701.449594921914</f>
        <v>-3074.2238714492669</v>
      </c>
      <c r="K483">
        <f>-994.021143383594 -1246.24766135451 -743.040357802579</f>
        <v>-2983.3091625406828</v>
      </c>
      <c r="L483">
        <f>-1112.5084355869 -1129.88798318424 -473.58288291504</f>
        <v>-2715.97930168618</v>
      </c>
      <c r="M483">
        <f>-1176.61349425195 -1131.04787563145 -221.528882619218</f>
        <v>-2529.190252502618</v>
      </c>
      <c r="N483">
        <f>-974.31592106258 -1440.91984281275 -669.635911920897</f>
        <v>-3084.871675796227</v>
      </c>
      <c r="O483">
        <f>-963.307231132044 -1555.56840609367 -578.211073708349</f>
        <v>-3097.0867109340629</v>
      </c>
      <c r="P483">
        <f>-1120.07662503542 -1523.06584066334 -305.166946968002</f>
        <v>-2948.309412666762</v>
      </c>
      <c r="Q483">
        <f>-1147.11438672543 -1364.3045860198 -100.946763403732</f>
        <v>-2612.3657361489618</v>
      </c>
      <c r="R483">
        <f>-1159.43966724116 -1209.78155362442 -185.581142059842</f>
        <v>-2554.8023629254221</v>
      </c>
      <c r="S483" t="s">
        <v>9477</v>
      </c>
      <c r="T483" t="s">
        <v>9478</v>
      </c>
      <c r="U483" t="s">
        <v>9479</v>
      </c>
      <c r="V483">
        <f>-1089.72627880056 -1393.03383521365 -188.572240373793</f>
        <v>-2671.3323543880033</v>
      </c>
      <c r="W483" t="s">
        <v>9480</v>
      </c>
      <c r="X483" t="s">
        <v>9481</v>
      </c>
      <c r="Y483" t="s">
        <v>9482</v>
      </c>
    </row>
    <row r="484" spans="1:25" x14ac:dyDescent="0.3">
      <c r="A484">
        <v>24150</v>
      </c>
      <c r="B484" t="s">
        <v>9483</v>
      </c>
      <c r="C484">
        <f>-1124.34478554666 -1301.46591883502 -187.419468696922</f>
        <v>-2613.2301730786021</v>
      </c>
      <c r="D484">
        <f>-1129.12308586404 -1301.33971864693 -308.435834748968</f>
        <v>-2738.8986392599377</v>
      </c>
      <c r="E484">
        <f>-1103.12747125888 -1321.90081692913 -425.020764962705</f>
        <v>-2850.0490531507153</v>
      </c>
      <c r="F484">
        <f>-1067.79846815882 -1348.41543901603 -525.238882992057</f>
        <v>-2941.4527901669067</v>
      </c>
      <c r="G484">
        <f>-1021.45394290027 -1382.48812433681 -618.438083531704</f>
        <v>-3022.380150768784</v>
      </c>
      <c r="H484">
        <f>-946.357655717548 -1437.26172367363 -739.104534495362</f>
        <v>-3122.7239138865398</v>
      </c>
      <c r="I484">
        <f>-872.784079756529 -1466.93222812707 -803.054394202159</f>
        <v>-3142.7707020857579</v>
      </c>
      <c r="J484">
        <f>-985.459918619634 -1386.1117044935 -701.586503477454</f>
        <v>-3073.1581265905879</v>
      </c>
      <c r="K484">
        <f>-994.727550904567 -1245.33770185989 -743.115228965117</f>
        <v>-2983.1804817295742</v>
      </c>
      <c r="L484">
        <f>-1113.27067992073 -1129.99910769813 -473.243561814389</f>
        <v>-2716.513349433249</v>
      </c>
      <c r="M484">
        <f>-1176.93859809935 -1131.63705933768 -221.081370050726</f>
        <v>-2529.6570274877558</v>
      </c>
      <c r="N484">
        <f>-973.710956431167 -1439.94051015276 -669.840282785791</f>
        <v>-3083.4917493697176</v>
      </c>
      <c r="O484">
        <f>-961.825542899766 -1554.53179444774 -578.462628238566</f>
        <v>-3094.8199655860722</v>
      </c>
      <c r="P484">
        <f>-1118.45636058095 -1523.08991990636 -305.214666877001</f>
        <v>-2946.7609473643111</v>
      </c>
      <c r="Q484">
        <f>-1146.35275217447 -1364.46368541016 -101.005108643161</f>
        <v>-2611.8215462277908</v>
      </c>
      <c r="R484">
        <f>-1159.53295867667 -1209.90921382902 -185.581424631899</f>
        <v>-2555.0235971375891</v>
      </c>
      <c r="S484" t="s">
        <v>9484</v>
      </c>
      <c r="T484" t="s">
        <v>9485</v>
      </c>
      <c r="U484" t="s">
        <v>9486</v>
      </c>
      <c r="V484">
        <f>-1089.19423758038 -1393.06881796209 -188.540982561705</f>
        <v>-2670.8040381041751</v>
      </c>
      <c r="W484" t="s">
        <v>9487</v>
      </c>
      <c r="X484" t="s">
        <v>9488</v>
      </c>
      <c r="Y484" t="s">
        <v>9489</v>
      </c>
    </row>
    <row r="485" spans="1:25" x14ac:dyDescent="0.3">
      <c r="A485">
        <v>24200</v>
      </c>
      <c r="B485" t="s">
        <v>9490</v>
      </c>
      <c r="C485">
        <f>-1124.28900396563 -1301.46803933741 -187.410858497787</f>
        <v>-2613.1679018008267</v>
      </c>
      <c r="D485">
        <f>-1129.056636682 -1301.33618682111 -308.427613106888</f>
        <v>-2738.8204366099981</v>
      </c>
      <c r="E485">
        <f>-1103.04205793409 -1321.81468101872 -425.022797754518</f>
        <v>-2849.879536707328</v>
      </c>
      <c r="F485">
        <f>-1067.69028260423 -1348.22437796324 -525.260645231458</f>
        <v>-2941.1753057989281</v>
      </c>
      <c r="G485">
        <f>-1021.31525365373 -1382.16377892618 -618.493366707826</f>
        <v>-3021.9723992877362</v>
      </c>
      <c r="H485">
        <f>-946.166448489884 -1436.72478343566 -739.223412565112</f>
        <v>-3122.1146444906562</v>
      </c>
      <c r="I485">
        <f>-872.939698755242 -1466.80867477823 -803.377707668179</f>
        <v>-3143.1260812016508</v>
      </c>
      <c r="J485">
        <f>-985.354189441185 -1385.67288436723 -701.66090143314</f>
        <v>-3072.6879752415553</v>
      </c>
      <c r="K485">
        <f>-994.912619854252 -1244.91225113146 -743.140652272022</f>
        <v>-2982.9655232577334</v>
      </c>
      <c r="L485">
        <f>-1113.35408408702 -1129.814381505 -473.121509707098</f>
        <v>-2716.2899752991179</v>
      </c>
      <c r="M485">
        <f>-1176.84767188455 -1131.59716729177 -220.916544548016</f>
        <v>-2529.3613837243361</v>
      </c>
      <c r="N485">
        <f>-973.480753660186 -1439.49357230672 -669.947329995259</f>
        <v>-3082.9216559621646</v>
      </c>
      <c r="O485">
        <f>-961.296438991981 -1554.09334754382 -578.604226562469</f>
        <v>-3093.9940130982704</v>
      </c>
      <c r="P485">
        <f>-1117.73521585969 -1523.14996122128 -305.189527256142</f>
        <v>-2946.0747043371116</v>
      </c>
      <c r="Q485">
        <f>-1145.92661789849 -1364.56715754255 -100.986683195751</f>
        <v>-2611.4804586367909</v>
      </c>
      <c r="R485">
        <f>-1159.57724282256 -1209.95573913127 -185.565912427169</f>
        <v>-2555.0988943809989</v>
      </c>
      <c r="S485" t="s">
        <v>9491</v>
      </c>
      <c r="T485" t="s">
        <v>9492</v>
      </c>
      <c r="U485" t="s">
        <v>9493</v>
      </c>
      <c r="V485">
        <f>-1088.9992031803 -1393.03547849409 -188.542135835484</f>
        <v>-2670.5768175098738</v>
      </c>
      <c r="W485" t="s">
        <v>9494</v>
      </c>
      <c r="X485" t="s">
        <v>9495</v>
      </c>
      <c r="Y485" t="s">
        <v>9496</v>
      </c>
    </row>
    <row r="486" spans="1:25" x14ac:dyDescent="0.3">
      <c r="A486">
        <v>24250</v>
      </c>
      <c r="B486" t="s">
        <v>9497</v>
      </c>
      <c r="C486">
        <f>-1124.24316786624 -1301.45385544834 -187.434065906358</f>
        <v>-2613.1310892209376</v>
      </c>
      <c r="D486">
        <f>-1129.02650527593 -1301.30353915514 -308.450233771438</f>
        <v>-2738.7802782025078</v>
      </c>
      <c r="E486">
        <f>-1103.10603417246 -1321.71815144082 -425.077533744156</f>
        <v>-2849.9017193574359</v>
      </c>
      <c r="F486">
        <f>-1067.86735090163 -1348.05797195426 -525.373615015773</f>
        <v>-2941.2989378716629</v>
      </c>
      <c r="G486">
        <f>-1021.62904306401 -1381.92076168772 -618.702029561994</f>
        <v>-3022.251834313724</v>
      </c>
      <c r="H486">
        <f>-946.689643243772 -1436.37361999134 -739.610914465777</f>
        <v>-3122.6741777008892</v>
      </c>
      <c r="I486">
        <f>-873.941695894819 -1467.17976036756 -803.967023515277</f>
        <v>-3145.0884797776562</v>
      </c>
      <c r="J486">
        <f>-985.823469160776 -1385.36064900966 -701.939496076371</f>
        <v>-3073.1236142468069</v>
      </c>
      <c r="K486">
        <f>-995.594242022147 -1244.5692816078 -743.294672614309</f>
        <v>-2983.4581962442562</v>
      </c>
      <c r="L486">
        <f>-1113.44947990841 -1129.64261997057 -472.946428549723</f>
        <v>-2716.0385284287026</v>
      </c>
      <c r="M486">
        <f>-1176.62718059815 -1131.61625413083 -220.663415058435</f>
        <v>-2528.906849787415</v>
      </c>
      <c r="N486">
        <f>-973.872487468092 -1439.19921287643 -670.285378676381</f>
        <v>-3083.3570790209033</v>
      </c>
      <c r="O486">
        <f>-961.306982276272 -1553.81856186049 -579.032702182708</f>
        <v>-3094.15824631947</v>
      </c>
      <c r="P486">
        <f>-1117.21243804416 -1523.34621824917 -305.260672848621</f>
        <v>-2945.8193291419516</v>
      </c>
      <c r="Q486">
        <f>-1145.66034577789 -1364.83004265807 -101.041680062293</f>
        <v>-2611.532068498253</v>
      </c>
      <c r="R486">
        <f>-1159.60921225454 -1209.94273684248 -185.586189000455</f>
        <v>-2555.1381380974749</v>
      </c>
      <c r="S486" t="s">
        <v>9498</v>
      </c>
      <c r="T486" t="s">
        <v>9499</v>
      </c>
      <c r="U486" t="s">
        <v>9500</v>
      </c>
      <c r="V486">
        <f>-1088.88896352918 -1393.0474526039 -188.563167473379</f>
        <v>-2670.4995836064591</v>
      </c>
      <c r="W486" t="s">
        <v>9501</v>
      </c>
      <c r="X486" t="s">
        <v>9502</v>
      </c>
      <c r="Y486" t="s">
        <v>9503</v>
      </c>
    </row>
    <row r="487" spans="1:25" x14ac:dyDescent="0.3">
      <c r="A487">
        <v>24300</v>
      </c>
      <c r="B487" t="s">
        <v>9504</v>
      </c>
      <c r="C487">
        <f>-1124.32286065942 -1301.37168555402 -187.486497085747</f>
        <v>-2613.181043299187</v>
      </c>
      <c r="D487">
        <f>-1129.07632434451 -1301.23860957422 -308.503837753935</f>
        <v>-2738.8187716726652</v>
      </c>
      <c r="E487">
        <f>-1103.16654776217 -1321.65511966212 -425.133283508382</f>
        <v>-2849.9549509326721</v>
      </c>
      <c r="F487">
        <f>-1067.95292958277 -1347.99208111303 -525.438821956964</f>
        <v>-2941.3838326527643</v>
      </c>
      <c r="G487">
        <f>-1021.75337281375 -1381.84889680557 -618.788509617577</f>
        <v>-3022.3907792368968</v>
      </c>
      <c r="H487">
        <f>-946.880071651819 -1436.29203194726 -739.742850705093</f>
        <v>-3122.9149543041722</v>
      </c>
      <c r="I487">
        <f>-874.185815439811 -1467.27613922849 -804.074167552382</f>
        <v>-3145.536122220683</v>
      </c>
      <c r="J487">
        <f>-985.973569733582 -1385.27295204241 -702.037924609861</f>
        <v>-3073.2844463858528</v>
      </c>
      <c r="K487">
        <f>-995.675444428038 -1244.49395002027 -743.376879580456</f>
        <v>-2983.5462740287639</v>
      </c>
      <c r="L487">
        <f>-1113.09598154051 -1129.34291659166 -472.934940883684</f>
        <v>-2715.3738390158542</v>
      </c>
      <c r="M487">
        <f>-1176.1621463424 -1131.2623002523 -220.623549288359</f>
        <v>-2528.0479958830592</v>
      </c>
      <c r="N487">
        <f>-974.044764994356 -1439.13232805722 -670.410870250596</f>
        <v>-3083.5879633021718</v>
      </c>
      <c r="O487">
        <f>-961.471645098879 -1553.77075758545 -579.159826752757</f>
        <v>-3094.4022294370861</v>
      </c>
      <c r="P487">
        <f>-1116.92058879446 -1523.27576616316 -305.130860531085</f>
        <v>-2945.327215488705</v>
      </c>
      <c r="Q487">
        <f>-1145.28753558833 -1364.68703238291 -100.956971080245</f>
        <v>-2610.9315390514848</v>
      </c>
      <c r="R487">
        <f>-1159.57213217858 -1209.7581552644 -185.6828324053</f>
        <v>-2555.01311984828</v>
      </c>
      <c r="S487" t="s">
        <v>9505</v>
      </c>
      <c r="T487" t="s">
        <v>9506</v>
      </c>
      <c r="U487" t="s">
        <v>9507</v>
      </c>
      <c r="V487">
        <f>-1089.01668810324 -1393.07175325224 -188.591588865369</f>
        <v>-2670.6800302208489</v>
      </c>
      <c r="W487" t="s">
        <v>9508</v>
      </c>
      <c r="X487" t="s">
        <v>9509</v>
      </c>
      <c r="Y487" t="s">
        <v>9510</v>
      </c>
    </row>
    <row r="488" spans="1:25" x14ac:dyDescent="0.3">
      <c r="A488">
        <v>24350</v>
      </c>
      <c r="B488" t="s">
        <v>9511</v>
      </c>
      <c r="C488">
        <f>-1124.54671763386 -1301.08721865278 -187.576827667943</f>
        <v>-2613.2107639545829</v>
      </c>
      <c r="D488">
        <f>-1129.34040437195 -1301.04313614144 -308.592606305255</f>
        <v>-2738.9761468186452</v>
      </c>
      <c r="E488">
        <f>-1103.57504242282 -1321.59399458061 -425.230342752583</f>
        <v>-2850.3993797560129</v>
      </c>
      <c r="F488">
        <f>-1068.53099798632 -1348.07210965248 -525.558154923313</f>
        <v>-2942.1612625621128</v>
      </c>
      <c r="G488">
        <f>-1022.53657795129 -1382.09058244585 -618.950365720478</f>
        <v>-3023.5775261176177</v>
      </c>
      <c r="H488">
        <f>-947.981210911259 -1436.7807211726 -739.989588767306</f>
        <v>-3124.751520851165</v>
      </c>
      <c r="I488">
        <f>-875.265808764202 -1467.9897968973 -804.188228856666</f>
        <v>-3147.4438345181679</v>
      </c>
      <c r="J488">
        <f>-986.865228876466 -1385.63378656523 -702.241221750657</f>
        <v>-3074.7402371923531</v>
      </c>
      <c r="K488">
        <f>-996.090783822395 -1244.81062748043 -743.583481108178</f>
        <v>-2984.4848924110033</v>
      </c>
      <c r="L488">
        <f>-1112.74287835995 -1128.96700717964 -473.104783888644</f>
        <v>-2714.8146694282336</v>
      </c>
      <c r="M488">
        <f>-1175.48141572788 -1130.36028894911 -220.708331578048</f>
        <v>-2526.5500362550379</v>
      </c>
      <c r="N488">
        <f>-975.074064994043 -1439.5302888908 -670.625801268203</f>
        <v>-3085.2301551530459</v>
      </c>
      <c r="O488">
        <f>-962.658343647851 -1554.13267595203 -579.311368613667</f>
        <v>-3096.1023882135482</v>
      </c>
      <c r="P488">
        <f>-1117.50885468568 -1522.81414100559 -305.036658445854</f>
        <v>-2945.3596541371239</v>
      </c>
      <c r="Q488">
        <f>-1145.54431420002 -1364.05806539881 -100.947041885841</f>
        <v>-2610.5494214846708</v>
      </c>
      <c r="R488">
        <f>-1159.58280472238 -1209.3065859006 -185.815542262101</f>
        <v>-2554.7049328850812</v>
      </c>
      <c r="S488" t="s">
        <v>9512</v>
      </c>
      <c r="T488" t="s">
        <v>9513</v>
      </c>
      <c r="U488" t="s">
        <v>9514</v>
      </c>
      <c r="V488">
        <f>-1089.48696455353 -1392.9649640134 -188.621015331916</f>
        <v>-2671.0729438988465</v>
      </c>
      <c r="W488" t="s">
        <v>9515</v>
      </c>
      <c r="X488" t="s">
        <v>9516</v>
      </c>
      <c r="Y488" t="s">
        <v>9517</v>
      </c>
    </row>
    <row r="489" spans="1:25" x14ac:dyDescent="0.3">
      <c r="A489">
        <v>24400</v>
      </c>
      <c r="B489" t="s">
        <v>9518</v>
      </c>
      <c r="C489">
        <f>-1124.77577417337 -1301.0561769892 -187.56359478351</f>
        <v>-2613.3955459460799</v>
      </c>
      <c r="D489">
        <f>-1129.62505604204 -1301.05483718367 -308.577242613578</f>
        <v>-2739.2571358392879</v>
      </c>
      <c r="E489">
        <f>-1103.97611611511 -1321.69814809047 -425.224293206639</f>
        <v>-2850.8985574122189</v>
      </c>
      <c r="F489">
        <f>-1069.05930580772 -1348.2795647718 -525.569207369779</f>
        <v>-2942.9080779492988</v>
      </c>
      <c r="G489">
        <f>-1023.21181326117 -1382.42033996824 -618.988975383394</f>
        <v>-3024.6211286128041</v>
      </c>
      <c r="H489">
        <f>-948.878568760427 -1437.29976723225 -740.079105807893</f>
        <v>-3126.2574418005697</v>
      </c>
      <c r="I489">
        <f>-876.18046898966 -1468.6287401618 -804.23878181804</f>
        <v>-3149.0479909695</v>
      </c>
      <c r="J489">
        <f>-987.627950273488 -1386.06387939281 -702.312934273011</f>
        <v>-3076.0047639393088</v>
      </c>
      <c r="K489">
        <f>-996.533595170154 -1245.22717686778 -743.693704741799</f>
        <v>-2985.4544767797329</v>
      </c>
      <c r="L489">
        <f>-1112.71446046596 -1128.84326017611 -473.244052360517</f>
        <v>-2714.8017730025872</v>
      </c>
      <c r="M489">
        <f>-1175.22549230129 -1129.81192203092 -220.789185797863</f>
        <v>-2525.8266001300726</v>
      </c>
      <c r="N489">
        <f>-975.909495177601 -1439.97077296339 -670.688243890742</f>
        <v>-3086.5685120317326</v>
      </c>
      <c r="O489">
        <f>-963.655644280345 -1554.53994564581 -579.320948722369</f>
        <v>-3097.5165386485237</v>
      </c>
      <c r="P489">
        <f>-1118.27662860496 -1522.73312406355 -304.972954716188</f>
        <v>-2945.9827073846977</v>
      </c>
      <c r="Q489">
        <f>-1145.91300683977 -1363.85779419659 -100.921698188542</f>
        <v>-2610.6924992249023</v>
      </c>
      <c r="R489">
        <f>-1159.68214287974 -1209.2160372379 -185.801147158698</f>
        <v>-2554.699327276338</v>
      </c>
      <c r="S489" t="s">
        <v>9519</v>
      </c>
      <c r="T489" t="s">
        <v>9520</v>
      </c>
      <c r="U489" t="s">
        <v>9521</v>
      </c>
      <c r="V489">
        <f>-1089.87156149942 -1392.97912091718 -188.606986597988</f>
        <v>-2671.4576690145877</v>
      </c>
      <c r="W489" t="s">
        <v>9522</v>
      </c>
      <c r="X489" t="s">
        <v>9523</v>
      </c>
      <c r="Y489" t="s">
        <v>9524</v>
      </c>
    </row>
    <row r="490" spans="1:25" x14ac:dyDescent="0.3">
      <c r="A490">
        <v>24450</v>
      </c>
      <c r="B490" t="s">
        <v>9525</v>
      </c>
      <c r="C490">
        <f>-1125.36219490524 -1301.23311160079 -187.447942734136</f>
        <v>-2614.043249240166</v>
      </c>
      <c r="D490">
        <f>-1130.38487942713 -1301.27777250281 -308.454591738798</f>
        <v>-2740.117243668738</v>
      </c>
      <c r="E490">
        <f>-1105.04862380215 -1322.10380733397 -425.137449579066</f>
        <v>-2852.289880715186</v>
      </c>
      <c r="F490">
        <f>-1070.46378696204 -1348.90505480623 -525.538828088644</f>
        <v>-2944.9076698569143</v>
      </c>
      <c r="G490">
        <f>-1024.99201641732 -1383.31857093634 -619.042174497143</f>
        <v>-3027.3527618508028</v>
      </c>
      <c r="H490">
        <f>-951.220500535859 -1438.63062650626 -740.278911457484</f>
        <v>-3130.1300384996025</v>
      </c>
      <c r="I490">
        <f>-878.587979260986 -1470.28248506342 -804.354371859832</f>
        <v>-3153.224836184238</v>
      </c>
      <c r="J490">
        <f>-989.645090389467 -1387.19196756406 -702.456463429497</f>
        <v>-3079.2935213830237</v>
      </c>
      <c r="K490">
        <f>-997.867441266263 -1246.33830900349 -743.898055985367</f>
        <v>-2988.1038062551202</v>
      </c>
      <c r="L490">
        <f>-1113.09573600014 -1129.12131217736 -473.400737922866</f>
        <v>-2715.6177861003662</v>
      </c>
      <c r="M490">
        <f>-1175.27023520312 -1129.51388240029 -220.861120362879</f>
        <v>-2525.6452379662887</v>
      </c>
      <c r="N490">
        <f>-978.079139195043 -1441.1215520348 -670.81428303797</f>
        <v>-3090.0149742678132</v>
      </c>
      <c r="O490">
        <f>-966.192124274408 -1555.67089098308 -579.3736854984</f>
        <v>-3101.2367007558878</v>
      </c>
      <c r="P490">
        <f>-1120.31503733723 -1522.88151229174 -304.861084288581</f>
        <v>-2948.0576339175509</v>
      </c>
      <c r="Q490">
        <f>-1147.27978536981 -1363.88432009728 -100.814950500537</f>
        <v>-2611.9790559676271</v>
      </c>
      <c r="R490">
        <f>-1159.92899619062 -1209.28048349772 -185.650745337061</f>
        <v>-2554.8602250254012</v>
      </c>
      <c r="S490" t="s">
        <v>9526</v>
      </c>
      <c r="T490" t="s">
        <v>9527</v>
      </c>
      <c r="U490" t="s">
        <v>9528</v>
      </c>
      <c r="V490">
        <f>-1090.79154308027 -1393.20887963589 -188.526345657868</f>
        <v>-2672.5267683740281</v>
      </c>
      <c r="W490" t="s">
        <v>9529</v>
      </c>
      <c r="X490" t="s">
        <v>9530</v>
      </c>
      <c r="Y490" t="s">
        <v>9531</v>
      </c>
    </row>
    <row r="491" spans="1:25" x14ac:dyDescent="0.3">
      <c r="A491">
        <v>24500</v>
      </c>
      <c r="B491" t="s">
        <v>9532</v>
      </c>
      <c r="C491">
        <f>-1125.63379013833 -1301.41584653797 -187.352191274884</f>
        <v>-2614.4018279511838</v>
      </c>
      <c r="D491">
        <f>-1130.76248950212 -1301.47980515907 -308.354237124311</f>
        <v>-2740.5965317855012</v>
      </c>
      <c r="E491">
        <f>-1105.58492444598 -1322.38399648054 -425.057499254776</f>
        <v>-2853.0264201812956</v>
      </c>
      <c r="F491">
        <f>-1071.16047708639 -1349.27807694888 -525.489127621843</f>
        <v>-2945.9276816571128</v>
      </c>
      <c r="G491">
        <f>-1025.86297602165 -1383.80516674921 -619.035172488134</f>
        <v>-3028.7033152589938</v>
      </c>
      <c r="H491">
        <f>-952.345134787434 -1439.29520005461 -740.344716134485</f>
        <v>-3131.9850509765292</v>
      </c>
      <c r="I491">
        <f>-879.728713356616 -1471.10672854683 -804.359268377673</f>
        <v>-3155.1947102811187</v>
      </c>
      <c r="J491">
        <f>-990.630284383851 -1387.77389281748 -702.493359042234</f>
        <v>-3080.8975362435649</v>
      </c>
      <c r="K491">
        <f>-998.516728929242 -1246.90183358719 -743.966931546417</f>
        <v>-2989.3854940628489</v>
      </c>
      <c r="L491">
        <f>-1113.32284813956 -1129.277240615 -473.467069265385</f>
        <v>-2716.0671580199446</v>
      </c>
      <c r="M491">
        <f>-1175.36173284324 -1129.40905464449 -220.893959922867</f>
        <v>-2525.6647474105966</v>
      </c>
      <c r="N491">
        <f>-979.118707158397 -1441.71123887784 -670.844568509084</f>
        <v>-3091.6745145453206</v>
      </c>
      <c r="O491">
        <f>-967.38294241047 -1556.25074561196 -579.37461188907</f>
        <v>-3103.0082999114998</v>
      </c>
      <c r="P491">
        <f>-1121.23978358244 -1523.11284146726 -304.754702658749</f>
        <v>-2949.1073277084488</v>
      </c>
      <c r="Q491">
        <f>-1147.75097497921 -1364.05113210225 -100.699356777309</f>
        <v>-2612.5014638587691</v>
      </c>
      <c r="R491">
        <f>-1160.03159345811 -1209.45083215979 -185.543851737249</f>
        <v>-2555.026277355149</v>
      </c>
      <c r="S491" t="s">
        <v>9533</v>
      </c>
      <c r="T491" t="s">
        <v>9534</v>
      </c>
      <c r="U491" t="s">
        <v>9535</v>
      </c>
      <c r="V491">
        <f>-1091.19127830738 -1393.41345467722 -188.453868442859</f>
        <v>-2673.0586014274586</v>
      </c>
      <c r="W491" t="s">
        <v>9536</v>
      </c>
      <c r="X491" t="s">
        <v>9537</v>
      </c>
      <c r="Y491" t="s">
        <v>9538</v>
      </c>
    </row>
    <row r="492" spans="1:25" x14ac:dyDescent="0.3">
      <c r="A492">
        <v>24550</v>
      </c>
      <c r="B492" t="s">
        <v>9539</v>
      </c>
      <c r="C492">
        <f>-1126.25085306681 -1301.86827400526 -187.112304478525</f>
        <v>-2615.2314315505951</v>
      </c>
      <c r="D492">
        <f>-1131.62443552507 -1301.96605968739 -308.103684810445</f>
        <v>-2741.6941800229051</v>
      </c>
      <c r="E492">
        <f>-1106.73707818782 -1323.01662153881 -424.842960868261</f>
        <v>-2854.5966605948911</v>
      </c>
      <c r="F492">
        <f>-1072.58507536985 -1350.08272507355 -525.321349559103</f>
        <v>-2947.9891500025028</v>
      </c>
      <c r="G492">
        <f>-1027.56557854516 -1384.81628640356 -618.925215451294</f>
        <v>-3031.3070804000145</v>
      </c>
      <c r="H492">
        <f>-954.435979565421 -1440.62420948485 -740.323395603639</f>
        <v>-3135.3835846539105</v>
      </c>
      <c r="I492">
        <f>-881.876334444923 -1472.75650143789 -804.242240043559</f>
        <v>-3158.8750759263721</v>
      </c>
      <c r="J492">
        <f>-992.50069482448 -1388.95932874684 -702.445492001108</f>
        <v>-3083.9055155724277</v>
      </c>
      <c r="K492">
        <f>-999.819820363727 -1248.08584699413 -744.003800959551</f>
        <v>-2991.909468317408</v>
      </c>
      <c r="L492">
        <f>-1113.84513840915 -1129.80004196211 -473.461958820791</f>
        <v>-2717.1071391920509</v>
      </c>
      <c r="M492">
        <f>-1175.64518543817 -1129.41897036902 -220.830420155612</f>
        <v>-2525.8945759628023</v>
      </c>
      <c r="N492">
        <f>-981.086429766064 -1442.90252013615 -670.771532377187</f>
        <v>-3094.760482279401</v>
      </c>
      <c r="O492">
        <f>-969.647797972482 -1557.41268420323 -579.22532078302</f>
        <v>-3106.2858029587319</v>
      </c>
      <c r="P492">
        <f>-1122.94746225053 -1523.62112202375 -304.373505552709</f>
        <v>-2950.9420898269891</v>
      </c>
      <c r="Q492">
        <f>-1148.64394683749 -1364.44955399779 -100.29970388783</f>
        <v>-2613.3932047231101</v>
      </c>
      <c r="R492">
        <f>-1160.34136492295 -1209.80286414243 -185.246532631481</f>
        <v>-2555.3907616968613</v>
      </c>
      <c r="S492" t="s">
        <v>9540</v>
      </c>
      <c r="T492" t="s">
        <v>9541</v>
      </c>
      <c r="U492" t="s">
        <v>9542</v>
      </c>
      <c r="V492">
        <f>-1092.13939647705 -1393.93639361536 -188.260988817392</f>
        <v>-2674.336778909802</v>
      </c>
      <c r="W492" t="s">
        <v>9543</v>
      </c>
      <c r="X492" t="s">
        <v>9544</v>
      </c>
      <c r="Y492" t="s">
        <v>9545</v>
      </c>
    </row>
    <row r="493" spans="1:25" x14ac:dyDescent="0.3">
      <c r="A493">
        <v>24600</v>
      </c>
      <c r="B493" t="s">
        <v>9546</v>
      </c>
      <c r="C493">
        <f>-1126.5730909712 -1302.21245129093 -186.955310938299</f>
        <v>-2615.7408532004288</v>
      </c>
      <c r="D493">
        <f>-1132.07449663478 -1302.33049215414 -307.940875068907</f>
        <v>-2742.3458638578272</v>
      </c>
      <c r="E493">
        <f>-1107.32762962548 -1323.4583597386 -424.696080538625</f>
        <v>-2855.482069902705</v>
      </c>
      <c r="F493">
        <f>-1073.30451323584 -1350.61493638763 -525.193903738011</f>
        <v>-2949.1133533614811</v>
      </c>
      <c r="G493">
        <f>-1028.41434791344 -1385.45709296406 -618.81943417104</f>
        <v>-3032.69087504854</v>
      </c>
      <c r="H493">
        <f>-955.463722664455 -1441.43247618339 -740.248203154638</f>
        <v>-3137.1444020024828</v>
      </c>
      <c r="I493">
        <f>-882.944556427454 -1473.71049608665 -804.139472106972</f>
        <v>-3160.7945246210757</v>
      </c>
      <c r="J493">
        <f>-993.41875388576 -1389.69144444682 -702.364139625613</f>
        <v>-3085.4743379581928</v>
      </c>
      <c r="K493">
        <f>-1000.47128502525 -1248.8191100787 -743.968268209368</f>
        <v>-2993.2586633133183</v>
      </c>
      <c r="L493">
        <f>-1114.1617367058 -1130.24097032623 -473.413374384051</f>
        <v>-2717.816081416081</v>
      </c>
      <c r="M493">
        <f>-1175.89758050169 -1129.60326463094 -220.766763179734</f>
        <v>-2526.2676083123642</v>
      </c>
      <c r="N493">
        <f>-982.065447217909 -1443.63877096548 -670.675242176307</f>
        <v>-3096.3794603596962</v>
      </c>
      <c r="O493">
        <f>-970.757549018892 -1558.12784061963 -579.081847438414</f>
        <v>-3107.9672370769358</v>
      </c>
      <c r="P493">
        <f>-1123.84143149723 -1523.96661643195 -304.15532709814</f>
        <v>-2951.9633750273197</v>
      </c>
      <c r="Q493">
        <f>-1149.15769585319 -1364.75379580422 -100.066128315736</f>
        <v>-2613.9776199731459</v>
      </c>
      <c r="R493">
        <f>-1160.49260756783 -1210.18250468383 -185.038322838808</f>
        <v>-2555.713435090468</v>
      </c>
      <c r="S493" t="s">
        <v>9547</v>
      </c>
      <c r="T493" t="s">
        <v>9548</v>
      </c>
      <c r="U493" t="s">
        <v>9549</v>
      </c>
      <c r="V493">
        <f>-1092.62832793129 -1394.27366728879 -188.12582988461</f>
        <v>-2675.0278251046898</v>
      </c>
      <c r="W493" t="s">
        <v>9550</v>
      </c>
      <c r="X493" t="s">
        <v>9551</v>
      </c>
      <c r="Y493" t="s">
        <v>9552</v>
      </c>
    </row>
    <row r="494" spans="1:25" x14ac:dyDescent="0.3">
      <c r="A494">
        <v>24650</v>
      </c>
      <c r="B494" t="s">
        <v>9553</v>
      </c>
      <c r="C494">
        <f>-1127.41184304102 -1302.87607809341 -186.561647056124</f>
        <v>-2616.8495681905538</v>
      </c>
      <c r="D494">
        <f>-1133.10610406276 -1302.971692381 -307.538392929859</f>
        <v>-2743.6161893736194</v>
      </c>
      <c r="E494">
        <f>-1108.60608885393 -1324.19710468186 -424.327920714235</f>
        <v>-2857.1311142500253</v>
      </c>
      <c r="F494">
        <f>-1074.82093246456 -1351.48590194876 -524.870160175403</f>
        <v>-2951.1769945887227</v>
      </c>
      <c r="G494">
        <f>-1030.17966548459 -1386.5000633229 -618.550605010273</f>
        <v>-3035.230333817763</v>
      </c>
      <c r="H494">
        <f>-957.582833862284 -1442.75156218492 -740.063880598751</f>
        <v>-3140.3982766459549</v>
      </c>
      <c r="I494">
        <f>-885.179749495332 -1475.28097584068 -803.959251482504</f>
        <v>-3164.4199768185158</v>
      </c>
      <c r="J494">
        <f>-995.331749611358 -1390.88211171048 -702.14946791381</f>
        <v>-3088.3633292356481</v>
      </c>
      <c r="K494">
        <f>-1001.88359174587 -1250.00249408404 -743.822952242792</f>
        <v>-2995.7090380727022</v>
      </c>
      <c r="L494">
        <f>-1114.92901844115 -1130.8663753735 -473.243128106485</f>
        <v>-2719.0385219211353</v>
      </c>
      <c r="M494">
        <f>-1176.54703393625 -1129.67906893033 -220.569699320752</f>
        <v>-2526.7958021873319</v>
      </c>
      <c r="N494">
        <f>-984.077583502489 -1444.84193699791 -670.446537907828</f>
        <v>-3099.3660584082268</v>
      </c>
      <c r="O494">
        <f>-973.091981196024 -1559.30822172919 -578.787822604942</f>
        <v>-3111.1880255301562</v>
      </c>
      <c r="P494">
        <f>-1125.89855959991 -1524.30750083283 -303.812679074961</f>
        <v>-2954.018739507701</v>
      </c>
      <c r="Q494">
        <f>-1150.47057433098 -1365.05805412256 -99.6611270056411</f>
        <v>-2615.189755459181</v>
      </c>
      <c r="R494">
        <f>-1161.0740565183 -1210.81417268986 -184.590712475576</f>
        <v>-2556.4789416837357</v>
      </c>
      <c r="S494" t="s">
        <v>9554</v>
      </c>
      <c r="T494" t="s">
        <v>9555</v>
      </c>
      <c r="U494" t="s">
        <v>9556</v>
      </c>
      <c r="V494">
        <f>-1093.74725155266 -1394.94726433037 -187.818350381263</f>
        <v>-2676.5128662642928</v>
      </c>
      <c r="W494" t="s">
        <v>9557</v>
      </c>
      <c r="X494" t="s">
        <v>9558</v>
      </c>
      <c r="Y494" t="s">
        <v>9559</v>
      </c>
    </row>
    <row r="495" spans="1:25" x14ac:dyDescent="0.3">
      <c r="A495">
        <v>24700</v>
      </c>
      <c r="B495" t="s">
        <v>9560</v>
      </c>
      <c r="C495">
        <f>-1127.81207632812 -1303.29625247882 -186.348879001527</f>
        <v>-2617.457207808467</v>
      </c>
      <c r="D495">
        <f>-1133.6033028733 -1303.37533084086 -307.32092980177</f>
        <v>-2744.29956351593</v>
      </c>
      <c r="E495">
        <f>-1109.21562802596 -1324.64772834957 -424.125545014194</f>
        <v>-2857.9889013897241</v>
      </c>
      <c r="F495">
        <f>-1075.53656657233 -1352.0039888282 -524.685033843999</f>
        <v>-2952.2255892445291</v>
      </c>
      <c r="G495">
        <f>-1031.00537721206 -1387.10909848982 -618.383726096387</f>
        <v>-3036.498201798267</v>
      </c>
      <c r="H495">
        <f>-958.565281417716 -1443.5097622369 -739.921361140332</f>
        <v>-3141.9964047949479</v>
      </c>
      <c r="I495">
        <f>-886.225669149079 -1476.16979057821 -803.821955319948</f>
        <v>-3166.217415047237</v>
      </c>
      <c r="J495">
        <f>-996.20863555857 -1391.56888315236 -701.99991829128</f>
        <v>-3089.7774370022098</v>
      </c>
      <c r="K495">
        <f>-1002.50995754835 -1250.6832991852 -743.69073256644</f>
        <v>-2996.8839892999899</v>
      </c>
      <c r="L495">
        <f>-1115.2415352517 -1131.28278593865 -473.096440262955</f>
        <v>-2719.620761453305</v>
      </c>
      <c r="M495">
        <f>-1176.85097290051 -1129.88368415431 -220.422005998419</f>
        <v>-2527.1566630532388</v>
      </c>
      <c r="N495">
        <f>-985.026956267261 -1445.53952861015 -670.289670569158</f>
        <v>-3100.8561554465687</v>
      </c>
      <c r="O495">
        <f>-974.236472717904 -1560.01907345782 -578.628823052201</f>
        <v>-3112.8843692279247</v>
      </c>
      <c r="P495">
        <f>-1126.84880877948 -1524.62676044228 -303.595862494867</f>
        <v>-2955.0714317166271</v>
      </c>
      <c r="Q495">
        <f>-1151.08882376319 -1365.36745822734 -99.412349968581</f>
        <v>-2615.8686319591111</v>
      </c>
      <c r="R495">
        <f>-1161.38517942786 -1211.30519017839 -184.3192155918</f>
        <v>-2557.00958519805</v>
      </c>
      <c r="S495" t="s">
        <v>9561</v>
      </c>
      <c r="T495" t="s">
        <v>9562</v>
      </c>
      <c r="U495" t="s">
        <v>9563</v>
      </c>
      <c r="V495">
        <f>-1094.26342757195 -1395.32138643355 -187.648839716143</f>
        <v>-2677.2336537216429</v>
      </c>
      <c r="W495" t="s">
        <v>9564</v>
      </c>
      <c r="X495" t="s">
        <v>9565</v>
      </c>
      <c r="Y495" t="s">
        <v>9566</v>
      </c>
    </row>
    <row r="496" spans="1:25" x14ac:dyDescent="0.3">
      <c r="A496">
        <v>24750</v>
      </c>
      <c r="B496" t="s">
        <v>9567</v>
      </c>
      <c r="C496">
        <f>-1128.45872546358 -1303.93377698867 -186.002884668915</f>
        <v>-2618.3953871211652</v>
      </c>
      <c r="D496">
        <f>-1134.35741179203 -1303.99321353478 -306.969888431278</f>
        <v>-2745.3205137580876</v>
      </c>
      <c r="E496">
        <f>-1110.15435626579 -1325.3719267576 -423.79331449028</f>
        <v>-2859.31959751367</v>
      </c>
      <c r="F496">
        <f>-1076.67088829878 -1352.87488377799 -524.378064511231</f>
        <v>-2953.923836588001</v>
      </c>
      <c r="G496">
        <f>-1032.36222523081 -1388.17537495414 -618.108929753986</f>
        <v>-3038.6465299389361</v>
      </c>
      <c r="H496">
        <f>-960.257648692275 -1444.89624293171 -739.697156017399</f>
        <v>-3144.851047641384</v>
      </c>
      <c r="I496">
        <f>-888.058984854067 -1477.81085748771 -803.626441156365</f>
        <v>-3169.4962834981425</v>
      </c>
      <c r="J496">
        <f>-997.681364887175 -1392.80534178589 -701.763957992832</f>
        <v>-3092.2506646658967</v>
      </c>
      <c r="K496">
        <f>-1003.53966906996 -1251.91604600836 -743.494779253281</f>
        <v>-2998.9504943316006</v>
      </c>
      <c r="L496">
        <f>-1115.54822286396 -1131.88132715295 -472.880876062129</f>
        <v>-2720.3104260790392</v>
      </c>
      <c r="M496">
        <f>-1176.93866548787 -1130.04107395864 -220.15595333174</f>
        <v>-2527.1356927782499</v>
      </c>
      <c r="N496">
        <f>-986.642017844249 -1446.79267917799 -670.032323610483</f>
        <v>-3103.4670206327219</v>
      </c>
      <c r="O496">
        <f>-976.211370831907 -1561.29365797963 -578.357157451526</f>
        <v>-3115.862186263063</v>
      </c>
      <c r="P496">
        <f>-1128.30835347467 -1525.37644125968 -303.107113105424</f>
        <v>-2956.791907839774</v>
      </c>
      <c r="Q496">
        <f>-1151.94146210849 -1366.10522441577 -98.861526340646</f>
        <v>-2616.9082128649056</v>
      </c>
      <c r="R496">
        <f>-1161.68640651758 -1211.906593385 -184.001995422224</f>
        <v>-2557.5949953248041</v>
      </c>
      <c r="S496" t="s">
        <v>9568</v>
      </c>
      <c r="T496" t="s">
        <v>9569</v>
      </c>
      <c r="U496" t="s">
        <v>9570</v>
      </c>
      <c r="V496">
        <f>-1095.14967696236 -1395.9125272691 -187.339651792456</f>
        <v>-2678.401856023916</v>
      </c>
      <c r="W496" t="s">
        <v>9571</v>
      </c>
      <c r="X496" t="s">
        <v>9572</v>
      </c>
      <c r="Y496" t="s">
        <v>9573</v>
      </c>
    </row>
    <row r="497" spans="1:25" x14ac:dyDescent="0.3">
      <c r="A497">
        <v>24800</v>
      </c>
      <c r="B497" t="s">
        <v>9574</v>
      </c>
      <c r="C497">
        <f>-1128.77338324406 -1304.31599405749 -185.870518861895</f>
        <v>-2618.9598961634447</v>
      </c>
      <c r="D497">
        <f>-1134.72396434281 -1304.37827998908 -306.834906645644</f>
        <v>-2745.9371509775337</v>
      </c>
      <c r="E497">
        <f>-1110.60097621285 -1325.82036047956 -423.663395965876</f>
        <v>-2860.0847326582857</v>
      </c>
      <c r="F497">
        <f>-1077.20020578813 -1353.40398366003 -524.25367248939</f>
        <v>-2954.8578619375503</v>
      </c>
      <c r="G497">
        <f>-1032.98403675062 -1388.80699351507 -617.98943281527</f>
        <v>-3039.7804630809601</v>
      </c>
      <c r="H497">
        <f>-961.01773756604 -1445.69149726216 -739.583005629656</f>
        <v>-3146.2922404578558</v>
      </c>
      <c r="I497">
        <f>-888.876114781757 -1478.71676758832 -803.519692196166</f>
        <v>-3171.112574566243</v>
      </c>
      <c r="J497">
        <f>-998.344428124314 -1393.52622706274 -701.656479607808</f>
        <v>-3093.5271347948619</v>
      </c>
      <c r="K497">
        <f>-1003.98746100991 -1252.62442108679 -743.412355925793</f>
        <v>-3000.0242380224936</v>
      </c>
      <c r="L497">
        <f>-1115.72233146664 -1132.40935997913 -472.765256533454</f>
        <v>-2720.896947979224</v>
      </c>
      <c r="M497">
        <f>-1177.01459603297 -1130.33279089997 -220.018377184134</f>
        <v>-2527.3657641170739</v>
      </c>
      <c r="N497">
        <f>-987.37675326814 -1447.51752549215 -669.906727116799</f>
        <v>-3104.8010058770888</v>
      </c>
      <c r="O497">
        <f>-977.097995590103 -1562.0163944717 -578.217385848911</f>
        <v>-3117.331775910714</v>
      </c>
      <c r="P497">
        <f>-1128.97678904054 -1525.85207408358 -302.879098832886</f>
        <v>-2957.7079619570063</v>
      </c>
      <c r="Q497">
        <f>-1152.29323833459 -1366.51906853158 -98.6454744230095</f>
        <v>-2617.4577812891794</v>
      </c>
      <c r="R497">
        <f>-1161.89613463012 -1212.21454520234 -183.875597821054</f>
        <v>-2557.9862776535138</v>
      </c>
      <c r="S497" t="s">
        <v>9575</v>
      </c>
      <c r="T497" t="s">
        <v>9576</v>
      </c>
      <c r="U497" t="s">
        <v>9577</v>
      </c>
      <c r="V497">
        <f>-1095.60688677729 -1396.42919578305 -187.195112810684</f>
        <v>-2679.2311953710241</v>
      </c>
      <c r="W497" t="s">
        <v>9578</v>
      </c>
      <c r="X497" t="s">
        <v>9579</v>
      </c>
      <c r="Y497" t="s">
        <v>9580</v>
      </c>
    </row>
    <row r="498" spans="1:25" x14ac:dyDescent="0.3">
      <c r="A498">
        <v>24850</v>
      </c>
      <c r="B498" t="s">
        <v>9581</v>
      </c>
      <c r="C498">
        <f>-1129.30308902711 -1305.23146775493 -185.604358839961</f>
        <v>-2620.1389156220012</v>
      </c>
      <c r="D498">
        <f>-1135.39067608716 -1305.32914600618 -306.561995660892</f>
        <v>-2747.2818177542322</v>
      </c>
      <c r="E498">
        <f>-1111.45987434359 -1326.88709767868 -423.408553783324</f>
        <v>-2861.7555258055941</v>
      </c>
      <c r="F498">
        <f>-1078.25303731309 -1354.60892494079 -524.024967731202</f>
        <v>-2956.8869299850821</v>
      </c>
      <c r="G498">
        <f>-1034.24956403358 -1390.18311901662 -617.796034520852</f>
        <v>-3042.2287175710521</v>
      </c>
      <c r="H498">
        <f>-962.596942957989 -1447.33922049475 -739.447646482509</f>
        <v>-3149.3838099352479</v>
      </c>
      <c r="I498">
        <f>-890.574877594498 -1480.55606748486 -803.419830368244</f>
        <v>-3174.5507754476021</v>
      </c>
      <c r="J498">
        <f>-999.728258434628 -1395.04723295197 -701.503794401571</f>
        <v>-3096.2792857881686</v>
      </c>
      <c r="K498">
        <f>-1005.04560767597 -1254.15720968355 -743.296299133507</f>
        <v>-3002.499116493027</v>
      </c>
      <c r="L498">
        <f>-1116.17175950214 -1133.45723509561 -472.614374961806</f>
        <v>-2722.243369559556</v>
      </c>
      <c r="M498">
        <f>-1177.33534684593 -1130.94794831702 -219.840280825972</f>
        <v>-2528.1235759889219</v>
      </c>
      <c r="N498">
        <f>-988.873763049982 -1449.05158799196 -669.737428101642</f>
        <v>-3107.662779143584</v>
      </c>
      <c r="O498">
        <f>-978.873041091266 -1563.58237076665 -578.044312454329</f>
        <v>-3120.4997243122452</v>
      </c>
      <c r="P498">
        <f>-1130.27346332684 -1526.93607572531 -302.506394754608</f>
        <v>-2959.7159338067577</v>
      </c>
      <c r="Q498">
        <f>-1153.05369454136 -1367.48166313032 -98.3069945157248</f>
        <v>-2618.8423521874047</v>
      </c>
      <c r="R498">
        <f>-1162.324299696 -1213.00596237297 -183.612593304396</f>
        <v>-2558.942855373366</v>
      </c>
      <c r="S498" t="s">
        <v>9582</v>
      </c>
      <c r="T498" t="s">
        <v>9583</v>
      </c>
      <c r="U498" t="s">
        <v>9584</v>
      </c>
      <c r="V498">
        <f>-1096.25670776615 -1397.42643903467 -186.920193686294</f>
        <v>-2680.6033404871141</v>
      </c>
      <c r="W498" t="s">
        <v>9585</v>
      </c>
      <c r="X498" t="s">
        <v>9586</v>
      </c>
      <c r="Y498" t="s">
        <v>9587</v>
      </c>
    </row>
    <row r="499" spans="1:25" x14ac:dyDescent="0.3">
      <c r="A499">
        <v>24900</v>
      </c>
      <c r="B499" t="s">
        <v>9588</v>
      </c>
      <c r="C499">
        <f>-1129.51700557703 -1305.54639246438 -185.463716008614</f>
        <v>-2620.527114050024</v>
      </c>
      <c r="D499">
        <f>-1135.63254962312 -1305.61898695177 -306.419888662743</f>
        <v>-2747.6714252376332</v>
      </c>
      <c r="E499">
        <f>-1111.71584076316 -1327.19812800306 -423.265437065426</f>
        <v>-2862.1794058316459</v>
      </c>
      <c r="F499">
        <f>-1078.51817857923 -1354.95823634224 -523.874364656799</f>
        <v>-2957.3507795782689</v>
      </c>
      <c r="G499">
        <f>-1034.52238041316 -1390.58898841201 -617.62753245945</f>
        <v>-3042.7389012846197</v>
      </c>
      <c r="H499">
        <f>-962.881120701462 -1447.84157674105 -739.240348528169</f>
        <v>-3149.9630459706809</v>
      </c>
      <c r="I499">
        <f>-890.880658432131 -1481.13059957393 -803.19938581592</f>
        <v>-3175.2106438219812</v>
      </c>
      <c r="J499">
        <f>-999.97566899998 -1395.50527475498 -701.321710873571</f>
        <v>-3096.8026546285309</v>
      </c>
      <c r="K499">
        <f>-1005.21501134445 -1254.61612480139 -743.135369395251</f>
        <v>-3002.966505541091</v>
      </c>
      <c r="L499">
        <f>-1116.06552224634 -1133.63678392135 -472.465131682676</f>
        <v>-2722.1674378503658</v>
      </c>
      <c r="M499">
        <f>-1177.11877223279 -1130.9371894134 -219.666305563723</f>
        <v>-2527.7222672099128</v>
      </c>
      <c r="N499">
        <f>-989.184628852538 -1449.51290341339 -669.539118722039</f>
        <v>-3108.2366509879671</v>
      </c>
      <c r="O499">
        <f>-979.249853856089 -1564.05224212025 -577.859984311722</f>
        <v>-3121.1620802880607</v>
      </c>
      <c r="P499">
        <f>-1130.45865461748 -1527.18045513408 -302.246907568249</f>
        <v>-2959.8860173198086</v>
      </c>
      <c r="Q499">
        <f>-1153.06642235455 -1367.78583314083 -97.981697662642</f>
        <v>-2618.8339531580218</v>
      </c>
      <c r="R499">
        <f>-1162.50417670435 -1213.32189603091 -183.458514619835</f>
        <v>-2559.284587355095</v>
      </c>
      <c r="S499" t="s">
        <v>9589</v>
      </c>
      <c r="T499" t="s">
        <v>9590</v>
      </c>
      <c r="U499" t="s">
        <v>9591</v>
      </c>
      <c r="V499">
        <f>-1096.48632792245 -1397.68806210257 -186.804861755604</f>
        <v>-2680.9792517806245</v>
      </c>
      <c r="W499" t="s">
        <v>9592</v>
      </c>
      <c r="X499" t="s">
        <v>9593</v>
      </c>
      <c r="Y499" t="s">
        <v>9594</v>
      </c>
    </row>
    <row r="500" spans="1:25" x14ac:dyDescent="0.3">
      <c r="A500">
        <v>24950</v>
      </c>
      <c r="B500" t="s">
        <v>9595</v>
      </c>
      <c r="C500">
        <f>-1129.96504499253 -1306.11862100658 -185.266763943158</f>
        <v>-2621.350429942268</v>
      </c>
      <c r="D500">
        <f>-1136.18786718134 -1306.22781348472 -306.217500417925</f>
        <v>-2748.6331810839847</v>
      </c>
      <c r="E500">
        <f>-1112.30872956718 -1327.86353196211 -423.060232627257</f>
        <v>-2863.2324941565471</v>
      </c>
      <c r="F500">
        <f>-1079.11740184683 -1355.67973901972 -523.655717810909</f>
        <v>-2958.4528586774586</v>
      </c>
      <c r="G500">
        <f>-1035.10242734089 -1391.36861328545 -617.377835863982</f>
        <v>-3043.8488764903223</v>
      </c>
      <c r="H500">
        <f>-963.41087571668 -1448.7010192424 -738.923383276156</f>
        <v>-3151.0352782352361</v>
      </c>
      <c r="I500">
        <f>-891.428694570377 -1482.06470243369 -802.864075601483</f>
        <v>-3176.3574726055499</v>
      </c>
      <c r="J500">
        <f>-1000.5141036166 -1396.33683150514 -701.051796290179</f>
        <v>-3097.9027314119189</v>
      </c>
      <c r="K500">
        <f>-1005.72734441719 -1255.47267206917 -742.989404123674</f>
        <v>-3004.1894206100337</v>
      </c>
      <c r="L500">
        <f>-1116.3191528562 -1133.98249583479 -472.442209277021</f>
        <v>-2722.7438579680111</v>
      </c>
      <c r="M500">
        <f>-1177.31022804052 -1131.02618787755 -219.631296206534</f>
        <v>-2527.9677121246041</v>
      </c>
      <c r="N500">
        <f>-989.750230857251 -1450.32957570599 -669.234774024198</f>
        <v>-3109.3145805874392</v>
      </c>
      <c r="O500">
        <f>-979.947628830866 -1564.88035529541 -577.553796394563</f>
        <v>-3122.3817805208391</v>
      </c>
      <c r="P500">
        <f>-1130.70205286825 -1527.88556415369 -301.708395039787</f>
        <v>-2960.2960120617267</v>
      </c>
      <c r="Q500">
        <f>-1153.00457904661 -1368.49637370961 -97.4053957862116</f>
        <v>-2618.9063485424313</v>
      </c>
      <c r="R500">
        <f>-1162.84239896069 -1213.89813356535 -183.245203169072</f>
        <v>-2559.9857356951115</v>
      </c>
      <c r="S500" t="s">
        <v>9596</v>
      </c>
      <c r="T500" t="s">
        <v>9597</v>
      </c>
      <c r="U500" t="s">
        <v>9598</v>
      </c>
      <c r="V500">
        <f>-1097.06602668495 -1398.30390579135 -186.592653223395</f>
        <v>-2681.962585699695</v>
      </c>
      <c r="W500" t="s">
        <v>9599</v>
      </c>
      <c r="X500" t="s">
        <v>9600</v>
      </c>
      <c r="Y500" t="s">
        <v>9601</v>
      </c>
    </row>
    <row r="501" spans="1:25" x14ac:dyDescent="0.3">
      <c r="A501">
        <v>25000</v>
      </c>
      <c r="B501" t="s">
        <v>9602</v>
      </c>
      <c r="C501">
        <f>-1130.21157719478 -1306.36636194544 -185.174699830156</f>
        <v>-2621.7526389703762</v>
      </c>
      <c r="D501">
        <f>-1136.42315120257 -1306.49680722105 -306.125982512954</f>
        <v>-2749.045940936574</v>
      </c>
      <c r="E501">
        <f>-1112.52851830304 -1328.17869325561 -422.957010628595</f>
        <v>-2863.6642221872448</v>
      </c>
      <c r="F501">
        <f>-1079.32351903165 -1356.04629547181 -523.533758230579</f>
        <v>-2958.9035727340388</v>
      </c>
      <c r="G501">
        <f>-1035.29686938234 -1391.7955782476 -617.227318776365</f>
        <v>-3044.3197664063046</v>
      </c>
      <c r="H501">
        <f>-963.59273224166 -1449.22043048828 -738.721810132936</f>
        <v>-3151.5349728628757</v>
      </c>
      <c r="I501">
        <f>-891.619422993981 -1482.61979407055 -802.653868364404</f>
        <v>-3176.8930854289347</v>
      </c>
      <c r="J501">
        <f>-1000.68703559653 -1396.82194868821 -700.888881802185</f>
        <v>-3098.3978660869252</v>
      </c>
      <c r="K501">
        <f>-1005.96598845152 -1255.99467724504 -742.915051026753</f>
        <v>-3004.8757167233134</v>
      </c>
      <c r="L501">
        <f>-1116.45968079318 -1134.34969771474 -472.397422841657</f>
        <v>-2723.2068013495768</v>
      </c>
      <c r="M501">
        <f>-1177.51642123925 -1131.27733460323 -219.603542882943</f>
        <v>-2528.3972987254233</v>
      </c>
      <c r="N501">
        <f>-989.952153213493 -1450.80147053853 -669.039646588348</f>
        <v>-3109.7932703403712</v>
      </c>
      <c r="O501">
        <f>-980.192743429368 -1565.3451097502 -577.3415726576</f>
        <v>-3122.8794258371677</v>
      </c>
      <c r="P501">
        <f>-1130.68654568345 -1528.3080539077 -301.359692457627</f>
        <v>-2960.3542920487771</v>
      </c>
      <c r="Q501">
        <f>-1152.93620336388 -1368.86754659563 -97.0908273326839</f>
        <v>-2618.8945772921943</v>
      </c>
      <c r="R501">
        <f>-1163.06103412501 -1214.21695529283 -183.128003467673</f>
        <v>-2560.4059928855131</v>
      </c>
      <c r="S501" t="s">
        <v>9603</v>
      </c>
      <c r="T501" t="s">
        <v>9604</v>
      </c>
      <c r="U501" t="s">
        <v>9605</v>
      </c>
      <c r="V501">
        <f>-1097.33275327845 -1398.49067869482 -186.474064343511</f>
        <v>-2682.2974963167812</v>
      </c>
      <c r="W501" t="s">
        <v>9606</v>
      </c>
      <c r="X501" t="s">
        <v>9607</v>
      </c>
      <c r="Y501" t="s">
        <v>9608</v>
      </c>
    </row>
    <row r="502" spans="1:25" x14ac:dyDescent="0.3">
      <c r="A502">
        <v>25050</v>
      </c>
      <c r="B502" t="s">
        <v>9609</v>
      </c>
      <c r="C502">
        <f>-1130.58911679873 -1307.0513305275 -184.883684930306</f>
        <v>-2622.5241322565362</v>
      </c>
      <c r="D502">
        <f>-1136.79065506206 -1307.24051930352 -305.835472583542</f>
        <v>-2749.8666469491222</v>
      </c>
      <c r="E502">
        <f>-1112.92529995867 -1329.01006027222 -422.656251302939</f>
        <v>-2864.5916115338291</v>
      </c>
      <c r="F502">
        <f>-1079.7607482209 -1356.96508411619 -523.221998362419</f>
        <v>-2959.9478306995088</v>
      </c>
      <c r="G502">
        <f>-1035.7868229854 -1392.80780202783 -616.904593483883</f>
        <v>-3045.4992184971134</v>
      </c>
      <c r="H502">
        <f>-964.166959683202 -1450.36695942829 -738.385408367827</f>
        <v>-3152.9193274793192</v>
      </c>
      <c r="I502">
        <f>-892.252543928694 -1483.82175258064 -802.354619701404</f>
        <v>-3178.428916210738</v>
      </c>
      <c r="J502">
        <f>-1001.22214900558 -1397.92115776079 -700.579682554738</f>
        <v>-3099.7229893211083</v>
      </c>
      <c r="K502">
        <f>-1006.52898250509 -1257.14285993258 -742.737226013254</f>
        <v>-3006.4090684509238</v>
      </c>
      <c r="L502">
        <f>-1116.86555391124 -1135.32052885455 -472.235160079926</f>
        <v>-2724.4212428457163</v>
      </c>
      <c r="M502">
        <f>-1177.95871509383 -1131.85208840912 -219.455419126203</f>
        <v>-2529.2662226291532</v>
      </c>
      <c r="N502">
        <f>-990.490915829074 -1451.87646312157 -668.688147600876</f>
        <v>-3111.05552655152</v>
      </c>
      <c r="O502">
        <f>-980.700956612147 -1566.35583821766 -576.912436950397</f>
        <v>-3123.9692317802042</v>
      </c>
      <c r="P502">
        <f>-1130.88701026304 -1529.23132070714 -300.774591019828</f>
        <v>-2960.8929219900083</v>
      </c>
      <c r="Q502">
        <f>-1152.99372876078 -1369.6323434745 -96.6141056983843</f>
        <v>-2619.2401779336642</v>
      </c>
      <c r="R502">
        <f>-1163.38676254159 -1214.88159467749 -182.887007002215</f>
        <v>-2561.1553642212948</v>
      </c>
      <c r="S502" t="s">
        <v>9610</v>
      </c>
      <c r="T502" t="s">
        <v>9611</v>
      </c>
      <c r="U502" t="s">
        <v>9612</v>
      </c>
      <c r="V502">
        <f>-1097.7695240522 -1399.22887186598 -186.161964162149</f>
        <v>-2683.1603600803292</v>
      </c>
      <c r="W502" t="s">
        <v>9613</v>
      </c>
      <c r="X502" t="s">
        <v>9614</v>
      </c>
      <c r="Y502" t="s">
        <v>9615</v>
      </c>
    </row>
    <row r="503" spans="1:25" x14ac:dyDescent="0.3">
      <c r="A503">
        <v>25100</v>
      </c>
      <c r="B503" t="s">
        <v>9616</v>
      </c>
      <c r="C503">
        <f>-1130.70012509303 -1307.36742940251 -184.719118543698</f>
        <v>-2622.7866730392384</v>
      </c>
      <c r="D503">
        <f>-1136.98179007717 -1307.61334925057 -305.66672144015</f>
        <v>-2750.2618607678901</v>
      </c>
      <c r="E503">
        <f>-1113.16984358857 -1329.44140273217 -422.487382220831</f>
        <v>-2865.0986285415711</v>
      </c>
      <c r="F503">
        <f>-1080.04186869543 -1357.44807366827 -523.050956918763</f>
        <v>-2960.5408992824628</v>
      </c>
      <c r="G503">
        <f>-1036.09297281938 -1393.3397048674 -616.726596124794</f>
        <v>-3046.1592738115742</v>
      </c>
      <c r="H503">
        <f>-964.496352795893 -1450.96263907129 -738.190746702947</f>
        <v>-3153.6497385701296</v>
      </c>
      <c r="I503">
        <f>-892.594123965931 -1484.43555861074 -802.164221298767</f>
        <v>-3179.1939038754381</v>
      </c>
      <c r="J503">
        <f>-1001.53896034522 -1398.4946996529 -700.403472865242</f>
        <v>-3100.437132863362</v>
      </c>
      <c r="K503">
        <f>-1006.83136208046 -1257.71235579362 -742.570538602509</f>
        <v>-3007.1142564765887</v>
      </c>
      <c r="L503">
        <f>-1116.9610960903 -1135.86733928549 -471.994514686431</f>
        <v>-2724.822950062221</v>
      </c>
      <c r="M503">
        <f>-1177.83717595536 -1132.26522040862 -219.164165354303</f>
        <v>-2529.2665617182829</v>
      </c>
      <c r="N503">
        <f>-990.812366711975 -1452.437861586 -668.489835271168</f>
        <v>-3111.7400635691429</v>
      </c>
      <c r="O503">
        <f>-981.002135591769 -1566.88794499443 -576.674617357684</f>
        <v>-3124.5646979438829</v>
      </c>
      <c r="P503">
        <f>-1131.06637017766 -1529.50707102364 -300.505011632752</f>
        <v>-2961.0784528340519</v>
      </c>
      <c r="Q503">
        <f>-1153.15362413115 -1369.85743532329 -96.3820589434781</f>
        <v>-2619.3931183979184</v>
      </c>
      <c r="R503">
        <f>-1163.49122913418 -1215.16700286762 -182.752314270272</f>
        <v>-2561.4105462720722</v>
      </c>
      <c r="S503" t="s">
        <v>9617</v>
      </c>
      <c r="T503" t="s">
        <v>9618</v>
      </c>
      <c r="U503" t="s">
        <v>9619</v>
      </c>
      <c r="V503">
        <f>-1097.91735435542 -1399.58725889332 -185.98707591032</f>
        <v>-2683.4916891590601</v>
      </c>
      <c r="W503" t="s">
        <v>9620</v>
      </c>
      <c r="X503" t="s">
        <v>9621</v>
      </c>
      <c r="Y503" t="s">
        <v>9622</v>
      </c>
    </row>
    <row r="504" spans="1:25" x14ac:dyDescent="0.3">
      <c r="A504">
        <v>25150</v>
      </c>
      <c r="B504" t="s">
        <v>9623</v>
      </c>
      <c r="C504">
        <f>-1130.83640436752 -1308.15286593762 -184.399320693587</f>
        <v>-2623.3885909987271</v>
      </c>
      <c r="D504">
        <f>-1137.26893629404 -1308.49495195945 -305.338632300427</f>
        <v>-2751.1025205539172</v>
      </c>
      <c r="E504">
        <f>-1113.56254310204 -1330.41868341116 -422.162921388629</f>
        <v>-2866.144147901829</v>
      </c>
      <c r="F504">
        <f>-1080.51123717488 -1358.51063517521 -522.727844247736</f>
        <v>-2961.7497165978261</v>
      </c>
      <c r="G504">
        <f>-1036.62118601367 -1394.48533588081 -616.399277182577</f>
        <v>-3047.505799077057</v>
      </c>
      <c r="H504">
        <f>-965.08922589001 -1452.22029492652 -737.848292573932</f>
        <v>-3155.1578133904623</v>
      </c>
      <c r="I504">
        <f>-893.180451423797 -1485.72585987835 -801.797373617992</f>
        <v>-3180.703684920139</v>
      </c>
      <c r="J504">
        <f>-1002.09438439016 -1399.7101323174 -700.08302922661</f>
        <v>-3101.8875459341698</v>
      </c>
      <c r="K504">
        <f>-1007.32142643292 -1258.93601456342 -742.267572802154</f>
        <v>-3008.525013798494</v>
      </c>
      <c r="L504">
        <f>-1117.04724535326 -1136.92603221419 -471.601559534623</f>
        <v>-2725.5748371020732</v>
      </c>
      <c r="M504">
        <f>-1177.5019511546 -1133.08428889999 -218.673756817994</f>
        <v>-2529.2599968725845</v>
      </c>
      <c r="N504">
        <f>-991.385428217673 -1453.63861250874 -668.138832822232</f>
        <v>-3113.1628735486447</v>
      </c>
      <c r="O504">
        <f>-981.617759333485 -1568.02514367136 -576.241817752752</f>
        <v>-3125.8847207575968</v>
      </c>
      <c r="P504">
        <f>-1131.22203566183 -1530.3257309327 -299.866237583104</f>
        <v>-2961.4140041776341</v>
      </c>
      <c r="Q504">
        <f>-1153.25341279756 -1370.55441714997 -95.8324517077621</f>
        <v>-2619.6402816552923</v>
      </c>
      <c r="R504">
        <f>-1163.6074098611 -1215.87529170487 -182.488617406296</f>
        <v>-2561.9713189722661</v>
      </c>
      <c r="S504" t="s">
        <v>9624</v>
      </c>
      <c r="T504" t="s">
        <v>9625</v>
      </c>
      <c r="U504" t="s">
        <v>9626</v>
      </c>
      <c r="V504">
        <f>-1098.03543664469 -1400.40489820668 -185.631511959294</f>
        <v>-2684.0718468106638</v>
      </c>
      <c r="W504" t="s">
        <v>9627</v>
      </c>
      <c r="X504" t="s">
        <v>9628</v>
      </c>
      <c r="Y504" t="s">
        <v>9629</v>
      </c>
    </row>
    <row r="505" spans="1:25" x14ac:dyDescent="0.3">
      <c r="A505">
        <v>25200</v>
      </c>
      <c r="B505" t="s">
        <v>9630</v>
      </c>
      <c r="C505">
        <f>-1130.93609229896 -1308.56146862448 -184.244926490591</f>
        <v>-2623.7424874140306</v>
      </c>
      <c r="D505">
        <f>-1137.37772325179 -1308.90650241907 -305.183787102689</f>
        <v>-2751.4680127735492</v>
      </c>
      <c r="E505">
        <f>-1113.65086864258 -1330.84464400922 -422.001230691875</f>
        <v>-2866.496743343675</v>
      </c>
      <c r="F505">
        <f>-1080.57024045923 -1358.95281260426 -522.551998334433</f>
        <v>-2962.0750513979228</v>
      </c>
      <c r="G505">
        <f>-1036.64151906151 -1394.94557893255 -616.198316894618</f>
        <v>-3047.7854148886781</v>
      </c>
      <c r="H505">
        <f>-965.047817018585 -1452.70615275843 -737.598770113193</f>
        <v>-3155.3527398902083</v>
      </c>
      <c r="I505">
        <f>-893.108725170957 -1486.2183978317 -801.510260380127</f>
        <v>-3180.8373833827841</v>
      </c>
      <c r="J505">
        <f>-1002.07338728169 -1400.18854203474 -699.863887186405</f>
        <v>-3102.1258165028348</v>
      </c>
      <c r="K505">
        <f>-1007.25826725655 -1259.41452735841 -742.065174137598</f>
        <v>-3008.7379687525581</v>
      </c>
      <c r="L505">
        <f>-1116.94440955384 -1137.31662978925 -471.422853365248</f>
        <v>-2725.6838927083381</v>
      </c>
      <c r="M505">
        <f>-1177.37267788441 -1133.40402200234 -218.48976262211</f>
        <v>-2529.2664625088601</v>
      </c>
      <c r="N505">
        <f>-991.378229616339 -1454.10925214142 -667.901804226012</f>
        <v>-3113.3892859837715</v>
      </c>
      <c r="O505">
        <f>-981.654960352564 -1568.49229045944 -575.991227057073</f>
        <v>-3126.1384778690772</v>
      </c>
      <c r="P505">
        <f>-1131.21477568335 -1530.7215530144 -299.601347571369</f>
        <v>-2961.5376762691185</v>
      </c>
      <c r="Q505">
        <f>-1153.09065818282 -1370.91076014553 -95.581656248532</f>
        <v>-2619.5830745768822</v>
      </c>
      <c r="R505">
        <f>-1163.71935019759 -1216.25781954509 -182.341640306799</f>
        <v>-2562.318810049479</v>
      </c>
      <c r="S505" t="s">
        <v>9631</v>
      </c>
      <c r="T505" t="s">
        <v>9632</v>
      </c>
      <c r="U505" t="s">
        <v>9633</v>
      </c>
      <c r="V505">
        <f>-1098.10701302156 -1400.8131339266 -185.470045045661</f>
        <v>-2684.3901919938212</v>
      </c>
      <c r="W505" t="s">
        <v>9634</v>
      </c>
      <c r="X505" t="s">
        <v>9635</v>
      </c>
      <c r="Y505" t="s">
        <v>9636</v>
      </c>
    </row>
    <row r="506" spans="1:25" x14ac:dyDescent="0.3">
      <c r="A506">
        <v>25250</v>
      </c>
      <c r="B506" t="s">
        <v>9637</v>
      </c>
      <c r="C506">
        <f>-1131.11944768972 -1309.43182215306 -183.919089231194</f>
        <v>-2624.4703590739741</v>
      </c>
      <c r="D506">
        <f>-1137.58513104095 -1309.79752535567 -304.85654371647</f>
        <v>-2752.2392001130902</v>
      </c>
      <c r="E506">
        <f>-1113.83105493929 -1331.78909580391 -421.658361530924</f>
        <v>-2867.2785122741238</v>
      </c>
      <c r="F506">
        <f>-1080.70835432021 -1359.95695994425 -522.178718880147</f>
        <v>-2962.8440331446072</v>
      </c>
      <c r="G506">
        <f>-1036.72351238005 -1396.01867385941 -615.772166464354</f>
        <v>-3048.514352703814</v>
      </c>
      <c r="H506">
        <f>-965.041125327079 -1453.88224241538 -737.071182960713</f>
        <v>-3155.9945507031721</v>
      </c>
      <c r="I506">
        <f>-893.049473774298 -1487.44255317575 -800.89817613678</f>
        <v>-3181.390203086828</v>
      </c>
      <c r="J506">
        <f>-1002.08546631528 -1401.32885507427 -699.404328067625</f>
        <v>-3102.8186494571751</v>
      </c>
      <c r="K506">
        <f>-1007.26025695935 -1260.58517756193 -741.695274482088</f>
        <v>-3009.5407090033686</v>
      </c>
      <c r="L506">
        <f>-1117.00430255259 -1138.48283370743 -471.07840754832</f>
        <v>-2726.5655438083395</v>
      </c>
      <c r="M506">
        <f>-1177.46345152362 -1134.35776428071 -218.156022198894</f>
        <v>-2529.9772380032236</v>
      </c>
      <c r="N506">
        <f>-991.431247725023 -1455.22993509475 -667.395720235912</f>
        <v>-3114.0569030556849</v>
      </c>
      <c r="O506">
        <f>-981.832107514895 -1569.56073416171 -575.409260994845</f>
        <v>-3126.8021026714496</v>
      </c>
      <c r="P506">
        <f>-1131.45457874413 -1531.61728531265 -299.076878669242</f>
        <v>-2962.1487427260222</v>
      </c>
      <c r="Q506">
        <f>-1153.18842345979 -1371.77444728336 -95.0671480415858</f>
        <v>-2620.0300187847361</v>
      </c>
      <c r="R506">
        <f>-1163.90595741892 -1217.221431633 -181.987021642929</f>
        <v>-2563.1144106948491</v>
      </c>
      <c r="S506" t="s">
        <v>9638</v>
      </c>
      <c r="T506" t="s">
        <v>9639</v>
      </c>
      <c r="U506" t="s">
        <v>9640</v>
      </c>
      <c r="V506">
        <f>-1098.29681710844 -1401.63336219721 -185.131338559405</f>
        <v>-2685.0615178650551</v>
      </c>
      <c r="W506" t="s">
        <v>9641</v>
      </c>
      <c r="X506" t="s">
        <v>9642</v>
      </c>
      <c r="Y506" t="s">
        <v>9643</v>
      </c>
    </row>
    <row r="507" spans="1:25" x14ac:dyDescent="0.3">
      <c r="A507">
        <v>25300</v>
      </c>
      <c r="B507" t="s">
        <v>9644</v>
      </c>
      <c r="C507">
        <f>-1131.19899519877 -1309.83765858226 -183.785870568459</f>
        <v>-2624.822524349489</v>
      </c>
      <c r="D507">
        <f>-1137.67388501881 -1310.23346057417 -304.722818394283</f>
        <v>-2752.6301639872631</v>
      </c>
      <c r="E507">
        <f>-1113.91618989487 -1332.26648635348 -421.516175418424</f>
        <v>-2867.6988516667743</v>
      </c>
      <c r="F507">
        <f>-1080.78558762064 -1360.47473767102 -522.022383003503</f>
        <v>-2963.2827082951626</v>
      </c>
      <c r="G507">
        <f>-1036.7890000255 -1396.57851450163 -615.594076820966</f>
        <v>-3048.9615913480961</v>
      </c>
      <c r="H507">
        <f>-965.087121865601 -1454.50096689151 -736.853483292102</f>
        <v>-3156.4415720492134</v>
      </c>
      <c r="I507">
        <f>-893.074103246271 -1488.08551269297 -800.64361056446</f>
        <v>-3181.8032265037009</v>
      </c>
      <c r="J507">
        <f>-1002.13872045108 -1401.92982978214 -699.218819575212</f>
        <v>-3103.2873698084318</v>
      </c>
      <c r="K507">
        <f>-1007.32951103084 -1261.20362631001 -741.584410469791</f>
        <v>-3010.1175478106406</v>
      </c>
      <c r="L507">
        <f>-1117.1383363167 -1138.97833589815 -471.049409659201</f>
        <v>-2727.1660818740511</v>
      </c>
      <c r="M507">
        <f>-1177.68196622701 -1134.7085910805 -218.149596790401</f>
        <v>-2530.540154097911</v>
      </c>
      <c r="N507">
        <f>-991.487252156751 -1455.81430553784 -667.181319691085</f>
        <v>-3114.4828773856761</v>
      </c>
      <c r="O507">
        <f>-981.916037740653 -1570.10657264994 -575.146563745796</f>
        <v>-3127.1691741363888</v>
      </c>
      <c r="P507">
        <f>-1131.62809889535 -1531.99838256602 -298.885448970626</f>
        <v>-2962.5119304319956</v>
      </c>
      <c r="Q507">
        <f>-1153.39695414138 -1372.07433666448 -94.9431272737518</f>
        <v>-2620.414418079612</v>
      </c>
      <c r="R507">
        <f>-1164.00111433837 -1217.67311722349 -181.861729490537</f>
        <v>-2563.5359610523969</v>
      </c>
      <c r="S507" t="s">
        <v>9645</v>
      </c>
      <c r="T507" t="s">
        <v>9646</v>
      </c>
      <c r="U507" t="s">
        <v>9647</v>
      </c>
      <c r="V507">
        <f>-1098.35533470406 -1402.00576338837 -184.969736577926</f>
        <v>-2685.3308346703561</v>
      </c>
      <c r="W507" t="s">
        <v>9648</v>
      </c>
      <c r="X507" t="s">
        <v>9649</v>
      </c>
      <c r="Y507" t="s">
        <v>9650</v>
      </c>
    </row>
    <row r="508" spans="1:25" x14ac:dyDescent="0.3">
      <c r="A508">
        <v>25350</v>
      </c>
      <c r="B508" t="s">
        <v>9651</v>
      </c>
      <c r="C508">
        <f>-1131.27451288684 -1310.65856405413 -183.627692774878</f>
        <v>-2625.560769715848</v>
      </c>
      <c r="D508">
        <f>-1137.64698549587 -1311.0565923374 -304.569997680557</f>
        <v>-2753.2735755138274</v>
      </c>
      <c r="E508">
        <f>-1113.8173531619 -1333.13764065539 -421.339648895416</f>
        <v>-2868.2946427127058</v>
      </c>
      <c r="F508">
        <f>-1080.63402278257 -1361.4027159797 -521.812467550792</f>
        <v>-2963.849206313062</v>
      </c>
      <c r="G508">
        <f>-1036.59667879703 -1397.57331322492 -615.339235959664</f>
        <v>-3049.509227981614</v>
      </c>
      <c r="H508">
        <f>-964.850143613915 -1455.59585003886 -736.524328699798</f>
        <v>-3156.9703223525726</v>
      </c>
      <c r="I508">
        <f>-892.772946889759 -1489.18892797838 -800.237561197199</f>
        <v>-3182.199436065338</v>
      </c>
      <c r="J508">
        <f>-1001.93130457468 -1403.0004030501 -698.952759660677</f>
        <v>-3103.8844672854566</v>
      </c>
      <c r="K508">
        <f>-1007.16200038313 -1262.31743864936 -741.448344982861</f>
        <v>-3010.9277840153509</v>
      </c>
      <c r="L508">
        <f>-1117.03731790832 -1139.74655317003 -471.096742368111</f>
        <v>-2727.8806134464608</v>
      </c>
      <c r="M508">
        <f>-1177.64398695693 -1135.2482272442 -218.216068294113</f>
        <v>-2531.1082824952427</v>
      </c>
      <c r="N508">
        <f>-991.260231876678 -1456.84495952636 -666.854606929596</f>
        <v>-3114.9597983326339</v>
      </c>
      <c r="O508">
        <f>-981.657115913096 -1571.04963697396 -574.717172895533</f>
        <v>-3127.4239257825893</v>
      </c>
      <c r="P508">
        <f>-1131.48415114462 -1532.82172982758 -298.534747495529</f>
        <v>-2962.8406284677285</v>
      </c>
      <c r="Q508">
        <f>-1153.39672008812 -1372.76390650978 -94.7127899560722</f>
        <v>-2620.8734165539722</v>
      </c>
      <c r="R508">
        <f>-1164.11833536247 -1218.52896662502 -181.754878949426</f>
        <v>-2564.402180936916</v>
      </c>
      <c r="S508" t="s">
        <v>9652</v>
      </c>
      <c r="T508" t="s">
        <v>9653</v>
      </c>
      <c r="U508" t="s">
        <v>9654</v>
      </c>
      <c r="V508">
        <f>-1098.3876840774 -1402.73988583523 -184.817812652204</f>
        <v>-2685.9453825648338</v>
      </c>
      <c r="W508" t="s">
        <v>9655</v>
      </c>
      <c r="X508" t="s">
        <v>9656</v>
      </c>
      <c r="Y508" t="s">
        <v>9657</v>
      </c>
    </row>
    <row r="509" spans="1:25" x14ac:dyDescent="0.3">
      <c r="A509">
        <v>25400</v>
      </c>
      <c r="B509" t="s">
        <v>9658</v>
      </c>
      <c r="C509">
        <f>-1131.25597006722 -1311.01250755643 -183.593309035066</f>
        <v>-2625.861786658716</v>
      </c>
      <c r="D509">
        <f>-1137.65387706705 -1311.44878034182 -304.534035929771</f>
        <v>-2753.6366933386412</v>
      </c>
      <c r="E509">
        <f>-1113.83288523276 -1333.57364525728 -421.297183955698</f>
        <v>-2868.7037144457381</v>
      </c>
      <c r="F509">
        <f>-1080.65068227961 -1361.87873562094 -521.759211867926</f>
        <v>-2964.2886297684759</v>
      </c>
      <c r="G509">
        <f>-1036.60824422843 -1398.08844827978 -615.268464563782</f>
        <v>-3049.9651570719921</v>
      </c>
      <c r="H509">
        <f>-964.848863375497 -1456.16313692139 -736.420965920989</f>
        <v>-3157.4329662178761</v>
      </c>
      <c r="I509">
        <f>-892.742046032433 -1489.75126880268 -800.103220535608</f>
        <v>-3182.5965353707206</v>
      </c>
      <c r="J509">
        <f>-1001.943093971 -1403.55540217853 -698.879418913879</f>
        <v>-3104.3779150634091</v>
      </c>
      <c r="K509">
        <f>-1007.21629114649 -1262.89078634185 -741.443203189286</f>
        <v>-3011.5502806776262</v>
      </c>
      <c r="L509">
        <f>-1117.09243574972 -1140.15015393675 -471.169024266593</f>
        <v>-2728.4116139530629</v>
      </c>
      <c r="M509">
        <f>-1177.64249258221 -1135.50092303851 -218.277517830475</f>
        <v>-2531.4209334511952</v>
      </c>
      <c r="N509">
        <f>-991.25723785958 -1457.37836493684 -666.749931895062</f>
        <v>-3115.3855346914816</v>
      </c>
      <c r="O509">
        <f>-981.635229930986 -1571.53016026382 -574.549692948039</f>
        <v>-3127.7150831428453</v>
      </c>
      <c r="P509">
        <f>-1131.43998948969 -1533.18225469256 -298.371830609577</f>
        <v>-2962.9940747918272</v>
      </c>
      <c r="Q509">
        <f>-1153.33324792695 -1373.04868755235 -94.6073173317694</f>
        <v>-2620.9892528110695</v>
      </c>
      <c r="R509">
        <f>-1164.19672153279 -1218.96015265045 -181.731350523129</f>
        <v>-2564.8882247063689</v>
      </c>
      <c r="S509" t="s">
        <v>9659</v>
      </c>
      <c r="T509" t="s">
        <v>9660</v>
      </c>
      <c r="U509" t="s">
        <v>9661</v>
      </c>
      <c r="V509">
        <f>-1098.32922344831 -1403.02655601011 -184.774064642245</f>
        <v>-2686.1298441006647</v>
      </c>
      <c r="W509" t="s">
        <v>9662</v>
      </c>
      <c r="X509" t="s">
        <v>9663</v>
      </c>
      <c r="Y509" t="s">
        <v>9664</v>
      </c>
    </row>
    <row r="510" spans="1:25" x14ac:dyDescent="0.3">
      <c r="A510">
        <v>25450</v>
      </c>
      <c r="B510" t="s">
        <v>9665</v>
      </c>
      <c r="C510">
        <f>-1131.20451158873 -1311.74790054019 -183.5572390282</f>
        <v>-2626.5096511571196</v>
      </c>
      <c r="D510">
        <f>-1137.59769728665 -1312.25687720104 -304.498066571162</f>
        <v>-2754.352641058852</v>
      </c>
      <c r="E510">
        <f>-1113.75927731914 -1334.46751231284 -421.241280384586</f>
        <v>-2869.4680700165659</v>
      </c>
      <c r="F510">
        <f>-1080.55674289656 -1362.85145553516 -521.674358633464</f>
        <v>-2965.0825570651841</v>
      </c>
      <c r="G510">
        <f>-1036.49012735682 -1399.13904935122 -615.141868573936</f>
        <v>-3050.7710452819761</v>
      </c>
      <c r="H510">
        <f>-964.694020756783 -1457.3185333855 -736.222352042062</f>
        <v>-3158.2349061843452</v>
      </c>
      <c r="I510">
        <f>-892.512895913995 -1490.87272705682 -799.838388390831</f>
        <v>-3183.2240113616458</v>
      </c>
      <c r="J510">
        <f>-1001.83453317605 -1404.69337018598 -698.751089278382</f>
        <v>-3105.2789926404121</v>
      </c>
      <c r="K510">
        <f>-1007.27644749372 -1264.08872731624 -741.473436100176</f>
        <v>-3012.8386109101361</v>
      </c>
      <c r="L510">
        <f>-1117.29465357592 -1141.22387710075 -471.313519910238</f>
        <v>-2729.8320505869078</v>
      </c>
      <c r="M510">
        <f>-1177.90009256771 -1136.34495908687 -218.439491924282</f>
        <v>-2532.6845435788618</v>
      </c>
      <c r="N510">
        <f>-991.088628739205 -1458.45846734909 -666.544962283408</f>
        <v>-3116.0920583717029</v>
      </c>
      <c r="O510">
        <f>-981.376747068416 -1572.49444872051 -574.206761616524</f>
        <v>-3128.07795740545</v>
      </c>
      <c r="P510">
        <f>-1131.25858844979 -1533.90644107998 -298.104276334172</f>
        <v>-2963.269305863942</v>
      </c>
      <c r="Q510">
        <f>-1153.28040098992 -1373.63143000125 -94.4648760625473</f>
        <v>-2621.3767070537174</v>
      </c>
      <c r="R510">
        <f>-1164.25265091961 -1219.80981145571 -181.707493445298</f>
        <v>-2565.7699558206182</v>
      </c>
      <c r="S510" t="s">
        <v>9666</v>
      </c>
      <c r="T510" t="s">
        <v>9667</v>
      </c>
      <c r="U510" t="s">
        <v>9668</v>
      </c>
      <c r="V510">
        <f>-1098.12200823594 -1403.66118974759 -184.692198297728</f>
        <v>-2686.4753962812579</v>
      </c>
      <c r="W510" t="s">
        <v>9669</v>
      </c>
      <c r="X510" t="s">
        <v>9670</v>
      </c>
      <c r="Y510" t="s">
        <v>9671</v>
      </c>
    </row>
    <row r="511" spans="1:25" x14ac:dyDescent="0.3">
      <c r="A511">
        <v>25500</v>
      </c>
      <c r="B511" t="s">
        <v>9672</v>
      </c>
      <c r="C511">
        <f>-1131.09500792597 -1312.01847692654 -183.554582172324</f>
        <v>-2626.6680670248338</v>
      </c>
      <c r="D511">
        <f>-1137.45460706344 -1312.56072055159 -304.496993004559</f>
        <v>-2754.5123206195894</v>
      </c>
      <c r="E511">
        <f>-1113.57146261827 -1334.80314420733 -421.225110022932</f>
        <v>-2869.5997168485319</v>
      </c>
      <c r="F511">
        <f>-1080.32462710191 -1363.21264924689 -521.63626436475</f>
        <v>-2965.1735407135498</v>
      </c>
      <c r="G511">
        <f>-1036.21039318288 -1399.52121499022 -615.073159137075</f>
        <v>-3050.8047673101746</v>
      </c>
      <c r="H511">
        <f>-964.345235748216 -1457.72373505838 -736.101611160993</f>
        <v>-3158.170581967589</v>
      </c>
      <c r="I511">
        <f>-892.110738361289 -1491.2500083429 -799.671688156843</f>
        <v>-3183.032434861032</v>
      </c>
      <c r="J511">
        <f>-1001.54627885455 -1405.10835309607 -698.676744805947</f>
        <v>-3105.3313767565669</v>
      </c>
      <c r="K511">
        <f>-1007.13144209784 -1264.5267508943 -741.493345688619</f>
        <v>-3013.1515386807587</v>
      </c>
      <c r="L511">
        <f>-1117.28538308013 -1141.40411458052 -471.506033334648</f>
        <v>-2730.1955309952982</v>
      </c>
      <c r="M511">
        <f>-1178.01652096662 -1136.34459912253 -218.665866080777</f>
        <v>-2533.0269861699271</v>
      </c>
      <c r="N511">
        <f>-990.740425187271 -1458.83349694021 -666.423960202596</f>
        <v>-3115.9978823300767</v>
      </c>
      <c r="O511">
        <f>-980.903814384934 -1572.79887600985 -574.017188750458</f>
        <v>-3127.719879145242</v>
      </c>
      <c r="P511">
        <f>-1130.72635152594 -1534.13649344933 -297.892811136531</f>
        <v>-2962.7556561118008</v>
      </c>
      <c r="Q511">
        <f>-1152.86156263119 -1373.81532640048 -94.3021356561292</f>
        <v>-2620.9790246877992</v>
      </c>
      <c r="R511">
        <f>-1164.25317077578 -1220.11311052791 -181.72139169316</f>
        <v>-2566.08767299685</v>
      </c>
      <c r="S511" t="s">
        <v>9673</v>
      </c>
      <c r="T511" t="s">
        <v>9674</v>
      </c>
      <c r="U511" t="s">
        <v>9675</v>
      </c>
      <c r="V511">
        <f>-1097.89614203832 -1403.86196524413 -184.675579173684</f>
        <v>-2686.4336864561342</v>
      </c>
      <c r="W511" t="s">
        <v>9676</v>
      </c>
      <c r="X511" t="s">
        <v>9677</v>
      </c>
      <c r="Y511" t="s">
        <v>9678</v>
      </c>
    </row>
    <row r="512" spans="1:25" x14ac:dyDescent="0.3">
      <c r="A512">
        <v>25550</v>
      </c>
      <c r="B512" t="s">
        <v>9679</v>
      </c>
      <c r="C512">
        <f>-1130.80521456709 -1312.4629590849 -183.634252683167</f>
        <v>-2626.9024263351566</v>
      </c>
      <c r="D512">
        <f>-1137.18836865399 -1313.1085278563 -304.574906407446</f>
        <v>-2754.8718029177362</v>
      </c>
      <c r="E512">
        <f>-1113.27816987387 -1335.45281566559 -421.277901078993</f>
        <v>-2870.0088866184528</v>
      </c>
      <c r="F512">
        <f>-1079.98843588553 -1363.94989494105 -521.650051635571</f>
        <v>-2965.5883824621505</v>
      </c>
      <c r="G512">
        <f>-1035.81509804047 -1400.33896960641 -615.027910564255</f>
        <v>-3051.1819782111352</v>
      </c>
      <c r="H512">
        <f>-963.853706034426 -1458.64348531526 -735.949838085322</f>
        <v>-3158.4470294350081</v>
      </c>
      <c r="I512">
        <f>-891.603506612592 -1492.21223600766 -799.479595724155</f>
        <v>-3183.2953383444069</v>
      </c>
      <c r="J512">
        <f>-1001.12873164806 -1406.0157887349 -698.616033630548</f>
        <v>-3105.7605540135078</v>
      </c>
      <c r="K512">
        <f>-1006.60739774046 -1265.39843119808 -741.206061901469</f>
        <v>-3013.2118908400089</v>
      </c>
      <c r="L512">
        <f>-1118.31864845029 -1141.69504653147 -472.125658978687</f>
        <v>-2732.1393539604474</v>
      </c>
      <c r="M512">
        <f>-1180.81003646135 -1133.00696637929 -219.813508242356</f>
        <v>-2533.6305110829958</v>
      </c>
      <c r="N512">
        <f>-990.260027993963 -1459.67527848139 -666.275167691297</f>
        <v>-3116.2104741666503</v>
      </c>
      <c r="O512">
        <f>-980.375356141289 -1573.71728463903 -573.951165982049</f>
        <v>-3128.0438067623681</v>
      </c>
      <c r="P512">
        <f>-1129.82686293514 -1534.94919041787 -297.640612649298</f>
        <v>-2962.4166660023079</v>
      </c>
      <c r="Q512">
        <f>-1153.05301995598 -1374.67338055136 -94.1357619624273</f>
        <v>-2621.8621624697676</v>
      </c>
      <c r="R512">
        <f>-1164.19835389029 -1220.71243371856 -181.800800923866</f>
        <v>-2566.7115885327162</v>
      </c>
      <c r="S512" t="s">
        <v>9680</v>
      </c>
      <c r="T512" t="s">
        <v>9681</v>
      </c>
      <c r="U512" t="s">
        <v>9682</v>
      </c>
      <c r="V512">
        <f>-1097.47528471507 -1404.22221276315 -184.666462252439</f>
        <v>-2686.3639597306592</v>
      </c>
      <c r="W512" t="s">
        <v>9683</v>
      </c>
      <c r="X512" t="s">
        <v>9684</v>
      </c>
      <c r="Y512" t="s">
        <v>9685</v>
      </c>
    </row>
    <row r="513" spans="1:25" x14ac:dyDescent="0.3">
      <c r="A513">
        <v>25600</v>
      </c>
      <c r="B513" t="s">
        <v>9686</v>
      </c>
      <c r="C513">
        <f>-1130.61923654887 -1312.82080527982 -183.625723071428</f>
        <v>-2627.0657649001182</v>
      </c>
      <c r="D513">
        <f>-1136.90033002167 -1313.28129299105 -304.572567475413</f>
        <v>-2754.7541904881327</v>
      </c>
      <c r="E513">
        <f>-1112.95035490936 -1335.54179817807 -421.283518052057</f>
        <v>-2869.7756711394868</v>
      </c>
      <c r="F513">
        <f>-1079.64450933384 -1363.99634393253 -521.662401533153</f>
        <v>-2965.3032547995231</v>
      </c>
      <c r="G513">
        <f>-1035.47114996065 -1400.37039322157 -615.045881806494</f>
        <v>-3050.8874249887144</v>
      </c>
      <c r="H513">
        <f>-963.522833236712 -1458.67713513587 -735.974751148912</f>
        <v>-3158.1747195214939</v>
      </c>
      <c r="I513">
        <f>-891.296010834531 -1492.26327792325 -799.521838893507</f>
        <v>-3183.0811276512877</v>
      </c>
      <c r="J513">
        <f>-1000.81584209951 -1406.05832826985 -698.64621035526</f>
        <v>-3105.5203807246198</v>
      </c>
      <c r="K513">
        <f>-1006.39493763133 -1265.58178248774 -742.009907271623</f>
        <v>-3013.9866273906928</v>
      </c>
      <c r="L513">
        <f>-1119.1705879717 -1146.43611218779 -471.321593784367</f>
        <v>-2736.9282939438572</v>
      </c>
      <c r="M513">
        <f>-1180.55195233771 -1132.08735286644 -218.99545053727</f>
        <v>-2531.6347557414197</v>
      </c>
      <c r="N513">
        <f>-989.899653516532 -1459.69808980838 -666.28866936769</f>
        <v>-3115.8864126926019</v>
      </c>
      <c r="O513">
        <f>-980.268540125722 -1574.05617153185 -574.360453007146</f>
        <v>-3128.6851646647183</v>
      </c>
      <c r="P513">
        <f>-1128.97027171902 -1535.91166696744 -297.559199640429</f>
        <v>-2962.4411383268889</v>
      </c>
      <c r="Q513">
        <f>-1152.779477029 -1375.75262259735 -94.0296591242632</f>
        <v>-2622.5617587506131</v>
      </c>
      <c r="R513">
        <f>-1163.95727475684 -1221.00408408751 -181.792574867043</f>
        <v>-2566.7539337113931</v>
      </c>
      <c r="S513" t="s">
        <v>9687</v>
      </c>
      <c r="T513" t="s">
        <v>9688</v>
      </c>
      <c r="U513" t="s">
        <v>9689</v>
      </c>
      <c r="V513">
        <f>-1097.27509290223 -1404.44694379915 -184.716660462058</f>
        <v>-2686.4386971634376</v>
      </c>
      <c r="W513" t="s">
        <v>9690</v>
      </c>
      <c r="X513" t="s">
        <v>9691</v>
      </c>
      <c r="Y513" t="s">
        <v>9692</v>
      </c>
    </row>
    <row r="514" spans="1:25" x14ac:dyDescent="0.3">
      <c r="A514">
        <v>25650</v>
      </c>
      <c r="B514" t="s">
        <v>9693</v>
      </c>
      <c r="C514">
        <f>-1130.29969600167 -1313.55229345951 -183.707551619815</f>
        <v>-2627.5595410809951</v>
      </c>
      <c r="D514">
        <f>-1136.2180709704 -1313.96459157104 -304.672950696224</f>
        <v>-2754.8556132376643</v>
      </c>
      <c r="E514">
        <f>-1112.115578354 -1336.05359741773 -421.384986789607</f>
        <v>-2869.5541625613369</v>
      </c>
      <c r="F514">
        <f>-1078.75154760944 -1364.30871866279 -521.800706180764</f>
        <v>-2964.8609724529938</v>
      </c>
      <c r="G514">
        <f>-1034.59008691806 -1400.44672347364 -615.281657644847</f>
        <v>-3050.3184680365466</v>
      </c>
      <c r="H514">
        <f>-962.719442138428 -1458.39614966627 -736.42803138803</f>
        <v>-3157.5436231927279</v>
      </c>
      <c r="I514">
        <f>-890.776796368715 -1491.93073511344 -800.32382781514</f>
        <v>-3183.0313592972952</v>
      </c>
      <c r="J514">
        <f>-1000.08099975988 -1405.92819462887 -698.95608108238</f>
        <v>-3104.9652754711301</v>
      </c>
      <c r="K514">
        <f>-1006.79271911402 -1265.50622240503 -742.046358309242</f>
        <v>-3014.3452998282919</v>
      </c>
      <c r="L514">
        <f>-1117.35875634287 -1148.82673954402 -469.379586417227</f>
        <v>-2735.5650823041178</v>
      </c>
      <c r="M514">
        <f>-1186.14423091577 -1118.70119020772 -220.375397483668</f>
        <v>-2525.2208186071584</v>
      </c>
      <c r="N514">
        <f>-988.95893111514 -1459.58245821447 -666.692983918364</f>
        <v>-3115.234373247974</v>
      </c>
      <c r="O514">
        <f>-979.07193985334 -1574.62357176805 -575.621099407248</f>
        <v>-3129.3166110286379</v>
      </c>
      <c r="P514">
        <f>-1126.50953659433 -1537.27024613814 -298.036841799242</f>
        <v>-2961.8166245317125</v>
      </c>
      <c r="Q514">
        <f>-1151.70683707441 -1377.79338547234 -94.1391349149679</f>
        <v>-2623.6393574617182</v>
      </c>
      <c r="R514">
        <f>-1163.63273688766 -1221.84829834421 -181.946417739605</f>
        <v>-2567.4274529714748</v>
      </c>
      <c r="S514" t="s">
        <v>9694</v>
      </c>
      <c r="T514" t="s">
        <v>9695</v>
      </c>
      <c r="U514" t="s">
        <v>9696</v>
      </c>
      <c r="V514">
        <f>-1096.75927139624 -1405.2164220667 -184.756952751469</f>
        <v>-2686.7326462144088</v>
      </c>
      <c r="W514" t="s">
        <v>9697</v>
      </c>
      <c r="X514" t="s">
        <v>9698</v>
      </c>
      <c r="Y514" t="s">
        <v>9699</v>
      </c>
    </row>
    <row r="515" spans="1:25" x14ac:dyDescent="0.3">
      <c r="A515">
        <v>25700</v>
      </c>
      <c r="B515" t="s">
        <v>9700</v>
      </c>
      <c r="C515">
        <f>-1129.8612337979 -1313.986525391 -183.556674310679</f>
        <v>-2627.4044334995788</v>
      </c>
      <c r="D515">
        <f>-1135.57214616096 -1314.3647881926 -304.532047329594</f>
        <v>-2754.4689816831542</v>
      </c>
      <c r="E515">
        <f>-1111.30037358978 -1336.24094246627 -421.249207783667</f>
        <v>-2868.790523839717</v>
      </c>
      <c r="F515">
        <f>-1077.7975549563 -1364.23804491804 -521.691103857975</f>
        <v>-2963.7267037323149</v>
      </c>
      <c r="G515">
        <f>-1033.50796762122 -1400.05973054699 -615.23300471582</f>
        <v>-3048.8007028840302</v>
      </c>
      <c r="H515">
        <f>-961.465630548632 -1457.5169139593 -736.512000472234</f>
        <v>-3155.4945449801658</v>
      </c>
      <c r="I515">
        <f>-889.675248595648 -1490.9088237827 -800.653131935449</f>
        <v>-3181.2372043137971</v>
      </c>
      <c r="J515">
        <f>-998.956218989161 -1405.23467669813 -698.909437476334</f>
        <v>-3103.1003331636252</v>
      </c>
      <c r="K515">
        <f>-1006.24848428173 -1264.62425557234 -741.347343423576</f>
        <v>-3012.2200832776462</v>
      </c>
      <c r="L515">
        <f>-1115.24626428537 -1148.60988952058 -467.766609041973</f>
        <v>-2731.6227628479232</v>
      </c>
      <c r="M515">
        <f>-1188.22004411938 -1103.27841899432 -222.283605904879</f>
        <v>-2513.782069018579</v>
      </c>
      <c r="N515">
        <f>-987.728040400677 -1458.95310355247 -666.789967471844</f>
        <v>-3113.4711114249912</v>
      </c>
      <c r="O515">
        <f>-977.319141417029 -1574.6129586662 -576.600308302234</f>
        <v>-3128.532408385463</v>
      </c>
      <c r="P515">
        <f>-1124.45762173285 -1536.72702584165 -298.929297274349</f>
        <v>-2960.1139448488484</v>
      </c>
      <c r="Q515">
        <f>-1151.15547461125 -1378.53687339952 -94.2219288103763</f>
        <v>-2623.9142768211459</v>
      </c>
      <c r="R515">
        <f>-1163.29247161859 -1222.23637652922 -181.87998452382</f>
        <v>-2567.4088326716301</v>
      </c>
      <c r="S515" t="s">
        <v>9701</v>
      </c>
      <c r="T515" t="s">
        <v>9702</v>
      </c>
      <c r="U515" t="s">
        <v>9703</v>
      </c>
      <c r="V515">
        <f>-1096.21329524932 -1405.65780838897 -184.677468134689</f>
        <v>-2686.5485717729794</v>
      </c>
      <c r="W515" t="s">
        <v>9704</v>
      </c>
      <c r="X515" t="s">
        <v>9705</v>
      </c>
      <c r="Y515" t="s">
        <v>9706</v>
      </c>
    </row>
    <row r="516" spans="1:25" x14ac:dyDescent="0.3">
      <c r="A516">
        <v>25750</v>
      </c>
      <c r="B516" t="s">
        <v>9707</v>
      </c>
      <c r="C516">
        <f>-1128.84105554325 -1315.30082304642 -183.508920875674</f>
        <v>-2627.6507994653439</v>
      </c>
      <c r="D516">
        <f>-1134.95179644436 -1315.85738017525 -304.46413761949</f>
        <v>-2755.2733142391003</v>
      </c>
      <c r="E516">
        <f>-1110.89706071085 -1337.57432527591 -421.255919038557</f>
        <v>-2869.7273050253166</v>
      </c>
      <c r="F516">
        <f>-1077.50895113892 -1365.29910445885 -521.811395397934</f>
        <v>-2964.6194509957045</v>
      </c>
      <c r="G516">
        <f>-1033.24877946637 -1400.72934711627 -615.516261370833</f>
        <v>-3049.4943879534731</v>
      </c>
      <c r="H516">
        <f>-961.155810828893 -1457.52823657549 -737.074808769363</f>
        <v>-3155.7588561737457</v>
      </c>
      <c r="I516">
        <f>-889.754906208574 -1490.76341911075 -801.730191978862</f>
        <v>-3182.248517298186</v>
      </c>
      <c r="J516">
        <f>-998.837649882009 -1405.52800332508 -699.272963301646</f>
        <v>-3103.6386165087351</v>
      </c>
      <c r="K516">
        <f>-1008.13846538672 -1264.96210385183 -741.512774612351</f>
        <v>-3014.6133438509014</v>
      </c>
      <c r="L516">
        <f>-1109.61306478073 -1144.04548535163 -467.162180908152</f>
        <v>-2720.8207310405119</v>
      </c>
      <c r="M516">
        <f>-1182.65738414604 -1067.45360841288 -229.590500740286</f>
        <v>-2479.701493299206</v>
      </c>
      <c r="N516">
        <f>-987.271781753268 -1459.26495431034 -667.304860399772</f>
        <v>-3113.8415964633805</v>
      </c>
      <c r="O516">
        <f>-975.517893077965 -1575.21627113993 -577.663479082023</f>
        <v>-3128.3976432999184</v>
      </c>
      <c r="P516">
        <f>-1120.29300721491 -1537.30834289178 -298.756152546579</f>
        <v>-2956.357502653269</v>
      </c>
      <c r="Q516">
        <f>-1148.79505837813 -1381.8647275286 -92.1963040981473</f>
        <v>-2622.8560900048774</v>
      </c>
      <c r="R516">
        <f>-1162.77835910911 -1223.59116365993 -181.890777952641</f>
        <v>-2568.2603007216812</v>
      </c>
      <c r="S516" t="s">
        <v>9708</v>
      </c>
      <c r="T516" t="s">
        <v>9709</v>
      </c>
      <c r="U516" t="s">
        <v>9710</v>
      </c>
      <c r="V516">
        <f>-1094.94413330154 -1407.05478183872 -184.585080421689</f>
        <v>-2686.5839955619485</v>
      </c>
      <c r="W516" t="s">
        <v>9711</v>
      </c>
      <c r="X516" t="s">
        <v>9712</v>
      </c>
      <c r="Y516" t="s">
        <v>9713</v>
      </c>
    </row>
    <row r="517" spans="1:25" x14ac:dyDescent="0.3">
      <c r="A517">
        <v>25800</v>
      </c>
      <c r="B517" t="s">
        <v>9714</v>
      </c>
      <c r="C517">
        <f>-1128.52712123833 -1316.09956397942 -183.520795743915</f>
        <v>-2628.1474809616652</v>
      </c>
      <c r="D517">
        <f>-1134.7685006709 -1316.70779528259 -304.469086542707</f>
        <v>-2755.945382496197</v>
      </c>
      <c r="E517">
        <f>-1110.76137691836 -1338.42498072011 -421.270561261799</f>
        <v>-2870.4569189002686</v>
      </c>
      <c r="F517">
        <f>-1077.37560836465 -1366.11887397686 -521.835384676062</f>
        <v>-2965.3298670175718</v>
      </c>
      <c r="G517">
        <f>-1033.07395681086 -1401.4816987709 -615.546033863042</f>
        <v>-3050.1016894448021</v>
      </c>
      <c r="H517">
        <f>-960.875756796048 -1458.14399651868 -737.105972478304</f>
        <v>-3156.125725793032</v>
      </c>
      <c r="I517">
        <f>-889.53089543587 -1491.26326597781 -801.882453351651</f>
        <v>-3182.6766147653307</v>
      </c>
      <c r="J517">
        <f>-998.74849703508 -1406.25699676411 -699.339410474865</f>
        <v>-3104.3449042740549</v>
      </c>
      <c r="K517">
        <f>-1009.46215013852 -1265.91799028133 -741.924458075878</f>
        <v>-3017.304598495728</v>
      </c>
      <c r="L517">
        <f>-1104.71070085698 -1139.62311851576 -467.764732727253</f>
        <v>-2712.0985520999934</v>
      </c>
      <c r="M517">
        <f>-1172.64725272614 -1050.50807988645 -233.062347014893</f>
        <v>-2456.2176796274834</v>
      </c>
      <c r="N517">
        <f>-986.893942322202 -1459.88837520889 -667.299545075379</f>
        <v>-3114.0818626064711</v>
      </c>
      <c r="O517">
        <f>-974.239361047834 -1575.70716923915 -577.584863218385</f>
        <v>-3127.5313935053691</v>
      </c>
      <c r="P517">
        <f>-1117.91697797635 -1538.16760238302 -298.060799472638</f>
        <v>-2954.1453798320081</v>
      </c>
      <c r="Q517">
        <f>-1146.46229517744 -1383.59592084958 -90.8535632892242</f>
        <v>-2620.9117793162436</v>
      </c>
      <c r="R517">
        <f>-1162.60278763735 -1224.35033756746 -181.951505169055</f>
        <v>-2568.9046303738651</v>
      </c>
      <c r="S517" t="s">
        <v>9715</v>
      </c>
      <c r="T517" t="s">
        <v>9716</v>
      </c>
      <c r="U517" t="s">
        <v>9717</v>
      </c>
      <c r="V517">
        <f>-1094.41283480718 -1407.82606346642 -184.580051556829</f>
        <v>-2686.8189498304291</v>
      </c>
      <c r="W517" t="s">
        <v>9718</v>
      </c>
      <c r="X517" t="s">
        <v>9719</v>
      </c>
      <c r="Y517" t="s">
        <v>9720</v>
      </c>
    </row>
    <row r="518" spans="1:25" x14ac:dyDescent="0.3">
      <c r="A518">
        <v>25850</v>
      </c>
      <c r="B518" t="s">
        <v>9721</v>
      </c>
      <c r="C518">
        <f>-1128.23323626972 -1317.52450037049 -183.700932414066</f>
        <v>-2629.458669054276</v>
      </c>
      <c r="D518">
        <f>-1134.88037809529 -1318.17895552309 -304.627318660622</f>
        <v>-2757.6866522790024</v>
      </c>
      <c r="E518">
        <f>-1110.92809641745 -1339.89170714128 -421.440913953146</f>
        <v>-2872.260717511876</v>
      </c>
      <c r="F518">
        <f>-1077.44165664495 -1367.5358942235 -521.986032274835</f>
        <v>-2966.9635831432847</v>
      </c>
      <c r="G518">
        <f>-1032.89101241896 -1402.78771047698 -615.620365774014</f>
        <v>-3051.299088669954</v>
      </c>
      <c r="H518">
        <f>-960.198543786633 -1459.21593109348 -736.994482098061</f>
        <v>-3156.408956978174</v>
      </c>
      <c r="I518">
        <f>-888.612826918217 -1491.94170099411 -801.705291157989</f>
        <v>-3182.2598190703161</v>
      </c>
      <c r="J518">
        <f>-998.605144187065 -1407.5758326186 -699.429151255685</f>
        <v>-3105.6101280613502</v>
      </c>
      <c r="K518">
        <f>-1012.07266302987 -1267.79678585611 -743.135643831302</f>
        <v>-3023.005092717282</v>
      </c>
      <c r="L518">
        <f>-1095.04281792316 -1126.16975203319 -472.49961145624</f>
        <v>-2693.7121814125903</v>
      </c>
      <c r="M518">
        <f>-1129.62349526791 -1018.55550524554 -238.265866238462</f>
        <v>-2386.4448667519118</v>
      </c>
      <c r="N518">
        <f>-986.120250828463 -1460.92056598356 -667.151221075722</f>
        <v>-3114.1920378877448</v>
      </c>
      <c r="O518">
        <f>-971.717960156105 -1576.28651016247 -577.11438497991</f>
        <v>-3125.118855298485</v>
      </c>
      <c r="P518">
        <f>-1114.19105012678 -1539.49163423772 -296.875645737132</f>
        <v>-2950.5583301016322</v>
      </c>
      <c r="Q518">
        <f>-1143.04568429237 -1386.16281011985 -88.7897696077699</f>
        <v>-2617.9982640199896</v>
      </c>
      <c r="R518">
        <f>-1162.57627437552 -1225.99923992447 -182.033137612114</f>
        <v>-2570.6086519121036</v>
      </c>
      <c r="S518" t="s">
        <v>9722</v>
      </c>
      <c r="T518" t="s">
        <v>9723</v>
      </c>
      <c r="U518" t="s">
        <v>9724</v>
      </c>
      <c r="V518">
        <f>-1093.8113957341 -1409.07529582125 -184.702893006512</f>
        <v>-2687.589584561862</v>
      </c>
      <c r="W518" t="s">
        <v>9725</v>
      </c>
      <c r="X518" t="s">
        <v>9726</v>
      </c>
      <c r="Y518" t="s">
        <v>9727</v>
      </c>
    </row>
    <row r="519" spans="1:25" x14ac:dyDescent="0.3">
      <c r="A519">
        <v>25900</v>
      </c>
      <c r="B519" t="s">
        <v>9728</v>
      </c>
      <c r="C519">
        <f>-1128.38245449949 -1318.07480037532 -183.776302724278</f>
        <v>-2630.2335575990883</v>
      </c>
      <c r="D519">
        <f>-1135.12898014016 -1318.72640912793 -304.697269751829</f>
        <v>-2758.5526590199192</v>
      </c>
      <c r="E519">
        <f>-1111.12072883275 -1340.46433112775 -421.494734391651</f>
        <v>-2873.0797943521511</v>
      </c>
      <c r="F519">
        <f>-1077.52132997983 -1368.13084547563 -521.995848436068</f>
        <v>-2967.6480238915274</v>
      </c>
      <c r="G519">
        <f>-1032.79929643181 -1403.39650621295 -615.543341591181</f>
        <v>-3051.7391442359412</v>
      </c>
      <c r="H519">
        <f>-959.81336548449 -1459.82653114637 -736.740242270584</f>
        <v>-3156.3801389014438</v>
      </c>
      <c r="I519">
        <f>-888.008865066003 -1492.39155534908 -801.289611805896</f>
        <v>-3181.690032220979</v>
      </c>
      <c r="J519">
        <f>-998.475409805495 -1408.26313136092 -699.331990112805</f>
        <v>-3106.0705312792197</v>
      </c>
      <c r="K519">
        <f>-1012.95616679883 -1268.71958740727 -743.45453039027</f>
        <v>-3025.1302845963701</v>
      </c>
      <c r="L519">
        <f>-1090.25790295869 -1120.12242224499 -474.885163182434</f>
        <v>-2685.2654883861142</v>
      </c>
      <c r="M519">
        <f>-1095.33642253717 -1009.95284979109 -239.345528365397</f>
        <v>-2344.6348006936569</v>
      </c>
      <c r="N519">
        <f>-985.739367938169 -1461.4528583548 -666.896787920592</f>
        <v>-3114.0890142135609</v>
      </c>
      <c r="O519">
        <f>-970.558797728271 -1576.57690539428 -576.688887366608</f>
        <v>-3123.8245904891587</v>
      </c>
      <c r="P519">
        <f>-1112.95137376154 -1540.12549915272 -296.36442578754</f>
        <v>-2949.4412987018</v>
      </c>
      <c r="Q519">
        <f>-1141.68209106586 -1387.51322395065 -87.7353652134725</f>
        <v>-2616.9306802299825</v>
      </c>
      <c r="R519">
        <f>-1162.90863377613 -1226.69973686375 -182.057755551602</f>
        <v>-2571.6661261914824</v>
      </c>
      <c r="S519" t="s">
        <v>9729</v>
      </c>
      <c r="T519" t="s">
        <v>9730</v>
      </c>
      <c r="U519" t="s">
        <v>9731</v>
      </c>
      <c r="V519">
        <f>-1093.79766312604 -1409.43512414962 -184.786346705095</f>
        <v>-2688.0191339807552</v>
      </c>
      <c r="W519" t="s">
        <v>9732</v>
      </c>
      <c r="X519" t="s">
        <v>9733</v>
      </c>
      <c r="Y519" t="s">
        <v>9734</v>
      </c>
    </row>
    <row r="520" spans="1:25" x14ac:dyDescent="0.3">
      <c r="A520">
        <v>25950</v>
      </c>
      <c r="B520" t="s">
        <v>9735</v>
      </c>
      <c r="C520">
        <f>-1129.17324794729 -1318.68165629831 -183.777902057769</f>
        <v>-2631.6328063033689</v>
      </c>
      <c r="D520">
        <f>-1136.13206003703 -1319.37558083328 -304.686569542634</f>
        <v>-2760.1942104129439</v>
      </c>
      <c r="E520">
        <f>-1112.10369135587 -1341.15483937537 -421.471998625921</f>
        <v>-2874.7305293571612</v>
      </c>
      <c r="F520">
        <f>-1078.39382951181 -1368.84621754595 -521.929447975205</f>
        <v>-2969.1694950329647</v>
      </c>
      <c r="G520">
        <f>-1033.47503355112 -1404.1161277833 -615.380836221124</f>
        <v>-3052.971997555544</v>
      </c>
      <c r="H520">
        <f>-960.134419208679 -1460.52165202562 -736.374956606528</f>
        <v>-3157.0310278408269</v>
      </c>
      <c r="I520">
        <f>-887.880924389534 -1492.81051548142 -800.561030893032</f>
        <v>-3181.2524707639859</v>
      </c>
      <c r="J520">
        <f>-999.136886376742 -1409.07613432075 -699.15829544672</f>
        <v>-3107.371316144212</v>
      </c>
      <c r="K520">
        <f>-1014.61969667109 -1269.66329544562 -743.263645858733</f>
        <v>-3027.546637975443</v>
      </c>
      <c r="L520">
        <f>-1078.56462769029 -1110.1283367324 -477.470760983436</f>
        <v>-2666.1637254061261</v>
      </c>
      <c r="M520">
        <f>-1007.10534037736 -1004.94846243354 -250.594505754296</f>
        <v>-2262.6483085651957</v>
      </c>
      <c r="N520">
        <f>-986.033878583466 -1462.05177615492 -666.519505621969</f>
        <v>-3114.6051603603551</v>
      </c>
      <c r="O520">
        <f>-969.926726209087 -1576.84243009355 -576.007936681192</f>
        <v>-3122.7770929838289</v>
      </c>
      <c r="P520">
        <f>-1111.94081039384 -1540.52275399746 -295.474413903891</f>
        <v>-2947.937978295191</v>
      </c>
      <c r="Q520">
        <f>-1140.40415124666 -1389.33346431041 -85.7753700923471</f>
        <v>-2615.5129856494173</v>
      </c>
      <c r="R520">
        <f>-1163.77650461501 -1227.71282387021 -181.883266222655</f>
        <v>-2573.3725947078751</v>
      </c>
      <c r="S520" t="s">
        <v>9736</v>
      </c>
      <c r="T520" t="s">
        <v>9737</v>
      </c>
      <c r="U520" t="s">
        <v>9738</v>
      </c>
      <c r="V520">
        <f>-1094.48201338021 -1409.71242715269 -184.843940120723</f>
        <v>-2689.0383806536229</v>
      </c>
      <c r="W520" t="s">
        <v>9739</v>
      </c>
      <c r="X520" t="s">
        <v>9740</v>
      </c>
      <c r="Y520" t="s">
        <v>9741</v>
      </c>
    </row>
    <row r="521" spans="1:25" x14ac:dyDescent="0.3">
      <c r="A521">
        <v>26000</v>
      </c>
      <c r="B521" t="s">
        <v>9742</v>
      </c>
      <c r="C521">
        <f>-1129.91023806199 -1318.86257882078 -183.748649437691</f>
        <v>-2632.5214663204606</v>
      </c>
      <c r="D521">
        <f>-1136.88363223172 -1319.54694355842 -304.656490949069</f>
        <v>-2761.0870667392091</v>
      </c>
      <c r="E521">
        <f>-1112.83694938469 -1341.32157514571 -421.439129675258</f>
        <v>-2875.5976542056578</v>
      </c>
      <c r="F521">
        <f>-1079.09985087941 -1369.01161625764 -521.887666707658</f>
        <v>-2969.999133844708</v>
      </c>
      <c r="G521">
        <f>-1034.14541513634 -1404.2835009891 -615.32143619566</f>
        <v>-3053.7503523210999</v>
      </c>
      <c r="H521">
        <f>-960.748958194154 -1460.69528221898 -736.278623685634</f>
        <v>-3157.7228640987682</v>
      </c>
      <c r="I521">
        <f>-888.408138652444 -1492.88101290758 -800.418217838956</f>
        <v>-3181.7073693989801</v>
      </c>
      <c r="J521">
        <f>-999.832633980335 -1409.27880757277 -699.107043991602</f>
        <v>-3108.2184855447067</v>
      </c>
      <c r="K521">
        <f>-1015.43724231631 -1269.82751668544 -742.979132235522</f>
        <v>-3028.2438912372718</v>
      </c>
      <c r="L521">
        <f>-1070.48504620322 -1104.66405518268 -478.636669063241</f>
        <v>-2653.7857704491407</v>
      </c>
      <c r="M521">
        <f>-959.002329324698 -1006.59346601529 -265.104771832523</f>
        <v>-2230.700567172511</v>
      </c>
      <c r="N521">
        <f>-986.616632156471 -1462.19081679901 -666.410710392589</f>
        <v>-3115.21815934807</v>
      </c>
      <c r="O521">
        <f>-970.327878256554 -1576.85042841504 -575.761579975907</f>
        <v>-3122.9398866475008</v>
      </c>
      <c r="P521">
        <f>-1112.22955268792 -1540.44082578873 -295.182742110986</f>
        <v>-2947.8531205876361</v>
      </c>
      <c r="Q521">
        <f>-1140.64014309808 -1389.30071384095 -85.4410888632856</f>
        <v>-2615.3819458023154</v>
      </c>
      <c r="R521">
        <f>-1164.71663376638 -1228.01947526024 -181.786848591626</f>
        <v>-2574.522957618246</v>
      </c>
      <c r="S521" t="s">
        <v>9743</v>
      </c>
      <c r="T521" t="s">
        <v>9744</v>
      </c>
      <c r="U521" t="s">
        <v>9745</v>
      </c>
      <c r="V521">
        <f>-1095.11158560264 -1409.79937412938 -184.852380018504</f>
        <v>-2689.7633397505242</v>
      </c>
      <c r="W521" t="s">
        <v>9746</v>
      </c>
      <c r="X521" t="s">
        <v>9747</v>
      </c>
      <c r="Y521" t="s">
        <v>9748</v>
      </c>
    </row>
    <row r="522" spans="1:25" x14ac:dyDescent="0.3">
      <c r="A522">
        <v>26050</v>
      </c>
      <c r="B522" t="s">
        <v>9749</v>
      </c>
      <c r="C522">
        <f>-1132.14960231396 -1319.27351051313 -183.513262637008</f>
        <v>-2634.9363754640985</v>
      </c>
      <c r="D522">
        <f>-1139.008553643 -1319.81852047737 -304.428382841063</f>
        <v>-2763.2554569614326</v>
      </c>
      <c r="E522">
        <f>-1114.99550998865 -1341.51875059201 -421.23182232577</f>
        <v>-2877.7460829064298</v>
      </c>
      <c r="F522">
        <f>-1081.35590021479 -1369.18565041033 -521.719425927838</f>
        <v>-2972.2609765529583</v>
      </c>
      <c r="G522">
        <f>-1036.56729950899 -1404.48985139114 -615.220531418913</f>
        <v>-3056.2776823190434</v>
      </c>
      <c r="H522">
        <f>-963.472152551342 -1461.01424820601 -736.307637514804</f>
        <v>-3160.7940382721558</v>
      </c>
      <c r="I522">
        <f>-891.168784025228 -1493.07239248925 -800.553136049806</f>
        <v>-3184.7943125642842</v>
      </c>
      <c r="J522">
        <f>-1002.4535578092 -1409.55849486521 -699.083042960179</f>
        <v>-3111.0950956345887</v>
      </c>
      <c r="K522">
        <f>-1017.58792580101 -1269.79247517374 -742.287456069417</f>
        <v>-3029.6678570441672</v>
      </c>
      <c r="L522">
        <f>-1046.66271745822 -1095.33300939479 -479.790340258873</f>
        <v>-2621.7860671118829</v>
      </c>
      <c r="M522">
        <f>-868.444429324298 -1019.4788506599 -306.220690141364</f>
        <v>-2194.1439701255622</v>
      </c>
      <c r="N522">
        <f>-989.175414336599 -1462.44942058633 -666.377666047971</f>
        <v>-3118.0025009709002</v>
      </c>
      <c r="O522">
        <f>-972.744956480846 -1576.96924251838 -575.63023554142</f>
        <v>-3125.344434540646</v>
      </c>
      <c r="P522">
        <f>-1113.92476794998 -1540.88835204286 -294.645239052938</f>
        <v>-2949.4583590457783</v>
      </c>
      <c r="Q522">
        <f>-1142.18998071606 -1389.70909696334 -84.9121870349015</f>
        <v>-2616.8112647143012</v>
      </c>
      <c r="R522">
        <f>-1167.54074591247 -1228.45503369969 -181.529145155069</f>
        <v>-2577.5249247672286</v>
      </c>
      <c r="S522" t="s">
        <v>9750</v>
      </c>
      <c r="T522" t="s">
        <v>9751</v>
      </c>
      <c r="U522" t="s">
        <v>9752</v>
      </c>
      <c r="V522">
        <f>-1096.84247104716 -1410.14527805861 -184.705686006241</f>
        <v>-2691.6934351120112</v>
      </c>
      <c r="W522" t="s">
        <v>9753</v>
      </c>
      <c r="X522" t="s">
        <v>9754</v>
      </c>
      <c r="Y522" t="s">
        <v>9755</v>
      </c>
    </row>
    <row r="523" spans="1:25" x14ac:dyDescent="0.3">
      <c r="A523">
        <v>26100</v>
      </c>
      <c r="B523" t="s">
        <v>9756</v>
      </c>
      <c r="C523">
        <f>-1133.45159953339 -1319.34183249434 -183.433905002033</f>
        <v>-2636.227337029763</v>
      </c>
      <c r="D523">
        <f>-1140.27946358877 -1319.82860005799 -304.350983482709</f>
        <v>-2764.4590471294691</v>
      </c>
      <c r="E523">
        <f>-1116.32901735906 -1341.52275687159 -421.16838965277</f>
        <v>-2879.0201638834196</v>
      </c>
      <c r="F523">
        <f>-1082.7886221726 -1369.21707959948 -521.681669200363</f>
        <v>-2973.6873709724432</v>
      </c>
      <c r="G523">
        <f>-1038.14305616494 -1404.5886455529 -615.225615546436</f>
        <v>-3057.9573172642763</v>
      </c>
      <c r="H523">
        <f>-965.292549357055 -1461.25447853018 -736.394066945998</f>
        <v>-3162.9410948332329</v>
      </c>
      <c r="I523">
        <f>-893.062096833346 -1493.3166630125 -800.719391267293</f>
        <v>-3187.0981511131386</v>
      </c>
      <c r="J523">
        <f>-1004.14078708809 -1409.72722420191 -699.129075707699</f>
        <v>-3112.9970869976992</v>
      </c>
      <c r="K523">
        <f>-1018.613885791 -1269.80511012887 -741.993251430127</f>
        <v>-3030.4122473499974</v>
      </c>
      <c r="L523">
        <f>-1031.16491139052 -1091.12858935289 -481.026967614382</f>
        <v>-2603.3204683577919</v>
      </c>
      <c r="M523">
        <f>-828.918404311256 -1029.79382866223 -329.447211721931</f>
        <v>-2188.1594446954173</v>
      </c>
      <c r="N523">
        <f>-990.912461258576 -1462.63596284715 -666.432397313968</f>
        <v>-3119.9808214196942</v>
      </c>
      <c r="O523">
        <f>-974.473752179267 -1577.22033134759 -575.751245582408</f>
        <v>-3127.445329109265</v>
      </c>
      <c r="P523">
        <f>-1115.047933667 -1541.32725239911 -294.438642087962</f>
        <v>-2950.8138281540719</v>
      </c>
      <c r="Q523">
        <f>-1143.13107611655 -1390.12378089134 -84.6985534917034</f>
        <v>-2617.9534104995932</v>
      </c>
      <c r="R523">
        <f>-1169.06469658932 -1228.49535027013 -181.442410137213</f>
        <v>-2579.0024569966631</v>
      </c>
      <c r="S523" t="s">
        <v>9757</v>
      </c>
      <c r="T523" t="s">
        <v>9758</v>
      </c>
      <c r="U523" t="s">
        <v>9759</v>
      </c>
      <c r="V523">
        <f>-1097.93397642564 -1410.19863654038 -184.639119287931</f>
        <v>-2692.7717322539511</v>
      </c>
      <c r="W523" t="s">
        <v>9760</v>
      </c>
      <c r="X523" t="s">
        <v>9761</v>
      </c>
      <c r="Y523" t="s">
        <v>9762</v>
      </c>
    </row>
    <row r="524" spans="1:25" x14ac:dyDescent="0.3">
      <c r="A524">
        <v>26150</v>
      </c>
      <c r="B524" t="s">
        <v>9763</v>
      </c>
      <c r="C524">
        <f>-1135.9053926831 -1318.83641719106 -183.361662411912</f>
        <v>-2638.1034722860722</v>
      </c>
      <c r="D524">
        <f>-1142.56808791282 -1319.11922904653 -304.288697131813</f>
        <v>-2765.9760140911631</v>
      </c>
      <c r="E524">
        <f>-1118.82353611793 -1340.78001310117 -421.154338520789</f>
        <v>-2880.7578877398892</v>
      </c>
      <c r="F524">
        <f>-1085.6286752819 -1368.54601784999 -521.762413375965</f>
        <v>-2975.9371065078553</v>
      </c>
      <c r="G524">
        <f>-1041.48711423579 -1404.1109447061 -615.47206497719</f>
        <v>-3061.0701239190803</v>
      </c>
      <c r="H524">
        <f>-969.497474540239 -1461.19019154976 -736.960655439916</f>
        <v>-3167.6483215299149</v>
      </c>
      <c r="I524">
        <f>-897.524997308966 -1493.37142250255 -801.515367067185</f>
        <v>-3192.4117868787016</v>
      </c>
      <c r="J524">
        <f>-1007.83751277021 -1409.41958564103 -699.507134027305</f>
        <v>-3116.7642324385452</v>
      </c>
      <c r="K524">
        <f>-1020.69343198503 -1269.22506287368 -741.965292455343</f>
        <v>-3031.8837873140528</v>
      </c>
      <c r="L524">
        <f>-995.297913507606 -1085.51967948514 -485.462785012583</f>
        <v>-2566.2803780053291</v>
      </c>
      <c r="M524">
        <f>-762.083294762024 -1059.72990934945 -373.26696908513</f>
        <v>-2195.0801731966039</v>
      </c>
      <c r="N524">
        <f>-994.863840862774 -1462.44920270015 -666.904415369421</f>
        <v>-3124.2174589323449</v>
      </c>
      <c r="O524">
        <f>-978.768245777388 -1577.36106014516 -576.55100723552</f>
        <v>-3132.6803131580682</v>
      </c>
      <c r="P524">
        <f>-1118.27562161095 -1541.75566130883 -294.671436163375</f>
        <v>-2954.702719083155</v>
      </c>
      <c r="Q524">
        <f>-1145.45881314678 -1390.42886264605 -84.9017207522247</f>
        <v>-2620.7893965450548</v>
      </c>
      <c r="R524">
        <f>-1171.70373616791 -1228.09115018315 -181.317849379713</f>
        <v>-2581.1127357307732</v>
      </c>
      <c r="S524" t="s">
        <v>9764</v>
      </c>
      <c r="T524" t="s">
        <v>9765</v>
      </c>
      <c r="U524" t="s">
        <v>9766</v>
      </c>
      <c r="V524">
        <f>-1100.06621932082 -1409.47801533963 -184.707502168636</f>
        <v>-2694.251736829086</v>
      </c>
      <c r="W524" t="s">
        <v>9767</v>
      </c>
      <c r="X524" t="s">
        <v>9768</v>
      </c>
      <c r="Y524" t="s">
        <v>9769</v>
      </c>
    </row>
    <row r="525" spans="1:25" x14ac:dyDescent="0.3">
      <c r="A525">
        <v>26200</v>
      </c>
      <c r="B525" t="s">
        <v>9770</v>
      </c>
      <c r="C525">
        <f>-1136.76479739202 -1318.34865595236 -183.421797041622</f>
        <v>-2638.5352503860022</v>
      </c>
      <c r="D525">
        <f>-1143.40642987276 -1318.53070489768 -304.350255964244</f>
        <v>-2766.2873907346839</v>
      </c>
      <c r="E525">
        <f>-1119.71897903862 -1340.17386493425 -421.230704620599</f>
        <v>-2881.1235485934694</v>
      </c>
      <c r="F525">
        <f>-1086.61720559293 -1367.97453370511 -521.859849865183</f>
        <v>-2976.4515891632232</v>
      </c>
      <c r="G525">
        <f>-1042.61545128504 -1403.63357946854 -615.599583875875</f>
        <v>-3061.8486146294549</v>
      </c>
      <c r="H525">
        <f>-970.872897538668 -1460.91307593771 -737.140018928231</f>
        <v>-3168.9259924046091</v>
      </c>
      <c r="I525">
        <f>-899.04124249688 -1493.22005723391 -801.788761303698</f>
        <v>-3194.050061034488</v>
      </c>
      <c r="J525">
        <f>-1008.96821738003 -1409.001646048 -699.631775493757</f>
        <v>-3117.6016389217875</v>
      </c>
      <c r="K525">
        <f>-1020.73521004693 -1268.72337919964 -742.168515156651</f>
        <v>-3031.627104403221</v>
      </c>
      <c r="L525">
        <f>-977.012299154326 -1084.13751650754 -488.786191581803</f>
        <v>-2549.9360072436693</v>
      </c>
      <c r="M525">
        <f>-735.574058886794 -1074.39307764476 -392.585105669356</f>
        <v>-2202.5522422009099</v>
      </c>
      <c r="N525">
        <f>-996.265272127453 -1462.13569422102 -667.092555538058</f>
        <v>-3125.4935218865312</v>
      </c>
      <c r="O525">
        <f>-980.678562040889 -1577.17815881239 -576.844634792212</f>
        <v>-3134.7013556454913</v>
      </c>
      <c r="P525">
        <f>-1119.49134002315 -1541.7168963607 -294.603999881554</f>
        <v>-2955.812236265404</v>
      </c>
      <c r="Q525">
        <f>-1145.91309603911 -1390.35816359487 -84.7600768626265</f>
        <v>-2621.0313364966064</v>
      </c>
      <c r="R525">
        <f>-1172.43020414011 -1227.61979077201 -181.33628862789</f>
        <v>-2581.38628354001</v>
      </c>
      <c r="S525" t="s">
        <v>9771</v>
      </c>
      <c r="T525" t="s">
        <v>9772</v>
      </c>
      <c r="U525" t="s">
        <v>9773</v>
      </c>
      <c r="V525">
        <f>-1100.98057195823 -1409.02211215063 -184.812711889442</f>
        <v>-2694.8153959983024</v>
      </c>
      <c r="W525" t="s">
        <v>9774</v>
      </c>
      <c r="X525" t="s">
        <v>9775</v>
      </c>
      <c r="Y525" t="s">
        <v>9776</v>
      </c>
    </row>
    <row r="526" spans="1:25" x14ac:dyDescent="0.3">
      <c r="A526">
        <v>26250</v>
      </c>
      <c r="B526" t="s">
        <v>9777</v>
      </c>
      <c r="C526">
        <f>-1137.73572896745 -1317.28821466768 -183.556160137708</f>
        <v>-2638.5801037728384</v>
      </c>
      <c r="D526">
        <f>-1144.1936755805 -1317.27098961017 -304.494619315501</f>
        <v>-2765.9592845061711</v>
      </c>
      <c r="E526">
        <f>-1120.71293853145 -1339.08484325405 -421.385059575322</f>
        <v>-2881.1828413608218</v>
      </c>
      <c r="F526">
        <f>-1087.97194814815 -1367.21678481625 -522.040184268865</f>
        <v>-2977.2289172332648</v>
      </c>
      <c r="G526">
        <f>-1044.51036850095 -1403.39612549866 -615.832524510269</f>
        <v>-3063.7390185098793</v>
      </c>
      <c r="H526">
        <f>-973.707217905201 -1461.6056483391 -737.482008514689</f>
        <v>-3172.7948747589899</v>
      </c>
      <c r="I526">
        <f>-902.325346593571 -1494.47489990767 -802.345059486592</f>
        <v>-3199.1453059878331</v>
      </c>
      <c r="J526">
        <f>-1011.01677441405 -1409.18048178051 -699.898424029415</f>
        <v>-3120.0956802239748</v>
      </c>
      <c r="K526">
        <f>-1020.03952823966 -1268.8757318191 -742.968742714672</f>
        <v>-3031.8840027734318</v>
      </c>
      <c r="L526">
        <f>-943.657699506351 -1087.00054321886 -495.434069558765</f>
        <v>-2526.0923122839758</v>
      </c>
      <c r="M526">
        <f>-695.026260778064 -1104.8820708763 -421.240182571107</f>
        <v>-2221.1485142254714</v>
      </c>
      <c r="N526">
        <f>-999.05402766487 -1462.51901078005 -667.413263781193</f>
        <v>-3128.9863022261129</v>
      </c>
      <c r="O526">
        <f>-984.916475493082 -1577.81628169444 -577.245328380288</f>
        <v>-3139.97808556781</v>
      </c>
      <c r="P526">
        <f>-1122.77877929484 -1542.10784283998 -294.570365342011</f>
        <v>-2959.4569874768308</v>
      </c>
      <c r="Q526">
        <f>-1147.331224388 -1390.49490460505 -84.6829328341299</f>
        <v>-2622.5090618271797</v>
      </c>
      <c r="R526">
        <f>-1172.77195171559 -1226.39780207021 -181.384296215824</f>
        <v>-2580.5540500016241</v>
      </c>
      <c r="S526" t="s">
        <v>9778</v>
      </c>
      <c r="T526" t="s">
        <v>9779</v>
      </c>
      <c r="U526" t="s">
        <v>9780</v>
      </c>
      <c r="V526">
        <f>-1102.56198746629 -1408.24502042797 -185.007651678854</f>
        <v>-2695.8146595731141</v>
      </c>
      <c r="W526" t="s">
        <v>9781</v>
      </c>
      <c r="X526" t="s">
        <v>9782</v>
      </c>
      <c r="Y526" t="s">
        <v>9783</v>
      </c>
    </row>
    <row r="527" spans="1:25" x14ac:dyDescent="0.3">
      <c r="A527">
        <v>26300</v>
      </c>
      <c r="B527" t="s">
        <v>9784</v>
      </c>
      <c r="C527">
        <f>-1138.03951841392 -1316.58313039876 -183.638265599986</f>
        <v>-2638.2609144126659</v>
      </c>
      <c r="D527">
        <f>-1144.38545391051 -1316.51204959059 -304.582564367217</f>
        <v>-2765.4800678683168</v>
      </c>
      <c r="E527">
        <f>-1121.01016296703 -1338.48945236703 -421.463494766367</f>
        <v>-2880.963110100427</v>
      </c>
      <c r="F527">
        <f>-1088.45616622108 -1366.86180849112 -522.111836722427</f>
        <v>-2977.429811434627</v>
      </c>
      <c r="G527">
        <f>-1045.27332232689 -1403.37437728172 -615.903774318519</f>
        <v>-3064.5514739271289</v>
      </c>
      <c r="H527">
        <f>-974.951608140045 -1462.14354022709 -737.563460018378</f>
        <v>-3174.6586083855132</v>
      </c>
      <c r="I527">
        <f>-903.822299844428 -1495.31574551799 -802.549576565251</f>
        <v>-3201.6876219276687</v>
      </c>
      <c r="J527">
        <f>-1011.8410318592 -1409.42508819227 -699.975446810088</f>
        <v>-3121.2415668615586</v>
      </c>
      <c r="K527">
        <f>-1019.10678255173 -1269.1036935021 -743.390659618662</f>
        <v>-3031.6011356724921</v>
      </c>
      <c r="L527">
        <f>-929.662581924241 -1090.18250909876 -498.088538740187</f>
        <v>-2517.933629763188</v>
      </c>
      <c r="M527">
        <f>-680.032468879995 -1117.68916142077 -430.485039655846</f>
        <v>-2228.2066699566108</v>
      </c>
      <c r="N527">
        <f>-1000.29256192194 -1462.854895316 -667.490199040713</f>
        <v>-3130.6376562786531</v>
      </c>
      <c r="O527">
        <f>-987.204004020585 -1578.35949834348 -577.414213934175</f>
        <v>-3142.97771629824</v>
      </c>
      <c r="P527">
        <f>-1124.61132229947 -1542.10301216874 -294.587577965052</f>
        <v>-2961.3019124332618</v>
      </c>
      <c r="Q527">
        <f>-1148.04746070528 -1390.155734018 -84.8143914101832</f>
        <v>-2623.0175861334633</v>
      </c>
      <c r="R527">
        <f>-1172.72319047698 -1225.51649088309 -181.419794010709</f>
        <v>-2579.6594753707791</v>
      </c>
      <c r="S527" t="s">
        <v>9785</v>
      </c>
      <c r="T527" t="s">
        <v>9786</v>
      </c>
      <c r="U527" t="s">
        <v>9787</v>
      </c>
      <c r="V527">
        <f>-1103.24716983529 -1407.76640689035 -185.07065731491</f>
        <v>-2696.0842340405497</v>
      </c>
      <c r="W527" t="s">
        <v>9788</v>
      </c>
      <c r="X527" t="s">
        <v>9789</v>
      </c>
      <c r="Y527" t="s">
        <v>9790</v>
      </c>
    </row>
    <row r="528" spans="1:25" x14ac:dyDescent="0.3">
      <c r="A528">
        <v>26350</v>
      </c>
      <c r="B528" t="s">
        <v>9791</v>
      </c>
      <c r="C528">
        <f>-1138.10046738539 -1314.89043189642 -183.881867474646</f>
        <v>-2636.8727667564558</v>
      </c>
      <c r="D528">
        <f>-1144.02991867206 -1314.76492762023 -304.847179437832</f>
        <v>-2763.642025730122</v>
      </c>
      <c r="E528">
        <f>-1120.72005765273 -1337.12194051143 -421.669150143453</f>
        <v>-2879.511148307613</v>
      </c>
      <c r="F528">
        <f>-1088.43330336506 -1366.02413569687 -522.25294476467</f>
        <v>-2976.7103838266003</v>
      </c>
      <c r="G528">
        <f>-1045.72885415641 -1403.25399929474 -615.981820563111</f>
        <v>-3064.9646740142607</v>
      </c>
      <c r="H528">
        <f>-976.290729066154 -1463.21606053188 -737.566848452868</f>
        <v>-3177.0736380509015</v>
      </c>
      <c r="I528">
        <f>-905.75335255829 -1497.06428385872 -802.848966365334</f>
        <v>-3205.6666027823439</v>
      </c>
      <c r="J528">
        <f>-1012.20656628007 -1409.83011581487 -699.978200195048</f>
        <v>-3122.0148822899878</v>
      </c>
      <c r="K528">
        <f>-1016.13413134911 -1269.54689214402 -743.91049075004</f>
        <v>-3029.59151424317</v>
      </c>
      <c r="L528">
        <f>-907.655222460176 -1097.22930534073 -501.577652791056</f>
        <v>-2506.4621805919619</v>
      </c>
      <c r="M528">
        <f>-658.133992308969 -1136.18215381775 -439.417553094004</f>
        <v>-2233.7336992207229</v>
      </c>
      <c r="N528">
        <f>-1001.82333051445 -1463.53931894145 -667.560388054025</f>
        <v>-3132.9230375099251</v>
      </c>
      <c r="O528">
        <f>-991.195175125913 -1579.4005044558 -577.621014355414</f>
        <v>-3148.2166939371268</v>
      </c>
      <c r="P528">
        <f>-1127.7846680892 -1541.08397813575 -294.669813723431</f>
        <v>-2963.5384599483809</v>
      </c>
      <c r="Q528">
        <f>-1148.96138922639 -1388.41871425309 -85.1778423346383</f>
        <v>-2622.5579458141183</v>
      </c>
      <c r="R528">
        <f>-1171.74378066173 -1223.18809571798 -181.80445960316</f>
        <v>-2576.7363359828701</v>
      </c>
      <c r="S528" t="s">
        <v>9792</v>
      </c>
      <c r="T528" t="s">
        <v>9793</v>
      </c>
      <c r="U528" t="s">
        <v>9794</v>
      </c>
      <c r="V528">
        <f>-1104.36412397905 -1406.68210495187 -185.204288127712</f>
        <v>-2696.2505170586319</v>
      </c>
      <c r="W528" t="s">
        <v>9795</v>
      </c>
      <c r="X528" t="s">
        <v>9796</v>
      </c>
      <c r="Y528" t="s">
        <v>9797</v>
      </c>
    </row>
    <row r="529" spans="1:25" x14ac:dyDescent="0.3">
      <c r="A529">
        <v>26400</v>
      </c>
      <c r="B529" t="s">
        <v>9798</v>
      </c>
      <c r="C529">
        <f>-1137.88594664859 -1313.89267209047 -184.068096772636</f>
        <v>-2635.8467155116964</v>
      </c>
      <c r="D529">
        <f>-1143.53581749772 -1313.76123568724 -305.046804948477</f>
        <v>-2762.3438581334372</v>
      </c>
      <c r="E529">
        <f>-1120.24074018102 -1336.31997770435 -421.833033494578</f>
        <v>-2878.3937513799483</v>
      </c>
      <c r="F529">
        <f>-1088.0892905131 -1365.49010420864 -522.382711565916</f>
        <v>-2975.9621062876558</v>
      </c>
      <c r="G529">
        <f>-1045.64010838628 -1403.07215950594 -616.087105597701</f>
        <v>-3064.7993734899205</v>
      </c>
      <c r="H529">
        <f>-976.677345155341 -1463.61079871964 -737.656842452008</f>
        <v>-3177.9449863269892</v>
      </c>
      <c r="I529">
        <f>-906.43400665982 -1497.80245827983 -803.076938157479</f>
        <v>-3207.3134030971291</v>
      </c>
      <c r="J529">
        <f>-1012.10934788233 -1409.90881630168 -700.059093747627</f>
        <v>-3122.0772579316372</v>
      </c>
      <c r="K529">
        <f>-1014.82588450582 -1269.66122907107 -744.244937165378</f>
        <v>-3028.7320507422678</v>
      </c>
      <c r="L529">
        <f>-899.151870583933 -1100.93298452469 -502.715386431246</f>
        <v>-2502.8002415398691</v>
      </c>
      <c r="M529">
        <f>-650.444408826396 -1143.82223350618 -439.888759810421</f>
        <v>-2234.155402142997</v>
      </c>
      <c r="N529">
        <f>-1002.27311900372 -1463.73983126028 -667.672831663711</f>
        <v>-3133.6857819277111</v>
      </c>
      <c r="O529">
        <f>-992.725878628697 -1579.69495575356 -577.733959002996</f>
        <v>-3150.154793385253</v>
      </c>
      <c r="P529">
        <f>-1129.05530629945 -1539.86332449723 -294.866708909289</f>
        <v>-2963.7853397059694</v>
      </c>
      <c r="Q529">
        <f>-1148.99172427443 -1386.76194342744 -85.5712476909335</f>
        <v>-2621.3249153928032</v>
      </c>
      <c r="R529">
        <f>-1170.95103918003 -1221.84120202594 -182.147034715591</f>
        <v>-2574.9392759215607</v>
      </c>
      <c r="S529" t="s">
        <v>9799</v>
      </c>
      <c r="T529" t="s">
        <v>9800</v>
      </c>
      <c r="U529" t="s">
        <v>9801</v>
      </c>
      <c r="V529">
        <f>-1104.76880881796 -1405.99385782851 -185.29724094332</f>
        <v>-2696.0599075897903</v>
      </c>
      <c r="W529" t="s">
        <v>9802</v>
      </c>
      <c r="X529" t="s">
        <v>9803</v>
      </c>
      <c r="Y529" t="s">
        <v>9804</v>
      </c>
    </row>
    <row r="530" spans="1:25" x14ac:dyDescent="0.3">
      <c r="A530">
        <v>26450</v>
      </c>
      <c r="B530" t="s">
        <v>9805</v>
      </c>
      <c r="C530">
        <f>-1137.45371988952 -1311.97176641928 -184.420395824524</f>
        <v>-2633.8458821333238</v>
      </c>
      <c r="D530">
        <f>-1142.82506486334 -1311.82263056417 -305.411834271663</f>
        <v>-2760.0595296991728</v>
      </c>
      <c r="E530">
        <f>-1119.82326657998 -1334.7508590586 -422.184170912702</f>
        <v>-2876.758296551282</v>
      </c>
      <c r="F530">
        <f>-1088.16107490639 -1364.40867193087 -522.746511372593</f>
        <v>-2975.316258209853</v>
      </c>
      <c r="G530">
        <f>-1046.41381745653 -1402.62694467747 -616.508836235002</f>
        <v>-3065.5495983690021</v>
      </c>
      <c r="H530">
        <f>-978.633113335939 -1464.20073676926 -738.223494235944</f>
        <v>-3181.0573443411431</v>
      </c>
      <c r="I530">
        <f>-909.008689862907 -1499.07896367352 -803.942056348809</f>
        <v>-3212.0297098852361</v>
      </c>
      <c r="J530">
        <f>-1013.12802386244 -1409.95359975319 -700.537032463096</f>
        <v>-3123.6186560787264</v>
      </c>
      <c r="K530">
        <f>-1013.82333219911 -1269.90186147626 -745.349410839453</f>
        <v>-3029.074604514823</v>
      </c>
      <c r="L530">
        <f>-886.972414179122 -1106.42215781631 -505.830204032641</f>
        <v>-2499.2247760280729</v>
      </c>
      <c r="M530">
        <f>-640.857261256036 -1154.54037479627 -436.880940569685</f>
        <v>-2232.2785766219913</v>
      </c>
      <c r="N530">
        <f>-1004.11993090799 -1463.9588815185 -668.200051302942</f>
        <v>-3136.278863729432</v>
      </c>
      <c r="O530">
        <f>-996.265584462426 -1580.05808959068 -578.276581095756</f>
        <v>-3154.6002551488618</v>
      </c>
      <c r="P530">
        <f>-1132.20391116423 -1536.883508561 -295.711825061838</f>
        <v>-2964.7992447870683</v>
      </c>
      <c r="Q530">
        <f>-1149.92276434649 -1383.09056269064 -86.7241841594765</f>
        <v>-2619.7375111966062</v>
      </c>
      <c r="R530">
        <f>-1169.34941877512 -1219.23325188743 -182.695948618438</f>
        <v>-2571.2786192809881</v>
      </c>
      <c r="S530" t="s">
        <v>9806</v>
      </c>
      <c r="T530" t="s">
        <v>9807</v>
      </c>
      <c r="U530" t="s">
        <v>9808</v>
      </c>
      <c r="V530">
        <f>-1105.64847884833 -1404.68636967163 -185.510222801259</f>
        <v>-2695.8450713212187</v>
      </c>
      <c r="W530" t="s">
        <v>9809</v>
      </c>
      <c r="X530" t="s">
        <v>9810</v>
      </c>
      <c r="Y530" t="s">
        <v>9811</v>
      </c>
    </row>
    <row r="531" spans="1:25" x14ac:dyDescent="0.3">
      <c r="A531">
        <v>26500</v>
      </c>
      <c r="B531" t="s">
        <v>9812</v>
      </c>
      <c r="C531">
        <f>-1137.15144711079 -1311.0558958957 -184.613923537426</f>
        <v>-2632.821266543916</v>
      </c>
      <c r="D531">
        <f>-1142.48669835409 -1310.84757197024 -305.606785198128</f>
        <v>-2758.9410555224581</v>
      </c>
      <c r="E531">
        <f>-1119.70425031651 -1333.93881686205 -422.390081122598</f>
        <v>-2876.0331483011582</v>
      </c>
      <c r="F531">
        <f>-1088.34292287611 -1363.83616481693 -522.975647756416</f>
        <v>-2975.154735449456</v>
      </c>
      <c r="G531">
        <f>-1046.99619694011 -1402.38489589968 -616.780177127922</f>
        <v>-3066.1612699677116</v>
      </c>
      <c r="H531">
        <f>-979.871588306235 -1464.51145002792 -738.577419834999</f>
        <v>-3182.9604581691542</v>
      </c>
      <c r="I531">
        <f>-910.608029647344 -1499.73055868846 -804.495343391034</f>
        <v>-3214.8339317268383</v>
      </c>
      <c r="J531">
        <f>-1013.87279292087 -1409.98298826455 -700.848366214965</f>
        <v>-3124.704147400385</v>
      </c>
      <c r="K531">
        <f>-1013.40766393574 -1269.9935368727 -745.884143955629</f>
        <v>-3029.2853447640691</v>
      </c>
      <c r="L531">
        <f>-882.912583355844 -1108.08075636193 -507.259928093565</f>
        <v>-2498.2532678113394</v>
      </c>
      <c r="M531">
        <f>-638.039938956849 -1157.52918991075 -434.911447260284</f>
        <v>-2230.4805761278831</v>
      </c>
      <c r="N531">
        <f>-1005.27149026926 -1464.06177873031 -668.523600131762</f>
        <v>-3137.8568691313321</v>
      </c>
      <c r="O531">
        <f>-998.359491259876 -1580.20370639999 -578.606723235081</f>
        <v>-3157.1699208949472</v>
      </c>
      <c r="P531">
        <f>-1133.77096699594 -1536.03032791622 -295.943151565101</f>
        <v>-2965.7444464772607</v>
      </c>
      <c r="Q531">
        <f>-1150.23934401868 -1382.0490403116 -86.9920127538779</f>
        <v>-2619.2803970841578</v>
      </c>
      <c r="R531">
        <f>-1168.51419988974 -1217.99694546838 -182.974018477045</f>
        <v>-2569.4851638351652</v>
      </c>
      <c r="S531" t="s">
        <v>9813</v>
      </c>
      <c r="T531" t="s">
        <v>9814</v>
      </c>
      <c r="U531" t="s">
        <v>9815</v>
      </c>
      <c r="V531">
        <f>-1105.88801592473 -1404.030741285 -185.665636228915</f>
        <v>-2695.5843934386448</v>
      </c>
      <c r="W531" t="s">
        <v>9816</v>
      </c>
      <c r="X531" t="s">
        <v>9817</v>
      </c>
      <c r="Y531" t="s">
        <v>9818</v>
      </c>
    </row>
    <row r="532" spans="1:25" x14ac:dyDescent="0.3">
      <c r="A532">
        <v>26550</v>
      </c>
      <c r="B532" t="s">
        <v>9819</v>
      </c>
      <c r="C532">
        <f>-1136.02055845801 -1308.81970765268 -185.156556911032</f>
        <v>-2629.9968230217223</v>
      </c>
      <c r="D532">
        <f>-1141.50983939763 -1308.60044527349 -306.142470706838</f>
        <v>-2756.2527553779582</v>
      </c>
      <c r="E532">
        <f>-1119.06957760482 -1332.04520149819 -422.921552079896</f>
        <v>-2874.036331182906</v>
      </c>
      <c r="F532">
        <f>-1088.10194538047 -1362.41302335986 -523.488230141764</f>
        <v>-2974.0031988820938</v>
      </c>
      <c r="G532">
        <f>-1047.23926376188 -1401.57808132106 -617.249559240207</f>
        <v>-3066.0669043231469</v>
      </c>
      <c r="H532">
        <f>-980.886510947861 -1464.70736761477 -738.954177437842</f>
        <v>-3184.5480560004726</v>
      </c>
      <c r="I532">
        <f>-912.861692695445 -1500.63565568285 -805.77319160281</f>
        <v>-3219.2705399811052</v>
      </c>
      <c r="J532">
        <f>-1014.08567980298 -1409.66264592409 -701.260620369596</f>
        <v>-3125.008946096666</v>
      </c>
      <c r="K532">
        <f>-1011.24835484077 -1269.76938689524 -746.534431762395</f>
        <v>-3027.552173498405</v>
      </c>
      <c r="L532">
        <f>-879.335158383026 -1109.32268002756 -507.699898046664</f>
        <v>-2496.3577364572502</v>
      </c>
      <c r="M532">
        <f>-635.605766105169 -1160.47992402383 -432.726674677101</f>
        <v>-2228.8123648061</v>
      </c>
      <c r="N532">
        <f>-1006.40542142764 -1463.88658592517 -668.946922680501</f>
        <v>-3139.2389300333111</v>
      </c>
      <c r="O532">
        <f>-1001.75621548879 -1580.16596570826 -579.040602539174</f>
        <v>-3160.9627837362241</v>
      </c>
      <c r="P532">
        <f>-1136.2364411348 -1534.59362853285 -296.154764281412</f>
        <v>-2966.9848339490622</v>
      </c>
      <c r="Q532">
        <f>-1149.89777252699 -1380.73664788807 -86.9097733647451</f>
        <v>-2617.544193779805</v>
      </c>
      <c r="R532">
        <f>-1166.08480730451 -1215.24870487096 -183.600183166621</f>
        <v>-2564.9336953420907</v>
      </c>
      <c r="S532" t="s">
        <v>9820</v>
      </c>
      <c r="T532" t="s">
        <v>9821</v>
      </c>
      <c r="U532" t="s">
        <v>9822</v>
      </c>
      <c r="V532">
        <f>-1105.86295901852 -1402.2856201999 -186.037659170421</f>
        <v>-2694.1862383888415</v>
      </c>
      <c r="W532" t="s">
        <v>9823</v>
      </c>
      <c r="X532" t="s">
        <v>9824</v>
      </c>
      <c r="Y532" t="s">
        <v>9825</v>
      </c>
    </row>
    <row r="533" spans="1:25" x14ac:dyDescent="0.3">
      <c r="A533">
        <v>26600</v>
      </c>
      <c r="B533" t="s">
        <v>9826</v>
      </c>
      <c r="C533">
        <f>-1135.39210152955 -1307.60396476332 -185.36018908059</f>
        <v>-2628.3562553734596</v>
      </c>
      <c r="D533">
        <f>-1140.793155735 -1307.47943225217 -306.35029424456</f>
        <v>-2754.6228822317298</v>
      </c>
      <c r="E533">
        <f>-1118.38583472701 -1331.1457861245 -423.091047796306</f>
        <v>-2872.6226686478162</v>
      </c>
      <c r="F533">
        <f>-1087.49962054207 -1361.76234239164 -523.60726716063</f>
        <v>-2972.8692300943403</v>
      </c>
      <c r="G533">
        <f>-1046.77082290641 -1401.22056481603 -617.303856787959</f>
        <v>-3065.2952445103988</v>
      </c>
      <c r="H533">
        <f>-980.658748063809 -1464.80002046315 -738.905137017846</f>
        <v>-3184.3639055448048</v>
      </c>
      <c r="I533">
        <f>-913.704011315646 -1501.00062536981 -806.651452242155</f>
        <v>-3221.3560889276109</v>
      </c>
      <c r="J533">
        <f>-1013.53439371259 -1409.52812955025 -701.260319636398</f>
        <v>-3124.3228428992379</v>
      </c>
      <c r="K533">
        <f>-1009.77590524691 -1269.65056222229 -746.486151398943</f>
        <v>-3025.9126188681435</v>
      </c>
      <c r="L533">
        <f>-879.521778502834 -1109.02454215227 -506.862736892343</f>
        <v>-2495.409057547447</v>
      </c>
      <c r="M533">
        <f>-635.862030183678 -1160.03573545024 -431.564421715595</f>
        <v>-2227.462187349513</v>
      </c>
      <c r="N533">
        <f>-1006.28821574382 -1463.80803509022 -668.940351077305</f>
        <v>-3139.0366019113449</v>
      </c>
      <c r="O533">
        <f>-1002.81010445752 -1580.14397626682 -579.053430683608</f>
        <v>-3162.0075114079477</v>
      </c>
      <c r="P533">
        <f>-1137.37742493075 -1533.67821098214 -296.354358760982</f>
        <v>-2967.409994673872</v>
      </c>
      <c r="Q533">
        <f>-1149.79805502954 -1379.81855754622 -87.0340872749269</f>
        <v>-2616.650699850687</v>
      </c>
      <c r="R533">
        <f>-1164.78557161232 -1213.93098310267 -183.804329856752</f>
        <v>-2562.5208845717416</v>
      </c>
      <c r="S533" t="s">
        <v>9827</v>
      </c>
      <c r="T533" t="s">
        <v>9828</v>
      </c>
      <c r="U533" t="s">
        <v>9829</v>
      </c>
      <c r="V533">
        <f>-1105.89652742488 -1401.38940646094 -186.117011717464</f>
        <v>-2693.402945603284</v>
      </c>
      <c r="W533" t="s">
        <v>9830</v>
      </c>
      <c r="X533" t="s">
        <v>9831</v>
      </c>
      <c r="Y533" t="s">
        <v>9832</v>
      </c>
    </row>
    <row r="534" spans="1:25" x14ac:dyDescent="0.3">
      <c r="A534">
        <v>26650</v>
      </c>
      <c r="B534" t="s">
        <v>9833</v>
      </c>
      <c r="C534">
        <f>-1134.27298931796 -1305.52581307267 -185.637573979862</f>
        <v>-2625.4363763704919</v>
      </c>
      <c r="D534">
        <f>-1139.36748843984 -1305.64027737668 -306.640986998705</f>
        <v>-2751.6487528152252</v>
      </c>
      <c r="E534">
        <f>-1116.82282311425 -1329.64160980558 -423.286726266667</f>
        <v>-2869.7511591864968</v>
      </c>
      <c r="F534">
        <f>-1085.88008783914 -1360.58791654508 -523.684586196557</f>
        <v>-2970.1525905807771</v>
      </c>
      <c r="G534">
        <f>-1045.15998211967 -1400.39368146768 -617.237866371885</f>
        <v>-3062.791529959235</v>
      </c>
      <c r="H534">
        <f>-979.124118035843 -1464.46786715636 -738.620607984404</f>
        <v>-3182.2125931766072</v>
      </c>
      <c r="I534">
        <f>-914.305877061926 -1500.71354660909 -808.390485055624</f>
        <v>-3223.40990872664</v>
      </c>
      <c r="J534">
        <f>-1011.61031077602 -1408.9173748172 -701.04800513938</f>
        <v>-3121.5756907325999</v>
      </c>
      <c r="K534">
        <f>-1006.87516783349 -1269.02138207143 -746.021776435831</f>
        <v>-3021.9183263407513</v>
      </c>
      <c r="L534">
        <f>-882.531186736717 -1107.0492897839 -504.174996263733</f>
        <v>-2493.7554727843499</v>
      </c>
      <c r="M534">
        <f>-638.592018365504 -1156.24608047804 -428.574824569472</f>
        <v>-2223.4129234130164</v>
      </c>
      <c r="N534">
        <f>-1005.07556865618 -1463.31670777217 -668.777113711067</f>
        <v>-3137.1693901394174</v>
      </c>
      <c r="O534">
        <f>-1003.29493376213 -1579.80570609464 -579.024831938328</f>
        <v>-3162.1254717950983</v>
      </c>
      <c r="P534">
        <f>-1138.24704967471 -1530.95796386048 -296.911359611124</f>
        <v>-2966.1163731463139</v>
      </c>
      <c r="Q534">
        <f>-1149.3687643827 -1376.61402344806 -87.8747607390105</f>
        <v>-2613.8575485697702</v>
      </c>
      <c r="R534">
        <f>-1162.37338474664 -1211.67499360019 -184.053837637864</f>
        <v>-2558.1022159846939</v>
      </c>
      <c r="S534" t="s">
        <v>9834</v>
      </c>
      <c r="T534" t="s">
        <v>9835</v>
      </c>
      <c r="U534" t="s">
        <v>9836</v>
      </c>
      <c r="V534">
        <f>-1106.1754342972 -1399.46126821136 -186.195755540441</f>
        <v>-2691.8324580490012</v>
      </c>
      <c r="W534" t="s">
        <v>9837</v>
      </c>
      <c r="X534" t="s">
        <v>9838</v>
      </c>
      <c r="Y534" t="s">
        <v>9839</v>
      </c>
    </row>
    <row r="535" spans="1:25" x14ac:dyDescent="0.3">
      <c r="A535">
        <v>26700</v>
      </c>
      <c r="B535" t="s">
        <v>9840</v>
      </c>
      <c r="C535">
        <f>-1133.71556958768 -1304.56439346815 -185.567870951105</f>
        <v>-2623.847834006935</v>
      </c>
      <c r="D535">
        <f>-1138.4471632069 -1304.6920222972 -306.586087035619</f>
        <v>-2749.7252725397193</v>
      </c>
      <c r="E535">
        <f>-1115.78523792621 -1328.71530947392 -423.204720222285</f>
        <v>-2867.7052676224148</v>
      </c>
      <c r="F535">
        <f>-1084.82191240907 -1359.67332241558 -523.592506272374</f>
        <v>-2968.0877410970238</v>
      </c>
      <c r="G535">
        <f>-1044.15327453654 -1399.47765425919 -617.168825793469</f>
        <v>-3060.799754589199</v>
      </c>
      <c r="H535">
        <f>-978.249175440323 -1463.53334455039 -738.632941535494</f>
        <v>-3180.4154615262069</v>
      </c>
      <c r="I535">
        <f>-914.313568583277 -1499.63000057931 -809.288797155747</f>
        <v>-3223.2323663183338</v>
      </c>
      <c r="J535">
        <f>-1010.6409033823 -1407.97050916382 -700.996985570527</f>
        <v>-3119.6083981166471</v>
      </c>
      <c r="K535">
        <f>-1005.87101655096 -1267.98098268589 -745.759948516481</f>
        <v>-3019.6119477533312</v>
      </c>
      <c r="L535">
        <f>-883.744893906668 -1105.61272143337 -503.050431612142</f>
        <v>-2492.40804695218</v>
      </c>
      <c r="M535">
        <f>-639.768659210083 -1153.53072629179 -426.751518853658</f>
        <v>-2220.0509043555312</v>
      </c>
      <c r="N535">
        <f>-1004.17849879857 -1462.41085701432 -668.780845638192</f>
        <v>-3135.3702014510818</v>
      </c>
      <c r="O535">
        <f>-1002.48641198183 -1578.95861952661 -579.116037625394</f>
        <v>-3160.5610691338343</v>
      </c>
      <c r="P535">
        <f>-1137.72411789926 -1529.29812086868 -297.281470164594</f>
        <v>-2964.3037089325335</v>
      </c>
      <c r="Q535">
        <f>-1148.88530868953 -1374.62398763243 -88.4910887975359</f>
        <v>-2612.0003851194961</v>
      </c>
      <c r="R535">
        <f>-1161.20690426098 -1210.75738437224 -184.056946182223</f>
        <v>-2556.0212348154432</v>
      </c>
      <c r="S535" t="s">
        <v>9841</v>
      </c>
      <c r="T535" t="s">
        <v>9842</v>
      </c>
      <c r="U535" t="s">
        <v>9843</v>
      </c>
      <c r="V535">
        <f>-1106.14626311865 -1398.40788688948 -186.158589468994</f>
        <v>-2690.7127394771237</v>
      </c>
      <c r="W535" t="s">
        <v>9844</v>
      </c>
      <c r="X535" t="s">
        <v>9845</v>
      </c>
      <c r="Y535" t="s">
        <v>9846</v>
      </c>
    </row>
    <row r="536" spans="1:25" x14ac:dyDescent="0.3">
      <c r="A536">
        <v>26750</v>
      </c>
      <c r="B536" t="s">
        <v>9847</v>
      </c>
      <c r="C536">
        <f>-1132.41050715264 -1302.36474825792 -185.394462911059</f>
        <v>-2620.1697183216193</v>
      </c>
      <c r="D536">
        <f>-1137.1376799697 -1302.4782393965 -306.412812058086</f>
        <v>-2746.0287314242855</v>
      </c>
      <c r="E536">
        <f>-1114.66625785484 -1326.3549415661 -423.098376859451</f>
        <v>-2864.1195762803914</v>
      </c>
      <c r="F536">
        <f>-1083.9249022254 -1357.11766301931 -523.614396792262</f>
        <v>-2964.6569620369723</v>
      </c>
      <c r="G536">
        <f>-1043.50534142645 -1396.66243666328 -617.408397598544</f>
        <v>-3057.5761756882739</v>
      </c>
      <c r="H536">
        <f>-977.952500873791 -1460.29198750042 -739.285814078628</f>
        <v>-3177.5303024528389</v>
      </c>
      <c r="I536">
        <f>-915.334514625981 -1495.82865178195 -811.390745955346</f>
        <v>-3222.553912363277</v>
      </c>
      <c r="J536">
        <f>-1010.24864180721 -1404.86597082935 -701.367008731068</f>
        <v>-3116.4816213676281</v>
      </c>
      <c r="K536">
        <f>-1005.70698898314 -1264.64623675484 -745.448167065557</f>
        <v>-3015.8013928035371</v>
      </c>
      <c r="L536">
        <f>-886.81643551412 -1101.41482834007 -501.713076446691</f>
        <v>-2489.9443403008809</v>
      </c>
      <c r="M536">
        <f>-642.512164954758 -1145.72726473141 -424.292933993973</f>
        <v>-2212.5323636801409</v>
      </c>
      <c r="N536">
        <f>-1003.6665475503 -1459.40978491739 -669.350703053247</f>
        <v>-3132.4270355209369</v>
      </c>
      <c r="O536">
        <f>-1001.84539295774 -1576.15953887807 -579.963436068191</f>
        <v>-3157.9683679040008</v>
      </c>
      <c r="P536">
        <f>-1136.93063434504 -1526.26991068058 -298.096170979587</f>
        <v>-2961.2967160052071</v>
      </c>
      <c r="Q536">
        <f>-1148.26759245481 -1371.59057083533 -89.319201775895</f>
        <v>-2609.1773650660352</v>
      </c>
      <c r="R536">
        <f>-1159.18127878283 -1208.69802057085 -184.095955520464</f>
        <v>-2551.975254874144</v>
      </c>
      <c r="S536" t="s">
        <v>9848</v>
      </c>
      <c r="T536" t="s">
        <v>9849</v>
      </c>
      <c r="U536" t="s">
        <v>9850</v>
      </c>
      <c r="V536">
        <f>-1105.76274533453 -1395.9388532155 -186.075995386182</f>
        <v>-2687.7775939362123</v>
      </c>
      <c r="W536" t="s">
        <v>9851</v>
      </c>
      <c r="X536" t="s">
        <v>9852</v>
      </c>
      <c r="Y536" t="s">
        <v>9853</v>
      </c>
    </row>
    <row r="537" spans="1:25" x14ac:dyDescent="0.3">
      <c r="A537">
        <v>26800</v>
      </c>
      <c r="B537" t="s">
        <v>9854</v>
      </c>
      <c r="C537">
        <f>-1131.63904270314 -1301.14616369742 -185.343648707674</f>
        <v>-2618.1288551082343</v>
      </c>
      <c r="D537">
        <f>-1136.51329822842 -1301.28785494041 -306.35616999364</f>
        <v>-2744.1573231624698</v>
      </c>
      <c r="E537">
        <f>-1114.17331722589 -1325.06587830909 -423.087079354817</f>
        <v>-2862.3262748897973</v>
      </c>
      <c r="F537">
        <f>-1083.54093900591 -1355.69609201197 -523.676812297961</f>
        <v>-2962.9138433158414</v>
      </c>
      <c r="G537">
        <f>-1043.21753212824 -1395.07173935935 -617.583255573145</f>
        <v>-3055.8725270607347</v>
      </c>
      <c r="H537">
        <f>-977.781991277255 -1458.43518093241 -739.662347095262</f>
        <v>-3175.8795193049273</v>
      </c>
      <c r="I537">
        <f>-915.59467069363 -1493.65291376827 -812.294436655643</f>
        <v>-3221.5420211175433</v>
      </c>
      <c r="J537">
        <f>-1010.04290437793 -1403.09249442981 -701.592089053303</f>
        <v>-3114.7274878610428</v>
      </c>
      <c r="K537">
        <f>-1005.63489935157 -1262.73955877302 -745.249693242838</f>
        <v>-3013.6241513674281</v>
      </c>
      <c r="L537">
        <f>-888.57136140881 -1098.99230325086 -500.977074127015</f>
        <v>-2488.5407387866849</v>
      </c>
      <c r="M537">
        <f>-643.895920557713 -1141.6873279527 -423.820759275758</f>
        <v>-2209.404007786171</v>
      </c>
      <c r="N537">
        <f>-1003.42746956755 -1457.70513534173 -669.700137306899</f>
        <v>-3130.8327422161792</v>
      </c>
      <c r="O537">
        <f>-1001.61454863624 -1574.58171379572 -580.486038326371</f>
        <v>-3156.6823007583307</v>
      </c>
      <c r="P537">
        <f>-1136.34136759738 -1525.06725274896 -298.38107532135</f>
        <v>-2959.7896956676905</v>
      </c>
      <c r="Q537">
        <f>-1147.32993454701 -1370.71391757934 -89.344409971676</f>
        <v>-2607.3882620980262</v>
      </c>
      <c r="R537">
        <f>-1157.6735677315 -1207.90446477967 -184.241625276267</f>
        <v>-2549.8196577874369</v>
      </c>
      <c r="S537" t="s">
        <v>9855</v>
      </c>
      <c r="T537" t="s">
        <v>9856</v>
      </c>
      <c r="U537" t="s">
        <v>9857</v>
      </c>
      <c r="V537">
        <f>-1105.3667856078 -1394.43157583488 -185.984530477741</f>
        <v>-2685.7828919204212</v>
      </c>
      <c r="W537" t="s">
        <v>9858</v>
      </c>
      <c r="X537" t="s">
        <v>9859</v>
      </c>
      <c r="Y537" t="s">
        <v>9860</v>
      </c>
    </row>
    <row r="538" spans="1:25" x14ac:dyDescent="0.3">
      <c r="A538">
        <v>26850</v>
      </c>
      <c r="B538" t="s">
        <v>9861</v>
      </c>
      <c r="C538">
        <f>-1132.55574839586 -1295.08455482017 -185.870061584706</f>
        <v>-2613.5103648007362</v>
      </c>
      <c r="D538">
        <f>-1138.02762996319 -1295.64068763779 -306.855798152832</f>
        <v>-2740.5241157538121</v>
      </c>
      <c r="E538">
        <f>-1115.91330667034 -1319.43630776427 -423.626043550743</f>
        <v>-2858.9756579853529</v>
      </c>
      <c r="F538">
        <f>-1085.32764828462 -1349.92528398686 -524.272939970506</f>
        <v>-2959.5258722419858</v>
      </c>
      <c r="G538">
        <f>-1044.89346657559 -1389.00828484609 -618.254054522853</f>
        <v>-3052.1558059445333</v>
      </c>
      <c r="H538">
        <f>-979.141710532477 -1451.81392448587 -740.451281149467</f>
        <v>-3171.406916167814</v>
      </c>
      <c r="I538">
        <f>-917.380240625997 -1486.37507683057 -813.759081188309</f>
        <v>-3217.5143986448757</v>
      </c>
      <c r="J538">
        <f>-1011.6400338228 -1396.69184406231 -702.263243578781</f>
        <v>-3110.5951214638908</v>
      </c>
      <c r="K538">
        <f>-1007.90527015502 -1256.13678263963 -745.334848080537</f>
        <v>-3009.3769008751869</v>
      </c>
      <c r="L538">
        <f>-895.787234881648 -1091.14043589025 -499.587161836117</f>
        <v>-2486.5148326080152</v>
      </c>
      <c r="M538">
        <f>-650.069402240266 -1130.54870227931 -424.010871497444</f>
        <v>-2204.6289760170198</v>
      </c>
      <c r="N538">
        <f>-1004.82960439868 -1451.35692226282 -670.502427548915</f>
        <v>-3126.688954210415</v>
      </c>
      <c r="O538">
        <f>-1002.75380743477 -1568.43367783102 -581.555927741038</f>
        <v>-3152.7434130068282</v>
      </c>
      <c r="P538">
        <f>-1138.18971629814 -1519.5439434155 -299.681689870862</f>
        <v>-2957.4153495845021</v>
      </c>
      <c r="Q538">
        <f>-1148.59625936131 -1365.97893703968 -90.035455601147</f>
        <v>-2604.6106520021372</v>
      </c>
      <c r="R538">
        <f>-1159.68551963435 -1200.85968221942 -184.828177300458</f>
        <v>-2545.3733791542277</v>
      </c>
      <c r="S538" t="s">
        <v>9862</v>
      </c>
      <c r="T538" t="s">
        <v>9863</v>
      </c>
      <c r="U538" t="s">
        <v>9864</v>
      </c>
      <c r="V538">
        <f>-1105.96984323277 -1388.9353685354 -186.19171218489</f>
        <v>-2681.09692395306</v>
      </c>
      <c r="W538" t="s">
        <v>9865</v>
      </c>
      <c r="X538" t="s">
        <v>9866</v>
      </c>
      <c r="Y538" t="s">
        <v>9867</v>
      </c>
    </row>
    <row r="539" spans="1:25" x14ac:dyDescent="0.3">
      <c r="A539">
        <v>26900</v>
      </c>
      <c r="B539" t="s">
        <v>9868</v>
      </c>
      <c r="C539">
        <f>-1133.67154869589 -1291.76056400984 -185.9956073452</f>
        <v>-2611.42772005093</v>
      </c>
      <c r="D539">
        <f>-1139.24840565031 -1292.48999673358 -306.975705531662</f>
        <v>-2738.7141079155517</v>
      </c>
      <c r="E539">
        <f>-1117.13948991265 -1316.27088591627 -423.749909206949</f>
        <v>-2857.160285035869</v>
      </c>
      <c r="F539">
        <f>-1086.51192981112 -1346.66796009618 -524.411876155842</f>
        <v>-2957.5917660631421</v>
      </c>
      <c r="G539">
        <f>-1045.98516593252 -1385.58149336981 -618.423455075204</f>
        <v>-3049.9901143775337</v>
      </c>
      <c r="H539">
        <f>-980.048671201033 -1448.07290301231 -740.682092085201</f>
        <v>-3168.8036662985442</v>
      </c>
      <c r="I539">
        <f>-918.303100378403 -1482.33512154364 -814.143495957408</f>
        <v>-3214.7817178794512</v>
      </c>
      <c r="J539">
        <f>-1012.71543522395 -1393.08649653674 -702.442093271962</f>
        <v>-3108.2440250326517</v>
      </c>
      <c r="K539">
        <f>-1009.4323082155 -1252.41680376444 -745.185854027133</f>
        <v>-3007.0349660070733</v>
      </c>
      <c r="L539">
        <f>-899.66134175923 -1087.2536972967 -498.492373582554</f>
        <v>-2485.4074126384839</v>
      </c>
      <c r="M539">
        <f>-653.382860024968 -1125.10840900928 -423.953981028013</f>
        <v>-2202.445250062261</v>
      </c>
      <c r="N539">
        <f>-1005.73159462593 -1447.75829752963 -670.730669032636</f>
        <v>-3124.2205611881959</v>
      </c>
      <c r="O539">
        <f>-1003.23402759156 -1564.96303301439 -581.942888759538</f>
        <v>-3150.1399493654881</v>
      </c>
      <c r="P539">
        <f>-1139.23689936499 -1516.65622222317 -300.241217688678</f>
        <v>-2956.1343392768381</v>
      </c>
      <c r="Q539">
        <f>-1150.34053214682 -1363.73127125755 -90.1632874169077</f>
        <v>-2604.2350908212775</v>
      </c>
      <c r="R539">
        <f>-1160.78810452061 -1197.38302871743 -184.86438199611</f>
        <v>-2543.0355152341499</v>
      </c>
      <c r="S539" t="s">
        <v>9869</v>
      </c>
      <c r="T539" t="s">
        <v>9870</v>
      </c>
      <c r="U539" t="s">
        <v>9871</v>
      </c>
      <c r="V539">
        <f>-1106.72636330297 -1385.93900072958 -186.227306960368</f>
        <v>-2678.8926709929178</v>
      </c>
      <c r="W539" t="s">
        <v>9872</v>
      </c>
      <c r="X539" t="s">
        <v>9873</v>
      </c>
      <c r="Y539" t="s">
        <v>9874</v>
      </c>
    </row>
    <row r="540" spans="1:25" x14ac:dyDescent="0.3">
      <c r="A540">
        <v>26950</v>
      </c>
      <c r="B540" t="s">
        <v>9875</v>
      </c>
      <c r="C540">
        <f>-1135.6736463495 -1285.21890653387 -185.882830108108</f>
        <v>-2606.7753829914777</v>
      </c>
      <c r="D540">
        <f>-1141.30206008991 -1285.81743120986 -306.861329088486</f>
        <v>-2733.9808203882558</v>
      </c>
      <c r="E540">
        <f>-1119.1830658193 -1309.14798701318 -423.724341418502</f>
        <v>-2852.0553942509819</v>
      </c>
      <c r="F540">
        <f>-1088.50269659915 -1339.00985775602 -524.530364630207</f>
        <v>-2952.0429189853776</v>
      </c>
      <c r="G540">
        <f>-1047.86582082305 -1377.26623549487 -618.763799203885</f>
        <v>-3043.8958555218046</v>
      </c>
      <c r="H540">
        <f>-981.703455579429 -1438.72505230568 -741.423301846216</f>
        <v>-3161.8518097313249</v>
      </c>
      <c r="I540">
        <f>-919.499852093742 -1472.21267212543 -814.855352888133</f>
        <v>-3206.5678771073049</v>
      </c>
      <c r="J540">
        <f>-1014.70765995999 -1384.15385058009 -702.879626214437</f>
        <v>-3101.7411367545169</v>
      </c>
      <c r="K540">
        <f>-1012.54866885379 -1243.20556279076 -744.754700142528</f>
        <v>-3000.5089317870779</v>
      </c>
      <c r="L540">
        <f>-907.176434526745 -1077.31777309045 -496.633631181761</f>
        <v>-2481.127838798956</v>
      </c>
      <c r="M540">
        <f>-660.067276222031 -1112.52789972017 -423.562629630949</f>
        <v>-2196.1578055731497</v>
      </c>
      <c r="N540">
        <f>-1007.24884593318 -1438.90902105606 -671.421138931871</f>
        <v>-3117.5790059211113</v>
      </c>
      <c r="O540">
        <f>-1003.79185305564 -1556.46313776684 -583.134982909984</f>
        <v>-3143.3899737324641</v>
      </c>
      <c r="P540">
        <f>-1139.84828944008 -1510.37335790035 -301.087870378596</f>
        <v>-2951.3095177190257</v>
      </c>
      <c r="Q540">
        <f>-1153.16566627992 -1358.91288079644 -90.0798099567166</f>
        <v>-2602.1583570330768</v>
      </c>
      <c r="R540">
        <f>-1162.44438716354 -1190.90229276116 -184.843268362749</f>
        <v>-2538.1899482874487</v>
      </c>
      <c r="S540" t="s">
        <v>9876</v>
      </c>
      <c r="T540" t="s">
        <v>9877</v>
      </c>
      <c r="U540" t="s">
        <v>9878</v>
      </c>
      <c r="V540">
        <f>-1108.51592114372 -1379.50436426472 -186.315994347415</f>
        <v>-2674.3362797558552</v>
      </c>
      <c r="W540" t="s">
        <v>9879</v>
      </c>
      <c r="X540" t="s">
        <v>9880</v>
      </c>
      <c r="Y540" t="s">
        <v>9881</v>
      </c>
    </row>
    <row r="541" spans="1:25" x14ac:dyDescent="0.3">
      <c r="A541">
        <v>27000</v>
      </c>
      <c r="B541" t="s">
        <v>9882</v>
      </c>
      <c r="C541">
        <f>-1136.64487664617 -1281.75836603313 -185.706481928781</f>
        <v>-2604.1097246080813</v>
      </c>
      <c r="D541">
        <f>-1142.39835627604 -1282.14545604034 -306.679907688031</f>
        <v>-2731.223720004411</v>
      </c>
      <c r="E541">
        <f>-1120.35044357797 -1305.14602350141 -423.621922871532</f>
        <v>-2849.1183899509115</v>
      </c>
      <c r="F541">
        <f>-1089.7071016789 -1334.66943614829 -524.538768750601</f>
        <v>-2948.9153065777909</v>
      </c>
      <c r="G541">
        <f>-1049.076534573 -1372.55374004358 -618.924995432104</f>
        <v>-3040.5552700486842</v>
      </c>
      <c r="H541">
        <f>-982.887819982586 -1433.46673508507 -741.84237273008</f>
        <v>-3158.1969277977364</v>
      </c>
      <c r="I541">
        <f>-920.239654489127 -1466.49158844215 -815.106009528278</f>
        <v>-3201.8372524595552</v>
      </c>
      <c r="J541">
        <f>-1016.02600069785 -1379.11099369011 -703.109516011109</f>
        <v>-3098.2465103990689</v>
      </c>
      <c r="K541">
        <f>-1014.47902512637 -1237.98892606047 -744.448299204648</f>
        <v>-2996.9162503914877</v>
      </c>
      <c r="L541">
        <f>-910.945392348416 -1071.97432040374 -495.63880273672</f>
        <v>-2478.5585154888759</v>
      </c>
      <c r="M541">
        <f>-663.555600183892 -1105.90542409999 -422.913184266143</f>
        <v>-2192.3742085500248</v>
      </c>
      <c r="N541">
        <f>-1008.3225674178 -1433.91825914182 -671.801012171824</f>
        <v>-3114.0418387314439</v>
      </c>
      <c r="O541">
        <f>-1004.34361182498 -1551.70799953953 -583.853444239999</f>
        <v>-3139.905055604509</v>
      </c>
      <c r="P541">
        <f>-1140.55409505058 -1506.68322371881 -301.70872764436</f>
        <v>-2948.9460464137501</v>
      </c>
      <c r="Q541">
        <f>-1154.29506882479 -1356.27355411055 -89.9773426699503</f>
        <v>-2600.5459656052903</v>
      </c>
      <c r="R541">
        <f>-1163.78329572763 -1187.99695718953 -184.422364357449</f>
        <v>-2536.2026172746091</v>
      </c>
      <c r="S541" t="s">
        <v>9883</v>
      </c>
      <c r="T541" t="s">
        <v>9884</v>
      </c>
      <c r="U541" t="s">
        <v>9885</v>
      </c>
      <c r="V541">
        <f>-1109.33093521658 -1375.80122322531 -186.378650663395</f>
        <v>-2671.5108091052853</v>
      </c>
      <c r="W541" t="s">
        <v>9886</v>
      </c>
      <c r="X541" t="s">
        <v>9887</v>
      </c>
      <c r="Y541" t="s">
        <v>9888</v>
      </c>
    </row>
    <row r="542" spans="1:25" x14ac:dyDescent="0.3">
      <c r="A542">
        <v>27050</v>
      </c>
      <c r="B542" t="s">
        <v>9889</v>
      </c>
      <c r="C542">
        <f>-1139.35491947668 -1273.60458186622 -185.269820000246</f>
        <v>-2598.2293213431458</v>
      </c>
      <c r="D542">
        <f>-1145.35804907025 -1273.52827547302 -306.231784066028</f>
        <v>-2725.1181086092979</v>
      </c>
      <c r="E542">
        <f>-1123.42764410701 -1295.80690817112 -423.33552300373</f>
        <v>-2842.5700752818602</v>
      </c>
      <c r="F542">
        <f>-1092.83418982122 -1324.59854575381 -524.478519341496</f>
        <v>-2941.9112549165261</v>
      </c>
      <c r="G542">
        <f>-1052.1951640729 -1361.69105016727 -619.175284500098</f>
        <v>-3033.0614987402682</v>
      </c>
      <c r="H542">
        <f>-985.93246420027 -1421.45863226949 -742.613888617637</f>
        <v>-3150.0049850873966</v>
      </c>
      <c r="I542">
        <f>-922.217844785631 -1453.53158651715 -815.378926932118</f>
        <v>-3191.1283582348988</v>
      </c>
      <c r="J542">
        <f>-1019.36221198819 -1367.55938309801 -703.495599986968</f>
        <v>-3090.4171950731679</v>
      </c>
      <c r="K542">
        <f>-1019.05415095585 -1226.14316540821 -743.872262284515</f>
        <v>-2989.0695786485749</v>
      </c>
      <c r="L542">
        <f>-919.617588340554 -1060.11817284252 -493.404200322862</f>
        <v>-2473.1399615059358</v>
      </c>
      <c r="M542">
        <f>-671.913035336933 -1091.2594474676 -420.501961091245</f>
        <v>-2183.674443895778</v>
      </c>
      <c r="N542">
        <f>-1011.14107773107 -1422.46726873225 -672.4965752294</f>
        <v>-3106.1049216927204</v>
      </c>
      <c r="O542">
        <f>-1006.3072667837 -1540.66617487936 -585.178329044461</f>
        <v>-3132.1517707075209</v>
      </c>
      <c r="P542">
        <f>-1141.81281299673 -1498.17602644909 -302.302013323743</f>
        <v>-2942.2908527695627</v>
      </c>
      <c r="Q542">
        <f>-1155.64660273786 -1349.47311608148 -89.3744674018751</f>
        <v>-2594.4941862212149</v>
      </c>
      <c r="R542">
        <f>-1168.23775548504 -1179.95749529153 -183.174330808366</f>
        <v>-2531.369581584936</v>
      </c>
      <c r="S542" t="s">
        <v>9890</v>
      </c>
      <c r="T542" t="s">
        <v>9891</v>
      </c>
      <c r="U542" t="s">
        <v>9892</v>
      </c>
      <c r="V542">
        <f>-1111.00671516942 -1367.32597906531 -186.431081952272</f>
        <v>-2664.7637761870023</v>
      </c>
      <c r="W542" t="s">
        <v>9893</v>
      </c>
      <c r="X542" t="s">
        <v>9894</v>
      </c>
      <c r="Y542" t="s">
        <v>9895</v>
      </c>
    </row>
    <row r="543" spans="1:25" x14ac:dyDescent="0.3">
      <c r="A543">
        <v>27100</v>
      </c>
      <c r="B543" t="s">
        <v>9896</v>
      </c>
      <c r="C543">
        <f>-1140.86524228318 -1268.8341043431 -185.032326899977</f>
        <v>-2594.7316735262571</v>
      </c>
      <c r="D543">
        <f>-1146.84742997874 -1268.49837188071 -305.994758107529</f>
        <v>-2721.3405599669791</v>
      </c>
      <c r="E543">
        <f>-1124.88839021328 -1290.40530836488 -423.163186518622</f>
        <v>-2838.4568850967817</v>
      </c>
      <c r="F543">
        <f>-1094.26817480789 -1318.83116762948 -524.401696404143</f>
        <v>-2937.501038841513</v>
      </c>
      <c r="G543">
        <f>-1053.60166982695 -1355.5396799805 -619.236108616019</f>
        <v>-3028.3774584234689</v>
      </c>
      <c r="H543">
        <f>-987.299691234762 -1414.76530841793 -742.914617570724</f>
        <v>-3144.9796172234164</v>
      </c>
      <c r="I543">
        <f>-923.16936861013 -1446.38389368375 -815.513204952681</f>
        <v>-3185.0664672465609</v>
      </c>
      <c r="J543">
        <f>-1020.86672147382 -1361.08260383139 -703.61653599032</f>
        <v>-3085.5658612955303</v>
      </c>
      <c r="K543">
        <f>-1021.2253366659 -1219.52296479993 -743.45425645545</f>
        <v>-2984.20255792128</v>
      </c>
      <c r="L543">
        <f>-924.055643666471 -1053.74996609491 -491.931813954405</f>
        <v>-2469.737423715786</v>
      </c>
      <c r="M543">
        <f>-676.295031912094 -1082.74417825136 -418.337909928427</f>
        <v>-2177.3771200918809</v>
      </c>
      <c r="N543">
        <f>-1012.40579463279 -1416.03701006238 -672.764896298793</f>
        <v>-3101.207700993963</v>
      </c>
      <c r="O543">
        <f>-1007.11218234405 -1534.46109406102 -585.750332224439</f>
        <v>-3127.3236086295092</v>
      </c>
      <c r="P543">
        <f>-1142.49038926332 -1493.31618385934 -302.614214706962</f>
        <v>-2938.420787829622</v>
      </c>
      <c r="Q543">
        <f>-1156.35068838403 -1345.45054076503 -89.1061408669909</f>
        <v>-2590.9073700160507</v>
      </c>
      <c r="R543">
        <f>-1169.79955045385 -1175.43230494781 -182.724764244397</f>
        <v>-2527.9566196460573</v>
      </c>
      <c r="S543" t="s">
        <v>9897</v>
      </c>
      <c r="T543" t="s">
        <v>9898</v>
      </c>
      <c r="U543" t="s">
        <v>9899</v>
      </c>
      <c r="V543">
        <f>-1112.10360430226 -1362.42596363373 -186.418844434762</f>
        <v>-2660.9484123707516</v>
      </c>
      <c r="W543" t="s">
        <v>9900</v>
      </c>
      <c r="X543" t="s">
        <v>9901</v>
      </c>
      <c r="Y543" t="s">
        <v>9902</v>
      </c>
    </row>
    <row r="544" spans="1:25" x14ac:dyDescent="0.3">
      <c r="A544">
        <v>27150</v>
      </c>
      <c r="B544" t="s">
        <v>9903</v>
      </c>
      <c r="C544">
        <f>-1144.3877189243 -1257.42117756599 -184.752159539287</f>
        <v>-2586.5610560295768</v>
      </c>
      <c r="D544">
        <f>-1149.9013017825 -1256.74974905154 -305.735250245069</f>
        <v>-2712.3863010791088</v>
      </c>
      <c r="E544">
        <f>-1127.7124195038 -1277.78197523699 -423.020789602921</f>
        <v>-2828.5151843437111</v>
      </c>
      <c r="F544">
        <f>-1096.99045023587 -1305.25404680812 -524.491403428843</f>
        <v>-2926.7359004728332</v>
      </c>
      <c r="G544">
        <f>-1056.32343353699 -1340.89081233983 -619.733568984474</f>
        <v>-3016.9478148612943</v>
      </c>
      <c r="H544">
        <f>-990.116959442082 -1398.54836024835 -744.201611917232</f>
        <v>-3132.8669316076639</v>
      </c>
      <c r="I544">
        <f>-925.50278856157 -1429.1336601281 -816.813862721538</f>
        <v>-3171.4503114112081</v>
      </c>
      <c r="J544">
        <f>-1023.98253758856 -1345.48515790346 -704.322661549651</f>
        <v>-3073.7903570416711</v>
      </c>
      <c r="K544">
        <f>-1025.89294678294 -1203.56120482364 -742.807835976822</f>
        <v>-2972.2619875834021</v>
      </c>
      <c r="L544">
        <f>-934.368334851367 -1038.13149191758 -488.952586013545</f>
        <v>-2461.452412782492</v>
      </c>
      <c r="M544">
        <f>-686.817418412569 -1061.20538842864 -412.609963702306</f>
        <v>-2160.6327705435151</v>
      </c>
      <c r="N544">
        <f>-1014.84003323103 -1400.58823462758 -673.934237373231</f>
        <v>-3089.3625052318412</v>
      </c>
      <c r="O544">
        <f>-1008.17387591147 -1519.60475660084 -587.83263068795</f>
        <v>-3115.6112632002596</v>
      </c>
      <c r="P544">
        <f>-1143.04582897294 -1481.43178727347 -304.039298189605</f>
        <v>-2928.5169144360152</v>
      </c>
      <c r="Q544">
        <f>-1157.75888120956 -1335.42080878329 -89.3153451079247</f>
        <v>-2582.4950351007751</v>
      </c>
      <c r="R544">
        <f>-1175.02008294165 -1164.37821587967 -182.265378820468</f>
        <v>-2521.6636776417881</v>
      </c>
      <c r="S544" t="s">
        <v>9904</v>
      </c>
      <c r="T544" t="s">
        <v>9905</v>
      </c>
      <c r="U544" t="s">
        <v>9906</v>
      </c>
      <c r="V544">
        <f>-1114.0479163933 -1350.37867408021 -186.347067505547</f>
        <v>-2650.7736579790571</v>
      </c>
      <c r="W544" t="s">
        <v>9907</v>
      </c>
      <c r="X544" t="s">
        <v>9908</v>
      </c>
      <c r="Y544" t="s">
        <v>9909</v>
      </c>
    </row>
    <row r="545" spans="1:25" x14ac:dyDescent="0.3">
      <c r="A545">
        <v>27200</v>
      </c>
      <c r="B545" t="s">
        <v>9910</v>
      </c>
      <c r="C545">
        <f>-1146.48590817473 -1250.46975469141 -184.523480198424</f>
        <v>-2581.4791430645637</v>
      </c>
      <c r="D545">
        <f>-1151.50779290744 -1249.54113545008 -305.526548485068</f>
        <v>-2706.5754768425877</v>
      </c>
      <c r="E545">
        <f>-1129.0876457064 -1270.04926517446 -422.860820467208</f>
        <v>-2821.9977313480686</v>
      </c>
      <c r="F545">
        <f>-1098.26927327862 -1296.97257409672 -524.449243183484</f>
        <v>-2919.6910905588238</v>
      </c>
      <c r="G545">
        <f>-1057.61492694402 -1332.01261933294 -619.917884117958</f>
        <v>-3009.5454303949182</v>
      </c>
      <c r="H545">
        <f>-991.532480679845 -1388.81733765011 -744.843120102563</f>
        <v>-3125.1929384325176</v>
      </c>
      <c r="I545">
        <f>-926.852358006445 -1418.86033892799 -817.622907492632</f>
        <v>-3163.3356044270668</v>
      </c>
      <c r="J545">
        <f>-1025.54911998004 -1336.09822539466 -704.637707519041</f>
        <v>-3066.2850528937406</v>
      </c>
      <c r="K545">
        <f>-1028.37507600503 -1194.04722949382 -742.513386999328</f>
        <v>-2964.9356924981776</v>
      </c>
      <c r="L545">
        <f>-940.292996792899 -1028.85136226104 -487.29175459768</f>
        <v>-2456.4361136516191</v>
      </c>
      <c r="M545">
        <f>-693.342095183651 -1046.68510580745 -407.672282776239</f>
        <v>-2147.6994837673401</v>
      </c>
      <c r="N545">
        <f>-1015.99470849286 -1391.26779272491 -674.497618490564</f>
        <v>-3081.7601197083341</v>
      </c>
      <c r="O545">
        <f>-1008.39743091026 -1510.60191305179 -588.911595893831</f>
        <v>-3107.9109398558812</v>
      </c>
      <c r="P545">
        <f>-1142.95124169579 -1474.5680817017 -304.688012007677</f>
        <v>-2922.2073354051672</v>
      </c>
      <c r="Q545">
        <f>-1157.70659643482 -1329.2349047148 -89.5076481438167</f>
        <v>-2576.4491492934371</v>
      </c>
      <c r="R545">
        <f>-1178.2175857678 -1157.89060884001 -181.905041504455</f>
        <v>-2518.0132361122651</v>
      </c>
      <c r="S545" t="s">
        <v>9911</v>
      </c>
      <c r="T545" t="s">
        <v>9912</v>
      </c>
      <c r="U545" t="s">
        <v>9913</v>
      </c>
      <c r="V545">
        <f>-1115.1486238242 -1343.00257829626 -186.185358099999</f>
        <v>-2644.336560220459</v>
      </c>
      <c r="W545" t="s">
        <v>9914</v>
      </c>
      <c r="X545" t="s">
        <v>9915</v>
      </c>
      <c r="Y545" t="s">
        <v>9916</v>
      </c>
    </row>
    <row r="546" spans="1:25" x14ac:dyDescent="0.3">
      <c r="A546">
        <v>27250</v>
      </c>
      <c r="B546" t="s">
        <v>9917</v>
      </c>
      <c r="C546">
        <f>-1150.51231080035 -1232.82497416462 -184.555122571688</f>
        <v>-2567.8924075366581</v>
      </c>
      <c r="D546">
        <f>-1155.06110488516 -1232.28015554346 -305.579036688093</f>
        <v>-2692.9202971167128</v>
      </c>
      <c r="E546">
        <f>-1132.37192602262 -1252.0637277558 -422.985970922414</f>
        <v>-2807.4216247008344</v>
      </c>
      <c r="F546">
        <f>-1101.39523663111 -1277.94478654805 -524.796949307404</f>
        <v>-2904.1369724865644</v>
      </c>
      <c r="G546">
        <f>-1060.65462026589 -1311.61267355225 -620.721427876881</f>
        <v>-2992.988721695021</v>
      </c>
      <c r="H546">
        <f>-994.509208549401 -1366.22523272849 -746.587581966574</f>
        <v>-3107.3220232444651</v>
      </c>
      <c r="I546">
        <f>-929.78980229416 -1394.90041818591 -819.882183196834</f>
        <v>-3144.5724036769038</v>
      </c>
      <c r="J546">
        <f>-1029.13673394283 -1314.43820359196 -705.697962212709</f>
        <v>-3049.2728997474987</v>
      </c>
      <c r="K546">
        <f>-1034.79205299402 -1172.12127614768 -742.142651935597</f>
        <v>-2949.055981077297</v>
      </c>
      <c r="L546">
        <f>-954.158050651203 -1008.88859238865 -483.222801196537</f>
        <v>-2446.26944423639</v>
      </c>
      <c r="M546">
        <f>-710.307931571085 -1020.52691581209 -393.53609986085</f>
        <v>-2124.370947244025</v>
      </c>
      <c r="N546">
        <f>-1018.41627891679 -1369.68353094345 -676.093434576925</f>
        <v>-3064.193244437165</v>
      </c>
      <c r="O546">
        <f>-1008.25851550897 -1489.56010012881 -591.49120097561</f>
        <v>-3089.30981661339</v>
      </c>
      <c r="P546">
        <f>-1141.5534918747 -1458.14383938793 -306.128938391724</f>
        <v>-2905.8262696543543</v>
      </c>
      <c r="Q546">
        <f>-1156.81041351553 -1314.55577844963 -89.8149016526105</f>
        <v>-2561.1810936177703</v>
      </c>
      <c r="R546">
        <f>-1185.47610663445 -1140.36107352413 -182.377161993091</f>
        <v>-2508.2143421516707</v>
      </c>
      <c r="S546" t="s">
        <v>9918</v>
      </c>
      <c r="T546" t="s">
        <v>9919</v>
      </c>
      <c r="U546" t="s">
        <v>9920</v>
      </c>
      <c r="V546">
        <f>-1116.4464189001 -1324.99972514648 -185.741641979091</f>
        <v>-2627.1877860256714</v>
      </c>
      <c r="W546" t="s">
        <v>9921</v>
      </c>
      <c r="X546" t="s">
        <v>9922</v>
      </c>
      <c r="Y546" t="s">
        <v>9923</v>
      </c>
    </row>
    <row r="547" spans="1:25" x14ac:dyDescent="0.3">
      <c r="A547">
        <v>27300</v>
      </c>
      <c r="B547" t="s">
        <v>9924</v>
      </c>
      <c r="C547">
        <f>-1152.58414616493 -1223.13446672739 -184.724914503069</f>
        <v>-2560.4435273953891</v>
      </c>
      <c r="D547">
        <f>-1156.14199774567 -1222.90164019999 -305.783169060631</f>
        <v>-2684.8268070062909</v>
      </c>
      <c r="E547">
        <f>-1132.9009340042 -1242.31763971562 -423.143341548915</f>
        <v>-2798.3619152687352</v>
      </c>
      <c r="F547">
        <f>-1101.59438886731 -1267.61149143696 -525.001073908993</f>
        <v>-2894.2069542132631</v>
      </c>
      <c r="G547">
        <f>-1060.67304108519 -1300.46407823276 -621.131132899682</f>
        <v>-2982.2682522176324</v>
      </c>
      <c r="H547">
        <f>-994.406753644437 -1353.73582547145 -747.507206129658</f>
        <v>-3095.649785245545</v>
      </c>
      <c r="I547">
        <f>-929.687636897761 -1381.67270862975 -821.086786663568</f>
        <v>-3132.4471321910792</v>
      </c>
      <c r="J547">
        <f>-1029.50075435238 -1302.55289799413 -706.256161264654</f>
        <v>-3038.3098136111639</v>
      </c>
      <c r="K547">
        <f>-1037.13803284422 -1160.15018061687 -742.046854628281</f>
        <v>-2939.3350680893709</v>
      </c>
      <c r="L547">
        <f>-961.445935976356 -997.451210247908 -481.305653169644</f>
        <v>-2440.2027993939078</v>
      </c>
      <c r="M547">
        <f>-719.973760717322 -1007.73895011782 -385.246322875998</f>
        <v>-2112.9590337111399</v>
      </c>
      <c r="N547">
        <f>-1017.95431101953 -1357.7765439877 -676.923065872821</f>
        <v>-3052.6539208800514</v>
      </c>
      <c r="O547">
        <f>-1005.91501007351 -1477.92718966773 -592.984317237268</f>
        <v>-3076.8265169785082</v>
      </c>
      <c r="P547">
        <f>-1139.10989787779 -1449.0805305704 -307.304042657486</f>
        <v>-2895.494471105676</v>
      </c>
      <c r="Q547">
        <f>-1154.83010738402 -1306.1133265267 -90.6123385111124</f>
        <v>-2551.5557724218324</v>
      </c>
      <c r="R547">
        <f>-1188.14528032448 -1130.60235611662 -183.493405388573</f>
        <v>-2502.2410418296731</v>
      </c>
      <c r="S547" t="s">
        <v>9925</v>
      </c>
      <c r="T547" t="s">
        <v>9926</v>
      </c>
      <c r="U547" t="s">
        <v>9927</v>
      </c>
      <c r="V547">
        <f>-1117.08137619144 -1315.06165226948 -185.45977853182</f>
        <v>-2617.6028069927402</v>
      </c>
      <c r="W547" t="s">
        <v>9928</v>
      </c>
      <c r="X547" t="s">
        <v>9929</v>
      </c>
      <c r="Y547" t="s">
        <v>9930</v>
      </c>
    </row>
    <row r="548" spans="1:25" x14ac:dyDescent="0.3">
      <c r="A548">
        <v>27350</v>
      </c>
      <c r="B548" t="s">
        <v>9931</v>
      </c>
      <c r="C548">
        <f>-1152.85380821011 -1206.69604261192 -183.620131925869</f>
        <v>-2543.1699827478988</v>
      </c>
      <c r="D548">
        <f>-1157.48065455391 -1206.48474658458 -304.64227917713</f>
        <v>-2668.6076803156202</v>
      </c>
      <c r="E548">
        <f>-1134.87338861817 -1224.72079885879 -422.31517411725</f>
        <v>-2781.9093615942102</v>
      </c>
      <c r="F548">
        <f>-1103.9228689765 -1248.48666366493 -524.648616071457</f>
        <v>-2877.058148712887</v>
      </c>
      <c r="G548">
        <f>-1063.11309137454 -1279.38040285766 -621.472966623011</f>
        <v>-2963.9664608552112</v>
      </c>
      <c r="H548">
        <f>-996.722565275961 -1329.51259771007 -749.062399438936</f>
        <v>-3075.2975624249671</v>
      </c>
      <c r="I548">
        <f>-931.936974467273 -1356.1680271351 -823.05776851846</f>
        <v>-3111.1627701208326</v>
      </c>
      <c r="J548">
        <f>-1032.79596803839 -1279.74731895558 -706.931118830495</f>
        <v>-3019.4744058244651</v>
      </c>
      <c r="K548">
        <f>-1044.53794330846 -1136.96227043792 -740.480825558512</f>
        <v>-2921.981039304892</v>
      </c>
      <c r="L548">
        <f>-979.010394914186 -977.437629000419 -475.067637545198</f>
        <v>-2431.5156614598031</v>
      </c>
      <c r="M548">
        <f>-744.165160773992 -981.392210453219 -363.380011781487</f>
        <v>-2088.9373830086984</v>
      </c>
      <c r="N548">
        <f>-1019.4006636927 -1334.91400071777 -678.285064677535</f>
        <v>-3032.599729088005</v>
      </c>
      <c r="O548">
        <f>-1003.4254642584 -1455.39110509265 -595.639774232005</f>
        <v>-3054.4563435830551</v>
      </c>
      <c r="P548">
        <f>-1135.21548108143 -1433.15275441803 -308.71990038834</f>
        <v>-2877.0881358878</v>
      </c>
      <c r="Q548">
        <f>-1153.61923073868 -1291.81063528594 -91.1751077658587</f>
        <v>-2536.6049737904787</v>
      </c>
      <c r="R548">
        <f>-1188.36689949145 -1116.44736972213 -182.718084455367</f>
        <v>-2487.5323536689466</v>
      </c>
      <c r="S548" t="s">
        <v>9932</v>
      </c>
      <c r="T548" t="s">
        <v>9933</v>
      </c>
      <c r="U548" t="s">
        <v>9934</v>
      </c>
      <c r="V548">
        <f>-1115.43815044206 -1297.44656920308 -184.399184657417</f>
        <v>-2597.2839043025569</v>
      </c>
      <c r="W548" t="s">
        <v>9935</v>
      </c>
      <c r="X548" t="s">
        <v>9936</v>
      </c>
      <c r="Y548" t="s">
        <v>9937</v>
      </c>
    </row>
    <row r="549" spans="1:25" x14ac:dyDescent="0.3">
      <c r="A549">
        <v>27400</v>
      </c>
      <c r="B549" t="s">
        <v>9938</v>
      </c>
      <c r="C549">
        <f>-1152.20683766389 -1200.18631216478 -183.152140517214</f>
        <v>-2535.545290345884</v>
      </c>
      <c r="D549">
        <f>-1157.95121444234 -1200.41386173328 -304.126235833033</f>
        <v>-2662.491312008653</v>
      </c>
      <c r="E549">
        <f>-1135.88853806756 -1218.25402754509 -421.963263171742</f>
        <v>-2776.1058287843916</v>
      </c>
      <c r="F549">
        <f>-1105.18625857513 -1241.34822014073 -524.524720629627</f>
        <v>-2871.0591993454873</v>
      </c>
      <c r="G549">
        <f>-1064.37760047077 -1271.27815033619 -621.651989077049</f>
        <v>-2957.3077398840092</v>
      </c>
      <c r="H549">
        <f>-997.731367354472 -1319.78755584764 -749.734590034251</f>
        <v>-3067.2535132363632</v>
      </c>
      <c r="I549">
        <f>-932.701761778078 -1346.03880149484 -823.660259996348</f>
        <v>-3102.4008232692659</v>
      </c>
      <c r="J549">
        <f>-1034.26144692591 -1270.72022993845 -707.180311178725</f>
        <v>-3012.1619880430849</v>
      </c>
      <c r="K549">
        <f>-1047.91184582189 -1127.94366917576 -739.767904299623</f>
        <v>-2915.6234192972729</v>
      </c>
      <c r="L549">
        <f>-989.747098173709 -970.219757647154 -471.57723644547</f>
        <v>-2431.5440922663329</v>
      </c>
      <c r="M549">
        <f>-759.704087267539 -971.29267297488 -350.246753885606</f>
        <v>-2081.2435141280248</v>
      </c>
      <c r="N549">
        <f>-1020.17905620636 -1325.92704008209 -678.943867090919</f>
        <v>-3025.0499633793688</v>
      </c>
      <c r="O549">
        <f>-1003.01959890724 -1446.7932375228 -597.044729985125</f>
        <v>-3046.8575664151649</v>
      </c>
      <c r="P549">
        <f>-1133.4207061803 -1427.57490261148 -309.273229478235</f>
        <v>-2870.2688382700148</v>
      </c>
      <c r="Q549">
        <f>-1152.1972358498 -1287.57167864247 -90.8960622225284</f>
        <v>-2530.6649767147987</v>
      </c>
      <c r="R549">
        <f>-1190.43528845042 -1111.18007230016 -181.462109429528</f>
        <v>-2483.0774701801083</v>
      </c>
      <c r="S549" t="s">
        <v>9939</v>
      </c>
      <c r="T549" t="s">
        <v>9940</v>
      </c>
      <c r="U549" t="s">
        <v>9941</v>
      </c>
      <c r="V549">
        <f>-1113.64022482881 -1290.62019534375 -183.635567016156</f>
        <v>-2587.8959871887159</v>
      </c>
      <c r="W549" t="s">
        <v>9942</v>
      </c>
      <c r="X549" t="s">
        <v>9943</v>
      </c>
      <c r="Y549" t="s">
        <v>9944</v>
      </c>
    </row>
    <row r="550" spans="1:25" x14ac:dyDescent="0.3">
      <c r="A550">
        <v>27450</v>
      </c>
      <c r="B550" t="s">
        <v>9945</v>
      </c>
      <c r="C550">
        <f>-1151.61511186746 -1190.7271989763 -182.300622105433</f>
        <v>-2524.642932949193</v>
      </c>
      <c r="D550">
        <f>-1157.46573567139 -1190.56236552879 -303.269770789185</f>
        <v>-2651.2978719893645</v>
      </c>
      <c r="E550">
        <f>-1135.54672085108 -1207.07473647467 -421.326994507237</f>
        <v>-2763.9484518329873</v>
      </c>
      <c r="F550">
        <f>-1104.95723447533 -1228.6132298653 -524.25995310394</f>
        <v>-2857.8304174445698</v>
      </c>
      <c r="G550">
        <f>-1064.21609742202 -1256.65821462855 -621.9764167486</f>
        <v>-2942.8507287991702</v>
      </c>
      <c r="H550">
        <f>-997.587570668429 -1302.23318211191 -751.141328558589</f>
        <v>-3050.9620813389279</v>
      </c>
      <c r="I550">
        <f>-932.454578800304 -1327.55779103501 -825.298863230638</f>
        <v>-3085.3112330659519</v>
      </c>
      <c r="J550">
        <f>-1034.67638729661 -1254.39776703655 -707.677297026221</f>
        <v>-2996.751451359381</v>
      </c>
      <c r="K550">
        <f>-1051.59543994397 -1111.67936311643 -738.820291082414</f>
        <v>-2902.0950941428137</v>
      </c>
      <c r="L550">
        <f>-1010.72608764182 -958.167980875711 -465.049979686651</f>
        <v>-2433.9440482041819</v>
      </c>
      <c r="M550">
        <f>-793.745310286524 -948.334107137244 -321.99526637509</f>
        <v>-2064.0746837988581</v>
      </c>
      <c r="N550">
        <f>-1019.46088385595 -1309.73758358703 -680.302289091413</f>
        <v>-3009.5007565343931</v>
      </c>
      <c r="O550">
        <f>-999.526765030843 -1431.65471394023 -600.485551821005</f>
        <v>-3031.6670307920776</v>
      </c>
      <c r="P550">
        <f>-1131.5319670216 -1416.17158298034 -313.220729265342</f>
        <v>-2860.9242792672821</v>
      </c>
      <c r="Q550">
        <f>-1152.0830409982 -1281.54477237589 -91.6460534990805</f>
        <v>-2525.2738668731704</v>
      </c>
      <c r="R550">
        <f>-1192.74968119391 -1100.2345832851 -180.721759340054</f>
        <v>-2473.7060238190638</v>
      </c>
      <c r="S550" t="s">
        <v>9946</v>
      </c>
      <c r="T550" t="s">
        <v>9947</v>
      </c>
      <c r="U550" t="s">
        <v>9948</v>
      </c>
      <c r="V550">
        <f>-1110.0775498676 -1281.01282422901 -182.628974013547</f>
        <v>-2573.7193481101572</v>
      </c>
      <c r="W550" t="s">
        <v>9949</v>
      </c>
      <c r="X550" t="s">
        <v>9950</v>
      </c>
      <c r="Y550" t="s">
        <v>9951</v>
      </c>
    </row>
    <row r="551" spans="1:25" x14ac:dyDescent="0.3">
      <c r="A551">
        <v>27500</v>
      </c>
      <c r="B551" t="s">
        <v>9952</v>
      </c>
      <c r="C551">
        <f>-1149.68065845876 -1186.99203621552 -181.680495374391</f>
        <v>-2518.353190048671</v>
      </c>
      <c r="D551">
        <f>-1155.76161144648 -1186.93219839054 -302.638299524001</f>
        <v>-2645.3321093610211</v>
      </c>
      <c r="E551">
        <f>-1134.05193097886 -1202.89563470653 -420.809495249403</f>
        <v>-2757.7570609347931</v>
      </c>
      <c r="F551">
        <f>-1103.63028121566 -1223.6970843614 -523.943840697352</f>
        <v>-2851.2712062744122</v>
      </c>
      <c r="G551">
        <f>-1063.02357324298 -1250.78578084604 -621.985260328328</f>
        <v>-2935.7946144173484</v>
      </c>
      <c r="H551">
        <f>-996.534409341225 -1294.82582932765 -751.753114863081</f>
        <v>-3043.1133535319559</v>
      </c>
      <c r="I551">
        <f>-931.366996412097 -1319.62121318485 -826.059171118249</f>
        <v>-3077.0473807151957</v>
      </c>
      <c r="J551">
        <f>-1033.77154675118 -1247.59741832269 -707.755554915869</f>
        <v>-2989.1245199897385</v>
      </c>
      <c r="K551">
        <f>-1052.14087056561 -1104.79937380512 -737.769857842357</f>
        <v>-2894.7101022130869</v>
      </c>
      <c r="L551">
        <f>-1020.45160915156 -954.328621522188 -461.1102144783</f>
        <v>-2435.890445152048</v>
      </c>
      <c r="M551">
        <f>-811.857992224411 -938.286514215443 -306.600014353927</f>
        <v>-2056.7445207937808</v>
      </c>
      <c r="N551">
        <f>-1018.1360701645 -1303.08151756878 -680.91426844146</f>
        <v>-3002.1318561747403</v>
      </c>
      <c r="O551">
        <f>-997.487277380124 -1425.47433818641 -602.093471881852</f>
        <v>-3025.0550874483861</v>
      </c>
      <c r="P551">
        <f>-1129.51187559038 -1411.811095768 -314.745301378219</f>
        <v>-2856.0682727365993</v>
      </c>
      <c r="Q551">
        <f>-1150.87849165198 -1280.22569901593 -91.4275377809272</f>
        <v>-2522.5317284488374</v>
      </c>
      <c r="R551">
        <f>-1191.8392999889 -1095.59940259021 -180.714059941425</f>
        <v>-2468.1527625205354</v>
      </c>
      <c r="S551" t="s">
        <v>9953</v>
      </c>
      <c r="T551" t="s">
        <v>9954</v>
      </c>
      <c r="U551" t="s">
        <v>9955</v>
      </c>
      <c r="V551">
        <f>-1106.63386057084 -1278.32373994271 -181.944777315972</f>
        <v>-2566.9023778295218</v>
      </c>
      <c r="W551" t="s">
        <v>9956</v>
      </c>
      <c r="X551" t="s">
        <v>9957</v>
      </c>
      <c r="Y551" t="s">
        <v>9958</v>
      </c>
    </row>
    <row r="552" spans="1:25" x14ac:dyDescent="0.3">
      <c r="A552">
        <v>27550</v>
      </c>
      <c r="B552" t="s">
        <v>9959</v>
      </c>
      <c r="C552">
        <f>-1145.83962773327 -1179.78323884303 -182.591702270858</f>
        <v>-2508.2145688471583</v>
      </c>
      <c r="D552">
        <f>-1152.87092471773 -1180.45747059253 -303.496179527922</f>
        <v>-2636.8245748381819</v>
      </c>
      <c r="E552">
        <f>-1131.94927311463 -1195.59903679152 -421.917338936123</f>
        <v>-2749.4656488422738</v>
      </c>
      <c r="F552">
        <f>-1102.1551173534 -1215.09907936964 -525.488185012775</f>
        <v>-2842.7423817358149</v>
      </c>
      <c r="G552">
        <f>-1062.07314816677 -1240.38656979934 -624.224304409081</f>
        <v>-2926.6840223751906</v>
      </c>
      <c r="H552">
        <f>-996.187576536916 -1281.46092135865 -755.26637835689</f>
        <v>-3032.914876252456</v>
      </c>
      <c r="I552">
        <f>-931.053939097442 -1305.05156958225 -829.992988368076</f>
        <v>-3066.0984970477684</v>
      </c>
      <c r="J552">
        <f>-1033.5908759198 -1235.41625963273 -710.168572480718</f>
        <v>-2979.1757080332482</v>
      </c>
      <c r="K552">
        <f>-1054.68534636352 -1092.60920829475 -738.003950060307</f>
        <v>-2885.2985047185771</v>
      </c>
      <c r="L552">
        <f>-1040.03718462703 -946.501368142873 -457.604061256521</f>
        <v>-2444.1426140264243</v>
      </c>
      <c r="M552">
        <f>-855.981230654848 -913.912251856303 -276.763166991155</f>
        <v>-2046.656649502306</v>
      </c>
      <c r="N552">
        <f>-1017.08890036878 -1291.15729199062 -684.399972210598</f>
        <v>-2992.6461645699983</v>
      </c>
      <c r="O552">
        <f>-995.35414422042 -1414.46632747028 -607.194228628102</f>
        <v>-3017.0147003188022</v>
      </c>
      <c r="P552">
        <f>-1124.36018659924 -1403.30597217938 -318.370621514389</f>
        <v>-2846.0367802930091</v>
      </c>
      <c r="Q552">
        <f>-1144.95693533527 -1274.85669012743 -93.1626625342162</f>
        <v>-2512.9762879969157</v>
      </c>
      <c r="R552">
        <f>-1190.83995935567 -1086.78292587482 -182.083571709483</f>
        <v>-2459.7064569399731</v>
      </c>
      <c r="S552" t="s">
        <v>9960</v>
      </c>
      <c r="T552" t="s">
        <v>9961</v>
      </c>
      <c r="U552" t="s">
        <v>9962</v>
      </c>
      <c r="V552">
        <f>-1101.64362786732 -1271.6453731723 -183.02754823577</f>
        <v>-2556.3165492753901</v>
      </c>
      <c r="W552" t="s">
        <v>9963</v>
      </c>
      <c r="X552" t="s">
        <v>9964</v>
      </c>
      <c r="Y552" t="s">
        <v>9965</v>
      </c>
    </row>
    <row r="553" spans="1:25" x14ac:dyDescent="0.3">
      <c r="A553">
        <v>27600</v>
      </c>
      <c r="B553" t="s">
        <v>9966</v>
      </c>
      <c r="C553">
        <f>-1146.71555213807 -1172.62833285415 -184.644232040153</f>
        <v>-2503.9881170323729</v>
      </c>
      <c r="D553">
        <f>-1154.31519842941 -1173.54316791612 -305.512835070276</f>
        <v>-2633.3712014158064</v>
      </c>
      <c r="E553">
        <f>-1133.92528012109 -1188.35907819354 -424.067904689797</f>
        <v>-2746.3522630044272</v>
      </c>
      <c r="F553">
        <f>-1104.58695514123 -1207.36606631207 -527.860283694423</f>
        <v>-2839.8133051477225</v>
      </c>
      <c r="G553">
        <f>-1064.92743619606 -1231.98642888821 -626.935025512239</f>
        <v>-2923.8488905965087</v>
      </c>
      <c r="H553">
        <f>-999.58596125597 -1271.97614243769 -758.583497820577</f>
        <v>-3030.1456015142371</v>
      </c>
      <c r="I553">
        <f>-934.524156030766 -1294.89875921977 -833.580119847374</f>
        <v>-3063.00303509791</v>
      </c>
      <c r="J553">
        <f>-1037.04561996029 -1226.41923755002 -713.039416268358</f>
        <v>-2976.504273778668</v>
      </c>
      <c r="K553">
        <f>-1059.58134173427 -1083.73035811043 -740.19976820038</f>
        <v>-2883.5114680450797</v>
      </c>
      <c r="L553">
        <f>-1051.99619994284 -939.049312261714 -458.781862935963</f>
        <v>-2449.8273751405168</v>
      </c>
      <c r="M553">
        <f>-885.324045224053 -895.599688006193 -263.91119808825</f>
        <v>-2044.8349313184958</v>
      </c>
      <c r="N553">
        <f>-1019.94946190933 -1282.14463762266 -687.626858382439</f>
        <v>-2989.7209579144287</v>
      </c>
      <c r="O553">
        <f>-997.060578463063 -1405.67624375235 -611.104058294315</f>
        <v>-3013.8408805097283</v>
      </c>
      <c r="P553">
        <f>-1124.4541296219 -1395.3364436297 -321.535171184579</f>
        <v>-2841.3257444361789</v>
      </c>
      <c r="Q553">
        <f>-1143.87291950759 -1267.77931284149 -95.7163221173057</f>
        <v>-2507.3685544663854</v>
      </c>
      <c r="R553">
        <f>-1191.2302417308 -1082.28917660397 -183.571707641589</f>
        <v>-2457.0911259763589</v>
      </c>
      <c r="S553" t="s">
        <v>9967</v>
      </c>
      <c r="T553" t="s">
        <v>9968</v>
      </c>
      <c r="U553" t="s">
        <v>9969</v>
      </c>
      <c r="V553">
        <f>-1103.73278606402 -1260.97885144561 -186.111734289862</f>
        <v>-2550.8233717994922</v>
      </c>
      <c r="W553" t="s">
        <v>9970</v>
      </c>
      <c r="X553" t="s">
        <v>9971</v>
      </c>
      <c r="Y553" t="s">
        <v>9972</v>
      </c>
    </row>
    <row r="554" spans="1:25" x14ac:dyDescent="0.3">
      <c r="A554">
        <v>27650</v>
      </c>
      <c r="B554" t="s">
        <v>9973</v>
      </c>
      <c r="C554">
        <f>-1144.14464841492 -1164.93847184046 -188.526258625105</f>
        <v>-2497.6093788804851</v>
      </c>
      <c r="D554">
        <f>-1153.16644118167 -1166.35756565754 -309.292171938806</f>
        <v>-2628.8161787780159</v>
      </c>
      <c r="E554">
        <f>-1134.29087897237 -1180.81161025677 -428.142212858862</f>
        <v>-2743.2447020880018</v>
      </c>
      <c r="F554">
        <f>-1106.32226528221 -1199.17323204702 -532.427742374484</f>
        <v>-2837.923239703714</v>
      </c>
      <c r="G554">
        <f>-1068.00443030012 -1222.86184725037 -632.254809703254</f>
        <v>-2923.121087253744</v>
      </c>
      <c r="H554">
        <f>-1004.47078084484 -1261.28886519866 -765.246689935542</f>
        <v>-3031.006335979042</v>
      </c>
      <c r="I554">
        <f>-939.968824666551 -1283.01853478749 -841.077350381921</f>
        <v>-3064.0647098359618</v>
      </c>
      <c r="J554">
        <f>-1042.00602561808 -1216.61220818041 -718.899940082058</f>
        <v>-2977.5181738805481</v>
      </c>
      <c r="K554">
        <f>-1068.52841523667 -1074.4246835691 -745.445193466026</f>
        <v>-2888.398292271796</v>
      </c>
      <c r="L554">
        <f>-1071.97304961617 -930.99277721695 -463.30764387783</f>
        <v>-2466.2734707109498</v>
      </c>
      <c r="M554">
        <f>-948.617407139998 -860.600096770685 -245.430787691867</f>
        <v>-2054.6482916025502</v>
      </c>
      <c r="N554">
        <f>-1023.15888026056 -1271.96000246547 -693.903923445164</f>
        <v>-2989.0228061711941</v>
      </c>
      <c r="O554">
        <f>-996.488474282899 -1395.08006515074 -618.098534704776</f>
        <v>-3009.6670741384146</v>
      </c>
      <c r="P554">
        <f>-1118.99945896393 -1386.80543220612 -326.364442703688</f>
        <v>-2832.1693338737377</v>
      </c>
      <c r="Q554">
        <f>-1136.09581612153 -1260.64504592774 -99.5752450665832</f>
        <v>-2496.3161071158534</v>
      </c>
      <c r="R554">
        <f>-1189.42793337989 -1078.52121683683 -185.995939635139</f>
        <v>-2453.9450898518594</v>
      </c>
      <c r="S554" t="s">
        <v>9974</v>
      </c>
      <c r="T554" t="s">
        <v>9975</v>
      </c>
      <c r="U554" t="s">
        <v>9976</v>
      </c>
      <c r="V554">
        <f>-1098.63230896803 -1250.84866187776 -191.103351050835</f>
        <v>-2540.5843218966247</v>
      </c>
      <c r="W554" t="s">
        <v>9977</v>
      </c>
      <c r="X554" t="s">
        <v>9978</v>
      </c>
      <c r="Y554" t="s">
        <v>9979</v>
      </c>
    </row>
    <row r="555" spans="1:25" x14ac:dyDescent="0.3">
      <c r="A555">
        <v>27700</v>
      </c>
      <c r="B555" t="s">
        <v>9980</v>
      </c>
      <c r="C555">
        <f>-1140.78336976906 -1165.0319245233 -189.479530304232</f>
        <v>-2495.2948245965918</v>
      </c>
      <c r="D555">
        <f>-1150.54817593098 -1166.93226294121 -310.180913882106</f>
        <v>-2627.6613527542959</v>
      </c>
      <c r="E555">
        <f>-1132.51115941862 -1181.47510330157 -429.150502149567</f>
        <v>-2743.1367648697569</v>
      </c>
      <c r="F555">
        <f>-1105.31196202831 -1199.75202613166 -533.654110185365</f>
        <v>-2838.718098345335</v>
      </c>
      <c r="G555">
        <f>-1067.75405565209 -1223.19395164163 -633.827555985253</f>
        <v>-2924.7755632789731</v>
      </c>
      <c r="H555">
        <f>-1005.246651884 -1261.11328353252 -767.450128311432</f>
        <v>-3033.8100637279517</v>
      </c>
      <c r="I555">
        <f>-941.209783270177 -1282.40990859943 -843.796089479374</f>
        <v>-3067.415781348981</v>
      </c>
      <c r="J555">
        <f>-1042.86292421044 -1216.83338732834 -720.789318247623</f>
        <v>-2980.4856297864026</v>
      </c>
      <c r="K555">
        <f>-1071.90774591246 -1075.11022205776 -747.209070981171</f>
        <v>-2894.227038951391</v>
      </c>
      <c r="L555">
        <f>-1079.41669671061 -932.953170460173 -464.505814025428</f>
        <v>-2476.8756811962112</v>
      </c>
      <c r="M555">
        <f>-979.57933220414 -847.615206426946 -240.024228887806</f>
        <v>-2067.218767518892</v>
      </c>
      <c r="N555">
        <f>-1022.94555471216 -1271.83691864782 -695.86329398211</f>
        <v>-2990.64576734209</v>
      </c>
      <c r="O555">
        <f>-993.617388707661 -1394.41894311795 -620.154989438219</f>
        <v>-3008.1913212638301</v>
      </c>
      <c r="P555">
        <f>-1113.40968621464 -1387.74510023416 -327.253171981379</f>
        <v>-2828.4079584301794</v>
      </c>
      <c r="Q555">
        <f>-1130.59126536832 -1261.86848679454 -100.312827535928</f>
        <v>-2492.7725796987884</v>
      </c>
      <c r="R555">
        <f>-1187.01432173775 -1079.31080033502 -186.561333578261</f>
        <v>-2452.8864556510307</v>
      </c>
      <c r="S555" t="s">
        <v>9981</v>
      </c>
      <c r="T555" t="s">
        <v>9982</v>
      </c>
      <c r="U555" t="s">
        <v>9983</v>
      </c>
      <c r="V555">
        <f>-1093.81341706142 -1250.74651103692 -192.001939785761</f>
        <v>-2536.561867884101</v>
      </c>
      <c r="W555" t="s">
        <v>9984</v>
      </c>
      <c r="X555" t="s">
        <v>9985</v>
      </c>
      <c r="Y555" t="s">
        <v>9986</v>
      </c>
    </row>
    <row r="556" spans="1:25" x14ac:dyDescent="0.3">
      <c r="A556">
        <v>27750</v>
      </c>
      <c r="B556" t="s">
        <v>9987</v>
      </c>
      <c r="C556">
        <f>-1132.83373838998 -1171.18181529756 -189.53710683204</f>
        <v>-2493.5526605195801</v>
      </c>
      <c r="D556">
        <f>-1143.96022453586 -1174.03551476828 -310.101841736757</f>
        <v>-2628.0975810408972</v>
      </c>
      <c r="E556">
        <f>-1127.31684599105 -1188.6575194243 -429.264551677052</f>
        <v>-2745.2389170924021</v>
      </c>
      <c r="F556">
        <f>-1101.32607018593 -1206.60420845071 -534.132306781699</f>
        <v>-2842.0625854183386</v>
      </c>
      <c r="G556">
        <f>-1064.87885797746 -1229.29723218173 -634.886966726902</f>
        <v>-2929.0630568860915</v>
      </c>
      <c r="H556">
        <f>-1003.76962194113 -1265.72757157542 -769.566118339381</f>
        <v>-3039.0633118559308</v>
      </c>
      <c r="I556">
        <f>-940.559310593069 -1286.0375064841 -846.863963305627</f>
        <v>-3073.4607803827957</v>
      </c>
      <c r="J556">
        <f>-1041.86261860999 -1222.47837564037 -722.328946108444</f>
        <v>-2986.6699403588041</v>
      </c>
      <c r="K556">
        <f>-1075.94870889933 -1081.79704925162 -748.148311536961</f>
        <v>-2905.8940696879108</v>
      </c>
      <c r="L556">
        <f>-1090.66025957222 -945.898685134231 -462.663799442396</f>
        <v>-2499.2227441488467</v>
      </c>
      <c r="M556">
        <f>-1036.51669658856 -839.99350064795 -231.374826411174</f>
        <v>-2107.8850236476842</v>
      </c>
      <c r="N556">
        <f>-1019.75450364237 -1276.73815433306 -697.620542806478</f>
        <v>-2994.1132007819083</v>
      </c>
      <c r="O556">
        <f>-985.121198602614 -1398.09423164971 -622.122775975985</f>
        <v>-3005.338206228309</v>
      </c>
      <c r="P556">
        <f>-1099.77458460825 -1395.47394858179 -327.107561415158</f>
        <v>-2822.3560946051975</v>
      </c>
      <c r="Q556">
        <f>-1119.20518025592 -1270.81010682353 -99.6797129205389</f>
        <v>-2489.6949999999888</v>
      </c>
      <c r="R556">
        <f>-1180.68717762431 -1086.46250344659 -186.329074512086</f>
        <v>-2453.4787555829862</v>
      </c>
      <c r="S556" t="s">
        <v>9988</v>
      </c>
      <c r="T556" t="s">
        <v>9989</v>
      </c>
      <c r="U556" t="s">
        <v>9990</v>
      </c>
      <c r="V556">
        <f>-1084.21694333839 -1256.20297366558 -191.691387928348</f>
        <v>-2532.111304932318</v>
      </c>
      <c r="W556" t="s">
        <v>9991</v>
      </c>
      <c r="X556" t="s">
        <v>9992</v>
      </c>
      <c r="Y556" t="s">
        <v>9993</v>
      </c>
    </row>
    <row r="557" spans="1:25" x14ac:dyDescent="0.3">
      <c r="A557">
        <v>27800</v>
      </c>
      <c r="B557" t="s">
        <v>9994</v>
      </c>
      <c r="C557">
        <f>-1129.41107030121 -1177.44026190695 -189.199445403374</f>
        <v>-2496.0507776115337</v>
      </c>
      <c r="D557">
        <f>-1141.2836106364 -1180.64622472462 -309.684182590691</f>
        <v>-2631.614017951711</v>
      </c>
      <c r="E557">
        <f>-1125.20333921436 -1195.19418150801 -428.933244373136</f>
        <v>-2749.3307650955062</v>
      </c>
      <c r="F557">
        <f>-1099.622182216 -1212.87901015537 -533.946171963152</f>
        <v>-2846.4473643345218</v>
      </c>
      <c r="G557">
        <f>-1063.46987816984 -1235.10634633783 -634.910580965991</f>
        <v>-2933.4868054736612</v>
      </c>
      <c r="H557">
        <f>-1002.63816228457 -1270.6695716573 -769.946731821196</f>
        <v>-3043.2544657630656</v>
      </c>
      <c r="I557">
        <f>-939.595419536754 -1290.41181367222 -847.527854312019</f>
        <v>-3077.5350875209929</v>
      </c>
      <c r="J557">
        <f>-1041.06493617857 -1227.96436852226 -722.48546123373</f>
        <v>-2991.5147659345598</v>
      </c>
      <c r="K557">
        <f>-1077.34574301356 -1087.7699891235 -747.93828824077</f>
        <v>-2913.0540203778301</v>
      </c>
      <c r="L557">
        <f>-1095.77903482305 -956.087977929155 -460.699276841323</f>
        <v>-2512.5662895935279</v>
      </c>
      <c r="M557">
        <f>-1063.1313422687 -849.061169487778 -225.919651617444</f>
        <v>-2138.1121633739222</v>
      </c>
      <c r="N557">
        <f>-1018.04366851961 -1281.90352144809 -697.909284069151</f>
        <v>-2997.8564740368511</v>
      </c>
      <c r="O557">
        <f>-981.286493601209 -1402.72533304846 -622.524919887934</f>
        <v>-3006.536746537603</v>
      </c>
      <c r="P557">
        <f>-1094.04946589245 -1401.9575760119 -326.77142528012</f>
        <v>-2822.7784671844702</v>
      </c>
      <c r="Q557">
        <f>-1114.73097505609 -1278.21990930487 -98.9484672928775</f>
        <v>-2491.8993516538376</v>
      </c>
      <c r="R557">
        <f>-1178.20033313657 -1093.1580001464 -185.664766714065</f>
        <v>-2457.0230999970349</v>
      </c>
      <c r="S557" t="s">
        <v>9995</v>
      </c>
      <c r="T557" t="s">
        <v>9996</v>
      </c>
      <c r="U557" t="s">
        <v>9997</v>
      </c>
      <c r="V557">
        <f>-1080.63174390704 -1261.96675589055 -191.518954255054</f>
        <v>-2534.117454052644</v>
      </c>
      <c r="W557" t="s">
        <v>9998</v>
      </c>
      <c r="X557" t="s">
        <v>9999</v>
      </c>
      <c r="Y557" t="s">
        <v>10000</v>
      </c>
    </row>
    <row r="558" spans="1:25" x14ac:dyDescent="0.3">
      <c r="A558">
        <v>27850</v>
      </c>
      <c r="B558" t="s">
        <v>10001</v>
      </c>
      <c r="C558">
        <f>-1124.95685435183 -1189.08845922603 -187.838287208663</f>
        <v>-2501.8836007865229</v>
      </c>
      <c r="D558">
        <f>-1137.10696480277 -1191.95147387713 -308.303859080234</f>
        <v>-2637.362297760134</v>
      </c>
      <c r="E558">
        <f>-1121.30492161358 -1205.95631952949 -427.655301976917</f>
        <v>-2754.9165431199872</v>
      </c>
      <c r="F558">
        <f>-1095.95203603211 -1223.04020437562 -532.822884945046</f>
        <v>-2851.8151253527762</v>
      </c>
      <c r="G558">
        <f>-1059.98743452156 -1244.54314991051 -634.010892164957</f>
        <v>-2938.5414765970272</v>
      </c>
      <c r="H558">
        <f>-999.358408418087 -1278.95871849075 -769.435009570619</f>
        <v>-3047.7521364794561</v>
      </c>
      <c r="I558">
        <f>-936.144356881726 -1297.74426978389 -847.114260938115</f>
        <v>-3081.0028876037313</v>
      </c>
      <c r="J558">
        <f>-1038.31745552022 -1237.00566396094 -721.737500961609</f>
        <v>-2997.0606204427686</v>
      </c>
      <c r="K558">
        <f>-1077.76269719273 -1097.58743063595 -747.013278865241</f>
        <v>-2922.3634066939212</v>
      </c>
      <c r="L558">
        <f>-1106.41529406148 -976.554326877679 -455.952648868094</f>
        <v>-2538.9222698072531</v>
      </c>
      <c r="M558">
        <f>-1106.45082829134 -876.528960186267 -215.875742479232</f>
        <v>-2198.8555309568392</v>
      </c>
      <c r="N558">
        <f>-1014.05228084676 -1290.45610652143 -697.290516908575</f>
        <v>-3001.7989042767649</v>
      </c>
      <c r="O558">
        <f>-974.388798245248 -1410.51573101952 -622.216671233836</f>
        <v>-3007.1212004986037</v>
      </c>
      <c r="P558">
        <f>-1085.87633361173 -1412.37291199602 -325.984994955739</f>
        <v>-2824.234240563489</v>
      </c>
      <c r="Q558">
        <f>-1108.46132790352 -1290.6152126066 -97.2776921728471</f>
        <v>-2496.3542326829674</v>
      </c>
      <c r="R558">
        <f>-1174.69443651546 -1107.71316484665 -183.793131871972</f>
        <v>-2466.2007332340818</v>
      </c>
      <c r="S558" t="s">
        <v>10002</v>
      </c>
      <c r="T558" t="s">
        <v>10003</v>
      </c>
      <c r="U558" t="s">
        <v>10004</v>
      </c>
      <c r="V558">
        <f>-1074.8293345116 -1269.40228506185 -190.955550305959</f>
        <v>-2535.1871698794093</v>
      </c>
      <c r="W558" t="s">
        <v>10005</v>
      </c>
      <c r="X558" t="s">
        <v>10006</v>
      </c>
      <c r="Y558" t="s">
        <v>10007</v>
      </c>
    </row>
    <row r="559" spans="1:25" x14ac:dyDescent="0.3">
      <c r="A559">
        <v>27900</v>
      </c>
      <c r="B559" t="s">
        <v>10008</v>
      </c>
      <c r="C559">
        <f>-1124.07225885217 -1195.91545108379 -186.864922303588</f>
        <v>-2506.8526322395483</v>
      </c>
      <c r="D559">
        <f>-1135.76820087477 -1198.33972422976 -307.385115169332</f>
        <v>-2641.4930402738619</v>
      </c>
      <c r="E559">
        <f>-1119.66875192557 -1212.0430678964 -426.731706974337</f>
        <v>-2758.4435267963072</v>
      </c>
      <c r="F559">
        <f>-1094.11401502595 -1228.90877191698 -531.885644816052</f>
        <v>-2854.9084317589823</v>
      </c>
      <c r="G559">
        <f>-1058.0136517888 -1250.24758341008 -633.06016579017</f>
        <v>-2941.3214009890498</v>
      </c>
      <c r="H559">
        <f>-997.262918273795 -1284.49065709376 -768.473442312165</f>
        <v>-3050.2270176797201</v>
      </c>
      <c r="I559">
        <f>-933.797609468388 -1302.96048855456 -846.023540707294</f>
        <v>-3082.7816387302423</v>
      </c>
      <c r="J559">
        <f>-1036.42646666054 -1242.69436593808 -720.805891670017</f>
        <v>-2999.9267242686369</v>
      </c>
      <c r="K559">
        <f>-1077.1108214483 -1103.67912946559 -746.352802644532</f>
        <v>-2927.1427535584216</v>
      </c>
      <c r="L559">
        <f>-1113.42669340769 -988.142462007065 -453.917045761302</f>
        <v>-2555.486201176057</v>
      </c>
      <c r="M559">
        <f>-1122.75745526543 -890.510884750928 -213.037333304845</f>
        <v>-2226.3056733212029</v>
      </c>
      <c r="N559">
        <f>-1011.85997707834 -1295.98392070977 -696.308730099289</f>
        <v>-3004.1526278873989</v>
      </c>
      <c r="O559">
        <f>-971.468332083848 -1415.79239360928 -621.261694322293</f>
        <v>-3008.5224200154207</v>
      </c>
      <c r="P559">
        <f>-1083.20082249475 -1418.40265462091 -325.127943507696</f>
        <v>-2826.7314206233559</v>
      </c>
      <c r="Q559">
        <f>-1106.59716789616 -1297.182952631 -96.2164110995818</f>
        <v>-2499.9965316267417</v>
      </c>
      <c r="R559">
        <f>-1173.84266631144 -1115.71435986661 -182.745908772912</f>
        <v>-2472.3029349509625</v>
      </c>
      <c r="S559" t="s">
        <v>10009</v>
      </c>
      <c r="T559" t="s">
        <v>10010</v>
      </c>
      <c r="U559" t="s">
        <v>10011</v>
      </c>
      <c r="V559">
        <f>-1074.16579322774 -1275.82127813621 -190.004031444982</f>
        <v>-2539.9911028089323</v>
      </c>
      <c r="W559" t="s">
        <v>10012</v>
      </c>
      <c r="X559" t="s">
        <v>10013</v>
      </c>
      <c r="Y559" t="s">
        <v>10014</v>
      </c>
    </row>
    <row r="560" spans="1:25" x14ac:dyDescent="0.3">
      <c r="A560">
        <v>27950</v>
      </c>
      <c r="B560" t="s">
        <v>10015</v>
      </c>
      <c r="C560">
        <f>-1123.0249877319 -1212.68257058646 -184.902434033636</f>
        <v>-2520.609992351996</v>
      </c>
      <c r="D560">
        <f>-1133.89106698531 -1214.18819935121 -305.51528663768</f>
        <v>-2653.5945529742003</v>
      </c>
      <c r="E560">
        <f>-1116.90397352619 -1227.35871715653 -424.798749519636</f>
        <v>-2769.0614402023557</v>
      </c>
      <c r="F560">
        <f>-1090.55112301615 -1243.91383890926 -529.804885688491</f>
        <v>-2864.2698476139012</v>
      </c>
      <c r="G560">
        <f>-1053.67480008958 -1265.12049784843 -630.727019550616</f>
        <v>-2949.522317488626</v>
      </c>
      <c r="H560">
        <f>-991.886510863553 -1299.3692293189 -765.668627824744</f>
        <v>-3056.9243680071968</v>
      </c>
      <c r="I560">
        <f>-927.671659557845 -1317.56577351349 -842.664141625055</f>
        <v>-3087.9015746963901</v>
      </c>
      <c r="J560">
        <f>-1031.66694534184 -1257.7236220695 -718.381362393849</f>
        <v>-3007.7719298051888</v>
      </c>
      <c r="K560">
        <f>-1074.50597567381 -1119.59631082063 -744.899292962455</f>
        <v>-2939.0015794568949</v>
      </c>
      <c r="L560">
        <f>-1127.93828465712 -1013.32705019976 -451.576895120953</f>
        <v>-2592.8422299778331</v>
      </c>
      <c r="M560">
        <f>-1145.00555067088 -918.903701487938 -209.843555372625</f>
        <v>-2273.7528075314431</v>
      </c>
      <c r="N560">
        <f>-1006.78488742061 -1310.70687753632 -693.5409265929</f>
        <v>-3011.0326915498299</v>
      </c>
      <c r="O560">
        <f>-965.610912544206 -1430.00549346162 -618.06572025524</f>
        <v>-3013.6821262610665</v>
      </c>
      <c r="P560">
        <f>-1078.60057653316 -1434.18918719687 -322.427302236702</f>
        <v>-2835.2170659667322</v>
      </c>
      <c r="Q560">
        <f>-1104.18098066906 -1314.04657205784 -93.1819925856986</f>
        <v>-2511.4095453125988</v>
      </c>
      <c r="R560">
        <f>-1172.95144822023 -1134.72578936145 -180.177273648319</f>
        <v>-2487.8545112299989</v>
      </c>
      <c r="S560" t="s">
        <v>10016</v>
      </c>
      <c r="T560" t="s">
        <v>10017</v>
      </c>
      <c r="U560" t="s">
        <v>10018</v>
      </c>
      <c r="V560">
        <f>-1072.87900014268 -1290.7996784104 -189.008716128039</f>
        <v>-2552.6873946811193</v>
      </c>
      <c r="W560" t="s">
        <v>10019</v>
      </c>
      <c r="X560" t="s">
        <v>10020</v>
      </c>
      <c r="Y560" t="s">
        <v>10021</v>
      </c>
    </row>
    <row r="561" spans="1:25" x14ac:dyDescent="0.3">
      <c r="A561">
        <v>28000</v>
      </c>
      <c r="B561" t="s">
        <v>10022</v>
      </c>
      <c r="C561">
        <f>-1122.27900128633 -1222.38858276225 -183.976245888878</f>
        <v>-2528.6438299374581</v>
      </c>
      <c r="D561">
        <f>-1132.88749956312 -1223.2706883144 -304.618146743203</f>
        <v>-2660.776334620723</v>
      </c>
      <c r="E561">
        <f>-1115.42127316285 -1236.08122690387 -423.871669357942</f>
        <v>-2775.3741694246619</v>
      </c>
      <c r="F561">
        <f>-1088.56624307864 -1252.43060513331 -528.782837303873</f>
        <v>-2869.7796855158231</v>
      </c>
      <c r="G561">
        <f>-1051.13533292085 -1273.55669680907 -629.517386861006</f>
        <v>-2954.2094165909261</v>
      </c>
      <c r="H561">
        <f>-988.539741682584 -1307.82606930352 -764.081181108601</f>
        <v>-3060.4469920947049</v>
      </c>
      <c r="I561">
        <f>-923.840705000669 -1325.91971219211 -840.694760486559</f>
        <v>-3090.4551776793378</v>
      </c>
      <c r="J561">
        <f>-1028.75231019488 -1266.2654214668 -717.085737947977</f>
        <v>-3012.1034696096572</v>
      </c>
      <c r="K561">
        <f>-1072.52924651618 -1128.52510238315 -744.10356622697</f>
        <v>-2945.1579151262999</v>
      </c>
      <c r="L561">
        <f>-1132.90507527019 -1025.70337454475 -450.899488680744</f>
        <v>-2609.5079384956844</v>
      </c>
      <c r="M561">
        <f>-1151.2709505188 -932.704451815485 -208.709680958176</f>
        <v>-2292.6850832924606</v>
      </c>
      <c r="N561">
        <f>-1003.72038695782 -1319.06045304362 -691.996109715905</f>
        <v>-3014.7769497173449</v>
      </c>
      <c r="O561">
        <f>-962.12371773553 -1438.05874726311 -616.279460121581</f>
        <v>-3016.4619251202212</v>
      </c>
      <c r="P561">
        <f>-1075.98284534104 -1443.33686234929 -320.992395264937</f>
        <v>-2840.3121029552667</v>
      </c>
      <c r="Q561">
        <f>-1103.04551891685 -1324.07795881517 -91.4559301812761</f>
        <v>-2518.5794079132957</v>
      </c>
      <c r="R561">
        <f>-1172.70277998212 -1145.85983034868 -178.634980591544</f>
        <v>-2497.1975909223438</v>
      </c>
      <c r="S561" t="s">
        <v>10023</v>
      </c>
      <c r="T561" t="s">
        <v>10024</v>
      </c>
      <c r="U561" t="s">
        <v>10025</v>
      </c>
      <c r="V561">
        <f>-1071.68980116773 -1299.12621578615 -188.860501562881</f>
        <v>-2559.6765185167606</v>
      </c>
      <c r="W561" t="s">
        <v>10026</v>
      </c>
      <c r="X561" t="s">
        <v>10027</v>
      </c>
      <c r="Y561" t="s">
        <v>10028</v>
      </c>
    </row>
    <row r="562" spans="1:25" x14ac:dyDescent="0.3">
      <c r="A562">
        <v>28050</v>
      </c>
      <c r="B562" t="s">
        <v>10029</v>
      </c>
      <c r="C562">
        <f>-1121.40501135795 -1241.91280410306 -181.535304175281</f>
        <v>-2544.8531196362906</v>
      </c>
      <c r="D562">
        <f>-1131.98043408134 -1241.46941372397 -302.18261738405</f>
        <v>-2675.6324651893601</v>
      </c>
      <c r="E562">
        <f>-1113.81611201829 -1253.49759367641 -421.413165740648</f>
        <v>-2788.7268714353477</v>
      </c>
      <c r="F562">
        <f>-1086.10139272138 -1269.38591462459 -526.171482921674</f>
        <v>-2881.6587902676442</v>
      </c>
      <c r="G562">
        <f>-1047.61939711515 -1290.30698271026 -626.552264675646</f>
        <v>-2964.4786445010559</v>
      </c>
      <c r="H562">
        <f>-983.406061386973 -1324.56049074644 -760.355582257812</f>
        <v>-3068.3221343912251</v>
      </c>
      <c r="I562">
        <f>-917.675191887033 -1342.35892756031 -836.155810957526</f>
        <v>-3096.1899304048693</v>
      </c>
      <c r="J562">
        <f>-1024.55554658563 -1283.24120956637 -713.962104430231</f>
        <v>-3021.7588605822311</v>
      </c>
      <c r="K562">
        <f>-1070.00082640797 -1146.17343974848 -741.741059550277</f>
        <v>-2957.9153257067269</v>
      </c>
      <c r="L562">
        <f>-1138.16276688315 -1047.70366865569 -448.749787549726</f>
        <v>-2634.6162230885661</v>
      </c>
      <c r="M562">
        <f>-1157.91000686009 -956.326281325643 -206.051823078076</f>
        <v>-2320.2881112638088</v>
      </c>
      <c r="N562">
        <f>-999.081399617068 -1335.56755170988 -688.34149116233</f>
        <v>-3022.9904424892779</v>
      </c>
      <c r="O562">
        <f>-956.017461997934 -1453.73273994141 -612.117799547798</f>
        <v>-3021.868001487142</v>
      </c>
      <c r="P562">
        <f>-1071.33200546297 -1462.31696297727 -317.473920196133</f>
        <v>-2851.1228886363729</v>
      </c>
      <c r="Q562">
        <f>-1102.16402261541 -1344.68034730784 -87.5759663082613</f>
        <v>-2534.4203362315116</v>
      </c>
      <c r="R562">
        <f>-1173.00679449687 -1167.80785856106 -175.009103863915</f>
        <v>-2515.8237569218445</v>
      </c>
      <c r="S562" t="s">
        <v>10030</v>
      </c>
      <c r="T562" t="s">
        <v>10031</v>
      </c>
      <c r="U562" t="s">
        <v>10032</v>
      </c>
      <c r="V562">
        <f>-1069.82728555354 -1316.02330660331 -187.612062262282</f>
        <v>-2573.4626544191319</v>
      </c>
      <c r="W562" t="s">
        <v>10033</v>
      </c>
      <c r="X562" t="s">
        <v>10034</v>
      </c>
      <c r="Y562" t="s">
        <v>10035</v>
      </c>
    </row>
    <row r="563" spans="1:25" x14ac:dyDescent="0.3">
      <c r="A563">
        <v>28100</v>
      </c>
      <c r="B563" t="s">
        <v>10036</v>
      </c>
      <c r="C563">
        <f>-1121.57829269215 -1250.77631675539 -180.026242708653</f>
        <v>-2552.3808521561932</v>
      </c>
      <c r="D563">
        <f>-1132.55792917244 -1249.5953669651 -300.63253556315</f>
        <v>-2682.7858317006903</v>
      </c>
      <c r="E563">
        <f>-1114.29530370031 -1261.18672347543 -419.891355722586</f>
        <v>-2795.3733828983259</v>
      </c>
      <c r="F563">
        <f>-1086.305151492 -1276.81251252611 -524.615978463063</f>
        <v>-2887.7336424811733</v>
      </c>
      <c r="G563">
        <f>-1047.38146218511 -1297.60539858933 -624.852944535164</f>
        <v>-2969.8398053096043</v>
      </c>
      <c r="H563">
        <f>-982.405973860905 -1331.81837085849 -758.298279447615</f>
        <v>-3072.5226241670098</v>
      </c>
      <c r="I563">
        <f>-916.187740768877 -1349.45000863975 -833.712257787367</f>
        <v>-3099.3500071959938</v>
      </c>
      <c r="J563">
        <f>-1024.03718087655 -1290.6542527374 -712.197575866159</f>
        <v>-3026.8890094801091</v>
      </c>
      <c r="K563">
        <f>-1070.31158524903 -1153.95149389694 -740.436536819391</f>
        <v>-2964.6996159653609</v>
      </c>
      <c r="L563">
        <f>-1140.54663836145 -1056.58774345799 -447.565384264891</f>
        <v>-2644.6997660843308</v>
      </c>
      <c r="M563">
        <f>-1160.08471444804 -965.363652289178 -204.792912439937</f>
        <v>-2330.2412791771549</v>
      </c>
      <c r="N563">
        <f>-998.27407532829 -1342.70615561203 -686.308099645371</f>
        <v>-3027.2883305856908</v>
      </c>
      <c r="O563">
        <f>-954.45017844777 -1460.34630934549 -609.748561801722</f>
        <v>-3024.5450495949817</v>
      </c>
      <c r="P563">
        <f>-1070.15403140031 -1470.82292967952 -315.318567215902</f>
        <v>-2856.2955282957323</v>
      </c>
      <c r="Q563">
        <f>-1103.08985206414 -1354.30390655711 -85.143388727337</f>
        <v>-2542.5371473485866</v>
      </c>
      <c r="R563">
        <f>-1173.93177828574 -1177.14750281602 -172.901463289786</f>
        <v>-2523.9807443915461</v>
      </c>
      <c r="S563" t="s">
        <v>10037</v>
      </c>
      <c r="T563" t="s">
        <v>10038</v>
      </c>
      <c r="U563" t="s">
        <v>10039</v>
      </c>
      <c r="V563">
        <f>-1069.59864301524 -1324.16316930772 -186.751053759335</f>
        <v>-2580.5128660822947</v>
      </c>
      <c r="W563" t="s">
        <v>10040</v>
      </c>
      <c r="X563" t="s">
        <v>10041</v>
      </c>
      <c r="Y563" t="s">
        <v>10042</v>
      </c>
    </row>
    <row r="564" spans="1:25" x14ac:dyDescent="0.3">
      <c r="A564">
        <v>28150</v>
      </c>
      <c r="B564" t="s">
        <v>10043</v>
      </c>
      <c r="C564">
        <f>-1122.45661972805 -1264.00650238173 -177.333476576515</f>
        <v>-2563.7965986862946</v>
      </c>
      <c r="D564">
        <f>-1134.53837090266 -1262.14311499744 -297.825610753707</f>
        <v>-2694.5070966538069</v>
      </c>
      <c r="E564">
        <f>-1116.27790425477 -1273.27757557539 -417.128376047669</f>
        <v>-2806.683855877829</v>
      </c>
      <c r="F564">
        <f>-1087.87377185459 -1288.60653632117 -521.785273907206</f>
        <v>-2898.2655820829659</v>
      </c>
      <c r="G564">
        <f>-1048.15968255636 -1309.22741301985 -621.747382932751</f>
        <v>-2979.1344785089609</v>
      </c>
      <c r="H564">
        <f>-981.743050857376 -1343.3320862558 -754.509210758236</f>
        <v>-3079.5843478714119</v>
      </c>
      <c r="I564">
        <f>-914.602290785156 -1360.69955126546 -829.164885817082</f>
        <v>-3104.466727867698</v>
      </c>
      <c r="J564">
        <f>-1024.29254969759 -1302.48638397776 -708.967089868236</f>
        <v>-3035.746023543586</v>
      </c>
      <c r="K564">
        <f>-1071.87795798061 -1166.44339297895 -738.168501544331</f>
        <v>-2976.4898525038907</v>
      </c>
      <c r="L564">
        <f>-1144.38109864425 -1069.02546997737 -445.868567359374</f>
        <v>-2659.275135980994</v>
      </c>
      <c r="M564">
        <f>-1160.63504718565 -976.61156109694 -203.304164453494</f>
        <v>-2340.5507727360841</v>
      </c>
      <c r="N564">
        <f>-997.968170873937 -1353.99729884021 -682.56538248716</f>
        <v>-3034.530852201307</v>
      </c>
      <c r="O564">
        <f>-952.652502604928 -1470.52360327473 -605.143267796467</f>
        <v>-3028.319373676125</v>
      </c>
      <c r="P564">
        <f>-1068.00817404694 -1484.16212981444 -310.706042119245</f>
        <v>-2862.876345980625</v>
      </c>
      <c r="Q564">
        <f>-1103.46012688672 -1369.62046969254 -79.9129727259692</f>
        <v>-2552.9935693052289</v>
      </c>
      <c r="R564">
        <f>-1176.35009681296 -1190.53108513826 -169.211323812458</f>
        <v>-2536.0925057636782</v>
      </c>
      <c r="S564" t="s">
        <v>10044</v>
      </c>
      <c r="T564" t="s">
        <v>10045</v>
      </c>
      <c r="U564" t="s">
        <v>10046</v>
      </c>
      <c r="V564">
        <f>-1068.78269549645 -1337.27466395592 -184.9677747151</f>
        <v>-2591.0251341674702</v>
      </c>
      <c r="W564" t="s">
        <v>10047</v>
      </c>
      <c r="X564" t="s">
        <v>10048</v>
      </c>
      <c r="Y564" t="s">
        <v>10049</v>
      </c>
    </row>
    <row r="565" spans="1:25" x14ac:dyDescent="0.3">
      <c r="A565">
        <v>28200</v>
      </c>
      <c r="B565" t="s">
        <v>10050</v>
      </c>
      <c r="C565">
        <f>-1124.69412490376 -1263.61421867192 -177.662690964956</f>
        <v>-2565.9710345406356</v>
      </c>
      <c r="D565">
        <f>-1136.66890064806 -1261.54069331714 -298.162104705055</f>
        <v>-2696.3716986702548</v>
      </c>
      <c r="E565">
        <f>-1118.11558217974 -1272.57573972375 -417.428901785276</f>
        <v>-2808.1202236887661</v>
      </c>
      <c r="F565">
        <f>-1089.38561693986 -1287.86514044812 -522.002605132772</f>
        <v>-2899.2533625207525</v>
      </c>
      <c r="G565">
        <f>-1049.29661101014 -1308.49892929561 -621.812310533595</f>
        <v>-2979.6078508393448</v>
      </c>
      <c r="H565">
        <f>-982.321419549216 -1342.67631324068 -754.274454141643</f>
        <v>-3079.2721869315392</v>
      </c>
      <c r="I565">
        <f>-914.788807149509 -1359.97520644337 -828.591903206957</f>
        <v>-3103.355916799836</v>
      </c>
      <c r="J565">
        <f>-1025.25209296686 -1301.93558390607 -708.996857205992</f>
        <v>-3036.1845340789218</v>
      </c>
      <c r="K565">
        <f>-1073.48556529938 -1166.26098520492 -738.795252712431</f>
        <v>-2978.5418032167308</v>
      </c>
      <c r="L565">
        <f>-1146.2670531544 -1068.12631910939 -446.804510585698</f>
        <v>-2661.197882849488</v>
      </c>
      <c r="M565">
        <f>-1159.35045689875 -974.32565119556 -204.580848978734</f>
        <v>-2338.2569570730443</v>
      </c>
      <c r="N565">
        <f>-998.659612161265 -1353.17219764538 -682.331419414006</f>
        <v>-3034.1632292206514</v>
      </c>
      <c r="O565">
        <f>-952.684499653221 -1469.07297547607 -604.374466006699</f>
        <v>-3026.13194113599</v>
      </c>
      <c r="P565">
        <f>-1067.47345942964 -1483.77774179616 -309.767290621735</f>
        <v>-2861.0184918475347</v>
      </c>
      <c r="Q565">
        <f>-1102.68788551882 -1368.9471817909 -79.0813928260345</f>
        <v>-2550.7164601357545</v>
      </c>
      <c r="R565">
        <f>-1180.09757414218 -1185.90878226946 -169.919463084603</f>
        <v>-2535.9258194962431</v>
      </c>
      <c r="S565" t="s">
        <v>10051</v>
      </c>
      <c r="T565" t="s">
        <v>10052</v>
      </c>
      <c r="U565" t="s">
        <v>10053</v>
      </c>
      <c r="V565">
        <f>-1069.07656082279 -1339.89215456343 -185.055864192558</f>
        <v>-2594.0245795787782</v>
      </c>
      <c r="W565" t="s">
        <v>10054</v>
      </c>
      <c r="X565" t="s">
        <v>10055</v>
      </c>
      <c r="Y565" t="s">
        <v>10056</v>
      </c>
    </row>
    <row r="566" spans="1:25" x14ac:dyDescent="0.3">
      <c r="A566">
        <v>28250</v>
      </c>
      <c r="B566" t="s">
        <v>10057</v>
      </c>
      <c r="C566">
        <f>-1126.40206899521 -1264.50961289732 -179.935155916624</f>
        <v>-2570.8468378091538</v>
      </c>
      <c r="D566">
        <f>-1138.09506089337 -1262.97015739616 -300.470292758647</f>
        <v>-2701.5355110481769</v>
      </c>
      <c r="E566">
        <f>-1119.05101847781 -1274.55789344734 -419.607200569701</f>
        <v>-2813.2161124948511</v>
      </c>
      <c r="F566">
        <f>-1089.80098548281 -1290.32352915701 -523.965935985822</f>
        <v>-2904.0904506256416</v>
      </c>
      <c r="G566">
        <f>-1049.12309584904 -1311.39231890086 -623.445813308266</f>
        <v>-2983.9612280581659</v>
      </c>
      <c r="H566">
        <f>-981.267253710068 -1346.11426902197 -755.316972800405</f>
        <v>-3082.6984955324428</v>
      </c>
      <c r="I566">
        <f>-913.134213120002 -1363.46358640844 -829.072466851386</f>
        <v>-3105.6702663798278</v>
      </c>
      <c r="J566">
        <f>-1024.79278919718 -1305.39434827324 -710.591844648795</f>
        <v>-3040.7789821192146</v>
      </c>
      <c r="K566">
        <f>-1074.06650157106 -1170.39779675659 -741.887329145334</f>
        <v>-2986.3516274729836</v>
      </c>
      <c r="L566">
        <f>-1146.78041026118 -1070.42323689154 -450.504431424276</f>
        <v>-2667.7080785769958</v>
      </c>
      <c r="M566">
        <f>-1150.87685863248 -973.117990725382 -209.34684901558</f>
        <v>-2333.3416983734423</v>
      </c>
      <c r="N566">
        <f>-997.789948737226 -1356.10745549391 -683.344330530366</f>
        <v>-3037.2417347615019</v>
      </c>
      <c r="O566">
        <f>-950.737116472659 -1470.80270789488 -604.297164919278</f>
        <v>-3025.8369892868168</v>
      </c>
      <c r="P566">
        <f>-1065.49471083407 -1485.72365088887 -309.688373974568</f>
        <v>-2860.9067356975083</v>
      </c>
      <c r="Q566">
        <f>-1101.37028164164 -1369.36746385888 -79.8706032749955</f>
        <v>-2550.6083487755154</v>
      </c>
      <c r="R566">
        <f>-1183.59627494255 -1184.37911005695 -173.179139525714</f>
        <v>-2541.1545245252141</v>
      </c>
      <c r="S566" t="s">
        <v>10058</v>
      </c>
      <c r="T566" t="s">
        <v>10059</v>
      </c>
      <c r="U566" t="s">
        <v>10060</v>
      </c>
      <c r="V566">
        <f>-1068.59745476598 -1345.22059764804 -186.087119394246</f>
        <v>-2599.905171808266</v>
      </c>
      <c r="W566" t="s">
        <v>10061</v>
      </c>
      <c r="X566" t="s">
        <v>10062</v>
      </c>
      <c r="Y566" t="s">
        <v>10063</v>
      </c>
    </row>
    <row r="567" spans="1:25" x14ac:dyDescent="0.3">
      <c r="A567">
        <v>28300</v>
      </c>
      <c r="B567" t="s">
        <v>10064</v>
      </c>
      <c r="C567">
        <f>-1125.42469002597 -1268.02003435504 -180.86796333645</f>
        <v>-2574.31268771746</v>
      </c>
      <c r="D567">
        <f>-1136.75624548143 -1266.89081562216 -301.442185955071</f>
        <v>-2705.0892470586614</v>
      </c>
      <c r="E567">
        <f>-1117.4128506938 -1278.91345223937 -420.487789853233</f>
        <v>-2816.8140927864033</v>
      </c>
      <c r="F567">
        <f>-1087.92148490624 -1295.06629144585 -524.719170225463</f>
        <v>-2907.706946577553</v>
      </c>
      <c r="G567">
        <f>-1047.03236114539 -1316.50753279754 -624.032880386616</f>
        <v>-2987.5727743295461</v>
      </c>
      <c r="H567">
        <f>-978.914158773006 -1351.72414203266 -755.637342553332</f>
        <v>-3086.275643358998</v>
      </c>
      <c r="I567">
        <f>-910.622186128822 -1369.22219852189 -829.210387665745</f>
        <v>-3109.0547723164573</v>
      </c>
      <c r="J567">
        <f>-1022.58089543614 -1310.87402264144 -711.169360794533</f>
        <v>-3044.6242788721133</v>
      </c>
      <c r="K567">
        <f>-1071.95178092345 -1176.11477509693 -743.220632944419</f>
        <v>-2991.287188964799</v>
      </c>
      <c r="L567">
        <f>-1144.94950609114 -1074.78152848384 -452.378668082957</f>
        <v>-2672.1097026579373</v>
      </c>
      <c r="M567">
        <f>-1143.53042396162 -975.552742692921 -211.975396864311</f>
        <v>-2331.0585635188518</v>
      </c>
      <c r="N567">
        <f>-995.527799077496 -1361.409765669 -683.64361703605</f>
        <v>-3040.5811817825461</v>
      </c>
      <c r="O567">
        <f>-948.226076177786 -1475.68671230497 -604.076052411332</f>
        <v>-3027.9888408940878</v>
      </c>
      <c r="P567">
        <f>-1063.57771670856 -1489.62019676352 -309.651071633891</f>
        <v>-2862.8489851059712</v>
      </c>
      <c r="Q567">
        <f>-1100.02493423995 -1372.19019244494 -80.4703006626143</f>
        <v>-2552.6854273475042</v>
      </c>
      <c r="R567">
        <f>-1182.97845267058 -1188.32002110397 -174.381009094166</f>
        <v>-2545.6794828687161</v>
      </c>
      <c r="S567" t="s">
        <v>10065</v>
      </c>
      <c r="T567" t="s">
        <v>10066</v>
      </c>
      <c r="U567" t="s">
        <v>10067</v>
      </c>
      <c r="V567">
        <f>-1067.40365482335 -1348.96560600509 -186.424846263601</f>
        <v>-2602.794107092041</v>
      </c>
      <c r="W567" t="s">
        <v>10068</v>
      </c>
      <c r="X567" t="s">
        <v>10069</v>
      </c>
      <c r="Y567" t="s">
        <v>10070</v>
      </c>
    </row>
    <row r="568" spans="1:25" x14ac:dyDescent="0.3">
      <c r="A568">
        <v>28350</v>
      </c>
      <c r="B568" t="s">
        <v>10071</v>
      </c>
      <c r="C568">
        <f>-1123.18421329849 -1275.41859868516 -181.789147440273</f>
        <v>-2580.3919594239233</v>
      </c>
      <c r="D568">
        <f>-1133.62112446038 -1274.68849721256 -302.447078024823</f>
        <v>-2710.756699697763</v>
      </c>
      <c r="E568">
        <f>-1113.7147017145 -1287.41754787674 -421.32625602849</f>
        <v>-2822.4585056197302</v>
      </c>
      <c r="F568">
        <f>-1083.86658702633 -1304.32606919302 -525.336126659975</f>
        <v>-2913.5287828793253</v>
      </c>
      <c r="G568">
        <f>-1042.77842559491 -1326.63531466254 -624.376089014007</f>
        <v>-2993.7898292714567</v>
      </c>
      <c r="H568">
        <f>-974.549863148502 -1363.17078184268 -755.563064212671</f>
        <v>-3093.2837092038526</v>
      </c>
      <c r="I568">
        <f>-906.169630012555 -1381.21105377783 -828.923013785447</f>
        <v>-3116.3036975758318</v>
      </c>
      <c r="J568">
        <f>-1018.17305406852 -1321.81887494084 -711.51816067236</f>
        <v>-3051.5100896817198</v>
      </c>
      <c r="K568">
        <f>-1067.04942201489 -1187.21325902457 -744.937951056294</f>
        <v>-2999.2006320957544</v>
      </c>
      <c r="L568">
        <f>-1140.35627339561 -1082.06143994653 -455.532660300662</f>
        <v>-2677.9503736428019</v>
      </c>
      <c r="M568">
        <f>-1127.9227447088 -978.729386211303 -217.184336671636</f>
        <v>-2323.8364675917392</v>
      </c>
      <c r="N568">
        <f>-991.304712851013 -1372.19104608369 -683.515647002894</f>
        <v>-3047.0114059375974</v>
      </c>
      <c r="O568">
        <f>-944.368381681221 -1485.86438861369 -602.884630287272</f>
        <v>-3033.1174005821831</v>
      </c>
      <c r="P568">
        <f>-1061.35985922634 -1496.40789375779 -308.966133635589</f>
        <v>-2866.7338866197188</v>
      </c>
      <c r="Q568">
        <f>-1097.53857065713 -1376.48948508664 -81.0347238269983</f>
        <v>-2555.0627795707683</v>
      </c>
      <c r="R568">
        <f>-1181.4489009142 -1195.70898888516 -175.975484770511</f>
        <v>-2553.1333745698712</v>
      </c>
      <c r="S568" t="s">
        <v>10072</v>
      </c>
      <c r="T568" t="s">
        <v>10073</v>
      </c>
      <c r="U568" t="s">
        <v>10074</v>
      </c>
      <c r="V568">
        <f>-1065.30141763932 -1355.4876049792 -186.670442563529</f>
        <v>-2607.4594651820489</v>
      </c>
      <c r="W568" t="s">
        <v>10075</v>
      </c>
      <c r="X568" t="s">
        <v>10076</v>
      </c>
      <c r="Y568" t="s">
        <v>10077</v>
      </c>
    </row>
    <row r="569" spans="1:25" x14ac:dyDescent="0.3">
      <c r="A569">
        <v>28400</v>
      </c>
      <c r="B569" t="s">
        <v>10078</v>
      </c>
      <c r="C569">
        <f>-1122.47559374046 -1278.203063894 -181.972762748063</f>
        <v>-2582.6514203825232</v>
      </c>
      <c r="D569">
        <f>-1132.55776002449 -1277.55201830957 -302.66138005095</f>
        <v>-2712.77115838501</v>
      </c>
      <c r="E569">
        <f>-1112.39656456571 -1290.58229279587 -421.465010595395</f>
        <v>-2824.4438679569748</v>
      </c>
      <c r="F569">
        <f>-1082.37106345911 -1307.85378702583 -525.36396607171</f>
        <v>-2915.5888165566498</v>
      </c>
      <c r="G569">
        <f>-1041.16532415111 -1330.61574195373 -624.251956216089</f>
        <v>-2996.0330223209294</v>
      </c>
      <c r="H569">
        <f>-972.84133505504 -1367.87217257511 -755.186290109528</f>
        <v>-3095.8997977396784</v>
      </c>
      <c r="I569">
        <f>-904.424812850576 -1386.29211055808 -828.417890785116</f>
        <v>-3119.1348141937719</v>
      </c>
      <c r="J569">
        <f>-1016.43113552704 -1326.23215071255 -711.380509226262</f>
        <v>-3054.0437954658519</v>
      </c>
      <c r="K569">
        <f>-1064.88847977965 -1191.64879188153 -745.469411184956</f>
        <v>-3002.0066828461358</v>
      </c>
      <c r="L569">
        <f>-1137.6098205241 -1084.21666712219 -456.75481814249</f>
        <v>-2678.5813057887799</v>
      </c>
      <c r="M569">
        <f>-1120.84470224342 -978.976823371843 -219.509053650898</f>
        <v>-2319.3305792661608</v>
      </c>
      <c r="N569">
        <f>-989.714020724805 -1376.54256829612 -683.123380952382</f>
        <v>-3049.3799699733067</v>
      </c>
      <c r="O569">
        <f>-943.192885229618 -1489.9791695068 -601.926000839368</f>
        <v>-3035.098055575786</v>
      </c>
      <c r="P569">
        <f>-1060.96053201557 -1498.79105785599 -308.260664393803</f>
        <v>-2868.012254265363</v>
      </c>
      <c r="Q569">
        <f>-1096.27424458562 -1377.55915876698 -80.8891277568744</f>
        <v>-2554.7225311094744</v>
      </c>
      <c r="R569">
        <f>-1180.72311004281 -1198.64399892242 -176.40252544339</f>
        <v>-2555.7696344086198</v>
      </c>
      <c r="S569" t="s">
        <v>10079</v>
      </c>
      <c r="T569" t="s">
        <v>10080</v>
      </c>
      <c r="U569" t="s">
        <v>10081</v>
      </c>
      <c r="V569">
        <f>-1064.67701332169 -1357.75822910011 -186.701158235026</f>
        <v>-2609.136400656826</v>
      </c>
      <c r="W569" t="s">
        <v>10082</v>
      </c>
      <c r="X569" t="s">
        <v>10083</v>
      </c>
      <c r="Y569" t="s">
        <v>10084</v>
      </c>
    </row>
    <row r="570" spans="1:25" x14ac:dyDescent="0.3">
      <c r="A570">
        <v>28450</v>
      </c>
      <c r="B570" t="s">
        <v>10085</v>
      </c>
      <c r="C570">
        <f>-1121.43758261261 -1282.08314853913 -182.361372865611</f>
        <v>-2585.8821040173507</v>
      </c>
      <c r="D570">
        <f>-1131.24530434681 -1281.7328124505 -303.073865024268</f>
        <v>-2716.0519818215776</v>
      </c>
      <c r="E570">
        <f>-1110.74758483673 -1295.53756982865 -421.732283007821</f>
        <v>-2828.0174376732011</v>
      </c>
      <c r="F570">
        <f>-1080.41582978249 -1313.69123619555 -525.391680858888</f>
        <v>-2919.4987468369277</v>
      </c>
      <c r="G570">
        <f>-1038.92025904418 -1337.50654859243 -623.909758291659</f>
        <v>-3000.336565928269</v>
      </c>
      <c r="H570">
        <f>-970.22947454903 -1376.39292235042 -754.176522602032</f>
        <v>-3100.798919501482</v>
      </c>
      <c r="I570">
        <f>-901.624157931088 -1395.74993843302 -826.98864625456</f>
        <v>-3124.3627426186681</v>
      </c>
      <c r="J570">
        <f>-1013.79241631164 -1334.10426027001 -710.969463827</f>
        <v>-3058.8661404086497</v>
      </c>
      <c r="K570">
        <f>-1061.18027083056 -1199.48399915908 -746.511617274981</f>
        <v>-3007.175887264621</v>
      </c>
      <c r="L570">
        <f>-1131.63435833909 -1086.7918815038 -459.243572658738</f>
        <v>-2677.6698125016283</v>
      </c>
      <c r="M570">
        <f>-1109.49905942273 -978.66641291842 -223.742111670529</f>
        <v>-2311.9075840116789</v>
      </c>
      <c r="N570">
        <f>-987.453629948392 -1384.26952072736 -682.105804464132</f>
        <v>-3053.8289551398839</v>
      </c>
      <c r="O570">
        <f>-941.731292524272 -1497.12197429396 -599.697152979508</f>
        <v>-3038.5504197977398</v>
      </c>
      <c r="P570">
        <f>-1060.29218521281 -1503.40792637087 -306.286177042691</f>
        <v>-2869.9862886263713</v>
      </c>
      <c r="Q570">
        <f>-1094.76791963473 -1380.2515324974 -79.8220399348805</f>
        <v>-2554.8414920670107</v>
      </c>
      <c r="R570">
        <f>-1178.34892765951 -1203.45421536979 -177.28832575555</f>
        <v>-2559.0914687848503</v>
      </c>
      <c r="S570" t="s">
        <v>10086</v>
      </c>
      <c r="T570" t="s">
        <v>10087</v>
      </c>
      <c r="U570" t="s">
        <v>10088</v>
      </c>
      <c r="V570">
        <f>-1063.95591860355 -1361.21346172971 -186.753067895545</f>
        <v>-2611.922448228805</v>
      </c>
      <c r="W570" t="s">
        <v>10089</v>
      </c>
      <c r="X570" t="s">
        <v>10090</v>
      </c>
      <c r="Y570" t="s">
        <v>10091</v>
      </c>
    </row>
    <row r="571" spans="1:25" x14ac:dyDescent="0.3">
      <c r="A571">
        <v>28500</v>
      </c>
      <c r="B571" t="s">
        <v>10092</v>
      </c>
      <c r="C571">
        <f>-1120.75125434363 -1283.70316601474 -182.511301056212</f>
        <v>-2586.9657214145818</v>
      </c>
      <c r="D571">
        <f>-1130.40135828838 -1283.48356704639 -303.236800040974</f>
        <v>-2717.1217253757441</v>
      </c>
      <c r="E571">
        <f>-1109.72838606406 -1297.68600649225 -421.817958253419</f>
        <v>-2829.2323508097293</v>
      </c>
      <c r="F571">
        <f>-1079.24260875604 -1316.3003415132 -525.350410557315</f>
        <v>-2920.8933608265552</v>
      </c>
      <c r="G571">
        <f>-1037.60663402453 -1340.67040450515 -623.673280738266</f>
        <v>-3001.9503192679458</v>
      </c>
      <c r="H571">
        <f>-968.74421989703 -1380.41819212906 -753.589015013836</f>
        <v>-3102.7514270399261</v>
      </c>
      <c r="I571">
        <f>-900.01968380269 -1400.27114212307 -826.154822208615</f>
        <v>-3126.445648134375</v>
      </c>
      <c r="J571">
        <f>-1012.27908787926 -1337.78455480552 -710.693757181189</f>
        <v>-3060.7573998659691</v>
      </c>
      <c r="K571">
        <f>-1058.93941423315 -1203.12894762726 -747.018740877743</f>
        <v>-3009.0871027381527</v>
      </c>
      <c r="L571">
        <f>-1128.31886631084 -1087.59435867273 -460.619559387421</f>
        <v>-2676.5327843709911</v>
      </c>
      <c r="M571">
        <f>-1104.5392188857 -978.389845525766 -225.777248946109</f>
        <v>-2308.7063133575748</v>
      </c>
      <c r="N571">
        <f>-986.148336215543 -1387.87749578493 -681.517064071309</f>
        <v>-3055.5428960717823</v>
      </c>
      <c r="O571">
        <f>-940.859569236526 -1500.52359661731 -598.555693559439</f>
        <v>-3039.9388594132752</v>
      </c>
      <c r="P571">
        <f>-1059.85555415618 -1505.93249647918 -305.303285106049</f>
        <v>-2871.0913357414088</v>
      </c>
      <c r="Q571">
        <f>-1094.24572295962 -1381.87208328465 -79.3201870636705</f>
        <v>-2555.4379933079404</v>
      </c>
      <c r="R571">
        <f>-1177.02676749975 -1204.99398410225 -177.578319366146</f>
        <v>-2559.599070968146</v>
      </c>
      <c r="S571" t="s">
        <v>10093</v>
      </c>
      <c r="T571" t="s">
        <v>10094</v>
      </c>
      <c r="U571" t="s">
        <v>10095</v>
      </c>
      <c r="V571">
        <f>-1063.4838626693 -1362.85969564375 -186.753749640124</f>
        <v>-2613.0973079531741</v>
      </c>
      <c r="W571" t="s">
        <v>10096</v>
      </c>
      <c r="X571" t="s">
        <v>10097</v>
      </c>
      <c r="Y571" t="s">
        <v>10098</v>
      </c>
    </row>
    <row r="572" spans="1:25" x14ac:dyDescent="0.3">
      <c r="A572">
        <v>28550</v>
      </c>
      <c r="B572" t="s">
        <v>10099</v>
      </c>
      <c r="C572">
        <f>-1118.53328813615 -1287.08666349112 -182.38390031573</f>
        <v>-2588.003851943</v>
      </c>
      <c r="D572">
        <f>-1128.07977953826 -1286.9437312117 -303.117745959104</f>
        <v>-2718.1412567090642</v>
      </c>
      <c r="E572">
        <f>-1107.20251321169 -1301.70469138209 -421.594785244997</f>
        <v>-2830.5019898387773</v>
      </c>
      <c r="F572">
        <f>-1076.50755907494 -1321.00396088096 -524.939930176943</f>
        <v>-2922.4514501328431</v>
      </c>
      <c r="G572">
        <f>-1034.65363021552 -1346.22375032944 -622.955460287559</f>
        <v>-3003.8328408325192</v>
      </c>
      <c r="H572">
        <f>-965.49583741796 -1387.30774578839 -752.297248112852</f>
        <v>-3105.1008313192024</v>
      </c>
      <c r="I572">
        <f>-896.543153560284 -1408.07205056679 -824.389988923682</f>
        <v>-3129.0051930507561</v>
      </c>
      <c r="J572">
        <f>-1008.9199547207 -1344.08862704366 -709.878332422237</f>
        <v>-3062.8869141865971</v>
      </c>
      <c r="K572">
        <f>-1053.87090844735 -1209.19725662938 -747.41058426525</f>
        <v>-3010.4787493419799</v>
      </c>
      <c r="L572">
        <f>-1122.21157151748 -1088.3801402185 -462.94791904454</f>
        <v>-2673.5396307805199</v>
      </c>
      <c r="M572">
        <f>-1095.63262181104 -977.184241070981 -229.343237216858</f>
        <v>-2302.1601000988794</v>
      </c>
      <c r="N572">
        <f>-983.272078527356 -1394.17008518925 -680.256801806035</f>
        <v>-3057.6989655226412</v>
      </c>
      <c r="O572">
        <f>-939.110402025119 -1506.68070160262 -596.479717458174</f>
        <v>-3042.2708210859132</v>
      </c>
      <c r="P572">
        <f>-1058.97347625575 -1510.4607045331 -303.555179822493</f>
        <v>-2872.9893606113428</v>
      </c>
      <c r="Q572">
        <f>-1092.52371299357 -1385.31275255073 -78.0459009625621</f>
        <v>-2555.8823665068621</v>
      </c>
      <c r="R572">
        <f>-1175.14754053244 -1207.53680797244 -177.599929995134</f>
        <v>-2560.2842785000144</v>
      </c>
      <c r="S572" t="s">
        <v>10100</v>
      </c>
      <c r="T572" t="s">
        <v>10101</v>
      </c>
      <c r="U572" t="s">
        <v>10102</v>
      </c>
      <c r="V572">
        <f>-1061.98807994166 -1366.64613669602 -186.60184594803</f>
        <v>-2615.23606258571</v>
      </c>
      <c r="W572" t="s">
        <v>10103</v>
      </c>
      <c r="X572" t="s">
        <v>10104</v>
      </c>
      <c r="Y572" t="s">
        <v>10105</v>
      </c>
    </row>
    <row r="573" spans="1:25" x14ac:dyDescent="0.3">
      <c r="A573">
        <v>28600</v>
      </c>
      <c r="B573" t="s">
        <v>10106</v>
      </c>
      <c r="C573">
        <f>-1118.21153219854 -1289.1223372465 -182.270795291171</f>
        <v>-2589.6046647362109</v>
      </c>
      <c r="D573">
        <f>-1127.83366390889 -1288.98003289946 -302.998561473066</f>
        <v>-2719.8122582814158</v>
      </c>
      <c r="E573">
        <f>-1106.97867895945 -1303.95275541038 -421.453035969015</f>
        <v>-2832.3844703388449</v>
      </c>
      <c r="F573">
        <f>-1076.28591581016 -1323.52194736286 -524.748018447415</f>
        <v>-2924.5558816204348</v>
      </c>
      <c r="G573">
        <f>-1034.4215628675 -1349.08238808278 -622.670925209312</f>
        <v>-3006.1748761595918</v>
      </c>
      <c r="H573">
        <f>-965.242159046722 -1390.70589336346 -751.828633024314</f>
        <v>-3107.7766854344959</v>
      </c>
      <c r="I573">
        <f>-896.199282176831 -1411.88647978347 -823.713497224186</f>
        <v>-3131.7992591844873</v>
      </c>
      <c r="J573">
        <f>-1008.52362663185 -1347.20608755376 -709.550943905987</f>
        <v>-3065.2806580915967</v>
      </c>
      <c r="K573">
        <f>-1052.6498856018 -1212.12747657196 -747.396500617838</f>
        <v>-3012.1738627915975</v>
      </c>
      <c r="L573">
        <f>-1120.50135428572 -1089.59367996587 -463.551693632112</f>
        <v>-2673.6467278837017</v>
      </c>
      <c r="M573">
        <f>-1092.81448198809 -977.537752861166 -230.48738122389</f>
        <v>-2300.8396160731463</v>
      </c>
      <c r="N573">
        <f>-983.180163167709 -1397.37150094595 -679.809696126688</f>
        <v>-3060.361360240347</v>
      </c>
      <c r="O573">
        <f>-939.856819233581 -1510.03229345853 -595.807339087439</f>
        <v>-3045.6964517795495</v>
      </c>
      <c r="P573">
        <f>-1059.9953905671 -1513.03354038998 -302.986754268849</f>
        <v>-2876.0156852259288</v>
      </c>
      <c r="Q573">
        <f>-1092.34530372771 -1387.51788460807 -77.5064015413913</f>
        <v>-2557.3695898771716</v>
      </c>
      <c r="R573">
        <f>-1175.38439309377 -1209.52478433444 -177.300287838627</f>
        <v>-2562.209465266837</v>
      </c>
      <c r="S573" t="s">
        <v>10107</v>
      </c>
      <c r="T573" t="s">
        <v>10108</v>
      </c>
      <c r="U573" t="s">
        <v>10109</v>
      </c>
      <c r="V573">
        <f>-1061.73638673863 -1368.85795957607 -186.511926953194</f>
        <v>-2617.1062732678938</v>
      </c>
      <c r="W573" t="s">
        <v>10110</v>
      </c>
      <c r="X573" t="s">
        <v>10111</v>
      </c>
      <c r="Y573" t="s">
        <v>10112</v>
      </c>
    </row>
    <row r="574" spans="1:25" x14ac:dyDescent="0.3">
      <c r="A574">
        <v>28650</v>
      </c>
      <c r="B574" t="s">
        <v>10113</v>
      </c>
      <c r="C574">
        <f>-1118.84038339844 -1292.00288122087 -182.387553203071</f>
        <v>-2593.2308178223811</v>
      </c>
      <c r="D574">
        <f>-1127.99213324932 -1291.67001802285 -303.151435937194</f>
        <v>-2722.813587209364</v>
      </c>
      <c r="E574">
        <f>-1107.00187891505 -1306.90142518506 -421.54897395277</f>
        <v>-2835.4522780528796</v>
      </c>
      <c r="F574">
        <f>-1076.3282523392 -1326.87986981201 -524.771351143858</f>
        <v>-2927.9794732950677</v>
      </c>
      <c r="G574">
        <f>-1034.62509428793 -1353.01694964643 -622.610647578046</f>
        <v>-3010.2526915124063</v>
      </c>
      <c r="H574">
        <f>-965.815439926534 -1395.60849608245 -751.650186396772</f>
        <v>-3113.074122405756</v>
      </c>
      <c r="I574">
        <f>-896.713623411659 -1417.50301598318 -823.264078418488</f>
        <v>-3137.4807178133269</v>
      </c>
      <c r="J574">
        <f>-1008.60912792186 -1351.5418109915 -709.46324904753</f>
        <v>-3069.6141879608899</v>
      </c>
      <c r="K574">
        <f>-1050.94781429567 -1215.9656780482 -747.544448351591</f>
        <v>-3014.4579406954608</v>
      </c>
      <c r="L574">
        <f>-1117.45058260031 -1091.62124557099 -464.168265333299</f>
        <v>-2673.2400935045989</v>
      </c>
      <c r="M574">
        <f>-1089.67771902628 -978.777323115395 -231.494814934398</f>
        <v>-2299.9498570760734</v>
      </c>
      <c r="N574">
        <f>-983.914049099111 -1401.98432628491 -679.645296324996</f>
        <v>-3065.543671709017</v>
      </c>
      <c r="O574">
        <f>-942.471390837522 -1515.14271991147 -595.373129326406</f>
        <v>-3052.9872400753979</v>
      </c>
      <c r="P574">
        <f>-1062.09549134977 -1516.2434844383 -302.328568825347</f>
        <v>-2880.6675446134168</v>
      </c>
      <c r="Q574">
        <f>-1091.65633995712 -1389.19200574146 -77.3260671723192</f>
        <v>-2558.1744128708992</v>
      </c>
      <c r="R574">
        <f>-1175.90170848548 -1211.56002872758 -177.570052203856</f>
        <v>-2565.0317894169157</v>
      </c>
      <c r="S574" t="s">
        <v>10114</v>
      </c>
      <c r="T574" t="s">
        <v>10115</v>
      </c>
      <c r="U574" t="s">
        <v>10116</v>
      </c>
      <c r="V574">
        <f>-1061.96784585515 -1372.23039597558 -186.465923438587</f>
        <v>-2620.664165269317</v>
      </c>
      <c r="W574" t="s">
        <v>10117</v>
      </c>
      <c r="X574" t="s">
        <v>10118</v>
      </c>
      <c r="Y574" t="s">
        <v>10119</v>
      </c>
    </row>
    <row r="575" spans="1:25" x14ac:dyDescent="0.3">
      <c r="A575">
        <v>28700</v>
      </c>
      <c r="B575" t="s">
        <v>10120</v>
      </c>
      <c r="C575">
        <f>-1118.90381641278 -1292.6925212861 -182.641331589194</f>
        <v>-2594.2376692880744</v>
      </c>
      <c r="D575">
        <f>-1127.61090827461 -1292.21505556923 -303.43784395043</f>
        <v>-2723.2638077942697</v>
      </c>
      <c r="E575">
        <f>-1106.46025340332 -1307.53317553675 -421.795495596007</f>
        <v>-2835.788924536077</v>
      </c>
      <c r="F575">
        <f>-1075.76087832725 -1327.6832340632 -524.97695123275</f>
        <v>-2928.4210636232001</v>
      </c>
      <c r="G575">
        <f>-1034.14990840965 -1354.08350903411 -622.784852965018</f>
        <v>-3011.0182704087783</v>
      </c>
      <c r="H575">
        <f>-965.587320245745 -1397.13493708713 -751.80318796121</f>
        <v>-3114.5254452940849</v>
      </c>
      <c r="I575">
        <f>-896.537766071359 -1419.36510971574 -823.364174197047</f>
        <v>-3139.2670499841456</v>
      </c>
      <c r="J575">
        <f>-1008.1206536761 -1352.79774192086 -709.636350314954</f>
        <v>-3070.5547459119143</v>
      </c>
      <c r="K575">
        <f>-1049.56543435122 -1216.96559621568 -747.771284829646</f>
        <v>-3014.302315396546</v>
      </c>
      <c r="L575">
        <f>-1115.30433556079 -1092.11974693257 -464.437454983213</f>
        <v>-2671.8615374765732</v>
      </c>
      <c r="M575">
        <f>-1088.61855930718 -979.578412143699 -231.490275641029</f>
        <v>-2299.6872470919079</v>
      </c>
      <c r="N575">
        <f>-983.727628016381 -1403.3742766509 -679.796873983328</f>
        <v>-3066.8987786506091</v>
      </c>
      <c r="O575">
        <f>-943.089101848881 -1516.74955165535 -595.410796680113</f>
        <v>-3055.2494501843439</v>
      </c>
      <c r="P575">
        <f>-1062.7233389365 -1516.9479390928 -302.368484192757</f>
        <v>-2882.0397622220571</v>
      </c>
      <c r="Q575">
        <f>-1091.27978926642 -1389.10389772723 -77.6854989316872</f>
        <v>-2558.0691859253375</v>
      </c>
      <c r="R575">
        <f>-1175.55727501465 -1212.01850458515 -178.042453338884</f>
        <v>-2565.6182329386838</v>
      </c>
      <c r="S575" t="s">
        <v>10121</v>
      </c>
      <c r="T575" t="s">
        <v>10122</v>
      </c>
      <c r="U575" t="s">
        <v>10123</v>
      </c>
      <c r="V575">
        <f>-1062.0205770232 -1373.26398998646 -186.513501259508</f>
        <v>-2621.7980682691682</v>
      </c>
      <c r="W575" t="s">
        <v>10124</v>
      </c>
      <c r="X575" t="s">
        <v>10125</v>
      </c>
      <c r="Y575" t="s">
        <v>10126</v>
      </c>
    </row>
    <row r="576" spans="1:25" x14ac:dyDescent="0.3">
      <c r="A576">
        <v>28750</v>
      </c>
      <c r="B576" t="s">
        <v>10127</v>
      </c>
      <c r="C576">
        <f>-1118.02287163724 -1293.854805241 -183.220923862668</f>
        <v>-2595.0986007409078</v>
      </c>
      <c r="D576">
        <f>-1126.13552754145 -1293.29759127717 -304.058359112625</f>
        <v>-2723.4914779312453</v>
      </c>
      <c r="E576">
        <f>-1104.80672706668 -1308.82065281147 -422.35736376351</f>
        <v>-2835.9847436416599</v>
      </c>
      <c r="F576">
        <f>-1074.122298969 -1329.27531639012 -525.48321038264</f>
        <v>-2928.8808257417604</v>
      </c>
      <c r="G576">
        <f>-1032.70115294772 -1356.10086124572 -623.256014610182</f>
        <v>-3012.0580288036217</v>
      </c>
      <c r="H576">
        <f>-964.579592787633 -1399.87052094856 -752.26633033272</f>
        <v>-3116.716444068913</v>
      </c>
      <c r="I576">
        <f>-895.678898038571 -1422.6702124102 -823.791595202884</f>
        <v>-3142.140705651655</v>
      </c>
      <c r="J576">
        <f>-1006.69539432882 -1355.11859243567 -710.11858650778</f>
        <v>-3071.93257327227</v>
      </c>
      <c r="K576">
        <f>-1046.66565461953 -1218.86946188375 -748.336972184834</f>
        <v>-3013.8720886881138</v>
      </c>
      <c r="L576">
        <f>-1111.18678746819 -1093.44868507311 -464.97701278711</f>
        <v>-2669.6124853284105</v>
      </c>
      <c r="M576">
        <f>-1087.65226322603 -982.175256147662 -231.082983768683</f>
        <v>-2300.9105031423751</v>
      </c>
      <c r="N576">
        <f>-982.747129656652 -1405.889004579 -680.248084207819</f>
        <v>-3068.8842184434707</v>
      </c>
      <c r="O576">
        <f>-943.336874586771 -1519.57451808285 -595.703628499286</f>
        <v>-3058.6150211689069</v>
      </c>
      <c r="P576">
        <f>-1063.44876906539 -1518.03206591866 -302.860742640122</f>
        <v>-2884.3415776241718</v>
      </c>
      <c r="Q576">
        <f>-1090.99487544417 -1389.20206047441 -78.6150982734246</f>
        <v>-2558.8120341920048</v>
      </c>
      <c r="R576">
        <f>-1174.30849801969 -1212.93157965168 -178.982051025423</f>
        <v>-2566.2221286967933</v>
      </c>
      <c r="S576" t="s">
        <v>10128</v>
      </c>
      <c r="T576" t="s">
        <v>10129</v>
      </c>
      <c r="U576" t="s">
        <v>10130</v>
      </c>
      <c r="V576">
        <f>-1061.46166709467 -1374.77408804736 -186.710227523565</f>
        <v>-2622.9459826655952</v>
      </c>
      <c r="W576" t="s">
        <v>10131</v>
      </c>
      <c r="X576" t="s">
        <v>10132</v>
      </c>
      <c r="Y576" t="s">
        <v>10133</v>
      </c>
    </row>
    <row r="577" spans="1:25" x14ac:dyDescent="0.3">
      <c r="A577">
        <v>28800</v>
      </c>
      <c r="B577" t="s">
        <v>10134</v>
      </c>
      <c r="C577">
        <f>-1117.56833867177 -1294.39453241409 -183.302926012296</f>
        <v>-2595.2657970981563</v>
      </c>
      <c r="D577">
        <f>-1125.46691717252 -1293.81041898788 -304.154485209232</f>
        <v>-2723.431821369632</v>
      </c>
      <c r="E577">
        <f>-1104.07653485659 -1309.3903457378 -422.434948853806</f>
        <v>-2835.9018294481962</v>
      </c>
      <c r="F577">
        <f>-1073.40015617023 -1329.93180295931 -525.545810722934</f>
        <v>-2928.8777698524746</v>
      </c>
      <c r="G577">
        <f>-1032.04966884016 -1356.88012368191 -623.314859267221</f>
        <v>-3012.2446517892909</v>
      </c>
      <c r="H577">
        <f>-964.089201232182 -1400.85877069164 -752.339124769783</f>
        <v>-3117.2870966936052</v>
      </c>
      <c r="I577">
        <f>-895.248397386605 -1423.85649138887 -823.858562203379</f>
        <v>-3142.9634509788539</v>
      </c>
      <c r="J577">
        <f>-1006.0721676911 -1355.98639965841 -710.186866864634</f>
        <v>-3072.2454342141436</v>
      </c>
      <c r="K577">
        <f>-1045.58424407505 -1219.60210258198 -748.418086734385</f>
        <v>-3013.6044333914151</v>
      </c>
      <c r="L577">
        <f>-1109.69112051112 -1094.17039912421 -464.968893059593</f>
        <v>-2668.8304126949233</v>
      </c>
      <c r="M577">
        <f>-1087.48675520226 -983.689792405678 -230.56954482434</f>
        <v>-2301.7460924322781</v>
      </c>
      <c r="N577">
        <f>-982.24701372392 -1406.81274609871 -680.312896552861</f>
        <v>-3069.3726563754908</v>
      </c>
      <c r="O577">
        <f>-943.186450495548 -1520.57042742998 -595.707664585096</f>
        <v>-3059.4645425106241</v>
      </c>
      <c r="P577">
        <f>-1063.42864007657 -1518.43300958954 -302.922034425091</f>
        <v>-2884.7836840912009</v>
      </c>
      <c r="Q577">
        <f>-1090.73374544696 -1389.28978077413 -78.8271624319178</f>
        <v>-2558.8506886530076</v>
      </c>
      <c r="R577">
        <f>-1173.91778321235 -1213.36434348629 -179.114406515473</f>
        <v>-2566.3965332141133</v>
      </c>
      <c r="S577" t="s">
        <v>10135</v>
      </c>
      <c r="T577" t="s">
        <v>10136</v>
      </c>
      <c r="U577" t="s">
        <v>10137</v>
      </c>
      <c r="V577">
        <f>-1061.1447478887 -1375.4001288013 -186.73955715851</f>
        <v>-2623.2844338485097</v>
      </c>
      <c r="W577" t="s">
        <v>10138</v>
      </c>
      <c r="X577" t="s">
        <v>10139</v>
      </c>
      <c r="Y577" t="s">
        <v>10140</v>
      </c>
    </row>
    <row r="578" spans="1:25" x14ac:dyDescent="0.3">
      <c r="A578">
        <v>28850</v>
      </c>
      <c r="B578" t="s">
        <v>10141</v>
      </c>
      <c r="C578">
        <f>-1116.87086999242 -1295.8090065581 -183.093917026568</f>
        <v>-2595.7737935770879</v>
      </c>
      <c r="D578">
        <f>-1124.61000055815 -1295.29972673262 -303.956124111717</f>
        <v>-2723.8658514024874</v>
      </c>
      <c r="E578">
        <f>-1103.17943407761 -1310.98301313245 -422.215675305812</f>
        <v>-2836.3781225158723</v>
      </c>
      <c r="F578">
        <f>-1072.51250990232 -1331.62423735071 -525.30947608286</f>
        <v>-2929.44622333589</v>
      </c>
      <c r="G578">
        <f>-1031.21370388867 -1358.67596079588 -623.071750842178</f>
        <v>-3012.9614155267277</v>
      </c>
      <c r="H578">
        <f>-963.364429376854 -1402.800237351 -752.104703756987</f>
        <v>-3118.2693704848411</v>
      </c>
      <c r="I578">
        <f>-894.548812087022 -1425.98722138777 -823.587362397664</f>
        <v>-3144.1233958724561</v>
      </c>
      <c r="J578">
        <f>-1005.26957614448 -1357.85343601811 -709.954294086979</f>
        <v>-3073.0773062495691</v>
      </c>
      <c r="K578">
        <f>-1044.54187659142 -1221.41168439945 -748.231338356144</f>
        <v>-3014.1848993470139</v>
      </c>
      <c r="L578">
        <f>-1108.53293842714 -1096.51265947671 -464.521005760531</f>
        <v>-2669.5666036643806</v>
      </c>
      <c r="M578">
        <f>-1087.64896676731 -987.110795251415 -229.495093659787</f>
        <v>-2304.2548556785118</v>
      </c>
      <c r="N578">
        <f>-981.501667237512 -1408.69979723028 -680.068915661614</f>
        <v>-3070.270380129406</v>
      </c>
      <c r="O578">
        <f>-942.698205306583 -1522.45876504419 -595.35154763337</f>
        <v>-3060.5085179841431</v>
      </c>
      <c r="P578">
        <f>-1062.88556120421 -1519.81815458789 -302.547495170308</f>
        <v>-2885.2512109624081</v>
      </c>
      <c r="Q578">
        <f>-1089.84682384382 -1390.25192810322 -78.655303590889</f>
        <v>-2558.7540555379292</v>
      </c>
      <c r="R578">
        <f>-1173.18194965468 -1214.92967979135 -178.854060570841</f>
        <v>-2566.9656900168707</v>
      </c>
      <c r="S578" t="s">
        <v>10142</v>
      </c>
      <c r="T578" t="s">
        <v>10143</v>
      </c>
      <c r="U578" t="s">
        <v>10144</v>
      </c>
      <c r="V578">
        <f>-1060.63570764793 -1376.77138355928 -186.558008009642</f>
        <v>-2623.9650992168522</v>
      </c>
      <c r="W578" t="s">
        <v>10145</v>
      </c>
      <c r="X578" t="s">
        <v>10146</v>
      </c>
      <c r="Y578" t="s">
        <v>10147</v>
      </c>
    </row>
    <row r="579" spans="1:25" x14ac:dyDescent="0.3">
      <c r="A579">
        <v>28900</v>
      </c>
      <c r="B579" t="s">
        <v>10148</v>
      </c>
      <c r="C579">
        <f>-1116.60459751975 -1296.59863884792 -182.92058837131</f>
        <v>-2596.1238247389797</v>
      </c>
      <c r="D579">
        <f>-1124.31728781362 -1296.10538397675 -303.78454995219</f>
        <v>-2724.2072217425603</v>
      </c>
      <c r="E579">
        <f>-1102.88325760005 -1311.80354045844 -422.041415543026</f>
        <v>-2836.7282136015165</v>
      </c>
      <c r="F579">
        <f>-1072.21931785165 -1332.45247039439 -525.134557379762</f>
        <v>-2929.8063456258019</v>
      </c>
      <c r="G579">
        <f>-1030.92701275649 -1359.50338744529 -622.899923558032</f>
        <v>-3013.330323759812</v>
      </c>
      <c r="H579">
        <f>-963.087869525838 -1403.61536652284 -751.942474980877</f>
        <v>-3118.6457110295551</v>
      </c>
      <c r="I579">
        <f>-894.246825529534 -1426.78834832232 -823.405104397529</f>
        <v>-3144.440278249383</v>
      </c>
      <c r="J579">
        <f>-1005.02269813024 -1358.69392031217 -709.794441157725</f>
        <v>-3073.511059600135</v>
      </c>
      <c r="K579">
        <f>-1044.46416674843 -1222.31313845647 -748.119800473855</f>
        <v>-3014.8971056787545</v>
      </c>
      <c r="L579">
        <f>-1108.61603243908 -1097.78182791278 -464.284053962881</f>
        <v>-2670.6819143147409</v>
      </c>
      <c r="M579">
        <f>-1087.85298869855 -988.728248184226 -229.085723173492</f>
        <v>-2305.6669600562682</v>
      </c>
      <c r="N579">
        <f>-981.186494810177 -1409.50043327302 -679.895805254484</f>
        <v>-3070.582733337681</v>
      </c>
      <c r="O579">
        <f>-942.295202146935 -1523.1769030815 -595.106301715505</f>
        <v>-3060.5784069439396</v>
      </c>
      <c r="P579">
        <f>-1062.34124790533 -1520.5594234519 -302.244065551017</f>
        <v>-2885.1447369082471</v>
      </c>
      <c r="Q579">
        <f>-1089.378248424 -1390.98511359024 -78.3656749296167</f>
        <v>-2558.7290369438565</v>
      </c>
      <c r="R579">
        <f>-1172.91154533272 -1215.74097890407 -178.691710205482</f>
        <v>-2567.344234442272</v>
      </c>
      <c r="S579" t="s">
        <v>10149</v>
      </c>
      <c r="T579" t="s">
        <v>10150</v>
      </c>
      <c r="U579" t="s">
        <v>10151</v>
      </c>
      <c r="V579">
        <f>-1060.38895345545 -1377.42426223054 -186.424601048234</f>
        <v>-2624.237816734224</v>
      </c>
      <c r="W579" t="s">
        <v>10152</v>
      </c>
      <c r="X579" t="s">
        <v>10153</v>
      </c>
      <c r="Y579" t="s">
        <v>10154</v>
      </c>
    </row>
    <row r="580" spans="1:25" x14ac:dyDescent="0.3">
      <c r="A580">
        <v>28950</v>
      </c>
      <c r="B580" t="s">
        <v>10155</v>
      </c>
      <c r="C580">
        <f>-1115.76313093394 -1297.55106521567 -182.711701631031</f>
        <v>-2596.0258977806407</v>
      </c>
      <c r="D580">
        <f>-1123.40537320338 -1296.99291967969 -303.579831145873</f>
        <v>-2723.9781240289431</v>
      </c>
      <c r="E580">
        <f>-1101.89793983794 -1312.5873065893 -421.837151984826</f>
        <v>-2836.3223984120659</v>
      </c>
      <c r="F580">
        <f>-1071.16121145876 -1333.11777659825 -524.932308032342</f>
        <v>-2929.2112960893519</v>
      </c>
      <c r="G580">
        <f>-1029.78557084731 -1360.0215029011 -622.702957599281</f>
        <v>-3012.510031347691</v>
      </c>
      <c r="H580">
        <f>-961.815785285113 -1403.89522386375 -751.758089655885</f>
        <v>-3117.4690988047478</v>
      </c>
      <c r="I580">
        <f>-892.840748376706 -1426.84947954708 -823.161952711374</f>
        <v>-3142.8521806351596</v>
      </c>
      <c r="J580">
        <f>-1003.95340357747 -1359.15599290181 -709.61855929245</f>
        <v>-3072.7279557717297</v>
      </c>
      <c r="K580">
        <f>-1044.17806756451 -1223.03389133277 -748.020566451721</f>
        <v>-3015.2325253490012</v>
      </c>
      <c r="L580">
        <f>-1108.76524828294 -1098.994920527 -464.068031066508</f>
        <v>-2671.8281998764483</v>
      </c>
      <c r="M580">
        <f>-1087.99069798448 -990.330072465609 -228.690780736464</f>
        <v>-2307.0115511865533</v>
      </c>
      <c r="N580">
        <f>-979.827243909378 -1409.80895618326 -679.691895531383</f>
        <v>-3069.3280956240214</v>
      </c>
      <c r="O580">
        <f>-940.388908721759 -1523.24289484557 -594.82113012577</f>
        <v>-3058.4529336930991</v>
      </c>
      <c r="P580">
        <f>-1060.38626857005 -1521.09092843137 -301.93505794887</f>
        <v>-2883.4122549502899</v>
      </c>
      <c r="Q580">
        <f>-1087.7008234974 -1391.63453394289 -78.0220977056765</f>
        <v>-2557.3574551459665</v>
      </c>
      <c r="R580">
        <f>-1171.94548538752 -1216.77254855819 -178.487383174039</f>
        <v>-2567.2054171197487</v>
      </c>
      <c r="S580" t="s">
        <v>10156</v>
      </c>
      <c r="T580" t="s">
        <v>10157</v>
      </c>
      <c r="U580" t="s">
        <v>10158</v>
      </c>
      <c r="V580">
        <f>-1059.50585766151 -1378.13915375479 -186.235979978513</f>
        <v>-2623.880991394813</v>
      </c>
      <c r="W580" t="s">
        <v>10159</v>
      </c>
      <c r="X580" t="s">
        <v>10160</v>
      </c>
      <c r="Y580" t="s">
        <v>10161</v>
      </c>
    </row>
    <row r="581" spans="1:25" x14ac:dyDescent="0.3">
      <c r="A581">
        <v>29000</v>
      </c>
      <c r="B581" t="s">
        <v>10162</v>
      </c>
      <c r="C581">
        <f>-1115.35308966868 -1297.79260340497 -182.676086701234</f>
        <v>-2595.8217797748839</v>
      </c>
      <c r="D581">
        <f>-1122.93912259622 -1297.20840250984 -303.547610556092</f>
        <v>-2723.6951356621521</v>
      </c>
      <c r="E581">
        <f>-1101.3934789433 -1312.7237285657 -421.808440969314</f>
        <v>-2835.9256484783136</v>
      </c>
      <c r="F581">
        <f>-1070.62651333487 -1333.15857890874 -524.913585650078</f>
        <v>-2928.698677893688</v>
      </c>
      <c r="G581">
        <f>-1029.22198414027 -1359.94217537085 -622.705038290006</f>
        <v>-3011.8691978011261</v>
      </c>
      <c r="H581">
        <f>-961.210360084462 -1403.62324936498 -751.80323393466</f>
        <v>-3116.6368433841021</v>
      </c>
      <c r="I581">
        <f>-892.180171596186 -1426.39935881581 -823.211051623456</f>
        <v>-3141.7905820354522</v>
      </c>
      <c r="J581">
        <f>-1003.46877283777 -1359.01742907865 -709.643274661727</f>
        <v>-3072.1294765781468</v>
      </c>
      <c r="K581">
        <f>-1044.18281306103 -1223.04721434169 -748.081899054701</f>
        <v>-3015.3119264574211</v>
      </c>
      <c r="L581">
        <f>-1109.05428569678 -1099.25113636422 -464.088208755826</f>
        <v>-2672.3936308168263</v>
      </c>
      <c r="M581">
        <f>-1088.27449489113 -990.616737432244 -228.697324827676</f>
        <v>-2307.5885571510498</v>
      </c>
      <c r="N581">
        <f>-979.138006819457 -1409.57401393594 -679.71927101858</f>
        <v>-3068.4312917739771</v>
      </c>
      <c r="O581">
        <f>-939.268256078953 -1522.85031563952 -594.83859385382</f>
        <v>-3056.957165572293</v>
      </c>
      <c r="P581">
        <f>-1059.16409133751 -1521.09505116783 -301.908264306704</f>
        <v>-2882.1674068120437</v>
      </c>
      <c r="Q581">
        <f>-1086.88364003119 -1391.74054559887 -77.9862404762962</f>
        <v>-2556.6104261063565</v>
      </c>
      <c r="R581">
        <f>-1171.68286753344 -1217.19548587697 -178.436262765869</f>
        <v>-2567.3146161762788</v>
      </c>
      <c r="S581" t="s">
        <v>10163</v>
      </c>
      <c r="T581" t="s">
        <v>10164</v>
      </c>
      <c r="U581" t="s">
        <v>10165</v>
      </c>
      <c r="V581">
        <f>-1058.98012983057 -1378.26713721936 -186.188119284498</f>
        <v>-2623.4353863344281</v>
      </c>
      <c r="W581" t="s">
        <v>10166</v>
      </c>
      <c r="X581" t="s">
        <v>10167</v>
      </c>
      <c r="Y581" t="s">
        <v>10168</v>
      </c>
    </row>
    <row r="582" spans="1:25" x14ac:dyDescent="0.3">
      <c r="A582">
        <v>29050</v>
      </c>
      <c r="B582" t="s">
        <v>10169</v>
      </c>
      <c r="C582">
        <f>-1114.39573825029 -1297.9475401891 -182.632386797648</f>
        <v>-2594.9756652370379</v>
      </c>
      <c r="D582">
        <f>-1121.82802720345 -1297.38780539353 -303.51363391345</f>
        <v>-2722.72946651043</v>
      </c>
      <c r="E582">
        <f>-1100.13190953916 -1312.75345847862 -421.766515108923</f>
        <v>-2834.6518831267031</v>
      </c>
      <c r="F582">
        <f>-1069.22571939127 -1332.97768571732 -524.871525378447</f>
        <v>-2927.0749304870374</v>
      </c>
      <c r="G582">
        <f>-1027.67358227137 -1359.47559221652 -622.678042475001</f>
        <v>-3009.8272169628908</v>
      </c>
      <c r="H582">
        <f>-959.44302940876 -1402.68234422313 -751.820636599317</f>
        <v>-3113.9460102312069</v>
      </c>
      <c r="I582">
        <f>-890.267971558354 -1425.03741858862 -823.221069082136</f>
        <v>-3138.5264592291096</v>
      </c>
      <c r="J582">
        <f>-1002.01791404419 -1358.39473299343 -709.643561365879</f>
        <v>-3070.0562084034991</v>
      </c>
      <c r="K582">
        <f>-1043.90077777199 -1222.79527523638 -748.130649006448</f>
        <v>-3014.8267020148178</v>
      </c>
      <c r="L582">
        <f>-1109.14328703772 -1099.46003961733 -464.021474264122</f>
        <v>-2672.6248009191722</v>
      </c>
      <c r="M582">
        <f>-1088.65298151636 -990.634989700395 -228.69342848165</f>
        <v>-2307.9813996984049</v>
      </c>
      <c r="N582">
        <f>-977.247973244946 -1408.73465931909 -679.714534647147</f>
        <v>-3065.6971672111831</v>
      </c>
      <c r="O582">
        <f>-936.373858149501 -1521.65908197731 -594.841865707071</f>
        <v>-3052.874805833882</v>
      </c>
      <c r="P582">
        <f>-1055.86661848249 -1520.86303947266 -301.74275746043</f>
        <v>-2878.4724154155797</v>
      </c>
      <c r="Q582">
        <f>-1084.55544244708 -1391.624546765 -77.8757906706207</f>
        <v>-2554.0557798827003</v>
      </c>
      <c r="R582">
        <f>-1171.11252635806 -1217.74549944414 -178.419000620208</f>
        <v>-2567.2770264224082</v>
      </c>
      <c r="S582" t="s">
        <v>10170</v>
      </c>
      <c r="T582" t="s">
        <v>10171</v>
      </c>
      <c r="U582" t="s">
        <v>10172</v>
      </c>
      <c r="V582">
        <f>-1057.63430242833 -1378.15804481599 -186.099499943311</f>
        <v>-2621.8918471876309</v>
      </c>
      <c r="W582" t="s">
        <v>10173</v>
      </c>
      <c r="X582" t="s">
        <v>10174</v>
      </c>
      <c r="Y582" t="s">
        <v>10175</v>
      </c>
    </row>
    <row r="583" spans="1:25" x14ac:dyDescent="0.3">
      <c r="A583">
        <v>29100</v>
      </c>
      <c r="B583" t="s">
        <v>10176</v>
      </c>
      <c r="C583">
        <f>-1113.91282767841 -1298.02068496544 -182.634279699253</f>
        <v>-2594.5677923431031</v>
      </c>
      <c r="D583">
        <f>-1121.33676394042 -1297.52892943923 -303.516236234584</f>
        <v>-2722.3819296142342</v>
      </c>
      <c r="E583">
        <f>-1099.60136566059 -1312.82579943056 -421.770825146385</f>
        <v>-2834.1979902375351</v>
      </c>
      <c r="F583">
        <f>-1068.64271468461 -1332.9284895869 -524.883812225621</f>
        <v>-2926.4550164971311</v>
      </c>
      <c r="G583">
        <f>-1027.01759547004 -1359.24501657983 -622.708425856683</f>
        <v>-3008.9710379065527</v>
      </c>
      <c r="H583">
        <f>-958.660944852609 -1402.13739599134 -751.888880902</f>
        <v>-3112.687221745949</v>
      </c>
      <c r="I583">
        <f>-889.417016437573 -1424.24072238746 -823.301164507496</f>
        <v>-3136.9589033325292</v>
      </c>
      <c r="J583">
        <f>-1001.42152450237 -1358.05015281853 -709.68979583756</f>
        <v>-3069.1614731584605</v>
      </c>
      <c r="K583">
        <f>-1043.94214077087 -1222.64834155564 -748.198890662973</f>
        <v>-3014.7893729894831</v>
      </c>
      <c r="L583">
        <f>-1109.39864849031 -1099.5322986979 -464.043898392694</f>
        <v>-2672.974845580904</v>
      </c>
      <c r="M583">
        <f>-1089.22565186544 -990.518496217908 -228.775839467889</f>
        <v>-2308.5199875512371</v>
      </c>
      <c r="N583">
        <f>-976.391743316456 -1408.26754224249 -679.771251626824</f>
        <v>-3064.4305371857699</v>
      </c>
      <c r="O583">
        <f>-934.956429615639 -1520.95156207487 -594.864070170908</f>
        <v>-3050.7720618614167</v>
      </c>
      <c r="P583">
        <f>-1054.21082811058 -1520.54472141466 -301.667144305411</f>
        <v>-2876.422693830651</v>
      </c>
      <c r="Q583">
        <f>-1083.38735956674 -1391.38438684205 -77.818187595367</f>
        <v>-2552.5899340041569</v>
      </c>
      <c r="R583">
        <f>-1170.86685599775 -1218.03748094747 -178.463159353953</f>
        <v>-2567.3674962991731</v>
      </c>
      <c r="S583" t="s">
        <v>10177</v>
      </c>
      <c r="T583" t="s">
        <v>10178</v>
      </c>
      <c r="U583" t="s">
        <v>10179</v>
      </c>
      <c r="V583">
        <f>-1056.94803573239 -1378.06469880499 -186.059780758502</f>
        <v>-2621.0725152958821</v>
      </c>
      <c r="W583" t="s">
        <v>10180</v>
      </c>
      <c r="X583" t="s">
        <v>10181</v>
      </c>
      <c r="Y583" t="s">
        <v>10182</v>
      </c>
    </row>
    <row r="584" spans="1:25" x14ac:dyDescent="0.3">
      <c r="A584">
        <v>29150</v>
      </c>
      <c r="B584" t="s">
        <v>10183</v>
      </c>
      <c r="C584">
        <f>-1113.11576495465 -1297.92812683207 -182.791336818348</f>
        <v>-2593.8352286050681</v>
      </c>
      <c r="D584">
        <f>-1120.43148317995 -1297.53308243922 -303.68021198014</f>
        <v>-2721.6447775993097</v>
      </c>
      <c r="E584">
        <f>-1098.56651926812 -1312.73611142771 -421.923047565898</f>
        <v>-2833.2256782617278</v>
      </c>
      <c r="F584">
        <f>-1067.47962445816 -1332.6745899302 -525.029251926286</f>
        <v>-2925.1834663146456</v>
      </c>
      <c r="G584">
        <f>-1025.71174725116 -1358.7491841473 -622.857795661979</f>
        <v>-3007.3187270604394</v>
      </c>
      <c r="H584">
        <f>-957.138217654671 -1401.22650958194 -752.060482082176</f>
        <v>-3110.425209318787</v>
      </c>
      <c r="I584">
        <f>-887.768950649051 -1422.89658384827 -823.483934352774</f>
        <v>-3134.1494688500952</v>
      </c>
      <c r="J584">
        <f>-1000.20973225299 -1357.43934932377 -709.8651991029</f>
        <v>-3067.5142806796603</v>
      </c>
      <c r="K584">
        <f>-1044.00014489829 -1222.47312260392 -748.467496262575</f>
        <v>-3014.9407637647851</v>
      </c>
      <c r="L584">
        <f>-1109.99662173999 -1099.85553595445 -464.221843312058</f>
        <v>-2674.0740010064978</v>
      </c>
      <c r="M584">
        <f>-1090.70487703082 -990.540630430252 -229.019534096922</f>
        <v>-2310.2650415579942</v>
      </c>
      <c r="N584">
        <f>-974.750020194055 -1407.42388434259 -679.919345036436</f>
        <v>-3062.0932495730808</v>
      </c>
      <c r="O584">
        <f>-932.337457956059 -1519.69318437045 -594.938652654064</f>
        <v>-3046.9692949805726</v>
      </c>
      <c r="P584">
        <f>-1051.31689001188 -1519.9434935299 -301.629849980677</f>
        <v>-2872.8902335224575</v>
      </c>
      <c r="Q584">
        <f>-1081.31766934176 -1390.7226667892 -77.9248056488386</f>
        <v>-2549.9651417797986</v>
      </c>
      <c r="R584">
        <f>-1170.59391571029 -1218.24041605327 -178.799342135798</f>
        <v>-2567.6336738993577</v>
      </c>
      <c r="S584" t="s">
        <v>10184</v>
      </c>
      <c r="T584" t="s">
        <v>10185</v>
      </c>
      <c r="U584" t="s">
        <v>10186</v>
      </c>
      <c r="V584">
        <f>-1055.62484957145 -1377.52921801785 -186.077241382108</f>
        <v>-2619.231308971408</v>
      </c>
      <c r="W584" t="s">
        <v>10187</v>
      </c>
      <c r="X584" t="s">
        <v>10188</v>
      </c>
      <c r="Y584" t="s">
        <v>10189</v>
      </c>
    </row>
    <row r="585" spans="1:25" x14ac:dyDescent="0.3">
      <c r="A585">
        <v>29200</v>
      </c>
      <c r="B585" t="s">
        <v>10190</v>
      </c>
      <c r="C585">
        <f>-1112.88323032781 -1297.72881739486 -182.875925896554</f>
        <v>-2593.4879736192242</v>
      </c>
      <c r="D585">
        <f>-1120.01760539161 -1297.27843411961 -303.775420929786</f>
        <v>-2721.0714604410059</v>
      </c>
      <c r="E585">
        <f>-1098.0309845727 -1312.39274008579 -422.007079347132</f>
        <v>-2832.4308040056217</v>
      </c>
      <c r="F585">
        <f>-1066.85851491085 -1332.23751401603 -525.105732418504</f>
        <v>-2924.2017613453841</v>
      </c>
      <c r="G585">
        <f>-1025.02767666341 -1358.20631140506 -622.935393468127</f>
        <v>-3006.169381536597</v>
      </c>
      <c r="H585">
        <f>-956.387880964891 -1400.52532009266 -752.15489001195</f>
        <v>-3109.068091069501</v>
      </c>
      <c r="I585">
        <f>-886.971746380846 -1422.00180578253 -823.591059296277</f>
        <v>-3132.564611459653</v>
      </c>
      <c r="J585">
        <f>-999.586357453091 -1356.8629206376 -709.95994457741</f>
        <v>-3066.4092226681009</v>
      </c>
      <c r="K585">
        <f>-1043.89204167461 -1222.08156990674 -748.621585017143</f>
        <v>-3014.5951965984932</v>
      </c>
      <c r="L585">
        <f>-1110.33391778504 -1099.52647762282 -464.452800398348</f>
        <v>-2674.3131958062077</v>
      </c>
      <c r="M585">
        <f>-1091.72534625219 -990.109183555948 -229.243047601724</f>
        <v>-2311.077577409862</v>
      </c>
      <c r="N585">
        <f>-973.93133752449 -1406.73803072466 -679.998539218259</f>
        <v>-3060.6679074674089</v>
      </c>
      <c r="O585">
        <f>-931.064656327777 -1518.80240690012 -594.977382579095</f>
        <v>-3044.8444458069921</v>
      </c>
      <c r="P585">
        <f>-1049.97990061787 -1519.43517450418 -301.643158957283</f>
        <v>-2871.058234079333</v>
      </c>
      <c r="Q585">
        <f>-1080.40657653153 -1390.15458201797 -78.0301951877943</f>
        <v>-2548.591353737294</v>
      </c>
      <c r="R585">
        <f>-1170.72339996413 -1218.25761823662 -178.97864687953</f>
        <v>-2567.95966508028</v>
      </c>
      <c r="S585" t="s">
        <v>10191</v>
      </c>
      <c r="T585" t="s">
        <v>10192</v>
      </c>
      <c r="U585" t="s">
        <v>10193</v>
      </c>
      <c r="V585">
        <f>-1055.01386733993 -1377.06152666246 -186.106403648698</f>
        <v>-2618.1817976510874</v>
      </c>
      <c r="W585" t="s">
        <v>10194</v>
      </c>
      <c r="X585" t="s">
        <v>10195</v>
      </c>
      <c r="Y585" t="s">
        <v>10196</v>
      </c>
    </row>
    <row r="586" spans="1:25" x14ac:dyDescent="0.3">
      <c r="A586">
        <v>29250</v>
      </c>
      <c r="B586" t="s">
        <v>10197</v>
      </c>
      <c r="C586">
        <f>-1112.27573212522 -1296.98365904874 -183.115538176869</f>
        <v>-2592.374929350829</v>
      </c>
      <c r="D586">
        <f>-1119.15131857088 -1296.51779514318 -304.030013084788</f>
        <v>-2719.6991267988478</v>
      </c>
      <c r="E586">
        <f>-1096.94162291133 -1311.50886856393 -422.235575958109</f>
        <v>-2830.6860674333689</v>
      </c>
      <c r="F586">
        <f>-1065.58266446828 -1331.19751881395 -525.307535841861</f>
        <v>-2922.0877191240907</v>
      </c>
      <c r="G586">
        <f>-1023.57849983581 -1356.96721787184 -623.115613586017</f>
        <v>-3003.661331293667</v>
      </c>
      <c r="H586">
        <f>-954.709074387183 -1398.96665074735 -752.317213512921</f>
        <v>-3105.9929386474541</v>
      </c>
      <c r="I586">
        <f>-885.164554395819 -1420.0829265053 -823.736117130717</f>
        <v>-3128.9835980318362</v>
      </c>
      <c r="J586">
        <f>-998.182988735224 -1355.54922672382 -710.15260332215</f>
        <v>-3063.8848187811936</v>
      </c>
      <c r="K586">
        <f>-1043.46224949271 -1221.12449330814 -748.944893834392</f>
        <v>-3013.5316366352422</v>
      </c>
      <c r="L586">
        <f>-1110.78948042152 -1098.86378896268 -464.857723601109</f>
        <v>-2674.5109929853088</v>
      </c>
      <c r="M586">
        <f>-1093.7466650984 -989.171840562343 -229.657267283995</f>
        <v>-2312.5757729447378</v>
      </c>
      <c r="N586">
        <f>-972.180349682374 -1405.21719093519 -680.146577857925</f>
        <v>-3057.5441184754891</v>
      </c>
      <c r="O586">
        <f>-928.560296705215 -1516.92979183748 -595.053424991936</f>
        <v>-3040.5435135346311</v>
      </c>
      <c r="P586">
        <f>-1047.64178383235 -1518.19649422381 -301.788819469434</f>
        <v>-2867.6270975255939</v>
      </c>
      <c r="Q586">
        <f>-1078.93607845704 -1388.85993685856 -78.3278554746416</f>
        <v>-2546.1238707902417</v>
      </c>
      <c r="R586">
        <f>-1170.64715787655 -1217.97283779162 -179.33953391772</f>
        <v>-2567.9595295858899</v>
      </c>
      <c r="S586" t="s">
        <v>10198</v>
      </c>
      <c r="T586" t="s">
        <v>10199</v>
      </c>
      <c r="U586" t="s">
        <v>10200</v>
      </c>
      <c r="V586">
        <f>-1053.83666007595 -1376.01707070725 -186.186658860497</f>
        <v>-2616.0403896436974</v>
      </c>
      <c r="W586" t="s">
        <v>10201</v>
      </c>
      <c r="X586" t="s">
        <v>10202</v>
      </c>
      <c r="Y586" t="s">
        <v>10203</v>
      </c>
    </row>
    <row r="587" spans="1:25" x14ac:dyDescent="0.3">
      <c r="A587">
        <v>29300</v>
      </c>
      <c r="B587" t="s">
        <v>10204</v>
      </c>
      <c r="C587">
        <f>-1112.08494356056 -1296.67239613622 -183.215818952221</f>
        <v>-2591.9731586490011</v>
      </c>
      <c r="D587">
        <f>-1118.86649518793 -1296.25301806662 -304.135865920386</f>
        <v>-2719.255379174936</v>
      </c>
      <c r="E587">
        <f>-1096.55439189481 -1311.20995173366 -422.326535973776</f>
        <v>-2830.0908796022459</v>
      </c>
      <c r="F587">
        <f>-1065.09972109635 -1330.83433864972 -525.381416485525</f>
        <v>-2921.3154762315953</v>
      </c>
      <c r="G587">
        <f>-1022.99606301583 -1356.50723243237 -623.172241768556</f>
        <v>-3002.6755372167563</v>
      </c>
      <c r="H587">
        <f>-953.983730791873 -1398.33916664465 -752.351890209765</f>
        <v>-3104.6747876462878</v>
      </c>
      <c r="I587">
        <f>-884.353379072181 -1419.28774819179 -823.736589554682</f>
        <v>-3127.3777168186525</v>
      </c>
      <c r="J587">
        <f>-997.602366945578 -1355.04599302573 -710.209002056823</f>
        <v>-3062.8573620281309</v>
      </c>
      <c r="K587">
        <f>-1043.29224921354 -1220.7781384325 -749.059966626825</f>
        <v>-3013.1303542728651</v>
      </c>
      <c r="L587">
        <f>-1111.03093597607 -1098.67356332313 -465.003235749321</f>
        <v>-2674.707735048521</v>
      </c>
      <c r="M587">
        <f>-1094.85166426793 -988.872786188683 -229.792611552342</f>
        <v>-2313.5170620089548</v>
      </c>
      <c r="N587">
        <f>-971.43673109658 -1404.61369513047 -680.178986078941</f>
        <v>-3056.229412305991</v>
      </c>
      <c r="O587">
        <f>-927.479326586861 -1516.14809619858 -595.020843072953</f>
        <v>-3038.6482658583941</v>
      </c>
      <c r="P587">
        <f>-1046.64494528494 -1517.67301716029 -301.791590222933</f>
        <v>-2866.1095526681629</v>
      </c>
      <c r="Q587">
        <f>-1078.43276937358 -1388.28588005555 -78.4295883192065</f>
        <v>-2545.1482377483367</v>
      </c>
      <c r="R587">
        <f>-1170.77316142305 -1217.91611305142 -179.498528034324</f>
        <v>-2568.187802508794</v>
      </c>
      <c r="S587" t="s">
        <v>10205</v>
      </c>
      <c r="T587" t="s">
        <v>10206</v>
      </c>
      <c r="U587" t="s">
        <v>10207</v>
      </c>
      <c r="V587">
        <f>-1053.31862756253 -1375.51601693177 -186.216992028045</f>
        <v>-2615.0516365223448</v>
      </c>
      <c r="W587" t="s">
        <v>10208</v>
      </c>
      <c r="X587" t="s">
        <v>10209</v>
      </c>
      <c r="Y587" t="s">
        <v>10210</v>
      </c>
    </row>
    <row r="588" spans="1:25" x14ac:dyDescent="0.3">
      <c r="A588">
        <v>29350</v>
      </c>
      <c r="B588" t="s">
        <v>10211</v>
      </c>
      <c r="C588">
        <f>-1111.75734909857 -1296.12582469911 -183.342874558868</f>
        <v>-2591.2260483565478</v>
      </c>
      <c r="D588">
        <f>-1118.41308140273 -1295.79003996807 -304.27004233341</f>
        <v>-2718.47316370421</v>
      </c>
      <c r="E588">
        <f>-1095.87185256097 -1310.68919144543 -422.424433438522</f>
        <v>-2828.9854774449223</v>
      </c>
      <c r="F588">
        <f>-1064.17108665339 -1330.20137540968 -525.425407505892</f>
        <v>-2919.7978695689621</v>
      </c>
      <c r="G588">
        <f>-1021.7841594793 -1355.70205820982 -623.138821274895</f>
        <v>-3000.6250389640154</v>
      </c>
      <c r="H588">
        <f>-952.341855970181 -1397.23212437087 -752.185448809091</f>
        <v>-3101.7594291501418</v>
      </c>
      <c r="I588">
        <f>-882.478687523284 -1417.85750098747 -823.436623754082</f>
        <v>-3123.7728122648364</v>
      </c>
      <c r="J588">
        <f>-996.282438506976 -1354.16765268572 -710.142655302177</f>
        <v>-3060.5927464948732</v>
      </c>
      <c r="K588">
        <f>-1042.76448212308 -1220.22621789138 -749.185961206939</f>
        <v>-3012.1766612213987</v>
      </c>
      <c r="L588">
        <f>-1111.38118651429 -1098.35255761277 -465.240996641966</f>
        <v>-2674.9747407690261</v>
      </c>
      <c r="M588">
        <f>-1096.67718351103 -988.415248941139 -229.99730640022</f>
        <v>-2315.0897388523895</v>
      </c>
      <c r="N588">
        <f>-969.853410497301 -1403.54506115403 -680.029965270923</f>
        <v>-3053.4284369222541</v>
      </c>
      <c r="O588">
        <f>-925.366592207525 -1514.75554677879 -594.723754089799</f>
        <v>-3034.845893076114</v>
      </c>
      <c r="P588">
        <f>-1044.86077784835 -1516.72959211707 -301.630891686567</f>
        <v>-2863.2212616519869</v>
      </c>
      <c r="Q588">
        <f>-1077.4310858349 -1387.23622708719 -78.4433574939568</f>
        <v>-2543.1106704160466</v>
      </c>
      <c r="R588">
        <f>-1170.91439115127 -1217.63194369251 -179.727115277698</f>
        <v>-2568.2734501214777</v>
      </c>
      <c r="S588" t="s">
        <v>10212</v>
      </c>
      <c r="T588" t="s">
        <v>10213</v>
      </c>
      <c r="U588" t="s">
        <v>10214</v>
      </c>
      <c r="V588">
        <f>-1052.54622230639 -1374.65292606098 -186.231879548943</f>
        <v>-2613.4310279163133</v>
      </c>
      <c r="W588" t="s">
        <v>10215</v>
      </c>
      <c r="X588" t="s">
        <v>10216</v>
      </c>
      <c r="Y588" t="s">
        <v>10217</v>
      </c>
    </row>
    <row r="589" spans="1:25" x14ac:dyDescent="0.3">
      <c r="A589">
        <v>29400</v>
      </c>
      <c r="B589" t="s">
        <v>10218</v>
      </c>
      <c r="C589">
        <f>-1111.76828861724 -1295.91657229024 -183.371364853217</f>
        <v>-2591.0562257606971</v>
      </c>
      <c r="D589">
        <f>-1118.35254028344 -1295.61420135888 -304.302597166439</f>
        <v>-2718.2693388087591</v>
      </c>
      <c r="E589">
        <f>-1095.6867617544 -1310.49111927268 -422.435980710903</f>
        <v>-2828.6138617379829</v>
      </c>
      <c r="F589">
        <f>-1063.8549001167 -1329.96091411616 -525.404449878297</f>
        <v>-2919.2202641111571</v>
      </c>
      <c r="G589">
        <f>-1021.32048158875 -1355.39770125235 -623.070450941381</f>
        <v>-2999.7886337824812</v>
      </c>
      <c r="H589">
        <f>-951.658480587434 -1396.81720587859 -752.034230077041</f>
        <v>-3100.5099165430647</v>
      </c>
      <c r="I589">
        <f>-881.666714403592 -1417.30206755471 -823.199493695196</f>
        <v>-3122.1682756534979</v>
      </c>
      <c r="J589">
        <f>-995.745956619502 -1353.84325979213 -710.052637448019</f>
        <v>-3059.6418538596513</v>
      </c>
      <c r="K589">
        <f>-1042.52771397945 -1220.03984451311 -749.206726033176</f>
        <v>-3011.7742845257362</v>
      </c>
      <c r="L589">
        <f>-1111.70891282501 -1098.24917942144 -465.363046964567</f>
        <v>-2675.321139211017</v>
      </c>
      <c r="M589">
        <f>-1097.49573258169 -988.3121448106 -230.089126084839</f>
        <v>-2315.8970034771287</v>
      </c>
      <c r="N589">
        <f>-969.217556682874 -1403.13745958979 -679.89083604728</f>
        <v>-3052.2458523199443</v>
      </c>
      <c r="O589">
        <f>-924.535274858273 -1514.19719760926 -594.486638058843</f>
        <v>-3033.2191105263764</v>
      </c>
      <c r="P589">
        <f>-1044.24320741029 -1516.43032089233 -301.482980861772</f>
        <v>-2862.156509164392</v>
      </c>
      <c r="Q589">
        <f>-1077.19728963146 -1386.89096393968 -78.3783385334536</f>
        <v>-2542.4665921045935</v>
      </c>
      <c r="R589">
        <f>-1171.18728613843 -1217.61444953169 -179.786855804692</f>
        <v>-2568.5885914748123</v>
      </c>
      <c r="S589" t="s">
        <v>10219</v>
      </c>
      <c r="T589" t="s">
        <v>10220</v>
      </c>
      <c r="U589" t="s">
        <v>10221</v>
      </c>
      <c r="V589">
        <f>-1052.32623356028 -1374.26163866907 -186.224377004465</f>
        <v>-2612.8122492338152</v>
      </c>
      <c r="W589" t="s">
        <v>10222</v>
      </c>
      <c r="X589" t="s">
        <v>10223</v>
      </c>
      <c r="Y589" t="s">
        <v>10224</v>
      </c>
    </row>
    <row r="590" spans="1:25" x14ac:dyDescent="0.3">
      <c r="A590">
        <v>29450</v>
      </c>
      <c r="B590" t="s">
        <v>10225</v>
      </c>
      <c r="C590">
        <f>-1111.72852742039 -1295.49335601 -183.356694720485</f>
        <v>-2590.5785781508753</v>
      </c>
      <c r="D590">
        <f>-1118.25346846874 -1295.25405465648 -304.291392173986</f>
        <v>-2717.7989152992063</v>
      </c>
      <c r="E590">
        <f>-1095.41687754795 -1310.09631578324 -422.39615783923</f>
        <v>-2827.90935117042</v>
      </c>
      <c r="F590">
        <f>-1063.39016364315 -1329.49578428751 -525.317560021439</f>
        <v>-2918.2035079520992</v>
      </c>
      <c r="G590">
        <f>-1020.62419045544 -1354.82453046461 -622.910473421231</f>
        <v>-2998.3591943412812</v>
      </c>
      <c r="H590">
        <f>-950.606493186863 -1396.05544256991 -751.741857867944</f>
        <v>-3098.4037936247169</v>
      </c>
      <c r="I590">
        <f>-880.3441748433 -1416.27365899347 -822.716598489146</f>
        <v>-3119.3344323259162</v>
      </c>
      <c r="J590">
        <f>-994.940627690076 -1353.23840482918 -709.85973384348</f>
        <v>-3058.0387663627362</v>
      </c>
      <c r="K590">
        <f>-1042.24363847275 -1219.676170682 -749.210257770821</f>
        <v>-3011.1300669255711</v>
      </c>
      <c r="L590">
        <f>-1112.52815937478 -1098.02671334798 -465.577127158109</f>
        <v>-2676.1319998808685</v>
      </c>
      <c r="M590">
        <f>-1098.9382994474 -988.166187058248 -230.230685721445</f>
        <v>-2317.3351722270927</v>
      </c>
      <c r="N590">
        <f>-968.233723692338 -1402.38566756634 -679.616121005519</f>
        <v>-3050.235512264197</v>
      </c>
      <c r="O590">
        <f>-923.204802858809 -1513.17826727763 -594.048262589237</f>
        <v>-3030.4313327256759</v>
      </c>
      <c r="P590">
        <f>-1043.40640790612 -1515.81261738924 -301.249948984268</f>
        <v>-2860.4689742796277</v>
      </c>
      <c r="Q590">
        <f>-1076.99102513861 -1386.28250012021 -78.2340502219532</f>
        <v>-2541.5075754807731</v>
      </c>
      <c r="R590">
        <f>-1171.42628655303 -1217.42416590523 -179.797322795385</f>
        <v>-2568.6477752536448</v>
      </c>
      <c r="S590" t="s">
        <v>10226</v>
      </c>
      <c r="T590" t="s">
        <v>10227</v>
      </c>
      <c r="U590" t="s">
        <v>10228</v>
      </c>
      <c r="V590">
        <f>-1051.9500009622 -1373.56419465317 -186.177147886316</f>
        <v>-2611.6913435016863</v>
      </c>
      <c r="W590" t="s">
        <v>10229</v>
      </c>
      <c r="X590" t="s">
        <v>10230</v>
      </c>
      <c r="Y590" t="s">
        <v>10231</v>
      </c>
    </row>
    <row r="591" spans="1:25" x14ac:dyDescent="0.3">
      <c r="A591">
        <v>29500</v>
      </c>
      <c r="B591" t="s">
        <v>10232</v>
      </c>
      <c r="C591">
        <f>-1111.75075466777 -1295.33894927616 -183.331035972543</f>
        <v>-2590.4207399164729</v>
      </c>
      <c r="D591">
        <f>-1118.25398872507 -1295.13224164653 -304.266856958424</f>
        <v>-2717.6530873300239</v>
      </c>
      <c r="E591">
        <f>-1095.33971553873 -1309.95788944282 -422.35873687075</f>
        <v>-2827.6563418522996</v>
      </c>
      <c r="F591">
        <f>-1063.22208160586 -1329.32246701164 -525.258387564205</f>
        <v>-2917.8029361817048</v>
      </c>
      <c r="G591">
        <f>-1020.34623762874 -1354.596870434 -622.817002233817</f>
        <v>-2997.7601102965573</v>
      </c>
      <c r="H591">
        <f>-950.158133381468 -1395.73231173181 -751.586295428088</f>
        <v>-3097.4767405413659</v>
      </c>
      <c r="I591">
        <f>-879.754226204242 -1415.82034523927 -822.457610168017</f>
        <v>-3118.0321816115293</v>
      </c>
      <c r="J591">
        <f>-994.604078171755 -1352.98777263168 -709.748711079717</f>
        <v>-3057.3405618831516</v>
      </c>
      <c r="K591">
        <f>-1042.12388793149 -1219.52654213256 -749.177897313112</f>
        <v>-3010.8283273771622</v>
      </c>
      <c r="L591">
        <f>-1112.91260145603 -1097.95353924264 -465.637567024176</f>
        <v>-2676.5037077228462</v>
      </c>
      <c r="M591">
        <f>-1099.53818707633 -988.106541644919 -230.272270816662</f>
        <v>-2317.9169995379111</v>
      </c>
      <c r="N591">
        <f>-967.824290167761 -1402.07454031362 -679.471123466847</f>
        <v>-3049.3699539482282</v>
      </c>
      <c r="O591">
        <f>-922.67541927141 -1512.76181788116 -593.832564694073</f>
        <v>-3029.2698018466426</v>
      </c>
      <c r="P591">
        <f>-1043.11735738227 -1515.59140129094 -301.134837839844</f>
        <v>-2859.8435965130539</v>
      </c>
      <c r="Q591">
        <f>-1076.95918680343 -1386.04679538682 -78.1662641165867</f>
        <v>-2541.1722463068363</v>
      </c>
      <c r="R591">
        <f>-1171.56197937125 -1217.39908429573 -179.769857048105</f>
        <v>-2568.7309207150847</v>
      </c>
      <c r="S591" t="s">
        <v>10233</v>
      </c>
      <c r="T591" t="s">
        <v>10234</v>
      </c>
      <c r="U591" t="s">
        <v>10235</v>
      </c>
      <c r="V591">
        <f>-1051.8808754372 -1373.32547138236 -186.146598547068</f>
        <v>-2611.3529453666283</v>
      </c>
      <c r="W591" t="s">
        <v>10236</v>
      </c>
      <c r="X591" t="s">
        <v>10237</v>
      </c>
      <c r="Y591" t="s">
        <v>10238</v>
      </c>
    </row>
    <row r="592" spans="1:25" x14ac:dyDescent="0.3">
      <c r="A592">
        <v>29550</v>
      </c>
      <c r="B592" t="s">
        <v>10239</v>
      </c>
      <c r="C592">
        <f>-1111.78988316443 -1295.00356607388 -183.272122706087</f>
        <v>-2590.0655719443971</v>
      </c>
      <c r="D592">
        <f>-1118.21838093652 -1294.83006621285 -304.212065930124</f>
        <v>-2717.2605130794941</v>
      </c>
      <c r="E592">
        <f>-1095.1440464924 -1309.62339332802 -422.276850161011</f>
        <v>-2827.0442899814307</v>
      </c>
      <c r="F592">
        <f>-1062.85094635058 -1328.93153787687 -525.132082740571</f>
        <v>-2916.9145669680211</v>
      </c>
      <c r="G592">
        <f>-1019.77193856346 -1354.12235260941 -622.622985092479</f>
        <v>-2996.5172762653492</v>
      </c>
      <c r="H592">
        <f>-949.276115283763 -1395.11326831421 -751.270082586265</f>
        <v>-3095.6594661842378</v>
      </c>
      <c r="I592">
        <f>-878.615371074414 -1414.95146975621 -821.955971518504</f>
        <v>-3115.5228123491279</v>
      </c>
      <c r="J592">
        <f>-993.910209660592 -1352.48088801853 -709.51848708526</f>
        <v>-3055.9095847643821</v>
      </c>
      <c r="K592">
        <f>-1041.77274415406 -1219.18808318545 -749.09787458247</f>
        <v>-3010.0587019219802</v>
      </c>
      <c r="L592">
        <f>-1113.32191503105 -1097.73740591506 -465.695984884502</f>
        <v>-2676.7553058306121</v>
      </c>
      <c r="M592">
        <f>-1100.37282045507 -987.877303062124 -230.313092348266</f>
        <v>-2318.5632158654598</v>
      </c>
      <c r="N592">
        <f>-967.026474266716 -1401.47123751439 -679.176997809457</f>
        <v>-3047.674709590563</v>
      </c>
      <c r="O592">
        <f>-921.682591727921 -1511.98348108918 -593.412438932224</f>
        <v>-3027.0785117493251</v>
      </c>
      <c r="P592">
        <f>-1042.45224231437 -1515.17339666499 -300.853544358001</f>
        <v>-2858.4791833373606</v>
      </c>
      <c r="Q592">
        <f>-1076.82230401391 -1385.59183200786 -77.9872137609311</f>
        <v>-2540.4013497827009</v>
      </c>
      <c r="R592">
        <f>-1171.77462124496 -1217.18481873083 -179.752262683085</f>
        <v>-2568.7117026588749</v>
      </c>
      <c r="S592" t="s">
        <v>10240</v>
      </c>
      <c r="T592" t="s">
        <v>10241</v>
      </c>
      <c r="U592" t="s">
        <v>10242</v>
      </c>
      <c r="V592">
        <f>-1051.73024656546 -1372.82982248075 -186.077457515489</f>
        <v>-2610.6375265616989</v>
      </c>
      <c r="W592" t="s">
        <v>10243</v>
      </c>
      <c r="X592" t="s">
        <v>10244</v>
      </c>
      <c r="Y592" t="s">
        <v>10245</v>
      </c>
    </row>
    <row r="593" spans="1:25" x14ac:dyDescent="0.3">
      <c r="A593">
        <v>29600</v>
      </c>
      <c r="B593" t="s">
        <v>10246</v>
      </c>
      <c r="C593">
        <f>-1111.79504878589 -1294.91413931382 -183.243702202351</f>
        <v>-2589.952890302061</v>
      </c>
      <c r="D593">
        <f>-1118.19386653831 -1294.74291436495 -304.185115708837</f>
        <v>-2717.1218966120969</v>
      </c>
      <c r="E593">
        <f>-1095.06271958068 -1309.52095142402 -422.240773344788</f>
        <v>-2826.8244443494882</v>
      </c>
      <c r="F593">
        <f>-1062.70860593971 -1328.80779191484 -525.080819517046</f>
        <v>-2916.5972173715959</v>
      </c>
      <c r="G593">
        <f>-1019.55997768269 -1353.96990051506 -622.548342049215</f>
        <v>-2996.078220246965</v>
      </c>
      <c r="H593">
        <f>-948.95967167958 -1394.91302138443 -751.153461821755</f>
        <v>-3095.0261548857652</v>
      </c>
      <c r="I593">
        <f>-878.194480677818 -1414.64381029186 -821.764860814573</f>
        <v>-3114.6031517842512</v>
      </c>
      <c r="J593">
        <f>-993.658374373066 -1352.31897648027 -709.43190616983</f>
        <v>-3055.409257023166</v>
      </c>
      <c r="K593">
        <f>-1041.64238322339 -1219.08180437825 -749.062382992061</f>
        <v>-3009.7865705937006</v>
      </c>
      <c r="L593">
        <f>-1113.49818998765 -1097.64400129898 -465.732547576988</f>
        <v>-2676.8747388636179</v>
      </c>
      <c r="M593">
        <f>-1100.72403922838 -987.746028405654 -230.357662126644</f>
        <v>-2318.8277297606778</v>
      </c>
      <c r="N593">
        <f>-966.737855618592 -1401.27497083011 -679.067493743106</f>
        <v>-3047.0803201918079</v>
      </c>
      <c r="O593">
        <f>-921.329429941465 -1511.72577494092 -593.258306296959</f>
        <v>-3026.313511179344</v>
      </c>
      <c r="P593">
        <f>-1042.27676421845 -1515.09950296806 -300.774975645123</f>
        <v>-2858.1512428316328</v>
      </c>
      <c r="Q593">
        <f>-1076.89769070644 -1385.53785755076 -77.9358640140373</f>
        <v>-2540.3714122712372</v>
      </c>
      <c r="R593">
        <f>-1171.83602963922 -1217.2104296601 -179.716686061167</f>
        <v>-2568.7631453604872</v>
      </c>
      <c r="S593" t="s">
        <v>10247</v>
      </c>
      <c r="T593" t="s">
        <v>10248</v>
      </c>
      <c r="U593" t="s">
        <v>10249</v>
      </c>
      <c r="V593">
        <f>-1051.69170304537 -1372.65734447948 -186.043733647427</f>
        <v>-2610.392781172277</v>
      </c>
      <c r="W593" t="s">
        <v>10250</v>
      </c>
      <c r="X593" t="s">
        <v>10251</v>
      </c>
      <c r="Y593" t="s">
        <v>10252</v>
      </c>
    </row>
    <row r="594" spans="1:25" x14ac:dyDescent="0.3">
      <c r="A594">
        <v>29650</v>
      </c>
      <c r="B594" t="s">
        <v>10253</v>
      </c>
      <c r="C594">
        <f>-1111.64005212013 -1294.7112730145 -183.212040265087</f>
        <v>-2589.563365399717</v>
      </c>
      <c r="D594">
        <f>-1117.96019921446 -1294.5373735219 -304.157612003581</f>
        <v>-2716.655184739941</v>
      </c>
      <c r="E594">
        <f>-1094.70724002752 -1309.25721052697 -422.196587700288</f>
        <v>-2826.1610382547783</v>
      </c>
      <c r="F594">
        <f>-1062.22820634379 -1328.47015863872 -525.011157844192</f>
        <v>-2915.7095228267017</v>
      </c>
      <c r="G594">
        <f>-1018.94170723608 -1353.53822083201 -622.441808588549</f>
        <v>-2994.921736656639</v>
      </c>
      <c r="H594">
        <f>-948.138229253498 -1394.33076475281 -750.982928739694</f>
        <v>-3093.4519227460023</v>
      </c>
      <c r="I594">
        <f>-877.180659395047 -1413.85463876886 -821.458750697697</f>
        <v>-3112.4940488616039</v>
      </c>
      <c r="J594">
        <f>-992.952640021229 -1351.82264534536 -709.297873554494</f>
        <v>-3054.0731589210827</v>
      </c>
      <c r="K594">
        <f>-1041.09436294148 -1218.6543871912 -748.962454346545</f>
        <v>-3008.7112044792248</v>
      </c>
      <c r="L594">
        <f>-1113.45715042869 -1097.27653311634 -465.735987983647</f>
        <v>-2676.4696715286773</v>
      </c>
      <c r="M594">
        <f>-1100.9442309837 -987.351877757115 -230.359590167723</f>
        <v>-2318.6556989085379</v>
      </c>
      <c r="N594">
        <f>-965.98051813957 -1400.74000482479 -678.917024989359</f>
        <v>-3045.6375479537191</v>
      </c>
      <c r="O594">
        <f>-920.495629050963 -1511.13830489253 -593.081734538691</f>
        <v>-3024.7156684821839</v>
      </c>
      <c r="P594">
        <f>-1041.82286662538 -1514.72472081443 -300.758199254469</f>
        <v>-2857.305786694279</v>
      </c>
      <c r="Q594">
        <f>-1076.77780157791 -1385.15683026172 -77.9749519066045</f>
        <v>-2539.9095837462346</v>
      </c>
      <c r="R594">
        <f>-1171.65925399717 -1217.05326441618 -179.717841656396</f>
        <v>-2568.4303600697463</v>
      </c>
      <c r="S594" t="s">
        <v>10254</v>
      </c>
      <c r="T594" t="s">
        <v>10255</v>
      </c>
      <c r="U594" t="s">
        <v>10256</v>
      </c>
      <c r="V594">
        <f>-1051.50533046904 -1372.32778003424 -185.986815384116</f>
        <v>-2609.8199258873965</v>
      </c>
      <c r="W594" t="s">
        <v>10257</v>
      </c>
      <c r="X594" t="s">
        <v>10258</v>
      </c>
      <c r="Y594" t="s">
        <v>10259</v>
      </c>
    </row>
    <row r="595" spans="1:25" x14ac:dyDescent="0.3">
      <c r="A595">
        <v>29700</v>
      </c>
      <c r="B595" t="s">
        <v>10260</v>
      </c>
      <c r="C595">
        <f>-1111.52924644565 -1294.56424346436 -183.203068039673</f>
        <v>-2589.2965579496831</v>
      </c>
      <c r="D595">
        <f>-1117.79215721289 -1294.38258134148 -304.151501256575</f>
        <v>-2716.3262398109455</v>
      </c>
      <c r="E595">
        <f>-1094.49330934301 -1309.08065378168 -422.184181238646</f>
        <v>-2825.7581443633358</v>
      </c>
      <c r="F595">
        <f>-1061.97825386495 -1328.26934256674 -524.991927434698</f>
        <v>-2915.239523866388</v>
      </c>
      <c r="G595">
        <f>-1018.66124975124 -1353.3093827517 -622.416142040939</f>
        <v>-2994.3867745438793</v>
      </c>
      <c r="H595">
        <f>-947.821098017537 -1394.05994661625 -750.950404902674</f>
        <v>-3092.8314495364612</v>
      </c>
      <c r="I595">
        <f>-876.79914846182 -1413.50290618116 -821.383656363184</f>
        <v>-3111.6857110061637</v>
      </c>
      <c r="J595">
        <f>-992.660598131581 -1351.57530447612 -709.268298423384</f>
        <v>-3053.5042010310849</v>
      </c>
      <c r="K595">
        <f>-1040.87349251691 -1218.42711151981 -748.932834820153</f>
        <v>-3008.2334388568729</v>
      </c>
      <c r="L595">
        <f>-1113.38019540305 -1097.06258224273 -465.737546575396</f>
        <v>-2676.1803242211763</v>
      </c>
      <c r="M595">
        <f>-1100.98010632841 -987.159790545488 -230.344943055258</f>
        <v>-2318.4848399291559</v>
      </c>
      <c r="N595">
        <f>-965.670699462947 -1400.48288701779 -678.8875766129</f>
        <v>-3045.0411630936369</v>
      </c>
      <c r="O595">
        <f>-920.183540442215 -1510.87484647174 -593.055574796627</f>
        <v>-3024.1139617105819</v>
      </c>
      <c r="P595">
        <f>-1041.62730982861 -1514.59128487709 -300.782096430057</f>
        <v>-2857.0006911357568</v>
      </c>
      <c r="Q595">
        <f>-1076.74095121079 -1385.0196133405 -78.0260792484188</f>
        <v>-2539.7866437997086</v>
      </c>
      <c r="R595">
        <f>-1171.58914215971 -1216.94697019726 -179.732294363306</f>
        <v>-2568.2684067202763</v>
      </c>
      <c r="S595" t="s">
        <v>10261</v>
      </c>
      <c r="T595" t="s">
        <v>10262</v>
      </c>
      <c r="U595" t="s">
        <v>10263</v>
      </c>
      <c r="V595">
        <f>-1051.39251360463 -1372.15605521443 -185.96849744563</f>
        <v>-2609.5170662646901</v>
      </c>
      <c r="W595" t="s">
        <v>10264</v>
      </c>
      <c r="X595" t="s">
        <v>10265</v>
      </c>
      <c r="Y595" t="s">
        <v>10266</v>
      </c>
    </row>
    <row r="596" spans="1:25" x14ac:dyDescent="0.3">
      <c r="A596">
        <v>29750</v>
      </c>
      <c r="B596" t="s">
        <v>10267</v>
      </c>
      <c r="C596">
        <f>-1111.34638707579 -1294.40096453006 -183.18088231926</f>
        <v>-2588.9282339251099</v>
      </c>
      <c r="D596">
        <f>-1117.51942060552 -1294.21005099828 -304.133964819032</f>
        <v>-2715.8634364228319</v>
      </c>
      <c r="E596">
        <f>-1094.0931172865 -1308.82622287015 -422.151471718727</f>
        <v>-2825.0708118753769</v>
      </c>
      <c r="F596">
        <f>-1061.44941421589 -1327.91249334041 -524.937500865074</f>
        <v>-2914.2994084213742</v>
      </c>
      <c r="G596">
        <f>-1017.99149961979 -1352.82289089939 -622.332172298251</f>
        <v>-2993.146562817431</v>
      </c>
      <c r="H596">
        <f>-946.943822502033 -1393.36612900078 -750.817535129706</f>
        <v>-3091.1274866325189</v>
      </c>
      <c r="I596">
        <f>-875.783050496757 -1412.62904008417 -821.160088583162</f>
        <v>-3109.572179164089</v>
      </c>
      <c r="J596">
        <f>-991.886211789238 -1350.97532008131 -709.150680112356</f>
        <v>-3052.0122119829039</v>
      </c>
      <c r="K596">
        <f>-1040.1667397054 -1217.86158425633 -748.783910384824</f>
        <v>-3006.8122343465543</v>
      </c>
      <c r="L596">
        <f>-1112.93745933236 -1096.59441471529 -465.614651771939</f>
        <v>-2675.146525819589</v>
      </c>
      <c r="M596">
        <f>-1100.59467786013 -986.829280948105 -230.154739400884</f>
        <v>-2317.578698209119</v>
      </c>
      <c r="N596">
        <f>-964.874230959701 -1399.87869488995 -678.782806380915</f>
        <v>-3043.5357322305663</v>
      </c>
      <c r="O596">
        <f>-919.343834816422 -1510.30503351455 -592.988008271989</f>
        <v>-3022.6368766029609</v>
      </c>
      <c r="P596">
        <f>-1040.95292531065 -1514.28200314923 -300.786698033956</f>
        <v>-2856.0216264938358</v>
      </c>
      <c r="Q596">
        <f>-1076.39370957863 -1384.79778738416 -78.0315931482497</f>
        <v>-2539.2230901110397</v>
      </c>
      <c r="R596">
        <f>-1171.45953079395 -1216.87431844006 -179.738596895252</f>
        <v>-2568.0724461292621</v>
      </c>
      <c r="S596" t="s">
        <v>10268</v>
      </c>
      <c r="T596" t="s">
        <v>10269</v>
      </c>
      <c r="U596" t="s">
        <v>10270</v>
      </c>
      <c r="V596">
        <f>-1051.20176879742 -1371.92706698277 -185.924060591927</f>
        <v>-2609.0528963721172</v>
      </c>
      <c r="W596" t="s">
        <v>10271</v>
      </c>
      <c r="X596" t="s">
        <v>10272</v>
      </c>
      <c r="Y596" t="s">
        <v>10273</v>
      </c>
    </row>
    <row r="597" spans="1:25" x14ac:dyDescent="0.3">
      <c r="A597">
        <v>29800</v>
      </c>
      <c r="B597" t="s">
        <v>10274</v>
      </c>
      <c r="C597">
        <f>-1111.30601182529 -1294.34264741383 -183.150788957666</f>
        <v>-2588.7994481967862</v>
      </c>
      <c r="D597">
        <f>-1117.40737469258 -1294.11495043364 -304.107579225994</f>
        <v>-2715.629904352214</v>
      </c>
      <c r="E597">
        <f>-1093.92220526374 -1308.66539349354 -422.121538950338</f>
        <v>-2824.7091377076181</v>
      </c>
      <c r="F597">
        <f>-1061.23040338366 -1327.68100111647 -524.905231309769</f>
        <v>-2913.8166358098988</v>
      </c>
      <c r="G597">
        <f>-1017.72886345412 -1352.51024862235 -622.301331092284</f>
        <v>-2992.5404431687539</v>
      </c>
      <c r="H597">
        <f>-946.624385303839 -1392.93046245031 -750.793881247293</f>
        <v>-3090.3487290014418</v>
      </c>
      <c r="I597">
        <f>-875.420234920946 -1412.10664607731 -821.116120150105</f>
        <v>-3108.6430011483608</v>
      </c>
      <c r="J597">
        <f>-991.60356670118 -1350.59331722177 -709.112334638648</f>
        <v>-3051.3092185615978</v>
      </c>
      <c r="K597">
        <f>-1039.89585907336 -1217.44517625951 -748.678427556264</f>
        <v>-3006.019462889134</v>
      </c>
      <c r="L597">
        <f>-1112.76287816181 -1096.28093580106 -465.489606985825</f>
        <v>-2674.533420948695</v>
      </c>
      <c r="M597">
        <f>-1100.31006265761 -986.626027909681 -229.984297598228</f>
        <v>-2316.9203881655189</v>
      </c>
      <c r="N597">
        <f>-964.568293136202 -1399.49821890285 -678.767474509709</f>
        <v>-3042.8339865487615</v>
      </c>
      <c r="O597">
        <f>-918.956219320089 -1509.90263719064 -593.015652240342</f>
        <v>-3021.8745087510706</v>
      </c>
      <c r="P597">
        <f>-1040.61159082727 -1513.98815165875 -300.835122147818</f>
        <v>-2855.4348646338376</v>
      </c>
      <c r="Q597">
        <f>-1076.24295814758 -1384.5679815659 -78.0731383146065</f>
        <v>-2538.8840780280871</v>
      </c>
      <c r="R597">
        <f>-1171.37147234111 -1216.82590823497 -179.711516208426</f>
        <v>-2567.9088967845059</v>
      </c>
      <c r="S597" t="s">
        <v>10275</v>
      </c>
      <c r="T597" t="s">
        <v>10276</v>
      </c>
      <c r="U597" t="s">
        <v>10277</v>
      </c>
      <c r="V597">
        <f>-1051.18362579696 -1371.85575076754 -185.89802841998</f>
        <v>-2608.9374049844805</v>
      </c>
      <c r="W597" t="s">
        <v>10278</v>
      </c>
      <c r="X597" t="s">
        <v>10279</v>
      </c>
      <c r="Y597" t="s">
        <v>10280</v>
      </c>
    </row>
    <row r="598" spans="1:25" x14ac:dyDescent="0.3">
      <c r="A598">
        <v>29850</v>
      </c>
      <c r="B598" t="s">
        <v>10281</v>
      </c>
      <c r="C598">
        <f>-1111.35559034873 -1294.3879512141 -183.093152345726</f>
        <v>-2588.8366939085558</v>
      </c>
      <c r="D598">
        <f>-1117.42225759051 -1294.14612125147 -304.051683254201</f>
        <v>-2715.6200620961813</v>
      </c>
      <c r="E598">
        <f>-1093.87840817893 -1308.6372164885 -422.061200438481</f>
        <v>-2824.5768251059108</v>
      </c>
      <c r="F598">
        <f>-1061.12639363545 -1327.58524012443 -524.838261253262</f>
        <v>-2913.5498950131418</v>
      </c>
      <c r="G598">
        <f>-1017.55917927511 -1352.33599402379 -622.224887775397</f>
        <v>-2992.1200610742967</v>
      </c>
      <c r="H598">
        <f>-946.359362601189 -1392.63850193207 -750.701650147186</f>
        <v>-3089.6995146804447</v>
      </c>
      <c r="I598">
        <f>-875.104377440578 -1411.70452706279 -821.002452149271</f>
        <v>-3107.811356652639</v>
      </c>
      <c r="J598">
        <f>-991.386147714854 -1350.3520828198 -709.020011977001</f>
        <v>-3050.7582425116552</v>
      </c>
      <c r="K598">
        <f>-1039.77078019538 -1217.22844151438 -748.535729190187</f>
        <v>-3005.5349508999466</v>
      </c>
      <c r="L598">
        <f>-1112.71155589458 -1096.33273046685 -465.251271725276</f>
        <v>-2674.295558086706</v>
      </c>
      <c r="M598">
        <f>-1100.05365738718 -987.008718335243 -229.603076044025</f>
        <v>-2316.6654517664479</v>
      </c>
      <c r="N598">
        <f>-964.339994925687 -1399.25971985669 -678.689393871165</f>
        <v>-3042.2891086535424</v>
      </c>
      <c r="O598">
        <f>-918.671711930013 -1509.6779695477 -592.98000654185</f>
        <v>-3021.329688019563</v>
      </c>
      <c r="P598">
        <f>-1040.46057663363 -1513.9929499864 -300.858364631736</f>
        <v>-2855.3118912517662</v>
      </c>
      <c r="Q598">
        <f>-1076.33211327713 -1384.70704712128 -78.0570368955368</f>
        <v>-2539.0961972939467</v>
      </c>
      <c r="R598">
        <f>-1171.55031574348 -1216.96263256913 -179.629353625789</f>
        <v>-2568.1423019383992</v>
      </c>
      <c r="S598" t="s">
        <v>10282</v>
      </c>
      <c r="T598" t="s">
        <v>10283</v>
      </c>
      <c r="U598" t="s">
        <v>10284</v>
      </c>
      <c r="V598">
        <f>-1051.16720514264 -1371.82364360491 -185.855400787773</f>
        <v>-2608.8462495353228</v>
      </c>
      <c r="W598" t="s">
        <v>10285</v>
      </c>
      <c r="X598" t="s">
        <v>10286</v>
      </c>
      <c r="Y598" t="s">
        <v>10287</v>
      </c>
    </row>
    <row r="599" spans="1:25" x14ac:dyDescent="0.3">
      <c r="A599">
        <v>29900</v>
      </c>
      <c r="B599" t="s">
        <v>10288</v>
      </c>
      <c r="C599">
        <f>-1111.37447443361 -1294.41242838299 -183.051819527193</f>
        <v>-2588.8387223437926</v>
      </c>
      <c r="D599">
        <f>-1117.45139137571 -1294.1698017042 -304.00976737302</f>
        <v>-2715.6309604529301</v>
      </c>
      <c r="E599">
        <f>-1093.91236816316 -1308.65354567554 -422.021250277098</f>
        <v>-2824.5871641157978</v>
      </c>
      <c r="F599">
        <f>-1061.16357900541 -1327.59467085542 -524.800566056297</f>
        <v>-2913.558815917127</v>
      </c>
      <c r="G599">
        <f>-1017.59916656513 -1352.33973263396 -622.189799433963</f>
        <v>-2992.1286986330529</v>
      </c>
      <c r="H599">
        <f>-946.403518767034 -1392.63680857317 -750.670702900649</f>
        <v>-3089.7110302408528</v>
      </c>
      <c r="I599">
        <f>-875.187049659887 -1411.69649435183 -821.01222195146</f>
        <v>-3107.8957659631774</v>
      </c>
      <c r="J599">
        <f>-991.426734465022 -1350.35049520564 -708.985032713827</f>
        <v>-3050.7622623844891</v>
      </c>
      <c r="K599">
        <f>-1039.80148840176 -1217.21581327164 -748.486091989042</f>
        <v>-3005.5033936624418</v>
      </c>
      <c r="L599">
        <f>-1112.85300801965 -1096.38316629754 -465.203311831267</f>
        <v>-2674.4394861484566</v>
      </c>
      <c r="M599">
        <f>-1100.09111661885 -987.210086928534 -229.490798028185</f>
        <v>-2316.792001575569</v>
      </c>
      <c r="N599">
        <f>-964.384037046957 -1399.26271227339 -678.658824944147</f>
        <v>-3042.3055742644942</v>
      </c>
      <c r="O599">
        <f>-918.711358151325 -1509.71118308112 -592.984774715082</f>
        <v>-3021.407315947527</v>
      </c>
      <c r="P599">
        <f>-1040.47677839886 -1514.09511561262 -300.854449145523</f>
        <v>-2855.4263431570034</v>
      </c>
      <c r="Q599">
        <f>-1076.40470628788 -1384.86313679327 -78.0308964749352</f>
        <v>-2539.2987395560854</v>
      </c>
      <c r="R599">
        <f>-1171.62169390772 -1216.99748923147 -179.580679357874</f>
        <v>-2568.1998624970638</v>
      </c>
      <c r="S599" t="s">
        <v>10289</v>
      </c>
      <c r="T599" t="s">
        <v>10290</v>
      </c>
      <c r="U599" t="s">
        <v>10291</v>
      </c>
      <c r="V599">
        <f>-1051.09920225536 -1371.79973708749 -185.824699678705</f>
        <v>-2608.7236390215553</v>
      </c>
      <c r="W599" t="s">
        <v>10292</v>
      </c>
      <c r="X599" t="s">
        <v>10293</v>
      </c>
      <c r="Y599" t="s">
        <v>10294</v>
      </c>
    </row>
    <row r="600" spans="1:25" x14ac:dyDescent="0.3">
      <c r="A600">
        <v>29950</v>
      </c>
      <c r="B600" t="s">
        <v>10295</v>
      </c>
      <c r="C600">
        <f>-1111.43690882079 -1294.50528740955 -182.997276746174</f>
        <v>-2588.939472976514</v>
      </c>
      <c r="D600">
        <f>-1117.51900292075 -1294.28633816868 -303.954832214269</f>
        <v>-2715.760173303699</v>
      </c>
      <c r="E600">
        <f>-1093.89722367612 -1308.75159470824 -421.952064051286</f>
        <v>-2824.6008824356459</v>
      </c>
      <c r="F600">
        <f>-1061.04239583253 -1327.66195630488 -524.703335903586</f>
        <v>-2913.4076880409957</v>
      </c>
      <c r="G600">
        <f>-1017.34469683423 -1352.36366679624 -622.04379214754</f>
        <v>-2991.7521557780101</v>
      </c>
      <c r="H600">
        <f>-945.939965496823 -1392.58879753405 -750.431247859924</f>
        <v>-3088.9600108907971</v>
      </c>
      <c r="I600">
        <f>-875.103308263504 -1411.79803717344 -821.114690466843</f>
        <v>-3108.0160359037873</v>
      </c>
      <c r="J600">
        <f>-991.046764094353 -1350.3376267977 -708.800201764298</f>
        <v>-3050.184592656351</v>
      </c>
      <c r="K600">
        <f>-1039.45663589293 -1217.21665879067 -748.295300625467</f>
        <v>-3004.968595309067</v>
      </c>
      <c r="L600">
        <f>-1112.78511041054 -1096.49262531569 -465.03782327905</f>
        <v>-2674.3155590052802</v>
      </c>
      <c r="M600">
        <f>-1099.88763217715 -987.456779202827 -229.269027542417</f>
        <v>-2316.6134389223939</v>
      </c>
      <c r="N600">
        <f>-964.02192108862 -1399.24320043246 -678.447263348886</f>
        <v>-3041.7123848699657</v>
      </c>
      <c r="O600">
        <f>-918.368771919451 -1509.74190421315 -592.83190625995</f>
        <v>-3020.9425823925508</v>
      </c>
      <c r="P600">
        <f>-1040.13431771065 -1514.44955983721 -300.706624711737</f>
        <v>-2855.2905022595969</v>
      </c>
      <c r="Q600">
        <f>-1076.16220686607 -1385.2412895877 -77.885537060307</f>
        <v>-2539.2890335140869</v>
      </c>
      <c r="R600">
        <f>-1171.72420807016 -1217.2055731453 -179.50200766764</f>
        <v>-2568.4317888831001</v>
      </c>
      <c r="S600" t="s">
        <v>10296</v>
      </c>
      <c r="T600" t="s">
        <v>10297</v>
      </c>
      <c r="U600" t="s">
        <v>10298</v>
      </c>
      <c r="V600">
        <f>-1051.10280617832 -1371.82370665117 -185.773161236672</f>
        <v>-2608.6996740661621</v>
      </c>
      <c r="W600" t="s">
        <v>10299</v>
      </c>
      <c r="X600" t="s">
        <v>10300</v>
      </c>
      <c r="Y600" t="s">
        <v>10301</v>
      </c>
    </row>
    <row r="601" spans="1:25" x14ac:dyDescent="0.3">
      <c r="A601">
        <v>30000</v>
      </c>
      <c r="B601" t="s">
        <v>10302</v>
      </c>
      <c r="C601">
        <f>-1111.53530244327 -1294.59797162481 -182.973920825589</f>
        <v>-2589.1071948936692</v>
      </c>
      <c r="D601">
        <f>-1117.64509923041 -1294.41785867662 -303.930354391115</f>
        <v>-2715.9933122981452</v>
      </c>
      <c r="E601">
        <f>-1094.00658182843 -1308.89022790989 -421.923232399089</f>
        <v>-2824.820042137409</v>
      </c>
      <c r="F601">
        <f>-1061.11997713905 -1327.7951625734 -524.665361698025</f>
        <v>-2913.5805014104744</v>
      </c>
      <c r="G601">
        <f>-1017.37533189916 -1352.4803623866 -621.988923342434</f>
        <v>-2991.8446176281941</v>
      </c>
      <c r="H601">
        <f>-945.891291380498 -1392.67156549555 -750.342835490083</f>
        <v>-3088.905692366131</v>
      </c>
      <c r="I601">
        <f>-875.452679284171 -1412.04983357767 -821.376985794084</f>
        <v>-3108.8794986559251</v>
      </c>
      <c r="J601">
        <f>-991.031188800642 -1350.43696252681 -708.730876999682</f>
        <v>-3050.1990283271339</v>
      </c>
      <c r="K601">
        <f>-1039.45601452625 -1217.32508720501 -748.233050955254</f>
        <v>-3005.0141526865141</v>
      </c>
      <c r="L601">
        <f>-1112.88179515429 -1096.7551060312 -464.935057279364</f>
        <v>-2674.5719584648546</v>
      </c>
      <c r="M601">
        <f>-1100.06438209722 -987.752635579074 -229.146521180588</f>
        <v>-2316.9635388568822</v>
      </c>
      <c r="N601">
        <f>-964.010330283909 -1399.33943335777 -678.369444602668</f>
        <v>-3041.7192082443471</v>
      </c>
      <c r="O601">
        <f>-918.313018126919 -1509.81830987406 -592.751716183501</f>
        <v>-3020.8830441844802</v>
      </c>
      <c r="P601">
        <f>-1040.15132154936 -1514.58655071862 -300.657845820584</f>
        <v>-2855.3957180885641</v>
      </c>
      <c r="Q601">
        <f>-1076.35282893676 -1385.44154251594 -77.8281086119372</f>
        <v>-2539.6224800646373</v>
      </c>
      <c r="R601">
        <f>-1171.85721749981 -1217.28845305309 -179.474810272505</f>
        <v>-2568.6204808254051</v>
      </c>
      <c r="S601" t="s">
        <v>10303</v>
      </c>
      <c r="T601" t="s">
        <v>10304</v>
      </c>
      <c r="U601" t="s">
        <v>10305</v>
      </c>
      <c r="V601">
        <f>-1051.1861676594 -1371.91826514958 -185.751078998506</f>
        <v>-2608.855511807486</v>
      </c>
      <c r="W601" t="s">
        <v>10306</v>
      </c>
      <c r="X601" t="s">
        <v>10307</v>
      </c>
      <c r="Y601" t="s">
        <v>10308</v>
      </c>
    </row>
    <row r="602" spans="1:25" x14ac:dyDescent="0.3">
      <c r="A602">
        <v>30050</v>
      </c>
      <c r="B602" t="s">
        <v>10309</v>
      </c>
      <c r="C602">
        <f>-1111.78010935176 -1294.88479537315 -182.95952538624</f>
        <v>-2589.6244301111501</v>
      </c>
      <c r="D602">
        <f>-1117.92884533155 -1294.74494043012 -303.913920986078</f>
        <v>-2716.5877067477477</v>
      </c>
      <c r="E602">
        <f>-1094.32175843202 -1309.24230749375 -421.91009990975</f>
        <v>-2825.4741658355201</v>
      </c>
      <c r="F602">
        <f>-1061.46319657097 -1328.17002506746 -524.656924380789</f>
        <v>-2914.2901460192188</v>
      </c>
      <c r="G602">
        <f>-1017.74815233946 -1352.88214088947 -621.987102932276</f>
        <v>-2992.6173961612058</v>
      </c>
      <c r="H602">
        <f>-946.308642826912 -1393.1184869344 -750.351552582749</f>
        <v>-3089.7786823440611</v>
      </c>
      <c r="I602">
        <f>-876.898587060253 -1412.9431938336 -822.269640092291</f>
        <v>-3112.1114209861439</v>
      </c>
      <c r="J602">
        <f>-991.406648780707 -1350.84865833766 -708.730066246851</f>
        <v>-3050.985373365218</v>
      </c>
      <c r="K602">
        <f>-1039.85139154276 -1217.72582230963 -748.185749529908</f>
        <v>-3005.762963382298</v>
      </c>
      <c r="L602">
        <f>-1113.32391203457 -1097.45153893785 -464.774072577446</f>
        <v>-2675.5495235498661</v>
      </c>
      <c r="M602">
        <f>-1100.83957837829 -988.604798579579 -228.895932180455</f>
        <v>-2318.3403091383243</v>
      </c>
      <c r="N602">
        <f>-964.430163270382 -1399.7816855448 -678.378433333229</f>
        <v>-3042.590282148411</v>
      </c>
      <c r="O602">
        <f>-918.604895318913 -1510.22896961202 -592.786962407309</f>
        <v>-3021.6208273382422</v>
      </c>
      <c r="P602">
        <f>-1040.60691168094 -1515.03296358356 -300.762006652118</f>
        <v>-2856.4018819166181</v>
      </c>
      <c r="Q602">
        <f>-1077.20647423418 -1386.092109023 -77.8791047537841</f>
        <v>-2541.1776880109642</v>
      </c>
      <c r="R602">
        <f>-1172.12388057186 -1217.57493793683 -179.442004219607</f>
        <v>-2569.1408227282973</v>
      </c>
      <c r="S602" t="s">
        <v>10310</v>
      </c>
      <c r="T602" t="s">
        <v>10311</v>
      </c>
      <c r="U602" t="s">
        <v>10312</v>
      </c>
      <c r="V602">
        <f>-1051.44073358636 -1372.18738496402 -185.728710790453</f>
        <v>-2609.3568293408334</v>
      </c>
      <c r="W602" t="s">
        <v>10313</v>
      </c>
      <c r="X602" t="s">
        <v>10314</v>
      </c>
      <c r="Y602" t="s">
        <v>10315</v>
      </c>
    </row>
    <row r="603" spans="1:25" x14ac:dyDescent="0.3">
      <c r="A603">
        <v>30100</v>
      </c>
      <c r="B603" t="s">
        <v>10316</v>
      </c>
      <c r="C603">
        <f>-1111.95642225888 -1295.07697277535 -182.940792417336</f>
        <v>-2589.9741874515662</v>
      </c>
      <c r="D603">
        <f>-1118.05138547734 -1294.88397148576 -303.897814575034</f>
        <v>-2716.8331715381341</v>
      </c>
      <c r="E603">
        <f>-1094.46646569604 -1309.35484236514 -421.901685349132</f>
        <v>-2825.722993410312</v>
      </c>
      <c r="F603">
        <f>-1061.65929365115 -1328.27440119479 -524.666462291011</f>
        <v>-2914.6001571369511</v>
      </c>
      <c r="G603">
        <f>-1018.02612143562 -1352.99717464331 -622.03054074636</f>
        <v>-2993.0538368252901</v>
      </c>
      <c r="H603">
        <f>-946.730701997908 -1393.27086674728 -750.463574339825</f>
        <v>-3090.4651430850126</v>
      </c>
      <c r="I603">
        <f>-877.811275463758 -1413.29809975176 -822.796005038943</f>
        <v>-3113.9053802544609</v>
      </c>
      <c r="J603">
        <f>-991.752598858948 -1350.96684727106 -708.794266032262</f>
        <v>-3051.5137121622697</v>
      </c>
      <c r="K603">
        <f>-1040.12873849538 -1217.80443367916 -748.191000263104</f>
        <v>-3006.1241724376441</v>
      </c>
      <c r="L603">
        <f>-1113.47986836645 -1097.71895925347 -464.668137445784</f>
        <v>-2675.8669650657039</v>
      </c>
      <c r="M603">
        <f>-1101.18895634804 -989.020891863469 -228.711065352213</f>
        <v>-2318.920913563722</v>
      </c>
      <c r="N603">
        <f>-964.800834607822 -1399.93515679217 -678.477562325159</f>
        <v>-3043.2135537251506</v>
      </c>
      <c r="O603">
        <f>-918.877884463742 -1510.37751302002 -592.932388362171</f>
        <v>-3022.1877858459329</v>
      </c>
      <c r="P603">
        <f>-1040.70263961003 -1515.27869092302 -300.835013035841</f>
        <v>-2856.8163435688907</v>
      </c>
      <c r="Q603">
        <f>-1077.51066649328 -1386.44166629007 -77.926347518436</f>
        <v>-2541.8786803017865</v>
      </c>
      <c r="R603">
        <f>-1172.28325263954 -1217.76668473653 -179.415321036445</f>
        <v>-2569.4652584125151</v>
      </c>
      <c r="S603" t="s">
        <v>10317</v>
      </c>
      <c r="T603" t="s">
        <v>10318</v>
      </c>
      <c r="U603" t="s">
        <v>10319</v>
      </c>
      <c r="V603">
        <f>-1051.59083298995 -1372.36662022992 -185.727215464235</f>
        <v>-2609.6846686841054</v>
      </c>
      <c r="W603" t="s">
        <v>10320</v>
      </c>
      <c r="X603" t="s">
        <v>10321</v>
      </c>
      <c r="Y603" t="s">
        <v>10322</v>
      </c>
    </row>
    <row r="604" spans="1:25" x14ac:dyDescent="0.3">
      <c r="A604">
        <v>30150</v>
      </c>
      <c r="B604" t="s">
        <v>10323</v>
      </c>
      <c r="C604">
        <f>-1112.19934181861 -1295.45795760564 -182.865639471808</f>
        <v>-2590.5229388960583</v>
      </c>
      <c r="D604">
        <f>-1118.24594694668 -1295.17060526666 -303.825005252592</f>
        <v>-2717.2415574659317</v>
      </c>
      <c r="E604">
        <f>-1094.82043033884 -1309.59414766231 -421.86636961498</f>
        <v>-2826.2809476161301</v>
      </c>
      <c r="F604">
        <f>-1062.23850589693 -1328.49953003668 -524.705361121292</f>
        <v>-2915.4433970549021</v>
      </c>
      <c r="G604">
        <f>-1018.90648886787 -1353.24304251874 -622.198551971876</f>
        <v>-2994.3480833584858</v>
      </c>
      <c r="H604">
        <f>-948.101940509073 -1393.58812539929 -750.880389426321</f>
        <v>-3092.5704553346841</v>
      </c>
      <c r="I604">
        <f>-879.958460192479 -1413.91860377088 -823.86056334496</f>
        <v>-3117.7376273083191</v>
      </c>
      <c r="J604">
        <f>-992.890047887962 -1351.2054511006 -709.039487056982</f>
        <v>-3053.1349860455443</v>
      </c>
      <c r="K604">
        <f>-1041.12690288026 -1217.91769078814 -748.185246352583</f>
        <v>-3007.2298400209829</v>
      </c>
      <c r="L604">
        <f>-1113.77876382762 -1098.01034858207 -464.406950610556</f>
        <v>-2676.1960630202461</v>
      </c>
      <c r="M604">
        <f>-1101.56536149772 -989.65744830129 -228.287117027715</f>
        <v>-2319.5099268267249</v>
      </c>
      <c r="N604">
        <f>-965.971463569472 -1400.26788682538 -678.845783632071</f>
        <v>-3045.0851340269228</v>
      </c>
      <c r="O604">
        <f>-919.84132209199 -1510.76842397452 -593.488234687599</f>
        <v>-3024.0979807541089</v>
      </c>
      <c r="P604">
        <f>-1041.27244985141 -1515.63737454331 -301.226405020087</f>
        <v>-2858.1362294148071</v>
      </c>
      <c r="Q604">
        <f>-1078.11637829915 -1386.99576940481 -78.2109149360522</f>
        <v>-2543.3230626400123</v>
      </c>
      <c r="R604">
        <f>-1172.46991272148 -1218.1381726667 -179.32703204132</f>
        <v>-2569.9351174294998</v>
      </c>
      <c r="S604" t="s">
        <v>10324</v>
      </c>
      <c r="T604" t="s">
        <v>10325</v>
      </c>
      <c r="U604" t="s">
        <v>10326</v>
      </c>
      <c r="V604">
        <f>-1051.87056911852 -1372.78729516498 -185.722566013704</f>
        <v>-2610.3804302972044</v>
      </c>
      <c r="W604" t="s">
        <v>10327</v>
      </c>
      <c r="X604" t="s">
        <v>10328</v>
      </c>
      <c r="Y604" t="s">
        <v>10329</v>
      </c>
    </row>
    <row r="605" spans="1:25" x14ac:dyDescent="0.3">
      <c r="A605">
        <v>30200</v>
      </c>
      <c r="B605" t="s">
        <v>10330</v>
      </c>
      <c r="C605">
        <f>-1112.21595586238 -1295.71525318926 -182.822367797897</f>
        <v>-2590.7535768495372</v>
      </c>
      <c r="D605">
        <f>-1118.30242099098 -1295.40938426605 -303.779570990556</f>
        <v>-2717.4913762475858</v>
      </c>
      <c r="E605">
        <f>-1095.02157534123 -1309.8264989117 -421.850370012373</f>
        <v>-2826.6984442653029</v>
      </c>
      <c r="F605">
        <f>-1062.60986592446 -1328.73588768345 -524.742451659822</f>
        <v>-2916.0882052677325</v>
      </c>
      <c r="G605">
        <f>-1019.4840684191 -1353.49659291178 -622.32282955569</f>
        <v>-2995.3034908865702</v>
      </c>
      <c r="H605">
        <f>-948.999393784412 -1393.88256344809 -751.167210728951</f>
        <v>-3094.0491679614529</v>
      </c>
      <c r="I605">
        <f>-881.066726485364 -1414.2817421955 -824.324667458014</f>
        <v>-3119.6731361388784</v>
      </c>
      <c r="J605">
        <f>-993.635595052965 -1351.45107081865 -709.213681468712</f>
        <v>-3054.3003473403269</v>
      </c>
      <c r="K605">
        <f>-1041.7952016346 -1218.08811877202 -748.196709604704</f>
        <v>-3008.0800300113242</v>
      </c>
      <c r="L605">
        <f>-1113.86921116589 -1098.35357279311 -464.198333087048</f>
        <v>-2676.421117046048</v>
      </c>
      <c r="M605">
        <f>-1101.40709650816 -990.116037408069 -228.038678064282</f>
        <v>-2319.5618119805113</v>
      </c>
      <c r="N605">
        <f>-966.737782794427 -1400.57497529335 -679.10144572266</f>
        <v>-3046.4142038104374</v>
      </c>
      <c r="O605">
        <f>-920.496869856019 -1511.09715580876 -593.829589146353</f>
        <v>-3025.4236148111322</v>
      </c>
      <c r="P605">
        <f>-1041.5975654709 -1515.85848222074 -301.428962128876</f>
        <v>-2858.8850098205157</v>
      </c>
      <c r="Q605">
        <f>-1078.24763508192 -1387.27066396029 -78.3505725382503</f>
        <v>-2543.8688715804601</v>
      </c>
      <c r="R605">
        <f>-1172.42418297144 -1218.35062404185 -179.267973299303</f>
        <v>-2570.0427803125931</v>
      </c>
      <c r="S605" t="s">
        <v>10331</v>
      </c>
      <c r="T605" t="s">
        <v>10332</v>
      </c>
      <c r="U605" t="s">
        <v>10333</v>
      </c>
      <c r="V605">
        <f>-1051.94744577506 -1373.09416681846 -185.714770871516</f>
        <v>-2610.7563834650359</v>
      </c>
      <c r="W605" t="s">
        <v>10334</v>
      </c>
      <c r="X605" t="s">
        <v>10335</v>
      </c>
      <c r="Y605" t="s">
        <v>10336</v>
      </c>
    </row>
    <row r="606" spans="1:25" x14ac:dyDescent="0.3">
      <c r="A606">
        <v>30250</v>
      </c>
      <c r="B606" t="s">
        <v>10337</v>
      </c>
      <c r="C606">
        <f>-1112.03525824236 -1296.25098709634 -182.752496805651</f>
        <v>-2591.0387421443506</v>
      </c>
      <c r="D606">
        <f>-1118.21553700829 -1295.90125736087 -303.70498794275</f>
        <v>-2717.8217823119098</v>
      </c>
      <c r="E606">
        <f>-1095.30305193442 -1310.32412457702 -421.847202281097</f>
        <v>-2827.4743787925368</v>
      </c>
      <c r="F606">
        <f>-1063.32409302292 -1329.26247063995 -524.869095583592</f>
        <v>-2917.4556592464614</v>
      </c>
      <c r="G606">
        <f>-1020.71943813873 -1354.07922012389 -622.663872220297</f>
        <v>-2997.4625304829169</v>
      </c>
      <c r="H606">
        <f>-951.038299971598 -1394.57509421461 -751.910380696067</f>
        <v>-3097.5237748822751</v>
      </c>
      <c r="I606">
        <f>-883.166643578683 -1414.91443622354 -825.140963719638</f>
        <v>-3123.222043521861</v>
      </c>
      <c r="J606">
        <f>-995.328149111151 -1352.04562029837 -709.689840386647</f>
        <v>-3057.0636097961683</v>
      </c>
      <c r="K606">
        <f>-1043.36692188417 -1218.54504677313 -748.356548146845</f>
        <v>-3010.2685168041453</v>
      </c>
      <c r="L606">
        <f>-1113.90336510376 -1098.99821215702 -463.893299422361</f>
        <v>-2676.794876683141</v>
      </c>
      <c r="M606">
        <f>-1100.46825214883 -990.915262645301 -227.716218937191</f>
        <v>-2319.099733731322</v>
      </c>
      <c r="N606">
        <f>-968.411925466227 -1401.26824011368 -679.755688786823</f>
        <v>-3049.4358543667299</v>
      </c>
      <c r="O606">
        <f>-921.896138758685 -1511.85820931786 -594.725025942177</f>
        <v>-3028.479374018722</v>
      </c>
      <c r="P606">
        <f>-1042.19836332634 -1516.32550027636 -301.990368254594</f>
        <v>-2860.5142318572939</v>
      </c>
      <c r="Q606">
        <f>-1078.48811482452 -1387.91050523555 -78.7535117032427</f>
        <v>-2545.1521317633128</v>
      </c>
      <c r="R606">
        <f>-1172.02884097105 -1218.75808764144 -179.115876193949</f>
        <v>-2569.9028048064388</v>
      </c>
      <c r="S606" t="s">
        <v>10338</v>
      </c>
      <c r="T606" t="s">
        <v>10339</v>
      </c>
      <c r="U606" t="s">
        <v>10340</v>
      </c>
      <c r="V606">
        <f>-1051.93993182589 -1373.75673612267 -185.69885864944</f>
        <v>-2611.3955265979998</v>
      </c>
      <c r="W606" t="s">
        <v>10341</v>
      </c>
      <c r="X606" t="s">
        <v>10342</v>
      </c>
      <c r="Y606" t="s">
        <v>10343</v>
      </c>
    </row>
    <row r="607" spans="1:25" x14ac:dyDescent="0.3">
      <c r="A607">
        <v>30300</v>
      </c>
      <c r="B607" t="s">
        <v>10344</v>
      </c>
      <c r="C607">
        <f>-1111.87573598135 -1296.52414592949 -182.697459517498</f>
        <v>-2591.097341428338</v>
      </c>
      <c r="D607">
        <f>-1118.12874979603 -1296.18961525388 -303.64624389164</f>
        <v>-2717.9646089415501</v>
      </c>
      <c r="E607">
        <f>-1095.39432761553 -1310.65358374556 -421.817765064966</f>
        <v>-2827.8656764260559</v>
      </c>
      <c r="F607">
        <f>-1063.61308768324 -1329.63846340095 -524.892337624722</f>
        <v>-2918.1438887089125</v>
      </c>
      <c r="G607">
        <f>-1021.23765057745 -1354.51062182829 -622.772564749036</f>
        <v>-2998.520837154776</v>
      </c>
      <c r="H607">
        <f>-951.902270582709 -1395.09301377037 -752.177765825753</f>
        <v>-3099.173050178832</v>
      </c>
      <c r="I607">
        <f>-883.949723836387 -1415.36174913982 -825.352908073491</f>
        <v>-3124.664381049698</v>
      </c>
      <c r="J607">
        <f>-996.044084730304 -1352.50957935891 -709.856684825277</f>
        <v>-3058.4103489144909</v>
      </c>
      <c r="K607">
        <f>-1044.046521722 -1218.95934989717 -748.400027864946</f>
        <v>-3011.4058994841157</v>
      </c>
      <c r="L607">
        <f>-1113.87869407713 -1099.38500478131 -463.774633803898</f>
        <v>-2677.0383326623378</v>
      </c>
      <c r="M607">
        <f>-1099.67647051958 -991.323990746332 -227.632375251929</f>
        <v>-2318.632836517841</v>
      </c>
      <c r="N607">
        <f>-969.117978945686 -1401.76358614448 -679.983325067358</f>
        <v>-3050.8648901575243</v>
      </c>
      <c r="O607">
        <f>-922.501676634186 -1512.38170638674 -595.048100576547</f>
        <v>-3029.9314835974728</v>
      </c>
      <c r="P607">
        <f>-1042.38000901747 -1516.77657757632 -302.138320420257</f>
        <v>-2861.2949070140471</v>
      </c>
      <c r="Q607">
        <f>-1078.488531688 -1388.43012892442 -78.8326922081902</f>
        <v>-2545.75135282061</v>
      </c>
      <c r="R607">
        <f>-1171.76935542147 -1218.95941158901 -179.001818229215</f>
        <v>-2569.7305852396948</v>
      </c>
      <c r="S607" t="s">
        <v>10345</v>
      </c>
      <c r="T607" t="s">
        <v>10346</v>
      </c>
      <c r="U607" t="s">
        <v>10347</v>
      </c>
      <c r="V607">
        <f>-1051.8618492958 -1374.08287803774 -185.675114757474</f>
        <v>-2611.6198420910141</v>
      </c>
      <c r="W607" t="s">
        <v>10348</v>
      </c>
      <c r="X607" t="s">
        <v>10349</v>
      </c>
      <c r="Y607" t="s">
        <v>10350</v>
      </c>
    </row>
    <row r="608" spans="1:25" x14ac:dyDescent="0.3">
      <c r="A608">
        <v>30350</v>
      </c>
      <c r="B608" t="s">
        <v>10351</v>
      </c>
      <c r="C608">
        <f>-1111.48361235227 -1296.99883236965 -182.549962316735</f>
        <v>-2591.032407038655</v>
      </c>
      <c r="D608">
        <f>-1117.95704159984 -1296.74865320611 -303.487213996178</f>
        <v>-2718.1929088021279</v>
      </c>
      <c r="E608">
        <f>-1095.53480710551 -1311.32634271436 -421.704430420516</f>
        <v>-2828.5655802403858</v>
      </c>
      <c r="F608">
        <f>-1064.06393186828 -1330.42260120116 -524.853653862527</f>
        <v>-2919.3401869319673</v>
      </c>
      <c r="G608">
        <f>-1022.02060283905 -1355.41302656565 -622.846946280788</f>
        <v>-3000.2805756854877</v>
      </c>
      <c r="H608">
        <f>-953.162662891787 -1396.1655504797 -752.45343646936</f>
        <v>-3101.781649840847</v>
      </c>
      <c r="I608">
        <f>-884.933604920345 -1416.28141579294 -825.413127289087</f>
        <v>-3126.6281480023717</v>
      </c>
      <c r="J608">
        <f>-997.084061178703 -1353.47954107237 -710.006573797265</f>
        <v>-3060.570176048338</v>
      </c>
      <c r="K608">
        <f>-1044.90605621124 -1219.83931322272 -748.433061116225</f>
        <v>-3013.1784305501851</v>
      </c>
      <c r="L608">
        <f>-1113.81375211003 -1100.12132626283 -463.642855704777</f>
        <v>-2677.5779340776371</v>
      </c>
      <c r="M608">
        <f>-1097.85823924698 -991.931778515192 -227.671419006845</f>
        <v>-2317.4614367690174</v>
      </c>
      <c r="N608">
        <f>-970.176304762701 -1402.78807823471 -680.206627435229</f>
        <v>-3053.1710104326403</v>
      </c>
      <c r="O608">
        <f>-923.514741435806 -1513.47604667573 -595.378676566573</f>
        <v>-3032.3694646781087</v>
      </c>
      <c r="P608">
        <f>-1042.84077739786 -1517.59082331671 -302.239551938269</f>
        <v>-2862.6711526528388</v>
      </c>
      <c r="Q608">
        <f>-1078.47391121536 -1389.32213137584 -78.8128935104008</f>
        <v>-2546.6089361016006</v>
      </c>
      <c r="R608">
        <f>-1171.09269563805 -1219.2508475288 -178.757368849319</f>
        <v>-2569.1009120161689</v>
      </c>
      <c r="S608" t="s">
        <v>10352</v>
      </c>
      <c r="T608" t="s">
        <v>10353</v>
      </c>
      <c r="U608" t="s">
        <v>10354</v>
      </c>
      <c r="V608">
        <f>-1051.80211709335 -1374.74878053933 -185.594723611728</f>
        <v>-2612.1456212444082</v>
      </c>
      <c r="W608" t="s">
        <v>10355</v>
      </c>
      <c r="X608" t="s">
        <v>10356</v>
      </c>
      <c r="Y608" t="s">
        <v>10357</v>
      </c>
    </row>
    <row r="609" spans="1:25" x14ac:dyDescent="0.3">
      <c r="A609">
        <v>30400</v>
      </c>
      <c r="B609" t="s">
        <v>10358</v>
      </c>
      <c r="C609">
        <f>-1111.40154440523 -1297.25578251118 -182.48271759895</f>
        <v>-2591.1400445153599</v>
      </c>
      <c r="D609">
        <f>-1117.9914885526 -1297.05489020331 -303.41377839951</f>
        <v>-2718.4601571554203</v>
      </c>
      <c r="E609">
        <f>-1095.703934243 -1311.7101608791 -421.646876170273</f>
        <v>-2829.0609712923729</v>
      </c>
      <c r="F609">
        <f>-1064.35919034088 -1330.88612155722 -524.819680948525</f>
        <v>-2920.0649928466255</v>
      </c>
      <c r="G609">
        <f>-1022.44467794349 -1355.96446986118 -622.845790315907</f>
        <v>-3001.2549381205772</v>
      </c>
      <c r="H609">
        <f>-953.766921449437 -1396.84654258839 -752.506966984289</f>
        <v>-3103.1204310221156</v>
      </c>
      <c r="I609">
        <f>-885.399686904663 -1416.92283444362 -825.34819387266</f>
        <v>-3127.6707152209428</v>
      </c>
      <c r="J609">
        <f>-997.595636879928 -1354.09361725129 -710.031620989922</f>
        <v>-3061.7208751211401</v>
      </c>
      <c r="K609">
        <f>-1045.32993083084 -1220.41757850551 -748.468033901754</f>
        <v>-3014.2155432381041</v>
      </c>
      <c r="L609">
        <f>-1113.94262228847 -1100.51867872676 -463.682534302432</f>
        <v>-2678.1438353176618</v>
      </c>
      <c r="M609">
        <f>-1097.31764329952 -992.240291102654 -227.798238491385</f>
        <v>-2317.3561728935588</v>
      </c>
      <c r="N609">
        <f>-970.71374281817 -1403.42135833136 -680.240076615865</f>
        <v>-3054.3751777653947</v>
      </c>
      <c r="O609">
        <f>-924.094261576478 -1514.12668453483 -595.416707155026</f>
        <v>-3033.6376532663339</v>
      </c>
      <c r="P609">
        <f>-1043.35218318231 -1518.0477163343 -302.247304915394</f>
        <v>-2863.6472044320044</v>
      </c>
      <c r="Q609">
        <f>-1078.71464711393 -1389.79658064038 -78.7675466580605</f>
        <v>-2547.2787744123702</v>
      </c>
      <c r="R609">
        <f>-1170.89517162822 -1219.43646780361 -178.649348750299</f>
        <v>-2568.9809881821288</v>
      </c>
      <c r="S609" t="s">
        <v>10359</v>
      </c>
      <c r="T609" t="s">
        <v>10360</v>
      </c>
      <c r="U609" t="s">
        <v>10361</v>
      </c>
      <c r="V609">
        <f>-1051.8714625458 -1375.07459971103 -185.56302593293</f>
        <v>-2612.5090881897604</v>
      </c>
      <c r="W609" t="s">
        <v>10362</v>
      </c>
      <c r="X609" t="s">
        <v>10363</v>
      </c>
      <c r="Y609" t="s">
        <v>10364</v>
      </c>
    </row>
    <row r="610" spans="1:25" x14ac:dyDescent="0.3">
      <c r="A610">
        <v>30450</v>
      </c>
      <c r="B610" t="s">
        <v>10365</v>
      </c>
      <c r="C610">
        <f>-1111.45453878183 -1297.75703625675 -182.435823493435</f>
        <v>-2591.6473985320154</v>
      </c>
      <c r="D610">
        <f>-1118.20242524141 -1297.65706474129 -303.358474065018</f>
        <v>-2719.2179640477184</v>
      </c>
      <c r="E610">
        <f>-1096.03552802027 -1312.45784721037 -421.596021630186</f>
        <v>-2830.0893968608257</v>
      </c>
      <c r="F610">
        <f>-1064.7846680484 -1331.78219963195 -524.769620714521</f>
        <v>-2921.3364883948707</v>
      </c>
      <c r="G610">
        <f>-1022.95016585944 -1357.02398314113 -622.787844882684</f>
        <v>-3002.761993883254</v>
      </c>
      <c r="H610">
        <f>-954.370905045475 -1398.14724012364 -752.42490810806</f>
        <v>-3104.9430532771748</v>
      </c>
      <c r="I610">
        <f>-885.669573985754 -1418.23083633164 -824.949207886013</f>
        <v>-3128.8496182034069</v>
      </c>
      <c r="J610">
        <f>-998.092460831303 -1355.26102662414 -709.973665757507</f>
        <v>-3063.3271532129502</v>
      </c>
      <c r="K610">
        <f>-1045.49456815236 -1221.51204477341 -748.51168159221</f>
        <v>-3015.5182945179804</v>
      </c>
      <c r="L610">
        <f>-1113.73714921238 -1101.22835815329 -463.799579787275</f>
        <v>-2678.7650871529449</v>
      </c>
      <c r="M610">
        <f>-1096.63741865272 -992.882679923078 -227.979944525104</f>
        <v>-2317.5000431009021</v>
      </c>
      <c r="N610">
        <f>-971.337763147077 -1404.6418990242 -680.155608977086</f>
        <v>-3056.1352711483632</v>
      </c>
      <c r="O610">
        <f>-924.879743627467 -1515.3903406617 -595.286324948698</f>
        <v>-3035.5564092378654</v>
      </c>
      <c r="P610">
        <f>-1043.92681449004 -1518.9769423533 -302.026890011781</f>
        <v>-2864.9306468551213</v>
      </c>
      <c r="Q610">
        <f>-1079.02972427679 -1390.68059903935 -78.5321355184482</f>
        <v>-2548.242458834588</v>
      </c>
      <c r="R610">
        <f>-1170.72357696695 -1219.74026048736 -178.591053114054</f>
        <v>-2569.054890568364</v>
      </c>
      <c r="S610" t="s">
        <v>10366</v>
      </c>
      <c r="T610" t="s">
        <v>10367</v>
      </c>
      <c r="U610" t="s">
        <v>10368</v>
      </c>
      <c r="V610">
        <f>-1052.14300219486 -1375.77326773193 -185.531472209796</f>
        <v>-2613.4477421365859</v>
      </c>
      <c r="W610" t="s">
        <v>10369</v>
      </c>
      <c r="X610" t="s">
        <v>10370</v>
      </c>
      <c r="Y610" t="s">
        <v>10371</v>
      </c>
    </row>
    <row r="611" spans="1:25" x14ac:dyDescent="0.3">
      <c r="A611">
        <v>30500</v>
      </c>
      <c r="B611" t="s">
        <v>10372</v>
      </c>
      <c r="C611">
        <f>-1111.60168532405 -1297.99801969856 -182.461514329536</f>
        <v>-2592.0612193521461</v>
      </c>
      <c r="D611">
        <f>-1118.40308333093 -1297.95397691333 -303.381113003125</f>
        <v>-2719.738173247385</v>
      </c>
      <c r="E611">
        <f>-1096.2544561055 -1312.821962568 -421.613815787047</f>
        <v>-2830.6902344605464</v>
      </c>
      <c r="F611">
        <f>-1065.00704765785 -1332.21163435792 -524.776169546326</f>
        <v>-2921.9948515620963</v>
      </c>
      <c r="G611">
        <f>-1023.16467291892 -1357.5227824106 -622.773182111649</f>
        <v>-3003.4606374411692</v>
      </c>
      <c r="H611">
        <f>-954.564570561549 -1398.74613747691 -752.367477107794</f>
        <v>-3105.6781851462529</v>
      </c>
      <c r="I611">
        <f>-885.711020279049 -1418.87707534682 -824.734050052634</f>
        <v>-3129.3221456785027</v>
      </c>
      <c r="J611">
        <f>-998.255713008035 -1355.80029096947 -709.945144378267</f>
        <v>-3064.0011483557719</v>
      </c>
      <c r="K611">
        <f>-1045.43236866581 -1221.9701209091 -748.557776050281</f>
        <v>-3015.9602656251909</v>
      </c>
      <c r="L611">
        <f>-1113.67065763586 -1101.43222175051 -463.95209647953</f>
        <v>-2679.0549758658999</v>
      </c>
      <c r="M611">
        <f>-1096.6948130307 -993.08144584334 -228.126057519783</f>
        <v>-2317.9023163938232</v>
      </c>
      <c r="N611">
        <f>-971.580262621485 -1405.2118688725 -680.106952274214</f>
        <v>-3056.899083768199</v>
      </c>
      <c r="O611">
        <f>-925.23485093182 -1515.96681607047 -595.20290716322</f>
        <v>-3036.40457416551</v>
      </c>
      <c r="P611">
        <f>-1044.32556139474 -1519.36166681426 -301.958968711138</f>
        <v>-2865.6461969201378</v>
      </c>
      <c r="Q611">
        <f>-1079.28589577565 -1391.01830670709 -78.4688166749395</f>
        <v>-2548.7730191576798</v>
      </c>
      <c r="R611">
        <f>-1170.8040354135 -1219.92759951227 -178.638405496956</f>
        <v>-2569.3700404227257</v>
      </c>
      <c r="S611" t="s">
        <v>10373</v>
      </c>
      <c r="T611" t="s">
        <v>10374</v>
      </c>
      <c r="U611" t="s">
        <v>10375</v>
      </c>
      <c r="V611">
        <f>-1052.37090428175 -1376.06251923351 -185.536118645574</f>
        <v>-2613.969542160834</v>
      </c>
      <c r="W611" t="s">
        <v>10376</v>
      </c>
      <c r="X611" t="s">
        <v>10377</v>
      </c>
      <c r="Y611" t="s">
        <v>10378</v>
      </c>
    </row>
    <row r="612" spans="1:25" x14ac:dyDescent="0.3">
      <c r="A612">
        <v>30550</v>
      </c>
      <c r="B612" t="s">
        <v>10379</v>
      </c>
      <c r="C612">
        <f>-1112.03450253522 -1298.34218162599 -182.596702197332</f>
        <v>-2592.973386358542</v>
      </c>
      <c r="D612">
        <f>-1118.86680957729 -1298.37836308119 -303.514606374732</f>
        <v>-2720.759779033212</v>
      </c>
      <c r="E612">
        <f>-1096.71764455307 -1313.4200209745 -421.725127597915</f>
        <v>-2831.862793125485</v>
      </c>
      <c r="F612">
        <f>-1065.46507547403 -1333.01054223259 -524.848059054794</f>
        <v>-2923.3236767614144</v>
      </c>
      <c r="G612">
        <f>-1023.6194154094 -1358.56839964683 -622.779539292319</f>
        <v>-3004.9673543485487</v>
      </c>
      <c r="H612">
        <f>-955.023351706663 -1400.1836593544 -752.250619614533</f>
        <v>-3107.4576306755962</v>
      </c>
      <c r="I612">
        <f>-885.917277974503 -1420.51910011815 -824.318747800589</f>
        <v>-3130.7551258932417</v>
      </c>
      <c r="J612">
        <f>-998.600965285426 -1357.0290039359 -709.923611249258</f>
        <v>-3065.5535804705842</v>
      </c>
      <c r="K612">
        <f>-1045.31636689146 -1223.10687136509 -748.738610113949</f>
        <v>-3017.1618483704988</v>
      </c>
      <c r="L612">
        <f>-1113.69899979209 -1102.1151031292 -464.360359013786</f>
        <v>-2680.1744619350761</v>
      </c>
      <c r="M612">
        <f>-1097.35831418624 -993.781269126593 -228.481533689092</f>
        <v>-2319.6211170019251</v>
      </c>
      <c r="N612">
        <f>-972.14902555538 -1406.51142741977 -680.003914929484</f>
        <v>-3058.6643679046338</v>
      </c>
      <c r="O612">
        <f>-926.208015261402 -1517.36449653318 -595.00172664503</f>
        <v>-3038.5742384396121</v>
      </c>
      <c r="P612">
        <f>-1045.41708459118 -1520.30700314396 -301.800860781856</f>
        <v>-2867.5249485169957</v>
      </c>
      <c r="Q612">
        <f>-1080.01804232469 -1391.74324108341 -78.3814901053346</f>
        <v>-2550.1427735134348</v>
      </c>
      <c r="R612">
        <f>-1171.2233312993 -1220.17466889511 -178.858419634174</f>
        <v>-2570.2564198285841</v>
      </c>
      <c r="S612" t="s">
        <v>10380</v>
      </c>
      <c r="T612" t="s">
        <v>10381</v>
      </c>
      <c r="U612" t="s">
        <v>10382</v>
      </c>
      <c r="V612">
        <f>-1052.82378206354 -1376.44833829753 -185.592370112289</f>
        <v>-2614.8644904733587</v>
      </c>
      <c r="W612" t="s">
        <v>10383</v>
      </c>
      <c r="X612" t="s">
        <v>10384</v>
      </c>
      <c r="Y612" t="s">
        <v>10385</v>
      </c>
    </row>
    <row r="613" spans="1:25" x14ac:dyDescent="0.3">
      <c r="A613">
        <v>30600</v>
      </c>
      <c r="B613" t="s">
        <v>10386</v>
      </c>
      <c r="C613">
        <f>-1112.30429815238 -1298.49841910415 -182.668193402166</f>
        <v>-2593.4709106586956</v>
      </c>
      <c r="D613">
        <f>-1119.09948012449 -1298.5399660586 -303.588058015373</f>
        <v>-2721.2275041984626</v>
      </c>
      <c r="E613">
        <f>-1096.93011635325 -1313.65620426546 -421.78524624699</f>
        <v>-2832.3715668657001</v>
      </c>
      <c r="F613">
        <f>-1065.67017554564 -1333.34471126389 -524.887227343818</f>
        <v>-2923.9021141533485</v>
      </c>
      <c r="G613">
        <f>-1023.83081518933 -1359.03189663467 -622.787717331338</f>
        <v>-3005.6504291553383</v>
      </c>
      <c r="H613">
        <f>-955.260348079276 -1400.85995032457 -752.203713829992</f>
        <v>-3108.3240122338379</v>
      </c>
      <c r="I613">
        <f>-886.058988156388 -1421.32462826798 -824.14360418904</f>
        <v>-3131.5272206134082</v>
      </c>
      <c r="J613">
        <f>-998.773815122974 -1357.59590869665 -709.922303588174</f>
        <v>-3066.2920274077983</v>
      </c>
      <c r="K613">
        <f>-1045.23651475479 -1223.62269664438 -748.864306817974</f>
        <v>-3017.7235182171439</v>
      </c>
      <c r="L613">
        <f>-1113.7751155408 -1102.22997101105 -464.694558784394</f>
        <v>-2680.699645336244</v>
      </c>
      <c r="M613">
        <f>-1097.86499133032 -993.857610762303 -228.804072711387</f>
        <v>-2320.5266748040099</v>
      </c>
      <c r="N613">
        <f>-972.427457403172 -1407.10877620037 -679.9599320629</f>
        <v>-3059.4961656664418</v>
      </c>
      <c r="O613">
        <f>-926.675222709503 -1517.98892309474 -594.888907158703</f>
        <v>-3039.5530529629459</v>
      </c>
      <c r="P613">
        <f>-1046.00233889126 -1520.69615322714 -301.733767462127</f>
        <v>-2868.4322595805274</v>
      </c>
      <c r="Q613">
        <f>-1080.3940654808 -1391.98786866133 -78.3653724640975</f>
        <v>-2550.7473066062275</v>
      </c>
      <c r="R613">
        <f>-1171.48738096472 -1220.30716726328 -178.977791977605</f>
        <v>-2570.7723402056054</v>
      </c>
      <c r="S613" t="s">
        <v>10387</v>
      </c>
      <c r="T613" t="s">
        <v>10388</v>
      </c>
      <c r="U613" t="s">
        <v>10389</v>
      </c>
      <c r="V613">
        <f>-1053.08797288249 -1376.64006521566 -185.63527239234</f>
        <v>-2615.3633104904902</v>
      </c>
      <c r="W613" t="s">
        <v>10390</v>
      </c>
      <c r="X613" t="s">
        <v>10391</v>
      </c>
      <c r="Y613" t="s">
        <v>10392</v>
      </c>
    </row>
    <row r="614" spans="1:25" x14ac:dyDescent="0.3">
      <c r="A614">
        <v>30650</v>
      </c>
      <c r="B614" t="s">
        <v>10393</v>
      </c>
      <c r="C614">
        <f>-1112.98324915866 -1298.90531869759 -182.795937165907</f>
        <v>-2594.6845050221573</v>
      </c>
      <c r="D614">
        <f>-1119.79965809276 -1299.01011213995 -303.714615700624</f>
        <v>-2722.5243859333341</v>
      </c>
      <c r="E614">
        <f>-1097.60900276308 -1314.26459612941 -421.890112766793</f>
        <v>-2833.7637116592832</v>
      </c>
      <c r="F614">
        <f>-1066.3188004147 -1334.11096726528 -524.952643117386</f>
        <v>-2925.3824107973655</v>
      </c>
      <c r="G614">
        <f>-1024.44354626769 -1359.98923250428 -622.787410250816</f>
        <v>-3007.2201890227861</v>
      </c>
      <c r="H614">
        <f>-955.822939593464 -1402.11717276377 -752.07956649565</f>
        <v>-3110.0196788528838</v>
      </c>
      <c r="I614">
        <f>-886.423206510196 -1422.78940452976 -823.768651021243</f>
        <v>-3132.9812620611988</v>
      </c>
      <c r="J614">
        <f>-999.282016592919 -1358.70483063745 -709.894335538951</f>
        <v>-3067.8811827693198</v>
      </c>
      <c r="K614">
        <f>-1045.40413494958 -1224.67428177939 -749.042318928035</f>
        <v>-3019.1207356570053</v>
      </c>
      <c r="L614">
        <f>-1114.11573942618 -1102.64056175293 -465.189092874945</f>
        <v>-2681.9453940540548</v>
      </c>
      <c r="M614">
        <f>-1098.78453749819 -993.931244491287 -229.415260446989</f>
        <v>-2322.131042436466</v>
      </c>
      <c r="N614">
        <f>-973.088867827804 -1408.24890499932 -679.849363279399</f>
        <v>-3061.1871361065232</v>
      </c>
      <c r="O614">
        <f>-927.671885862291 -1519.17090560909 -594.653928493314</f>
        <v>-3041.4967199646953</v>
      </c>
      <c r="P614">
        <f>-1047.18665410468 -1521.52683222693 -301.57228384032</f>
        <v>-2870.2857701719299</v>
      </c>
      <c r="Q614">
        <f>-1081.23500825117 -1392.56885317419 -78.2952914148804</f>
        <v>-2552.0991528402405</v>
      </c>
      <c r="R614">
        <f>-1172.19382799247 -1220.67532470345 -179.176446906391</f>
        <v>-2572.0455996023111</v>
      </c>
      <c r="S614" t="s">
        <v>10394</v>
      </c>
      <c r="T614" t="s">
        <v>10395</v>
      </c>
      <c r="U614" t="s">
        <v>10396</v>
      </c>
      <c r="V614">
        <f>-1053.76394721487 -1377.15238113312 -185.721082209132</f>
        <v>-2616.6374105571222</v>
      </c>
      <c r="W614" t="s">
        <v>10397</v>
      </c>
      <c r="X614" t="s">
        <v>10398</v>
      </c>
      <c r="Y614" t="s">
        <v>10399</v>
      </c>
    </row>
    <row r="615" spans="1:25" x14ac:dyDescent="0.3">
      <c r="A615">
        <v>30700</v>
      </c>
      <c r="B615" t="s">
        <v>10400</v>
      </c>
      <c r="C615">
        <f>-1113.38109655376 -1299.18554935812 -182.8499081222</f>
        <v>-2595.41655403408</v>
      </c>
      <c r="D615">
        <f>-1120.21134949865 -1299.31566353223 -303.76779023086</f>
        <v>-2723.2948032617401</v>
      </c>
      <c r="E615">
        <f>-1098.001113288 -1314.61522107938 -421.933707569656</f>
        <v>-2834.5500419370355</v>
      </c>
      <c r="F615">
        <f>-1066.68215968889 -1334.51093841776 -524.978077280193</f>
        <v>-2926.1711753868431</v>
      </c>
      <c r="G615">
        <f>-1024.7695069157 -1360.44700253743 -622.781461839454</f>
        <v>-3007.9979712925842</v>
      </c>
      <c r="H615">
        <f>-956.090326606536 -1402.66363228941 -752.013508737082</f>
        <v>-3110.767467633028</v>
      </c>
      <c r="I615">
        <f>-886.592600862203 -1423.41318250973 -823.585125406283</f>
        <v>-3133.5909087782161</v>
      </c>
      <c r="J615">
        <f>-999.55634423896 -1359.21373520744 -709.874036904413</f>
        <v>-3068.644116350813</v>
      </c>
      <c r="K615">
        <f>-1045.5956130214 -1225.18134505594 -749.107799038724</f>
        <v>-3019.8847571160641</v>
      </c>
      <c r="L615">
        <f>-1114.29148343571 -1102.90475090626 -465.355375720491</f>
        <v>-2682.5516100624609</v>
      </c>
      <c r="M615">
        <f>-1099.09842303581 -993.995715228413 -229.664797221487</f>
        <v>-2322.75893548571</v>
      </c>
      <c r="N615">
        <f>-973.401135990147 -1408.75442195621 -679.790434173674</f>
        <v>-3061.945992120031</v>
      </c>
      <c r="O615">
        <f>-928.105906796251 -1519.6720236344 -594.526707323213</f>
        <v>-3042.304637753864</v>
      </c>
      <c r="P615">
        <f>-1047.67697562982 -1521.91422233696 -301.467131258949</f>
        <v>-2871.0583292257288</v>
      </c>
      <c r="Q615">
        <f>-1081.63505512403 -1392.87059916867 -78.2259293050626</f>
        <v>-2552.7315835977624</v>
      </c>
      <c r="R615">
        <f>-1172.63707310051 -1220.92914667171 -179.254523386099</f>
        <v>-2572.8207431583191</v>
      </c>
      <c r="S615" t="s">
        <v>10401</v>
      </c>
      <c r="T615" t="s">
        <v>10402</v>
      </c>
      <c r="U615" t="s">
        <v>10403</v>
      </c>
      <c r="V615">
        <f>-1054.10984048172 -1377.43264481597 -185.75811295737</f>
        <v>-2617.3005982550603</v>
      </c>
      <c r="W615" t="s">
        <v>10404</v>
      </c>
      <c r="X615" t="s">
        <v>10405</v>
      </c>
      <c r="Y615" t="s">
        <v>10406</v>
      </c>
    </row>
    <row r="616" spans="1:25" x14ac:dyDescent="0.3">
      <c r="A616">
        <v>30750</v>
      </c>
      <c r="B616" t="s">
        <v>10407</v>
      </c>
      <c r="C616">
        <f>-1114.08748726374 -1299.67063391313 -182.940940226314</f>
        <v>-2596.6990614031843</v>
      </c>
      <c r="D616">
        <f>-1120.98317596245 -1299.85338714647 -303.855128630882</f>
        <v>-2724.6916917398021</v>
      </c>
      <c r="E616">
        <f>-1098.74300556891 -1315.21474723178 -422.007387642776</f>
        <v>-2835.9651404434658</v>
      </c>
      <c r="F616">
        <f>-1067.36249332065 -1335.17072253775 -525.0214033208</f>
        <v>-2927.5546191791996</v>
      </c>
      <c r="G616">
        <f>-1025.35811470059 -1361.17111023175 -622.768264496483</f>
        <v>-3009.2974894288232</v>
      </c>
      <c r="H616">
        <f>-956.525188568438 -1403.48071139226 -751.88807500299</f>
        <v>-3111.8939749636884</v>
      </c>
      <c r="I616">
        <f>-886.834609366001 -1424.30340006599 -823.250705769672</f>
        <v>-3134.3887152016632</v>
      </c>
      <c r="J616">
        <f>-1000.04198362564 -1360.00098869395 -709.831861990011</f>
        <v>-3069.8748343096008</v>
      </c>
      <c r="K616">
        <f>-1046.01968648402 -1225.98002930129 -749.182835354276</f>
        <v>-3021.1825511395859</v>
      </c>
      <c r="L616">
        <f>-1114.75673149011 -1103.31843641203 -465.606493236853</f>
        <v>-2683.6816611389931</v>
      </c>
      <c r="M616">
        <f>-1099.29574403465 -994.105609467135 -230.073934407725</f>
        <v>-2323.4752879095099</v>
      </c>
      <c r="N616">
        <f>-973.921260428708 -1409.51907825913 -679.681261543891</f>
        <v>-3063.1216002317287</v>
      </c>
      <c r="O616">
        <f>-928.710458765306 -1520.40696950488 -594.332104514244</f>
        <v>-3043.4495327844297</v>
      </c>
      <c r="P616">
        <f>-1048.43162764358 -1522.60890160311 -301.333633499108</f>
        <v>-2872.3741627457985</v>
      </c>
      <c r="Q616">
        <f>-1082.27865460403 -1393.53043286886 -78.0956353885854</f>
        <v>-2553.9047228614754</v>
      </c>
      <c r="R616">
        <f>-1173.35838981615 -1221.35841814971 -179.348962263236</f>
        <v>-2574.065770229096</v>
      </c>
      <c r="S616" t="s">
        <v>10408</v>
      </c>
      <c r="T616" t="s">
        <v>10409</v>
      </c>
      <c r="U616" t="s">
        <v>10410</v>
      </c>
      <c r="V616">
        <f>-1054.78644127854 -1377.94065441241 -185.825373383999</f>
        <v>-2618.5524690749485</v>
      </c>
      <c r="W616" t="s">
        <v>10411</v>
      </c>
      <c r="X616" t="s">
        <v>10412</v>
      </c>
      <c r="Y616" t="s">
        <v>10413</v>
      </c>
    </row>
    <row r="617" spans="1:25" x14ac:dyDescent="0.3">
      <c r="A617">
        <v>30800</v>
      </c>
      <c r="B617" t="s">
        <v>10414</v>
      </c>
      <c r="C617">
        <f>-1114.45156982753 -1299.90091143077 -182.968292450633</f>
        <v>-2597.3207737089328</v>
      </c>
      <c r="D617">
        <f>-1121.39572393296 -1300.11210222333 -303.879604405609</f>
        <v>-2725.3874305618992</v>
      </c>
      <c r="E617">
        <f>-1099.16067650914 -1315.4879815151 -422.030963418915</f>
        <v>-2836.6796214431552</v>
      </c>
      <c r="F617">
        <f>-1067.76818721648 -1335.45190676044 -525.039705376845</f>
        <v>-2928.2597993537647</v>
      </c>
      <c r="G617">
        <f>-1025.73651193682 -1361.45532092305 -622.77412873636</f>
        <v>-3009.9659615962305</v>
      </c>
      <c r="H617">
        <f>-956.85131092514 -1403.76396787665 -751.866343491693</f>
        <v>-3112.4816222934828</v>
      </c>
      <c r="I617">
        <f>-887.088245953005 -1424.57586137648 -823.161272096096</f>
        <v>-3134.8253794255811</v>
      </c>
      <c r="J617">
        <f>-1000.39820409264 -1360.29383059416 -709.831448289415</f>
        <v>-3070.5234829762148</v>
      </c>
      <c r="K617">
        <f>-1046.40056394122 -1226.30054321809 -749.220349056717</f>
        <v>-3021.9214562160273</v>
      </c>
      <c r="L617">
        <f>-1115.19109606737 -1103.5850859663 -465.680229443504</f>
        <v>-2684.4564114771738</v>
      </c>
      <c r="M617">
        <f>-1099.38389461246 -994.244684721547 -230.229837834609</f>
        <v>-2323.8584171686157</v>
      </c>
      <c r="N617">
        <f>-974.263537719434 -1409.79356553987 -679.662600687219</f>
        <v>-3063.7197039465232</v>
      </c>
      <c r="O617">
        <f>-929.06369463233 -1520.67615991749 -594.287898546093</f>
        <v>-3044.0277530959129</v>
      </c>
      <c r="P617">
        <f>-1048.7941189756 -1522.92555439321 -301.293565794067</f>
        <v>-2873.0132391628767</v>
      </c>
      <c r="Q617">
        <f>-1082.63735188256 -1393.86881827918 -78.0424017848738</f>
        <v>-2554.5485719466137</v>
      </c>
      <c r="R617">
        <f>-1173.77190856082 -1221.61259363957 -179.349445249729</f>
        <v>-2574.7339474501186</v>
      </c>
      <c r="S617" t="s">
        <v>10415</v>
      </c>
      <c r="T617" t="s">
        <v>10416</v>
      </c>
      <c r="U617" t="s">
        <v>10417</v>
      </c>
      <c r="V617">
        <f>-1055.1137198094 -1378.16744228002 -185.856357173927</f>
        <v>-2619.1375192633468</v>
      </c>
      <c r="W617" t="s">
        <v>10418</v>
      </c>
      <c r="X617" t="s">
        <v>10419</v>
      </c>
      <c r="Y617" t="s">
        <v>10420</v>
      </c>
    </row>
    <row r="618" spans="1:25" x14ac:dyDescent="0.3">
      <c r="A618">
        <v>30850</v>
      </c>
      <c r="B618" t="s">
        <v>10421</v>
      </c>
      <c r="C618">
        <f>-1115.09585744333 -1300.34358745625 -182.962646779068</f>
        <v>-2598.402091678648</v>
      </c>
      <c r="D618">
        <f>-1122.09645438854 -1300.57642786937 -303.870541607671</f>
        <v>-2726.5434238655807</v>
      </c>
      <c r="E618">
        <f>-1099.88766036082 -1315.94228327222 -422.028314474714</f>
        <v>-2837.858258107754</v>
      </c>
      <c r="F618">
        <f>-1068.50534768727 -1335.88321495305 -525.044593029513</f>
        <v>-2929.4331556698326</v>
      </c>
      <c r="G618">
        <f>-1026.46980850675 -1361.84946656384 -622.787145130374</f>
        <v>-3011.1064202009643</v>
      </c>
      <c r="H618">
        <f>-957.564270304182 -1404.09145493419 -751.890372662879</f>
        <v>-3113.546097901251</v>
      </c>
      <c r="I618">
        <f>-887.704487960139 -1424.80829326739 -823.118303528637</f>
        <v>-3135.6310847561654</v>
      </c>
      <c r="J618">
        <f>-1001.1643495782 -1360.67621335449 -709.85386723612</f>
        <v>-3071.69443016881</v>
      </c>
      <c r="K618">
        <f>-1047.33316691033 -1226.73151418135 -749.243218471942</f>
        <v>-3023.3078995636215</v>
      </c>
      <c r="L618">
        <f>-1116.0674836499 -1104.07504650467 -465.664036402513</f>
        <v>-2685.8065665570825</v>
      </c>
      <c r="M618">
        <f>-1099.62571381789 -994.72878630466 -230.259908722418</f>
        <v>-2324.6144088449682</v>
      </c>
      <c r="N618">
        <f>-974.941356001022 -1410.12517576447 -679.678471351751</f>
        <v>-3064.745003117243</v>
      </c>
      <c r="O618">
        <f>-929.665417690496 -1520.96057953635 -594.295728620658</f>
        <v>-3044.9217258475041</v>
      </c>
      <c r="P618">
        <f>-1049.33720326743 -1523.28251075051 -301.277848744676</f>
        <v>-2873.897562762616</v>
      </c>
      <c r="Q618">
        <f>-1083.16110877875 -1394.23038708201 -78.0211384246663</f>
        <v>-2555.4126342854265</v>
      </c>
      <c r="R618">
        <f>-1174.47933680476 -1222.13027444283 -179.313065672865</f>
        <v>-2575.9226769204547</v>
      </c>
      <c r="S618" t="s">
        <v>10422</v>
      </c>
      <c r="T618" t="s">
        <v>10423</v>
      </c>
      <c r="U618" t="s">
        <v>10424</v>
      </c>
      <c r="V618">
        <f>-1055.64904132586 -1378.52893756795 -185.891505750795</f>
        <v>-2620.0694846446054</v>
      </c>
      <c r="W618" t="s">
        <v>10425</v>
      </c>
      <c r="X618" t="s">
        <v>10426</v>
      </c>
      <c r="Y618" t="s">
        <v>10427</v>
      </c>
    </row>
    <row r="619" spans="1:25" x14ac:dyDescent="0.3">
      <c r="A619">
        <v>30900</v>
      </c>
      <c r="B619" t="s">
        <v>10428</v>
      </c>
      <c r="C619">
        <f>-1115.32451638648 -1300.56404040823 -182.963142687701</f>
        <v>-2598.8516994824108</v>
      </c>
      <c r="D619">
        <f>-1122.37869957958 -1300.8255446503 -303.868037698668</f>
        <v>-2727.0722819285479</v>
      </c>
      <c r="E619">
        <f>-1100.20241328801 -1316.18551238781 -422.032393627603</f>
        <v>-2838.4203193034232</v>
      </c>
      <c r="F619">
        <f>-1068.8389465187 -1336.10556659663 -525.058542179978</f>
        <v>-2930.0030552953076</v>
      </c>
      <c r="G619">
        <f>-1026.81049847277 -1362.03470500635 -622.814092811171</f>
        <v>-3011.659296290291</v>
      </c>
      <c r="H619">
        <f>-957.901705284375 -1404.20779787199 -751.938176232967</f>
        <v>-3114.0476793893322</v>
      </c>
      <c r="I619">
        <f>-888.010788251096 -1424.85723041528 -823.154911893806</f>
        <v>-3136.022930560182</v>
      </c>
      <c r="J619">
        <f>-1001.53319220238 -1360.83664573416 -709.888622901631</f>
        <v>-3072.2584608381708</v>
      </c>
      <c r="K619">
        <f>-1047.83417177292 -1226.92875630527 -749.248387765974</f>
        <v>-3024.0113158441645</v>
      </c>
      <c r="L619">
        <f>-1116.51954868977 -1104.39706911866 -465.603357956333</f>
        <v>-2686.5199757647633</v>
      </c>
      <c r="M619">
        <f>-1099.91303609401 -995.068185878852 -230.202607688186</f>
        <v>-2325.1838296610481</v>
      </c>
      <c r="N619">
        <f>-975.250236980908 -1410.25837158148 -679.720752195471</f>
        <v>-3065.229360757859</v>
      </c>
      <c r="O619">
        <f>-929.899450990383 -1521.06756452981 -594.345174488897</f>
        <v>-3045.31219000909</v>
      </c>
      <c r="P619">
        <f>-1049.50969752686 -1523.42901067997 -301.302455705895</f>
        <v>-2874.2411639127249</v>
      </c>
      <c r="Q619">
        <f>-1083.3365789151 -1394.41239477659 -78.0257754082936</f>
        <v>-2555.7747490999836</v>
      </c>
      <c r="R619">
        <f>-1174.75934651684 -1222.36473502104 -179.311364210747</f>
        <v>-2576.4354457486265</v>
      </c>
      <c r="S619" t="s">
        <v>10429</v>
      </c>
      <c r="T619" t="s">
        <v>10430</v>
      </c>
      <c r="U619" t="s">
        <v>10431</v>
      </c>
      <c r="V619">
        <f>-1055.83334955965 -1378.75394456863 -185.895150744971</f>
        <v>-2620.4824448732511</v>
      </c>
      <c r="W619" t="s">
        <v>10432</v>
      </c>
      <c r="X619" t="s">
        <v>10433</v>
      </c>
      <c r="Y619" t="s">
        <v>10434</v>
      </c>
    </row>
    <row r="620" spans="1:25" x14ac:dyDescent="0.3">
      <c r="A620">
        <v>30950</v>
      </c>
      <c r="B620" t="s">
        <v>10435</v>
      </c>
      <c r="C620">
        <f>-1115.75349497072 -1301.07195302421 -182.963672240518</f>
        <v>-2599.7891202354481</v>
      </c>
      <c r="D620">
        <f>-1122.90107108435 -1301.37015458465 -303.863002925593</f>
        <v>-2728.134228594593</v>
      </c>
      <c r="E620">
        <f>-1100.78297349711 -1316.70506475088 -422.041576495927</f>
        <v>-2839.5296147439171</v>
      </c>
      <c r="F620">
        <f>-1069.45536656062 -1336.57710266611 -525.087804091734</f>
        <v>-2931.1202733184641</v>
      </c>
      <c r="G620">
        <f>-1027.44466921518 -1362.43324549312 -622.870296677172</f>
        <v>-3012.7482113854721</v>
      </c>
      <c r="H620">
        <f>-958.540735333233 -1404.4794935686 -752.038237552099</f>
        <v>-3115.0584664539319</v>
      </c>
      <c r="I620">
        <f>-888.613416433055 -1425.01062753428 -823.253634961422</f>
        <v>-3136.8776789287572</v>
      </c>
      <c r="J620">
        <f>-1002.21971473538 -1361.18479424787 -709.95937810925</f>
        <v>-3073.3638870924997</v>
      </c>
      <c r="K620">
        <f>-1048.7568139271 -1227.33712081634 -749.245643798626</f>
        <v>-3025.3395785420662</v>
      </c>
      <c r="L620">
        <f>-1117.40815576564 -1105.28106233594 -465.387371389364</f>
        <v>-2688.0765894909441</v>
      </c>
      <c r="M620">
        <f>-1100.7624428229 -996.189194581818 -229.879572634211</f>
        <v>-2326.8312100389289</v>
      </c>
      <c r="N620">
        <f>-975.837510044929 -1410.56585586608 -679.811607317353</f>
        <v>-3066.2149732283624</v>
      </c>
      <c r="O620">
        <f>-930.355149471713 -1521.36431496021 -594.48927292875</f>
        <v>-3046.2087373606732</v>
      </c>
      <c r="P620">
        <f>-1049.77284731824 -1523.8693232984 -301.369138039583</f>
        <v>-2875.0113086562233</v>
      </c>
      <c r="Q620">
        <f>-1083.52799027764 -1394.88973116111 -78.0602164476468</f>
        <v>-2556.4779378863968</v>
      </c>
      <c r="R620">
        <f>-1175.32170443069 -1222.96356351645 -179.273429872532</f>
        <v>-2577.5586978196716</v>
      </c>
      <c r="S620" t="s">
        <v>10436</v>
      </c>
      <c r="T620" t="s">
        <v>10437</v>
      </c>
      <c r="U620" t="s">
        <v>10438</v>
      </c>
      <c r="V620">
        <f>-1056.15377635327 -1379.17011202767 -185.911059926648</f>
        <v>-2621.2349483075877</v>
      </c>
      <c r="W620" t="s">
        <v>10439</v>
      </c>
      <c r="X620" t="s">
        <v>10440</v>
      </c>
      <c r="Y620" t="s">
        <v>10441</v>
      </c>
    </row>
    <row r="621" spans="1:25" x14ac:dyDescent="0.3">
      <c r="A621">
        <v>31000</v>
      </c>
      <c r="B621" t="s">
        <v>10442</v>
      </c>
      <c r="C621">
        <f>-1115.96595794203 -1301.32271101343 -182.954036499289</f>
        <v>-2600.2427054547488</v>
      </c>
      <c r="D621">
        <f>-1123.12880184679 -1301.61415170257 -303.852387831893</f>
        <v>-2728.5953413812531</v>
      </c>
      <c r="E621">
        <f>-1101.02988759489 -1316.9176287915 -422.03875585271</f>
        <v>-2839.9862722390999</v>
      </c>
      <c r="F621">
        <f>-1069.72031778435 -1336.75231983027 -525.097727384477</f>
        <v>-2931.5703649990969</v>
      </c>
      <c r="G621">
        <f>-1027.72747939155 -1362.56308047006 -622.899764073932</f>
        <v>-3013.190323935542</v>
      </c>
      <c r="H621">
        <f>-958.847382071767 -1404.53887624887 -752.103413566555</f>
        <v>-3115.4896718871923</v>
      </c>
      <c r="I621">
        <f>-888.922375302665 -1425.01875450848 -823.335864999786</f>
        <v>-3137.2769948109308</v>
      </c>
      <c r="J621">
        <f>-1002.53855802006 -1361.2814738861 -709.998781213367</f>
        <v>-3073.8188131195266</v>
      </c>
      <c r="K621">
        <f>-1049.18301589511 -1227.45656867909 -749.223070194704</f>
        <v>-3025.8626547689037</v>
      </c>
      <c r="L621">
        <f>-1117.86447064979 -1105.583694518 -465.293295806438</f>
        <v>-2688.7414609742277</v>
      </c>
      <c r="M621">
        <f>-1101.38218331093 -996.636837976823 -229.706969795036</f>
        <v>-2327.7259910827893</v>
      </c>
      <c r="N621">
        <f>-976.110867106508 -1410.65029467577 -679.870859278812</f>
        <v>-3066.6320210610902</v>
      </c>
      <c r="O621">
        <f>-930.567550528472 -1521.46111484652 -594.596659742165</f>
        <v>-3046.6253251171574</v>
      </c>
      <c r="P621">
        <f>-1049.8539679235 -1524.04753189675 -301.423776686088</f>
        <v>-2875.325276506338</v>
      </c>
      <c r="Q621">
        <f>-1083.5385193021 -1395.0601817002 -78.1086529962334</f>
        <v>-2556.7073539985336</v>
      </c>
      <c r="R621">
        <f>-1175.59516080535 -1223.24449705678 -179.256527697162</f>
        <v>-2578.0961855592914</v>
      </c>
      <c r="S621" t="s">
        <v>10443</v>
      </c>
      <c r="T621" t="s">
        <v>10444</v>
      </c>
      <c r="U621" t="s">
        <v>10445</v>
      </c>
      <c r="V621">
        <f>-1056.28993440861 -1379.36254625369 -185.917793486448</f>
        <v>-2621.570274148748</v>
      </c>
      <c r="W621" t="s">
        <v>10446</v>
      </c>
      <c r="X621" t="s">
        <v>10447</v>
      </c>
      <c r="Y621" t="s">
        <v>10448</v>
      </c>
    </row>
    <row r="622" spans="1:25" x14ac:dyDescent="0.3">
      <c r="A622">
        <v>31050</v>
      </c>
      <c r="B622" t="s">
        <v>10449</v>
      </c>
      <c r="C622">
        <f>-1116.32217635057 -1301.79839553593 -182.918552898619</f>
        <v>-2601.0391247851194</v>
      </c>
      <c r="D622">
        <f>-1123.56295378289 -1302.07920334163 -303.812302442498</f>
        <v>-2729.4544595670181</v>
      </c>
      <c r="E622">
        <f>-1101.51496527383 -1317.31181776817 -422.017314622861</f>
        <v>-2840.8440976648608</v>
      </c>
      <c r="F622">
        <f>-1070.23731849349 -1337.05748168066 -525.103002076731</f>
        <v>-2932.3978022508809</v>
      </c>
      <c r="G622">
        <f>-1028.26043878721 -1362.75470236197 -622.941830158921</f>
        <v>-3013.9569713081009</v>
      </c>
      <c r="H622">
        <f>-959.38419259621 -1404.5474083991 -752.206873309202</f>
        <v>-3116.1384743045119</v>
      </c>
      <c r="I622">
        <f>-889.474774113287 -1424.91545773271 -823.486594887464</f>
        <v>-3137.8768267334608</v>
      </c>
      <c r="J622">
        <f>-1003.12203490152 -1361.38416668835 -710.054082069122</f>
        <v>-3074.5602836589924</v>
      </c>
      <c r="K622">
        <f>-1049.99999235672 -1227.60111651073 -749.150552317582</f>
        <v>-3026.7516611850319</v>
      </c>
      <c r="L622">
        <f>-1118.75089425713 -1106.1925542476 -465.038772940576</f>
        <v>-2689.9822214453061</v>
      </c>
      <c r="M622">
        <f>-1102.76291484354 -997.532276098418 -229.285959705686</f>
        <v>-2329.5811506476439</v>
      </c>
      <c r="N622">
        <f>-976.597554508107 -1410.7266738597 -679.96806073158</f>
        <v>-3067.2922890993868</v>
      </c>
      <c r="O622">
        <f>-930.919518275252 -1521.55110968002 -594.784618324854</f>
        <v>-3047.2552462801259</v>
      </c>
      <c r="P622">
        <f>-1050.05454671287 -1524.32272013975 -301.552024520845</f>
        <v>-2875.9292913734648</v>
      </c>
      <c r="Q622">
        <f>-1083.6879378752 -1395.48773982736 -78.141255861885</f>
        <v>-2557.3169335644452</v>
      </c>
      <c r="R622">
        <f>-1176.06168265877 -1223.7899205511 -179.166798146829</f>
        <v>-2579.0184013566991</v>
      </c>
      <c r="S622" t="s">
        <v>10450</v>
      </c>
      <c r="T622" t="s">
        <v>10451</v>
      </c>
      <c r="U622" t="s">
        <v>10452</v>
      </c>
      <c r="V622">
        <f>-1056.54682978537 -1379.79196480257 -185.926618809756</f>
        <v>-2622.2654133976957</v>
      </c>
      <c r="W622" t="s">
        <v>10453</v>
      </c>
      <c r="X622" t="s">
        <v>10454</v>
      </c>
      <c r="Y622" t="s">
        <v>10455</v>
      </c>
    </row>
    <row r="623" spans="1:25" x14ac:dyDescent="0.3">
      <c r="A623">
        <v>31100</v>
      </c>
      <c r="B623" t="s">
        <v>10456</v>
      </c>
      <c r="C623">
        <f>-1116.46167040811 -1302.00030890474 -182.900502251666</f>
        <v>-2601.3624815645162</v>
      </c>
      <c r="D623">
        <f>-1123.72903036434 -1302.27243828964 -303.792618436985</f>
        <v>-2729.7940870909647</v>
      </c>
      <c r="E623">
        <f>-1101.71898893639 -1317.46824701054 -422.009421276644</f>
        <v>-2841.1966572235738</v>
      </c>
      <c r="F623">
        <f>-1070.47727077985 -1337.1677981665 -525.114894538362</f>
        <v>-2932.759963484712</v>
      </c>
      <c r="G623">
        <f>-1028.53561151689 -1362.80559977982 -622.984487771221</f>
        <v>-3014.3256990679311</v>
      </c>
      <c r="H623">
        <f>-959.705346114999 -1404.50174809577 -752.305140766089</f>
        <v>-3116.5122349768581</v>
      </c>
      <c r="I623">
        <f>-889.825361548583 -1424.80990110921 -823.630869623934</f>
        <v>-3138.2661322817266</v>
      </c>
      <c r="J623">
        <f>-1003.45156509051 -1361.38685004829 -710.11153431577</f>
        <v>-3074.9499494545698</v>
      </c>
      <c r="K623">
        <f>-1050.45031722327 -1227.62838626037 -749.143925628768</f>
        <v>-3027.2226291124084</v>
      </c>
      <c r="L623">
        <f>-1119.22286038227 -1106.42247800763 -464.950934864968</f>
        <v>-2690.5962732548678</v>
      </c>
      <c r="M623">
        <f>-1103.52790895506 -997.877283390071 -229.125448657682</f>
        <v>-2330.5306410028134</v>
      </c>
      <c r="N623">
        <f>-976.869622107203 -1410.71811969424 -680.057973942554</f>
        <v>-3067.6457157439968</v>
      </c>
      <c r="O623">
        <f>-931.134553234621 -1521.55177478252 -594.918574015921</f>
        <v>-3047.604902033062</v>
      </c>
      <c r="P623">
        <f>-1050.12898375666 -1524.41831220154 -301.629806537605</f>
        <v>-2876.1771024958052</v>
      </c>
      <c r="Q623">
        <f>-1083.74506916676 -1395.61782410881 -78.1965635824288</f>
        <v>-2557.5594568579991</v>
      </c>
      <c r="R623">
        <f>-1176.20909655897 -1224.0374066554 -179.121455824264</f>
        <v>-2579.3679590386341</v>
      </c>
      <c r="S623" t="s">
        <v>10457</v>
      </c>
      <c r="T623" t="s">
        <v>10458</v>
      </c>
      <c r="U623" t="s">
        <v>10459</v>
      </c>
      <c r="V623">
        <f>-1056.64559723331 -1379.95744118728 -185.930124291147</f>
        <v>-2622.5331627117366</v>
      </c>
      <c r="W623" t="s">
        <v>10460</v>
      </c>
      <c r="X623" t="s">
        <v>10461</v>
      </c>
      <c r="Y623" t="s">
        <v>10462</v>
      </c>
    </row>
    <row r="624" spans="1:25" x14ac:dyDescent="0.3">
      <c r="A624">
        <v>31150</v>
      </c>
      <c r="B624" t="s">
        <v>10463</v>
      </c>
      <c r="C624">
        <f>-1116.56139072245 -1302.43563494711 -182.855600855862</f>
        <v>-2601.8526265254218</v>
      </c>
      <c r="D624">
        <f>-1123.89000642885 -1302.71841238336 -303.744094859464</f>
        <v>-2730.3525136716739</v>
      </c>
      <c r="E624">
        <f>-1101.88584348891 -1317.8341913964 -421.972298303422</f>
        <v>-2841.6923331887324</v>
      </c>
      <c r="F624">
        <f>-1070.62347198665 -1337.42217064552 -525.092579808332</f>
        <v>-2933.1382224405015</v>
      </c>
      <c r="G624">
        <f>-1028.63342174929 -1362.9083736774 -622.981004724977</f>
        <v>-3014.5228001516671</v>
      </c>
      <c r="H624">
        <f>-959.705583235143 -1404.35163474892 -752.331034049336</f>
        <v>-3116.3882520333991</v>
      </c>
      <c r="I624">
        <f>-889.81035049911 -1424.53149953782 -823.678143782574</f>
        <v>-3138.0199938195037</v>
      </c>
      <c r="J624">
        <f>-1003.5305689216 -1361.35317399433 -710.100432245964</f>
        <v>-3074.9841751618942</v>
      </c>
      <c r="K624">
        <f>-1050.72597606332 -1227.63415515699 -749.009772174497</f>
        <v>-3027.3699033948069</v>
      </c>
      <c r="L624">
        <f>-1119.54810459548 -1106.83280605656 -464.656600304409</f>
        <v>-2691.0375109564493</v>
      </c>
      <c r="M624">
        <f>-1104.33766180848 -998.481601570699 -228.710115155373</f>
        <v>-2331.5293785345521</v>
      </c>
      <c r="N624">
        <f>-976.877489283263 -1410.67537044137 -680.095030451681</f>
        <v>-3067.6478901763139</v>
      </c>
      <c r="O624">
        <f>-931.039035610845 -1521.54420946155 -595.046354563207</f>
        <v>-3047.6295996356021</v>
      </c>
      <c r="P624">
        <f>-1049.86853204135 -1524.54598583923 -301.691993903984</f>
        <v>-2876.1065117845642</v>
      </c>
      <c r="Q624">
        <f>-1083.44456961809 -1395.81778319554 -78.2109793824374</f>
        <v>-2557.4733321960675</v>
      </c>
      <c r="R624">
        <f>-1176.23169369748 -1224.43978058734 -179.049874990782</f>
        <v>-2579.7213492756018</v>
      </c>
      <c r="S624" t="s">
        <v>10464</v>
      </c>
      <c r="T624" t="s">
        <v>10465</v>
      </c>
      <c r="U624" t="s">
        <v>10466</v>
      </c>
      <c r="V624">
        <f>-1056.79046934028 -1380.44353767794 -185.919976467568</f>
        <v>-2623.1539834857881</v>
      </c>
      <c r="W624" t="s">
        <v>10467</v>
      </c>
      <c r="X624" t="s">
        <v>10468</v>
      </c>
      <c r="Y624" t="s">
        <v>10469</v>
      </c>
    </row>
    <row r="625" spans="1:25" x14ac:dyDescent="0.3">
      <c r="A625">
        <v>31200</v>
      </c>
      <c r="B625" t="s">
        <v>10470</v>
      </c>
      <c r="C625">
        <f>-1116.64760602184 -1302.63055400886 -182.841171002277</f>
        <v>-2602.1193310329768</v>
      </c>
      <c r="D625">
        <f>-1124.02623422703 -1302.92774068642 -303.726527144021</f>
        <v>-2730.6805020574711</v>
      </c>
      <c r="E625">
        <f>-1102.03196875421 -1317.99442074536 -421.962792048091</f>
        <v>-2841.9891815476612</v>
      </c>
      <c r="F625">
        <f>-1070.76024932839 -1337.51131725095 -525.093932522609</f>
        <v>-2933.3654991019494</v>
      </c>
      <c r="G625">
        <f>-1028.7415582368 -1362.89953961186 -622.995524638675</f>
        <v>-3014.636622487335</v>
      </c>
      <c r="H625">
        <f>-959.753208425692 -1404.17869328019 -752.365603253491</f>
        <v>-3116.2975049593729</v>
      </c>
      <c r="I625">
        <f>-889.83833333849 -1424.27740541506 -823.716357903701</f>
        <v>-3137.832096657251</v>
      </c>
      <c r="J625">
        <f>-1003.62493565125 -1361.25335002895 -710.109101892143</f>
        <v>-3074.9873875723429</v>
      </c>
      <c r="K625">
        <f>-1050.88971484093 -1227.52874973131 -748.953108567153</f>
        <v>-3027.3715731393927</v>
      </c>
      <c r="L625">
        <f>-1119.77760265408 -1106.85237532919 -464.562820895476</f>
        <v>-2691.1927988787456</v>
      </c>
      <c r="M625">
        <f>-1104.65377013796 -998.582980732071 -228.573313868691</f>
        <v>-2331.8100647387218</v>
      </c>
      <c r="N625">
        <f>-976.93189097589 -1410.57454156631 -680.137376933312</f>
        <v>-3067.6438094755122</v>
      </c>
      <c r="O625">
        <f>-931.043067053335 -1521.43726116163 -595.121155784592</f>
        <v>-3047.6014839995569</v>
      </c>
      <c r="P625">
        <f>-1049.82666656035 -1524.46477950429 -301.748588017519</f>
        <v>-2876.0400340821589</v>
      </c>
      <c r="Q625">
        <f>-1083.38259907721 -1395.80385031133 -78.2258252161921</f>
        <v>-2557.4122746047324</v>
      </c>
      <c r="R625">
        <f>-1176.32692471789 -1224.62123377144 -179.02122473232</f>
        <v>-2579.9693832216503</v>
      </c>
      <c r="S625" t="s">
        <v>10471</v>
      </c>
      <c r="T625" t="s">
        <v>10472</v>
      </c>
      <c r="U625" t="s">
        <v>10473</v>
      </c>
      <c r="V625">
        <f>-1056.9152139361 -1380.63712538506 -185.919016726419</f>
        <v>-2623.4713560475789</v>
      </c>
      <c r="W625" t="s">
        <v>10474</v>
      </c>
      <c r="X625" t="s">
        <v>10475</v>
      </c>
      <c r="Y625" t="s">
        <v>10476</v>
      </c>
    </row>
    <row r="626" spans="1:25" x14ac:dyDescent="0.3">
      <c r="A626">
        <v>31250</v>
      </c>
      <c r="B626" t="s">
        <v>10477</v>
      </c>
      <c r="C626">
        <f>-1117.01528064821 -1303.08135774324 -182.81285881394</f>
        <v>-2602.9094972053899</v>
      </c>
      <c r="D626">
        <f>-1124.48750731693 -1303.39943129657 -303.692418509594</f>
        <v>-2731.5793571230943</v>
      </c>
      <c r="E626">
        <f>-1102.51829032293 -1318.43243074824 -421.937671781411</f>
        <v>-2842.8883928525811</v>
      </c>
      <c r="F626">
        <f>-1071.24136236485 -1337.89826080839 -525.076838682102</f>
        <v>-2934.2164618553415</v>
      </c>
      <c r="G626">
        <f>-1029.19057465376 -1363.21584100717 -622.982987400803</f>
        <v>-3015.389403061733</v>
      </c>
      <c r="H626">
        <f>-960.130995021294 -1404.37726908639 -752.35256420775</f>
        <v>-3116.8608283154344</v>
      </c>
      <c r="I626">
        <f>-890.183120939395 -1424.39707329308 -823.693202676012</f>
        <v>-3138.273396908487</v>
      </c>
      <c r="J626">
        <f>-1004.04255503288 -1361.50239924576 -710.086352315653</f>
        <v>-3075.6313065942932</v>
      </c>
      <c r="K626">
        <f>-1051.40253728308 -1227.79631909956 -748.874653249512</f>
        <v>-3028.0735096321519</v>
      </c>
      <c r="L626">
        <f>-1120.37059858147 -1107.41106205726 -464.380377808359</f>
        <v>-2692.1620384470889</v>
      </c>
      <c r="M626">
        <f>-1105.27465850901 -999.352675176183 -228.29225384941</f>
        <v>-2332.9195875346027</v>
      </c>
      <c r="N626">
        <f>-977.332902385431 -1410.82683032424 -680.134799762768</f>
        <v>-3068.2945324724392</v>
      </c>
      <c r="O626">
        <f>-931.477236101435 -1521.72983911158 -595.153946071742</f>
        <v>-3048.361021284757</v>
      </c>
      <c r="P626">
        <f>-1050.184355921 -1524.89279984687 -301.75178731227</f>
        <v>-2876.8289430801401</v>
      </c>
      <c r="Q626">
        <f>-1083.62034924079 -1396.34540847087 -78.1457722320382</f>
        <v>-2558.1115299436983</v>
      </c>
      <c r="R626">
        <f>-1176.70903687778 -1225.08403609212 -178.961142225039</f>
        <v>-2580.7542151949392</v>
      </c>
      <c r="S626" t="s">
        <v>10478</v>
      </c>
      <c r="T626" t="s">
        <v>10479</v>
      </c>
      <c r="U626" t="s">
        <v>10480</v>
      </c>
      <c r="V626">
        <f>-1057.29829964757 -1381.06167079128 -185.929538487668</f>
        <v>-2624.289508926518</v>
      </c>
      <c r="W626" t="s">
        <v>10481</v>
      </c>
      <c r="X626" t="s">
        <v>10482</v>
      </c>
      <c r="Y626" t="s">
        <v>10483</v>
      </c>
    </row>
    <row r="627" spans="1:25" x14ac:dyDescent="0.3">
      <c r="A627">
        <v>31300</v>
      </c>
      <c r="B627" t="s">
        <v>10484</v>
      </c>
      <c r="C627">
        <f>-1117.20648086975 -1303.28513307005 -182.808167525269</f>
        <v>-2603.2997814650689</v>
      </c>
      <c r="D627">
        <f>-1124.69305886538 -1303.58497952577 -303.686815445537</f>
        <v>-2731.9648538366869</v>
      </c>
      <c r="E627">
        <f>-1102.73094576657 -1318.60795850086 -421.934630915925</f>
        <v>-2843.2735351833549</v>
      </c>
      <c r="F627">
        <f>-1071.45803461218 -1338.06894952131 -525.075974852033</f>
        <v>-2934.6029589855234</v>
      </c>
      <c r="G627">
        <f>-1029.40940910958 -1363.38630668215 -622.982908730772</f>
        <v>-3015.778624522502</v>
      </c>
      <c r="H627">
        <f>-960.351528019476 -1404.55252538436 -752.352064874449</f>
        <v>-3117.2561182782847</v>
      </c>
      <c r="I627">
        <f>-890.395763424263 -1424.57325627671 -823.684648115551</f>
        <v>-3138.6536678165239</v>
      </c>
      <c r="J627">
        <f>-1004.25809346711 -1361.67289213628 -710.085410703121</f>
        <v>-3076.0163963065111</v>
      </c>
      <c r="K627">
        <f>-1051.58508580389 -1227.95856199293 -748.870422902896</f>
        <v>-3028.4140706997159</v>
      </c>
      <c r="L627">
        <f>-1120.59615530483 -1107.58257003336 -464.382726786269</f>
        <v>-2692.5614521244588</v>
      </c>
      <c r="M627">
        <f>-1105.48815685857 -999.595096032528 -228.262992109554</f>
        <v>-2333.3462450006518</v>
      </c>
      <c r="N627">
        <f>-977.556900456482 -1411.00262558038 -680.135021462188</f>
        <v>-3068.6945474990498</v>
      </c>
      <c r="O627">
        <f>-931.75748861077 -1521.95203751668 -595.17648297953</f>
        <v>-3048.8860091069801</v>
      </c>
      <c r="P627">
        <f>-1050.40114377729 -1525.14066316505 -301.749035440207</f>
        <v>-2877.290842382547</v>
      </c>
      <c r="Q627">
        <f>-1083.76231294109 -1396.59586417413 -78.1302989707033</f>
        <v>-2558.4884760859231</v>
      </c>
      <c r="R627">
        <f>-1176.88546307205 -1225.27478515968 -178.950687394628</f>
        <v>-2581.1109356263582</v>
      </c>
      <c r="S627" t="s">
        <v>10485</v>
      </c>
      <c r="T627" t="s">
        <v>10486</v>
      </c>
      <c r="U627" t="s">
        <v>10487</v>
      </c>
      <c r="V627">
        <f>-1057.49576377522 -1381.27211112104 -185.939799350618</f>
        <v>-2624.707674246878</v>
      </c>
      <c r="W627" t="s">
        <v>10488</v>
      </c>
      <c r="X627" t="s">
        <v>10489</v>
      </c>
      <c r="Y627" t="s">
        <v>10490</v>
      </c>
    </row>
    <row r="628" spans="1:25" x14ac:dyDescent="0.3">
      <c r="A628">
        <v>31350</v>
      </c>
      <c r="B628" t="s">
        <v>10491</v>
      </c>
      <c r="C628">
        <f>-1117.67943448343 -1303.65644617387 -182.805363568282</f>
        <v>-2604.1412442255819</v>
      </c>
      <c r="D628">
        <f>-1125.19874067202 -1303.94070802489 -303.682087617949</f>
        <v>-2732.8215363148593</v>
      </c>
      <c r="E628">
        <f>-1103.25119307446 -1318.94856323645 -421.934406222092</f>
        <v>-2844.1341625330019</v>
      </c>
      <c r="F628">
        <f>-1071.98384811761 -1338.39593132795 -525.080042386611</f>
        <v>-2935.4598218321707</v>
      </c>
      <c r="G628">
        <f>-1029.93334626141 -1363.69938300952 -622.989947097551</f>
        <v>-3016.6226763684813</v>
      </c>
      <c r="H628">
        <f>-960.865536559276 -1404.84567767658 -752.359936561179</f>
        <v>-3118.071150797035</v>
      </c>
      <c r="I628">
        <f>-890.88091723846 -1424.86046580627 -823.665938010764</f>
        <v>-3139.4073210554939</v>
      </c>
      <c r="J628">
        <f>-1004.77252281532 -1361.97047939605 -710.089249621336</f>
        <v>-3076.8322518327059</v>
      </c>
      <c r="K628">
        <f>-1052.01453392432 -1228.21064747321 -748.833868132747</f>
        <v>-3029.0590495302768</v>
      </c>
      <c r="L628">
        <f>-1120.95162087573 -1107.75825464441 -464.360396756181</f>
        <v>-2693.0702722763208</v>
      </c>
      <c r="M628">
        <f>-1105.67517651115 -999.719027950371 -228.275302155428</f>
        <v>-2333.6695066169491</v>
      </c>
      <c r="N628">
        <f>-978.079277920951 -1411.30892414051 -680.146189585642</f>
        <v>-3069.5343916471029</v>
      </c>
      <c r="O628">
        <f>-932.405112110873 -1522.32971158578 -595.217453523252</f>
        <v>-3049.9522772199048</v>
      </c>
      <c r="P628">
        <f>-1051.00041080187 -1525.50058675578 -301.770136398735</f>
        <v>-2878.2711339563848</v>
      </c>
      <c r="Q628">
        <f>-1084.15374769585 -1396.93189450134 -78.1343204346101</f>
        <v>-2559.2199626317997</v>
      </c>
      <c r="R628">
        <f>-1177.28851190541 -1225.64479237748 -178.922073025162</f>
        <v>-2581.8553773080516</v>
      </c>
      <c r="S628" t="s">
        <v>10492</v>
      </c>
      <c r="T628" t="s">
        <v>10493</v>
      </c>
      <c r="U628" t="s">
        <v>10494</v>
      </c>
      <c r="V628">
        <f>-1058.02653157594 -1381.6918586849 -185.96232213128</f>
        <v>-2625.6807123921199</v>
      </c>
      <c r="W628" t="s">
        <v>10495</v>
      </c>
      <c r="X628" t="s">
        <v>10496</v>
      </c>
      <c r="Y628" t="s">
        <v>10497</v>
      </c>
    </row>
    <row r="629" spans="1:25" x14ac:dyDescent="0.3">
      <c r="A629">
        <v>31400</v>
      </c>
      <c r="B629" t="s">
        <v>10498</v>
      </c>
      <c r="C629">
        <f>-1117.91387075604 -1303.84689018227 -182.822823553084</f>
        <v>-2604.5835844913945</v>
      </c>
      <c r="D629">
        <f>-1125.44776631769 -1304.14174906183 -303.698534754745</f>
        <v>-2733.2880501342652</v>
      </c>
      <c r="E629">
        <f>-1103.50670393207 -1319.15249846313 -421.951777907546</f>
        <v>-2844.6109803027457</v>
      </c>
      <c r="F629">
        <f>-1072.24153520028 -1338.59885240874 -525.098340236178</f>
        <v>-2935.9387278451977</v>
      </c>
      <c r="G629">
        <f>-1030.18936512078 -1363.89739425608 -623.008667461175</f>
        <v>-3017.0954268380347</v>
      </c>
      <c r="H629">
        <f>-961.115176800411 -1405.03261558631 -752.378905771788</f>
        <v>-3118.5266981585091</v>
      </c>
      <c r="I629">
        <f>-891.113130966394 -1425.05047460286 -823.666991824809</f>
        <v>-3139.8305973940633</v>
      </c>
      <c r="J629">
        <f>-1005.02600105405 -1362.16232530293 -710.10723182081</f>
        <v>-3077.2955581777896</v>
      </c>
      <c r="K629">
        <f>-1052.23585376969 -1228.39394284401 -748.839987198456</f>
        <v>-3029.469783812156</v>
      </c>
      <c r="L629">
        <f>-1121.05477476579 -1107.88928374643 -464.360191376839</f>
        <v>-2693.3042498890591</v>
      </c>
      <c r="M629">
        <f>-1105.67770917594 -999.771277026312 -228.31743463524</f>
        <v>-2333.7664208374918</v>
      </c>
      <c r="N629">
        <f>-978.330725512542 -1411.50079484784 -680.166074852909</f>
        <v>-3069.9975952132909</v>
      </c>
      <c r="O629">
        <f>-932.741091205905 -1522.55732367684 -595.237055777911</f>
        <v>-3050.5354706606558</v>
      </c>
      <c r="P629">
        <f>-1051.31296477213 -1525.63279476646 -301.779324100688</f>
        <v>-2878.7250836392782</v>
      </c>
      <c r="Q629">
        <f>-1084.40441338071 -1397.04912774034 -78.1428595236933</f>
        <v>-2559.5964006447434</v>
      </c>
      <c r="R629">
        <f>-1177.46198872275 -1225.79330918181 -178.943419706876</f>
        <v>-2582.1987176114358</v>
      </c>
      <c r="S629" t="s">
        <v>10499</v>
      </c>
      <c r="T629" t="s">
        <v>10500</v>
      </c>
      <c r="U629" t="s">
        <v>10501</v>
      </c>
      <c r="V629">
        <f>-1058.33217422693 -1381.90706575231 -185.976567286718</f>
        <v>-2626.2158072659577</v>
      </c>
      <c r="W629" t="s">
        <v>10502</v>
      </c>
      <c r="X629" t="s">
        <v>10503</v>
      </c>
      <c r="Y629" t="s">
        <v>10504</v>
      </c>
    </row>
    <row r="630" spans="1:25" x14ac:dyDescent="0.3">
      <c r="A630">
        <v>31450</v>
      </c>
      <c r="B630" t="s">
        <v>10505</v>
      </c>
      <c r="C630">
        <f>-1118.36616059397 -1304.10301259696 -182.848478654839</f>
        <v>-2605.317651845769</v>
      </c>
      <c r="D630">
        <f>-1125.8562676335 -1304.32730489039 -303.727137169087</f>
        <v>-2733.9107096929765</v>
      </c>
      <c r="E630">
        <f>-1103.88267043631 -1319.30690708456 -421.978245562609</f>
        <v>-2845.1678230834791</v>
      </c>
      <c r="F630">
        <f>-1072.59261035802 -1338.73903627609 -525.119793675087</f>
        <v>-2936.4514403091971</v>
      </c>
      <c r="G630">
        <f>-1030.52001511837 -1364.03564924251 -623.021962469431</f>
        <v>-3017.5776268303111</v>
      </c>
      <c r="H630">
        <f>-961.421961165366 -1405.17943292838 -752.376697765424</f>
        <v>-3118.97809185917</v>
      </c>
      <c r="I630">
        <f>-891.395289954848 -1425.2238843161 -823.632983648051</f>
        <v>-3140.2521579189988</v>
      </c>
      <c r="J630">
        <f>-1005.34216152753 -1362.30747262774 -710.116344168882</f>
        <v>-3077.7659783241525</v>
      </c>
      <c r="K630">
        <f>-1052.50398794386 -1228.52034937284 -748.857466447711</f>
        <v>-3029.881803764411</v>
      </c>
      <c r="L630">
        <f>-1121.14675853715 -1107.86490034976 -464.398991901293</f>
        <v>-2693.4106507882029</v>
      </c>
      <c r="M630">
        <f>-1105.39597256204 -999.609348156025 -228.444005461277</f>
        <v>-2333.4493261793418</v>
      </c>
      <c r="N630">
        <f>-978.649291821983 -1411.64166998739 -680.166043841656</f>
        <v>-3070.4570056510292</v>
      </c>
      <c r="O630">
        <f>-933.134993221413 -1522.72210494578 -595.22941022733</f>
        <v>-3051.0865083945228</v>
      </c>
      <c r="P630">
        <f>-1051.67451026842 -1525.72821378327 -301.757763633857</f>
        <v>-2879.1604876855467</v>
      </c>
      <c r="Q630">
        <f>-1084.62552997781 -1397.13026942626 -78.108838263691</f>
        <v>-2559.8646376677607</v>
      </c>
      <c r="R630">
        <f>-1177.82285783709 -1225.99351468751 -178.96587582675</f>
        <v>-2582.7822483513501</v>
      </c>
      <c r="S630" t="s">
        <v>10506</v>
      </c>
      <c r="T630" t="s">
        <v>10507</v>
      </c>
      <c r="U630" t="s">
        <v>10508</v>
      </c>
      <c r="V630">
        <f>-1058.85896586412 -1382.17716138647 -186.013145555415</f>
        <v>-2627.0492728060049</v>
      </c>
      <c r="W630" t="s">
        <v>10509</v>
      </c>
      <c r="X630" t="s">
        <v>10510</v>
      </c>
      <c r="Y630" t="s">
        <v>10511</v>
      </c>
    </row>
    <row r="631" spans="1:25" x14ac:dyDescent="0.3">
      <c r="A631">
        <v>31500</v>
      </c>
      <c r="B631" t="s">
        <v>10512</v>
      </c>
      <c r="C631">
        <f>-1118.56854823479 -1304.18816992139 -182.863886263962</f>
        <v>-2605.6206044201417</v>
      </c>
      <c r="D631">
        <f>-1126.05010556368 -1304.40505890813 -303.743146438492</f>
        <v>-2734.1983109103021</v>
      </c>
      <c r="E631">
        <f>-1104.07658602747 -1319.38751182846 -421.993938163516</f>
        <v>-2845.4580360194459</v>
      </c>
      <c r="F631">
        <f>-1072.78953430791 -1338.82513671982 -525.13524699433</f>
        <v>-2936.7499180220598</v>
      </c>
      <c r="G631">
        <f>-1030.72247049098 -1364.12947038429 -623.037889295901</f>
        <v>-3017.8898301711711</v>
      </c>
      <c r="H631">
        <f>-961.634209260032 -1405.28552275475 -752.393815621651</f>
        <v>-3119.3135476364328</v>
      </c>
      <c r="I631">
        <f>-891.608652312423 -1425.35465578435 -823.64432842718</f>
        <v>-3140.6076365239528</v>
      </c>
      <c r="J631">
        <f>-1005.55352107899 -1362.41123172728 -710.135016145101</f>
        <v>-3078.0997689513711</v>
      </c>
      <c r="K631">
        <f>-1052.6955212471 -1228.62176433787 -748.887151645019</f>
        <v>-3030.2044372299888</v>
      </c>
      <c r="L631">
        <f>-1121.27926020855 -1107.94924306312 -464.421748632184</f>
        <v>-2693.650251903854</v>
      </c>
      <c r="M631">
        <f>-1105.32407007265 -999.66322279405 -228.494686083067</f>
        <v>-2333.4819789497669</v>
      </c>
      <c r="N631">
        <f>-978.853744875609 -1411.73923158294 -680.180587739885</f>
        <v>-3070.7735641984341</v>
      </c>
      <c r="O631">
        <f>-933.375771086977 -1522.81437998946 -595.218988577011</f>
        <v>-3051.4091396534477</v>
      </c>
      <c r="P631">
        <f>-1051.89039515978 -1525.82439138368 -301.737364593742</f>
        <v>-2879.4521511372018</v>
      </c>
      <c r="Q631">
        <f>-1084.85723001013 -1397.22887608705 -78.0894156597036</f>
        <v>-2560.1755217568839</v>
      </c>
      <c r="R631">
        <f>-1177.9950350897 -1226.10096143408 -178.972631340826</f>
        <v>-2583.0686278646058</v>
      </c>
      <c r="S631" t="s">
        <v>10513</v>
      </c>
      <c r="T631" t="s">
        <v>10514</v>
      </c>
      <c r="U631" t="s">
        <v>10515</v>
      </c>
      <c r="V631">
        <f>-1059.07102510451 -1382.24640441856 -186.026832091055</f>
        <v>-2627.3442616141251</v>
      </c>
      <c r="W631" t="s">
        <v>10516</v>
      </c>
      <c r="X631" t="s">
        <v>10517</v>
      </c>
      <c r="Y631" t="s">
        <v>10518</v>
      </c>
    </row>
    <row r="632" spans="1:25" x14ac:dyDescent="0.3">
      <c r="A632">
        <v>31550</v>
      </c>
      <c r="B632" t="s">
        <v>10519</v>
      </c>
      <c r="C632">
        <f>-1118.78724942755 -1304.3311516917 -182.868759533767</f>
        <v>-2605.9871606530169</v>
      </c>
      <c r="D632">
        <f>-1126.30898497687 -1304.57589868115 -303.745446981783</f>
        <v>-2734.6303306398031</v>
      </c>
      <c r="E632">
        <f>-1104.37856605759 -1319.59993345191 -421.998971349596</f>
        <v>-2845.9774708590958</v>
      </c>
      <c r="F632">
        <f>-1073.12989506199 -1339.07780166401 -525.144432236006</f>
        <v>-2937.3521289620057</v>
      </c>
      <c r="G632">
        <f>-1031.09964424711 -1364.42331789949 -623.052113712204</f>
        <v>-3018.5750758588042</v>
      </c>
      <c r="H632">
        <f>-962.060010520927 -1405.63598287904 -752.416077319244</f>
        <v>-3120.1120707192108</v>
      </c>
      <c r="I632">
        <f>-892.043062837379 -1425.76880065889 -823.65715937868</f>
        <v>-3141.4690228749496</v>
      </c>
      <c r="J632">
        <f>-1005.96368995767 -1362.74338148781 -710.15961506598</f>
        <v>-3078.8666865114601</v>
      </c>
      <c r="K632">
        <f>-1053.05187969909 -1228.94409933273 -748.960299276028</f>
        <v>-3030.9562783078477</v>
      </c>
      <c r="L632">
        <f>-1121.59316758128 -1108.12429007269 -464.547137161029</f>
        <v>-2694.2645948149993</v>
      </c>
      <c r="M632">
        <f>-1105.42408347561 -999.858286649626 -228.625349405685</f>
        <v>-2333.907719530921</v>
      </c>
      <c r="N632">
        <f>-979.252109655602 -1412.05790052455 -680.193465743536</f>
        <v>-3071.5034759236878</v>
      </c>
      <c r="O632">
        <f>-933.841802776295 -1523.13071476868 -595.192660403218</f>
        <v>-3052.1651779481926</v>
      </c>
      <c r="P632">
        <f>-1052.41486508475 -1525.9916028938 -301.733283486943</f>
        <v>-2880.1397514654932</v>
      </c>
      <c r="Q632">
        <f>-1085.33715722785 -1397.35665274093 -78.1013546953592</f>
        <v>-2560.7951646641391</v>
      </c>
      <c r="R632">
        <f>-1178.21991052761 -1226.24622288877 -178.974606320164</f>
        <v>-2583.4407397365444</v>
      </c>
      <c r="S632" t="s">
        <v>10520</v>
      </c>
      <c r="T632" t="s">
        <v>10521</v>
      </c>
      <c r="U632" t="s">
        <v>10522</v>
      </c>
      <c r="V632">
        <f>-1059.29064472613 -1382.41599167648 -186.032917578009</f>
        <v>-2627.7395539806189</v>
      </c>
      <c r="W632" t="s">
        <v>10523</v>
      </c>
      <c r="X632" t="s">
        <v>10524</v>
      </c>
      <c r="Y632" t="s">
        <v>10525</v>
      </c>
    </row>
    <row r="633" spans="1:25" x14ac:dyDescent="0.3">
      <c r="A633">
        <v>31600</v>
      </c>
      <c r="B633" t="s">
        <v>10526</v>
      </c>
      <c r="C633">
        <f>-1118.86188276401 -1304.38794525504 -182.86549829085</f>
        <v>-2606.1153263099004</v>
      </c>
      <c r="D633">
        <f>-1126.39804772948 -1304.6478053728 -303.741312594512</f>
        <v>-2734.7871656967918</v>
      </c>
      <c r="E633">
        <f>-1104.4803308701 -1319.6902201722 -421.994921873108</f>
        <v>-2846.1654729154079</v>
      </c>
      <c r="F633">
        <f>-1073.24259917615 -1339.18631228463 -525.140166533403</f>
        <v>-2937.5690779941829</v>
      </c>
      <c r="G633">
        <f>-1031.22289214611 -1364.55160589253 -623.047241136666</f>
        <v>-3018.821739175306</v>
      </c>
      <c r="H633">
        <f>-962.197769787382 -1405.79353023323 -752.409616851549</f>
        <v>-3120.4009168721609</v>
      </c>
      <c r="I633">
        <f>-892.175895965667 -1425.96016694721 -823.636238976728</f>
        <v>-3141.7723018896049</v>
      </c>
      <c r="J633">
        <f>-1006.09168439626 -1362.88774174862 -710.156383535942</f>
        <v>-3079.1358096808221</v>
      </c>
      <c r="K633">
        <f>-1053.14329054894 -1229.08662863182 -748.980016830184</f>
        <v>-3031.2099360109441</v>
      </c>
      <c r="L633">
        <f>-1121.64923119249 -1108.23923185605 -464.570107300153</f>
        <v>-2694.4585703486928</v>
      </c>
      <c r="M633">
        <f>-1105.42946527422 -999.987870919309 -228.64509015351</f>
        <v>-2334.062426347039</v>
      </c>
      <c r="N633">
        <f>-979.386767789983 -1412.20276067022 -680.185101917804</f>
        <v>-3071.7746303780068</v>
      </c>
      <c r="O633">
        <f>-934.034886081738 -1523.293975821 -595.172764444747</f>
        <v>-3052.5016263474849</v>
      </c>
      <c r="P633">
        <f>-1052.57623473691 -1526.04947636201 -301.699474338593</f>
        <v>-2880.325185437513</v>
      </c>
      <c r="Q633">
        <f>-1085.37277033999 -1397.33802898345 -78.0931729718488</f>
        <v>-2560.8039722952885</v>
      </c>
      <c r="R633">
        <f>-1178.32606021305 -1226.3101681932 -178.975995014347</f>
        <v>-2583.6122234205968</v>
      </c>
      <c r="S633" t="s">
        <v>10527</v>
      </c>
      <c r="T633" t="s">
        <v>10528</v>
      </c>
      <c r="U633" t="s">
        <v>10529</v>
      </c>
      <c r="V633">
        <f>-1059.34457297476 -1382.47430573155 -186.033519413745</f>
        <v>-2627.8523981200551</v>
      </c>
      <c r="W633" t="s">
        <v>10530</v>
      </c>
      <c r="X633" t="s">
        <v>10531</v>
      </c>
      <c r="Y633" t="s">
        <v>10532</v>
      </c>
    </row>
    <row r="634" spans="1:25" x14ac:dyDescent="0.3">
      <c r="A634">
        <v>31650</v>
      </c>
      <c r="B634" t="s">
        <v>10533</v>
      </c>
      <c r="C634">
        <f>-1118.95526382984 -1304.52820203113 -182.836391105081</f>
        <v>-2606.3198569660508</v>
      </c>
      <c r="D634">
        <f>-1126.54407501383 -1304.80337784292 -303.708709027364</f>
        <v>-2735.0561618841143</v>
      </c>
      <c r="E634">
        <f>-1104.68440445565 -1319.88136348175 -421.968585248625</f>
        <v>-2846.5343531860249</v>
      </c>
      <c r="F634">
        <f>-1073.50077957597 -1339.4177013844 -525.122564004341</f>
        <v>-2938.0410449647115</v>
      </c>
      <c r="G634">
        <f>-1031.53656343549 -1364.83124579521 -623.040939086643</f>
        <v>-3019.408748317343</v>
      </c>
      <c r="H634">
        <f>-962.589859538783 -1406.14826646884 -752.421222732258</f>
        <v>-3121.1593487398804</v>
      </c>
      <c r="I634">
        <f>-892.56117524999 -1426.36365859285 -823.627343619509</f>
        <v>-3142.5521774623494</v>
      </c>
      <c r="J634">
        <f>-1006.44884833041 -1363.21121921106 -710.163619486589</f>
        <v>-3079.8236870280593</v>
      </c>
      <c r="K634">
        <f>-1053.44051355672 -1229.39415754963 -749.028223669553</f>
        <v>-3031.862894775903</v>
      </c>
      <c r="L634">
        <f>-1121.8013216558 -1108.48551916778 -464.609363465775</f>
        <v>-2694.896204289355</v>
      </c>
      <c r="M634">
        <f>-1105.64621978735 -1000.30273865217 -228.648523315163</f>
        <v>-2334.597481754683</v>
      </c>
      <c r="N634">
        <f>-979.744413240266 -1412.52233773958 -680.185451934222</f>
        <v>-3072.452202914068</v>
      </c>
      <c r="O634">
        <f>-934.473950160888 -1523.6182669326 -595.140953115354</f>
        <v>-3053.2331702088418</v>
      </c>
      <c r="P634">
        <f>-1052.92083332618 -1526.20138961697 -301.627887882682</f>
        <v>-2880.7501108258316</v>
      </c>
      <c r="Q634">
        <f>-1085.46354946884 -1397.42534910508 -78.0216470592203</f>
        <v>-2560.9105456331404</v>
      </c>
      <c r="R634">
        <f>-1178.43091581043 -1226.4439414369 -178.944629168214</f>
        <v>-2583.8194864155439</v>
      </c>
      <c r="S634" t="s">
        <v>10534</v>
      </c>
      <c r="T634" t="s">
        <v>10535</v>
      </c>
      <c r="U634" t="s">
        <v>10536</v>
      </c>
      <c r="V634">
        <f>-1059.43992088616 -1382.59890981272 -186.027756766784</f>
        <v>-2628.0665874656638</v>
      </c>
      <c r="W634" t="s">
        <v>10537</v>
      </c>
      <c r="X634" t="s">
        <v>10538</v>
      </c>
      <c r="Y634" t="s">
        <v>10539</v>
      </c>
    </row>
    <row r="635" spans="1:25" x14ac:dyDescent="0.3">
      <c r="A635">
        <v>31700</v>
      </c>
      <c r="B635" t="s">
        <v>10540</v>
      </c>
      <c r="C635">
        <f>-1119.02663205238 -1304.57584511107 -182.831878981752</f>
        <v>-2606.4343561452024</v>
      </c>
      <c r="D635">
        <f>-1126.6644848687 -1304.88018066615 -303.701160508427</f>
        <v>-2735.2458260432768</v>
      </c>
      <c r="E635">
        <f>-1104.84102803139 -1319.99228887038 -421.96321466602</f>
        <v>-2846.7965315677898</v>
      </c>
      <c r="F635">
        <f>-1073.68484257584 -1339.56139038388 -525.119344585339</f>
        <v>-2938.3655775450593</v>
      </c>
      <c r="G635">
        <f>-1031.74311668055 -1365.00947752591 -623.038411980505</f>
        <v>-3019.7910061869648</v>
      </c>
      <c r="H635">
        <f>-962.822877879168 -1406.37606225421 -752.416927445689</f>
        <v>-3121.6158675790671</v>
      </c>
      <c r="I635">
        <f>-892.794076914087 -1426.63015631503 -823.611966574069</f>
        <v>-3143.0361998031858</v>
      </c>
      <c r="J635">
        <f>-1006.66757088385 -1363.41873647037 -710.164961657829</f>
        <v>-3080.2512690120493</v>
      </c>
      <c r="K635">
        <f>-1053.64557630304 -1229.60857837447 -749.046857798136</f>
        <v>-3032.3010124756461</v>
      </c>
      <c r="L635">
        <f>-1122.00492434603 -1108.70038790504 -464.627426772011</f>
        <v>-2695.3327390230811</v>
      </c>
      <c r="M635">
        <f>-1105.80982880376 -1000.55245817772 -228.653326843902</f>
        <v>-2335.0156138253819</v>
      </c>
      <c r="N635">
        <f>-979.968285585491 -1412.72653698059 -680.176798485247</f>
        <v>-3072.8716210513276</v>
      </c>
      <c r="O635">
        <f>-934.757825342305 -1523.83800691276 -595.12285930881</f>
        <v>-3053.7186915638749</v>
      </c>
      <c r="P635">
        <f>-1053.15751730313 -1526.35544512344 -301.590320861082</f>
        <v>-2881.1032832876522</v>
      </c>
      <c r="Q635">
        <f>-1085.58779283752 -1397.53901692325 -77.9909498422072</f>
        <v>-2561.117759602977</v>
      </c>
      <c r="R635">
        <f>-1178.51290660834 -1226.4915614544 -178.928078128103</f>
        <v>-2583.9325461908429</v>
      </c>
      <c r="S635" t="s">
        <v>10541</v>
      </c>
      <c r="T635" t="s">
        <v>10542</v>
      </c>
      <c r="U635" t="s">
        <v>10543</v>
      </c>
      <c r="V635">
        <f>-1059.5125608224 -1382.65500450295 -186.022199706645</f>
        <v>-2628.1897650319952</v>
      </c>
      <c r="W635" t="s">
        <v>10544</v>
      </c>
      <c r="X635" t="s">
        <v>10545</v>
      </c>
      <c r="Y635" t="s">
        <v>10546</v>
      </c>
    </row>
    <row r="636" spans="1:25" x14ac:dyDescent="0.3">
      <c r="A636">
        <v>31750</v>
      </c>
      <c r="B636" t="s">
        <v>10547</v>
      </c>
      <c r="C636">
        <f>-1119.14142026948 -1304.65766494933 -182.81713464141</f>
        <v>-2606.6162198602201</v>
      </c>
      <c r="D636">
        <f>-1126.84192560821 -1304.98539549423 -303.682372908222</f>
        <v>-2735.5096940106619</v>
      </c>
      <c r="E636">
        <f>-1105.08087212126 -1320.14237006286 -421.95019265696</f>
        <v>-2847.1734348410801</v>
      </c>
      <c r="F636">
        <f>-1073.97996323572 -1339.75957793285 -525.113968635662</f>
        <v>-2938.8535098042321</v>
      </c>
      <c r="G636">
        <f>-1032.09193708114 -1365.26222951306 -623.041679162947</f>
        <v>-3020.3958457571471</v>
      </c>
      <c r="H636">
        <f>-963.244453660035 -1406.71057467227 -752.432883965808</f>
        <v>-3122.387912298113</v>
      </c>
      <c r="I636">
        <f>-893.235488530102 -1427.0260946819 -823.629884597465</f>
        <v>-3143.891467809467</v>
      </c>
      <c r="J636">
        <f>-1007.05724594879 -1363.72062351088 -710.180996608057</f>
        <v>-3080.9588660677268</v>
      </c>
      <c r="K636">
        <f>-1054.00133384079 -1229.91155951588 -749.107792056298</f>
        <v>-3033.0206854129679</v>
      </c>
      <c r="L636">
        <f>-1122.36764578353 -1109.00955413078 -464.687477978072</f>
        <v>-2696.064677892382</v>
      </c>
      <c r="M636">
        <f>-1106.06763989727 -1000.98265822372 -228.665094530124</f>
        <v>-2335.7153926511141</v>
      </c>
      <c r="N636">
        <f>-980.357411639653 -1413.02131621723 -680.181541107501</f>
        <v>-3073.5602689643838</v>
      </c>
      <c r="O636">
        <f>-935.184047106475 -1524.11557223485 -595.083351633229</f>
        <v>-3054.3829709745542</v>
      </c>
      <c r="P636">
        <f>-1053.43435747807 -1526.49954090913 -301.489403611266</f>
        <v>-2881.4233019984663</v>
      </c>
      <c r="Q636">
        <f>-1085.71961719556 -1397.62762748775 -77.9010361144872</f>
        <v>-2561.2482807977976</v>
      </c>
      <c r="R636">
        <f>-1178.56931727831 -1226.52743964643 -178.872448873042</f>
        <v>-2583.9692057977818</v>
      </c>
      <c r="S636" t="s">
        <v>10548</v>
      </c>
      <c r="T636" t="s">
        <v>10549</v>
      </c>
      <c r="U636" t="s">
        <v>10550</v>
      </c>
      <c r="V636">
        <f>-1059.65092677979 -1382.79147027249 -186.026312633257</f>
        <v>-2628.4687096855373</v>
      </c>
      <c r="W636" t="s">
        <v>10551</v>
      </c>
      <c r="X636" t="s">
        <v>10552</v>
      </c>
      <c r="Y636" t="s">
        <v>10553</v>
      </c>
    </row>
    <row r="637" spans="1:25" x14ac:dyDescent="0.3">
      <c r="A637">
        <v>31800</v>
      </c>
      <c r="B637" t="s">
        <v>10554</v>
      </c>
      <c r="C637">
        <f>-1119.15930861574 -1304.6776698564 -182.811256149159</f>
        <v>-2606.6482346212988</v>
      </c>
      <c r="D637">
        <f>-1126.92193724611 -1305.05039154179 -303.672492254287</f>
        <v>-2735.6448210421872</v>
      </c>
      <c r="E637">
        <f>-1105.21437757047 -1320.24576549438 -421.945202796051</f>
        <v>-2847.405345860901</v>
      </c>
      <c r="F637">
        <f>-1074.15697776908 -1339.89388384578 -525.116111815743</f>
        <v>-2939.1669734306029</v>
      </c>
      <c r="G637">
        <f>-1032.30701850717 -1365.42312406904 -623.053328132983</f>
        <v>-3020.7834707091929</v>
      </c>
      <c r="H637">
        <f>-963.506250941607 -1406.90337333594 -752.458982718381</f>
        <v>-3122.8686069959276</v>
      </c>
      <c r="I637">
        <f>-893.513184201422 -1427.24109045985 -823.665271338894</f>
        <v>-3144.4195460001661</v>
      </c>
      <c r="J637">
        <f>-1007.30231088172 -1363.90194096609 -710.201484710554</f>
        <v>-3081.405736558364</v>
      </c>
      <c r="K637">
        <f>-1054.23936012223 -1230.09151473063 -749.137600767776</f>
        <v>-3033.4684756206357</v>
      </c>
      <c r="L637">
        <f>-1122.55683777825 -1109.22372981998 -464.690911284844</f>
        <v>-2696.4714788830738</v>
      </c>
      <c r="M637">
        <f>-1106.26808272384 -1001.22247734142 -228.656145844521</f>
        <v>-2336.1467059097813</v>
      </c>
      <c r="N637">
        <f>-980.594619581227 -1413.19737307747 -680.20047727693</f>
        <v>-3073.992469935627</v>
      </c>
      <c r="O637">
        <f>-935.423928803316 -1524.28313442102 -595.082974944482</f>
        <v>-3054.7900381688178</v>
      </c>
      <c r="P637">
        <f>-1053.68057028381 -1526.5789664123 -301.490957308711</f>
        <v>-2881.7504940048211</v>
      </c>
      <c r="Q637">
        <f>-1085.86172952359 -1397.68271933182 -77.9016286796307</f>
        <v>-2561.4460775350408</v>
      </c>
      <c r="R637">
        <f>-1178.55618858033 -1226.51011504086 -178.855247742595</f>
        <v>-2583.9215513637851</v>
      </c>
      <c r="S637" t="s">
        <v>10555</v>
      </c>
      <c r="T637" t="s">
        <v>10556</v>
      </c>
      <c r="U637" t="s">
        <v>10557</v>
      </c>
      <c r="V637">
        <f>-1059.72965280453 -1382.84035660471 -186.022734871144</f>
        <v>-2628.5927442803841</v>
      </c>
      <c r="W637" t="s">
        <v>10558</v>
      </c>
      <c r="X637" t="s">
        <v>10559</v>
      </c>
      <c r="Y637" t="s">
        <v>10560</v>
      </c>
    </row>
    <row r="638" spans="1:25" x14ac:dyDescent="0.3">
      <c r="A638">
        <v>31850</v>
      </c>
      <c r="B638" t="s">
        <v>10561</v>
      </c>
      <c r="C638">
        <f>-1119.22488382491 -1304.82340130099 -182.754213257266</f>
        <v>-2606.8024983831665</v>
      </c>
      <c r="D638">
        <f>-1127.03446097794 -1305.18448494983 -303.612382438585</f>
        <v>-2735.8313283663547</v>
      </c>
      <c r="E638">
        <f>-1105.37135588511 -1320.39296415603 -421.891528017723</f>
        <v>-2847.6558480588633</v>
      </c>
      <c r="F638">
        <f>-1074.35232515309 -1340.06201269599 -525.07011550538</f>
        <v>-2939.4844533544601</v>
      </c>
      <c r="G638">
        <f>-1032.53872436332 -1365.62035107614 -623.015247691187</f>
        <v>-3021.1743231306473</v>
      </c>
      <c r="H638">
        <f>-963.786376151137 -1407.1486996453 -752.431231739499</f>
        <v>-3123.3663075359364</v>
      </c>
      <c r="I638">
        <f>-893.807393998886 -1427.51970214319 -823.641835973523</f>
        <v>-3144.9689321155988</v>
      </c>
      <c r="J638">
        <f>-1007.55466365202 -1364.12289898072 -710.16980090119</f>
        <v>-3081.8473635339296</v>
      </c>
      <c r="K638">
        <f>-1054.49852642126 -1230.31376002184 -749.097216951607</f>
        <v>-3033.9095033947069</v>
      </c>
      <c r="L638">
        <f>-1122.69359524101 -1109.47503714669 -464.608888239565</f>
        <v>-2696.7775206272654</v>
      </c>
      <c r="M638">
        <f>-1106.35929296853 -1001.4930634933 -228.56827936721</f>
        <v>-2336.4206358290398</v>
      </c>
      <c r="N638">
        <f>-980.85962927304 -1413.42449819357 -680.167589745019</f>
        <v>-3074.4517172116289</v>
      </c>
      <c r="O638">
        <f>-935.709908899289 -1524.51766755099 -595.055649410149</f>
        <v>-3055.2832258604276</v>
      </c>
      <c r="P638">
        <f>-1053.82884032703 -1526.71538735661 -301.407304637085</f>
        <v>-2881.9515323207252</v>
      </c>
      <c r="Q638">
        <f>-1085.8496699245 -1397.82380799668 -77.7924303592981</f>
        <v>-2561.4659082804783</v>
      </c>
      <c r="R638">
        <f>-1178.53597117136 -1226.58117804797 -178.786897565652</f>
        <v>-2583.9040467849818</v>
      </c>
      <c r="S638" t="s">
        <v>10562</v>
      </c>
      <c r="T638" t="s">
        <v>10563</v>
      </c>
      <c r="U638" t="s">
        <v>10564</v>
      </c>
      <c r="V638">
        <f>-1059.8551891855 -1383.04659520928 -186.008976148539</f>
        <v>-2628.9107605433192</v>
      </c>
      <c r="W638" t="s">
        <v>10565</v>
      </c>
      <c r="X638" t="s">
        <v>10566</v>
      </c>
      <c r="Y638" t="s">
        <v>10567</v>
      </c>
    </row>
    <row r="639" spans="1:25" x14ac:dyDescent="0.3">
      <c r="A639">
        <v>31900</v>
      </c>
      <c r="B639" t="s">
        <v>10568</v>
      </c>
      <c r="C639">
        <f>-1119.15989019533 -1304.87246311136 -182.729995088844</f>
        <v>-2606.7623483955344</v>
      </c>
      <c r="D639">
        <f>-1126.98984292029 -1305.22779676022 -303.586737399255</f>
        <v>-2735.8043770797649</v>
      </c>
      <c r="E639">
        <f>-1105.32156044158 -1320.40868494409 -421.86857016418</f>
        <v>-2847.5988155498499</v>
      </c>
      <c r="F639">
        <f>-1074.28620193308 -1340.04196687747 -525.048967870039</f>
        <v>-2939.3771366805886</v>
      </c>
      <c r="G639">
        <f>-1032.4441337897 -1365.55257674401 -622.994427216631</f>
        <v>-3020.9911377503413</v>
      </c>
      <c r="H639">
        <f>-963.639243309277 -1407.00112089977 -752.40820854696</f>
        <v>-3123.0485727560072</v>
      </c>
      <c r="I639">
        <f>-893.635965797984 -1427.33798408994 -823.604611586174</f>
        <v>-3144.578561474098</v>
      </c>
      <c r="J639">
        <f>-1007.43627408174 -1364.00977883836 -710.141388883399</f>
        <v>-3081.5874418034991</v>
      </c>
      <c r="K639">
        <f>-1054.35432193192 -1230.19662481519 -749.057464690583</f>
        <v>-3033.6084114376931</v>
      </c>
      <c r="L639">
        <f>-1122.49875541229 -1109.35884439824 -464.556587099701</f>
        <v>-2696.4141869102309</v>
      </c>
      <c r="M639">
        <f>-1106.09837054612 -1001.36075095945 -228.528088785682</f>
        <v>-2335.9872102912518</v>
      </c>
      <c r="N639">
        <f>-980.730275678321 -1413.31306574269 -680.151737753035</f>
        <v>-3074.195079174046</v>
      </c>
      <c r="O639">
        <f>-935.600657196739 -1524.43121696032 -595.048259638644</f>
        <v>-3055.0801337957032</v>
      </c>
      <c r="P639">
        <f>-1053.66199936489 -1526.63193876089 -301.376928935282</f>
        <v>-2881.6708670610624</v>
      </c>
      <c r="Q639">
        <f>-1085.58627358998 -1397.7527180637 -77.7409349697969</f>
        <v>-2561.0799266234767</v>
      </c>
      <c r="R639">
        <f>-1178.37806995206 -1226.59624747822 -178.748367383202</f>
        <v>-2583.7226848134824</v>
      </c>
      <c r="S639" t="s">
        <v>10569</v>
      </c>
      <c r="T639" t="s">
        <v>10570</v>
      </c>
      <c r="U639" t="s">
        <v>10571</v>
      </c>
      <c r="V639">
        <f>-1059.85255640816 -1383.14208484399 -185.995557455666</f>
        <v>-2628.990198707816</v>
      </c>
      <c r="W639" t="s">
        <v>10572</v>
      </c>
      <c r="X639" t="s">
        <v>10573</v>
      </c>
      <c r="Y639" t="s">
        <v>10574</v>
      </c>
    </row>
    <row r="640" spans="1:25" x14ac:dyDescent="0.3">
      <c r="A640">
        <v>31950</v>
      </c>
      <c r="B640" t="s">
        <v>10575</v>
      </c>
      <c r="C640">
        <f>-1119.06733752297 -1304.90283406952 -182.745133436447</f>
        <v>-2606.7153050289371</v>
      </c>
      <c r="D640">
        <f>-1126.92400431713 -1305.26579926794 -303.600206172908</f>
        <v>-2735.7900097579777</v>
      </c>
      <c r="E640">
        <f>-1105.28587228806 -1320.45093256819 -421.886990831699</f>
        <v>-2847.6237956879495</v>
      </c>
      <c r="F640">
        <f>-1074.27812767912 -1340.08644231961 -525.075288478128</f>
        <v>-2939.4398584768578</v>
      </c>
      <c r="G640">
        <f>-1032.46337118172 -1365.5974270069 -623.032246816137</f>
        <v>-3021.0930450047572</v>
      </c>
      <c r="H640">
        <f>-963.695488717017 -1407.04444802559 -752.466153880636</f>
        <v>-3123.2060906232427</v>
      </c>
      <c r="I640">
        <f>-893.689176109513 -1427.3601419289 -823.665623385795</f>
        <v>-3144.7149414242076</v>
      </c>
      <c r="J640">
        <f>-1007.46841319081 -1364.04488804406 -710.182660900399</f>
        <v>-3081.6959621352689</v>
      </c>
      <c r="K640">
        <f>-1054.38986197973 -1230.21423484506 -749.056770382842</f>
        <v>-3033.6608672076318</v>
      </c>
      <c r="L640">
        <f>-1122.29727662648 -1109.4327661358 -464.475318414582</f>
        <v>-2696.205361176862</v>
      </c>
      <c r="M640">
        <f>-1105.76811863575 -1001.43521112779 -228.455460767771</f>
        <v>-2335.6587905313108</v>
      </c>
      <c r="N640">
        <f>-980.777898281731 -1413.36595119431 -680.208651418617</f>
        <v>-3074.3525008946581</v>
      </c>
      <c r="O640">
        <f>-935.634518405255 -1524.49616056414 -595.135538541633</f>
        <v>-3055.2662175110281</v>
      </c>
      <c r="P640">
        <f>-1053.49441843587 -1526.58855172441 -301.382621989892</f>
        <v>-2881.4655921501721</v>
      </c>
      <c r="Q640">
        <f>-1085.33275514523 -1397.73363370051 -77.7203861305417</f>
        <v>-2560.7867749762818</v>
      </c>
      <c r="R640">
        <f>-1178.18253432756 -1226.60281055628 -178.747769884314</f>
        <v>-2583.5331147681541</v>
      </c>
      <c r="S640" t="s">
        <v>10576</v>
      </c>
      <c r="T640" t="s">
        <v>10577</v>
      </c>
      <c r="U640" t="s">
        <v>10578</v>
      </c>
      <c r="V640">
        <f>-1059.89314974553 -1383.20315603439 -185.996680119651</f>
        <v>-2629.092985899571</v>
      </c>
      <c r="W640" t="s">
        <v>10579</v>
      </c>
      <c r="X640" t="s">
        <v>10580</v>
      </c>
      <c r="Y640" t="s">
        <v>10581</v>
      </c>
    </row>
    <row r="641" spans="1:25" x14ac:dyDescent="0.3">
      <c r="A641">
        <v>32000</v>
      </c>
      <c r="B641" t="s">
        <v>10582</v>
      </c>
      <c r="C641">
        <f>-1119.04714634966 -1304.92555469525 -182.742168685938</f>
        <v>-2606.7148697308476</v>
      </c>
      <c r="D641">
        <f>-1126.86806024469 -1305.25471029221 -303.599621537135</f>
        <v>-2735.7223920740353</v>
      </c>
      <c r="E641">
        <f>-1105.23505522399 -1320.44142886697 -421.887165794773</f>
        <v>-2847.563649885733</v>
      </c>
      <c r="F641">
        <f>-1074.2487028415 -1340.09324794185 -525.078838500119</f>
        <v>-2939.4207892834693</v>
      </c>
      <c r="G641">
        <f>-1032.47165778373 -1365.63563412913 -623.043731382134</f>
        <v>-3021.151023294994</v>
      </c>
      <c r="H641">
        <f>-963.772491511369 -1407.14221385134 -752.494920713766</f>
        <v>-3123.4096260764754</v>
      </c>
      <c r="I641">
        <f>-893.78830749662 -1427.47377468354 -823.711678999326</f>
        <v>-3144.9737611794858</v>
      </c>
      <c r="J641">
        <f>-1007.51012759343 -1364.1139166548 -710.204198749266</f>
        <v>-3081.8282429974961</v>
      </c>
      <c r="K641">
        <f>-1054.40478172095 -1230.27311293368 -749.08535699584</f>
        <v>-3033.76325165047</v>
      </c>
      <c r="L641">
        <f>-1122.25521688534 -1109.39421101391 -464.531733373979</f>
        <v>-2696.181161273229</v>
      </c>
      <c r="M641">
        <f>-1105.66486325437 -1001.44338928229 -228.494790380613</f>
        <v>-2335.6030429172729</v>
      </c>
      <c r="N641">
        <f>-980.829394725809 -1413.43976927927 -680.229363993608</f>
        <v>-3074.4985279986868</v>
      </c>
      <c r="O641">
        <f>-935.697423976831 -1524.57194497527 -595.159469885845</f>
        <v>-3055.4288388379464</v>
      </c>
      <c r="P641">
        <f>-1053.50598448393 -1526.64194724615 -301.385557225095</f>
        <v>-2881.533488955175</v>
      </c>
      <c r="Q641">
        <f>-1085.26963781858 -1397.77505751479 -77.7196865517126</f>
        <v>-2560.7643818850825</v>
      </c>
      <c r="R641">
        <f>-1178.14616080997 -1226.64129402451 -178.757081713999</f>
        <v>-2583.5445365484788</v>
      </c>
      <c r="S641" t="s">
        <v>10583</v>
      </c>
      <c r="T641" t="s">
        <v>10584</v>
      </c>
      <c r="U641" t="s">
        <v>10585</v>
      </c>
      <c r="V641">
        <f>-1059.89438251323 -1383.18939597863 -186.001738022202</f>
        <v>-2629.0855165140624</v>
      </c>
      <c r="W641" t="s">
        <v>10586</v>
      </c>
      <c r="X641" t="s">
        <v>10587</v>
      </c>
      <c r="Y641" t="s">
        <v>10588</v>
      </c>
    </row>
    <row r="642" spans="1:25" x14ac:dyDescent="0.3">
      <c r="A642">
        <v>32050</v>
      </c>
      <c r="B642" t="s">
        <v>10589</v>
      </c>
      <c r="C642">
        <f>-1118.99163679737 -1304.95277789198 -182.767696709027</f>
        <v>-2606.7121113983771</v>
      </c>
      <c r="D642">
        <f>-1126.84225770294 -1305.30434411408 -303.623136796813</f>
        <v>-2735.7697386138334</v>
      </c>
      <c r="E642">
        <f>-1105.26847475501 -1320.54586663012 -421.914482491764</f>
        <v>-2847.7288238768938</v>
      </c>
      <c r="F642">
        <f>-1074.3470532578 -1340.26045503465 -525.113472498755</f>
        <v>-2939.720980791205</v>
      </c>
      <c r="G642">
        <f>-1032.64579988019 -1365.87866962198 -623.090849074244</f>
        <v>-3021.6153185764142</v>
      </c>
      <c r="H642">
        <f>-964.06264377952 -1407.50416596028 -752.565504814684</f>
        <v>-3124.1323145544843</v>
      </c>
      <c r="I642">
        <f>-894.138644845059 -1427.8994302591 -823.823078884121</f>
        <v>-3145.86115398828</v>
      </c>
      <c r="J642">
        <f>-1007.73204130802 -1364.41510751031 -710.26606593119</f>
        <v>-3082.4132147495202</v>
      </c>
      <c r="K642">
        <f>-1054.56093733477 -1230.55382596431 -749.146112040546</f>
        <v>-3034.2608753396257</v>
      </c>
      <c r="L642">
        <f>-1122.25190134888 -1109.48798370175 -464.633902738634</f>
        <v>-2696.3737877892636</v>
      </c>
      <c r="M642">
        <f>-1105.56048342576 -1001.3769310098 -228.677589287434</f>
        <v>-2335.6150037229936</v>
      </c>
      <c r="N642">
        <f>-981.085083232102 -1413.75722359085 -680.287821256395</f>
        <v>-3075.1301280793468</v>
      </c>
      <c r="O642">
        <f>-935.999545346705 -1524.92840293872 -595.237833837387</f>
        <v>-3056.1657821228118</v>
      </c>
      <c r="P642">
        <f>-1053.68902489546 -1526.80466749819 -301.414897855927</f>
        <v>-2881.9085902495772</v>
      </c>
      <c r="Q642">
        <f>-1085.24023189707 -1397.86009679828 -77.7637229186556</f>
        <v>-2560.8640516140058</v>
      </c>
      <c r="R642">
        <f>-1178.01583742301 -1226.59522552777 -178.801369415934</f>
        <v>-2583.4124323667143</v>
      </c>
      <c r="S642" t="s">
        <v>10590</v>
      </c>
      <c r="T642" t="s">
        <v>10591</v>
      </c>
      <c r="U642" t="s">
        <v>10592</v>
      </c>
      <c r="V642">
        <f>-1059.92673858058 -1383.31136971753 -186.019500200484</f>
        <v>-2629.257608498594</v>
      </c>
      <c r="W642" t="s">
        <v>10593</v>
      </c>
      <c r="X642" t="s">
        <v>10594</v>
      </c>
      <c r="Y642" t="s">
        <v>10595</v>
      </c>
    </row>
    <row r="643" spans="1:25" x14ac:dyDescent="0.3">
      <c r="A643">
        <v>32100</v>
      </c>
      <c r="B643" t="s">
        <v>10596</v>
      </c>
      <c r="C643">
        <f>-1119.02335383114 -1305.00047543317 -182.778436328514</f>
        <v>-2606.8022655928239</v>
      </c>
      <c r="D643">
        <f>-1126.86889866865 -1305.34544444598 -303.634275929705</f>
        <v>-2735.848619044335</v>
      </c>
      <c r="E643">
        <f>-1105.32852288973 -1320.60604290293 -421.929242399427</f>
        <v>-2847.8638081920872</v>
      </c>
      <c r="F643">
        <f>-1074.45184704075 -1340.34767885032 -525.136638353234</f>
        <v>-2939.9361642443041</v>
      </c>
      <c r="G643">
        <f>-1032.80865964633 -1366.00232816555 -623.129057137671</f>
        <v>-3021.9400449495506</v>
      </c>
      <c r="H643">
        <f>-964.318693076911 -1407.68785550301 -752.633690564999</f>
        <v>-3124.6402391449201</v>
      </c>
      <c r="I643">
        <f>-894.431541921819 -1428.12129139811 -823.916535989616</f>
        <v>-3146.4693693095451</v>
      </c>
      <c r="J643">
        <f>-1007.94605700544 -1364.57084343121 -710.319419668122</f>
        <v>-3082.8363201047719</v>
      </c>
      <c r="K643">
        <f>-1054.75300087008 -1230.69779243545 -749.19135657173</f>
        <v>-3034.6421498772602</v>
      </c>
      <c r="L643">
        <f>-1122.23050524696 -1109.50768616399 -464.681331318247</f>
        <v>-2696.4195227291971</v>
      </c>
      <c r="M643">
        <f>-1105.55514426876 -1001.32240026757 -228.757669551698</f>
        <v>-2335.6352140880281</v>
      </c>
      <c r="N643">
        <f>-981.300684904421 -1413.91576949135 -680.344472050085</f>
        <v>-3075.5609264458562</v>
      </c>
      <c r="O643">
        <f>-936.207834571622 -1525.07370602042 -595.285777664447</f>
        <v>-3056.5673182564888</v>
      </c>
      <c r="P643">
        <f>-1053.81001650944 -1526.91223957656 -301.427837385157</f>
        <v>-2882.1500934711571</v>
      </c>
      <c r="Q643">
        <f>-1085.34645294879 -1397.97012130341 -77.7730867205427</f>
        <v>-2561.0896609727429</v>
      </c>
      <c r="R643">
        <f>-1178.02973204797 -1226.65249886504 -178.80987113333</f>
        <v>-2583.4921020463398</v>
      </c>
      <c r="S643" t="s">
        <v>10597</v>
      </c>
      <c r="T643" t="s">
        <v>10598</v>
      </c>
      <c r="U643" t="s">
        <v>10599</v>
      </c>
      <c r="V643">
        <f>-1059.97358941629 -1383.36237209293 -186.026514709582</f>
        <v>-2629.3624762188019</v>
      </c>
      <c r="W643" t="s">
        <v>10600</v>
      </c>
      <c r="X643" t="s">
        <v>10601</v>
      </c>
      <c r="Y643" t="s">
        <v>10602</v>
      </c>
    </row>
    <row r="644" spans="1:25" x14ac:dyDescent="0.3">
      <c r="A644">
        <v>32150</v>
      </c>
      <c r="B644" t="s">
        <v>10603</v>
      </c>
      <c r="C644">
        <f>-1119.18635883412 -1305.11668825342 -182.810834206746</f>
        <v>-2607.1138812942863</v>
      </c>
      <c r="D644">
        <f>-1127.08535010266 -1305.4934750462 -303.663052065733</f>
        <v>-2736.2418772145934</v>
      </c>
      <c r="E644">
        <f>-1105.61771333674 -1320.81766294015 -421.963088082595</f>
        <v>-2848.3984643594849</v>
      </c>
      <c r="F644">
        <f>-1074.81390793531 -1340.62941763859 -525.178566306069</f>
        <v>-2940.6218918799691</v>
      </c>
      <c r="G644">
        <f>-1033.25036368192 -1366.36653811042 -623.183294221214</f>
        <v>-3022.8001960135539</v>
      </c>
      <c r="H644">
        <f>-964.87762508191 -1408.17922253457 -752.708828894397</f>
        <v>-3125.7656765108768</v>
      </c>
      <c r="I644">
        <f>-895.030233089653 -1428.70316839639 -824.004814306194</f>
        <v>-3147.738215792237</v>
      </c>
      <c r="J644">
        <f>-1008.44632383699 -1365.00601481199 -710.391626343576</f>
        <v>-3083.8439649925558</v>
      </c>
      <c r="K644">
        <f>-1055.2237112992 -1231.12219356665 -749.28159776545</f>
        <v>-3035.6275026312996</v>
      </c>
      <c r="L644">
        <f>-1122.33240676856 -1109.80028489405 -464.740515269112</f>
        <v>-2696.8732069317225</v>
      </c>
      <c r="M644">
        <f>-1105.44072758706 -1001.47206875528 -228.89791124318</f>
        <v>-2335.81070758552</v>
      </c>
      <c r="N644">
        <f>-981.81455284357 -1414.35080844313 -680.404232948442</f>
        <v>-3076.5695942351422</v>
      </c>
      <c r="O644">
        <f>-936.690923420118 -1525.48470846799 -595.33901470694</f>
        <v>-3057.5146465950479</v>
      </c>
      <c r="P644">
        <f>-1054.18500920672 -1527.16806708119 -301.436834926271</f>
        <v>-2882.7899112141808</v>
      </c>
      <c r="Q644">
        <f>-1085.57840821219 -1398.19744677344 -77.7784312829292</f>
        <v>-2561.5542862685588</v>
      </c>
      <c r="R644">
        <f>-1178.18598488604 -1226.72885439502 -178.852458268483</f>
        <v>-2583.7672975495434</v>
      </c>
      <c r="S644" t="s">
        <v>10604</v>
      </c>
      <c r="T644" t="s">
        <v>10605</v>
      </c>
      <c r="U644" t="s">
        <v>10606</v>
      </c>
      <c r="V644">
        <f>-1060.15645293195 -1383.49291049442 -186.052981716778</f>
        <v>-2629.7023451431478</v>
      </c>
      <c r="W644" t="s">
        <v>10607</v>
      </c>
      <c r="X644" t="s">
        <v>10608</v>
      </c>
      <c r="Y644" t="s">
        <v>10609</v>
      </c>
    </row>
    <row r="645" spans="1:25" x14ac:dyDescent="0.3">
      <c r="A645">
        <v>32200</v>
      </c>
      <c r="B645" t="s">
        <v>10610</v>
      </c>
      <c r="C645">
        <f>-1119.2757203046 -1305.14091068946 -182.830395883208</f>
        <v>-2607.2470268772681</v>
      </c>
      <c r="D645">
        <f>-1127.20871863971 -1305.54192136727 -303.680406458498</f>
        <v>-2736.4310464654782</v>
      </c>
      <c r="E645">
        <f>-1105.7773942692 -1320.90653797236 -421.98160774872</f>
        <v>-2848.6655399902797</v>
      </c>
      <c r="F645">
        <f>-1075.00791761077 -1340.76243098615 -525.198963086617</f>
        <v>-2940.9693116835369</v>
      </c>
      <c r="G645">
        <f>-1033.48065272828 -1366.55169918228 -623.205426610233</f>
        <v>-3023.2377785207927</v>
      </c>
      <c r="H645">
        <f>-965.160905965043 -1408.44550684203 -752.732749553524</f>
        <v>-3126.3391623605967</v>
      </c>
      <c r="I645">
        <f>-895.327598882002 -1429.0188705783 -824.028136034808</f>
        <v>-3148.3746054951102</v>
      </c>
      <c r="J645">
        <f>-1008.69613571535 -1365.23418039315 -710.419724134556</f>
        <v>-3084.3500402430559</v>
      </c>
      <c r="K645">
        <f>-1055.43497311143 -1231.34676076908 -749.335933210897</f>
        <v>-3036.1176670914069</v>
      </c>
      <c r="L645">
        <f>-1122.47390059111 -1109.97088426683 -464.80153840258</f>
        <v>-2697.2463232605196</v>
      </c>
      <c r="M645">
        <f>-1105.34106935098 -1001.60061717509 -228.99563378213</f>
        <v>-2335.9373203082</v>
      </c>
      <c r="N645">
        <f>-982.08440879563 -1414.58340352941 -680.421992085429</f>
        <v>-3077.0898044104688</v>
      </c>
      <c r="O645">
        <f>-936.970167089123 -1525.71591674141 -595.338152495153</f>
        <v>-3058.0242363256857</v>
      </c>
      <c r="P645">
        <f>-1054.40489046207 -1527.35313879463 -301.412049062228</f>
        <v>-2883.1700783189281</v>
      </c>
      <c r="Q645">
        <f>-1085.76484556445 -1398.36684912165 -77.7578845410009</f>
        <v>-2561.8895792271005</v>
      </c>
      <c r="R645">
        <f>-1178.25272961976 -1226.7556239895 -178.85888048648</f>
        <v>-2583.8672340957396</v>
      </c>
      <c r="S645" t="s">
        <v>10611</v>
      </c>
      <c r="T645" t="s">
        <v>10612</v>
      </c>
      <c r="U645" t="s">
        <v>10613</v>
      </c>
      <c r="V645">
        <f>-1060.25465591876 -1383.51069682182 -186.063777796651</f>
        <v>-2629.8291305372309</v>
      </c>
      <c r="W645" t="s">
        <v>10614</v>
      </c>
      <c r="X645" t="s">
        <v>10615</v>
      </c>
      <c r="Y645" t="s">
        <v>10616</v>
      </c>
    </row>
    <row r="646" spans="1:25" x14ac:dyDescent="0.3">
      <c r="A646">
        <v>32250</v>
      </c>
      <c r="B646" t="s">
        <v>10617</v>
      </c>
      <c r="C646">
        <f>-1119.44079595869 -1305.17616237724 -182.83732926797</f>
        <v>-2607.4542876038995</v>
      </c>
      <c r="D646">
        <f>-1127.43626736658 -1305.62452368723 -303.682901315483</f>
        <v>-2736.7436923692931</v>
      </c>
      <c r="E646">
        <f>-1106.09484903321 -1321.07216996518 -421.989686070511</f>
        <v>-2849.1567050689009</v>
      </c>
      <c r="F646">
        <f>-1075.41718896839 -1341.01794177671 -525.217155976591</f>
        <v>-2941.6522867216909</v>
      </c>
      <c r="G646">
        <f>-1033.99177224527 -1366.9118858644 -623.239009187713</f>
        <v>-3024.142667297383</v>
      </c>
      <c r="H646">
        <f>-965.82355773491 -1408.96653354543 -752.794009468905</f>
        <v>-3127.5841007492445</v>
      </c>
      <c r="I646">
        <f>-896.016464540056 -1429.61837781558 -824.092306603515</f>
        <v>-3149.7271489591512</v>
      </c>
      <c r="J646">
        <f>-1009.28734990178 -1365.6869061721 -710.47745021933</f>
        <v>-3085.45170629321</v>
      </c>
      <c r="K646">
        <f>-1055.96142221867 -1231.7945928124 -749.442348474149</f>
        <v>-3037.1983635052193</v>
      </c>
      <c r="L646">
        <f>-1122.85253193527 -1110.24420370698 -464.94755776859</f>
        <v>-2698.0442934108396</v>
      </c>
      <c r="M646">
        <f>-1105.35004362696 -1001.86023484697 -229.175064263763</f>
        <v>-2336.385342737693</v>
      </c>
      <c r="N646">
        <f>-982.684413129064 -1415.03039960939 -680.462445533021</f>
        <v>-3078.1772582714748</v>
      </c>
      <c r="O646">
        <f>-937.541054915723 -1526.12069574305 -595.339234544766</f>
        <v>-3059.0009852035387</v>
      </c>
      <c r="P646">
        <f>-1054.97737969244 -1527.62894411944 -301.412924795449</f>
        <v>-2884.0192486073288</v>
      </c>
      <c r="Q646">
        <f>-1086.2499397893 -1398.6353699663 -77.7508734170539</f>
        <v>-2562.636183172654</v>
      </c>
      <c r="R646">
        <f>-1178.35888424947 -1226.77831648132 -178.858343732226</f>
        <v>-2583.9955444630159</v>
      </c>
      <c r="S646" t="s">
        <v>10618</v>
      </c>
      <c r="T646" t="s">
        <v>10619</v>
      </c>
      <c r="U646" t="s">
        <v>10620</v>
      </c>
      <c r="V646">
        <f>-1060.47041695971 -1383.56183010101 -186.073012016019</f>
        <v>-2630.1052590767385</v>
      </c>
      <c r="W646" t="s">
        <v>10621</v>
      </c>
      <c r="X646" t="s">
        <v>10622</v>
      </c>
      <c r="Y646" t="s">
        <v>10623</v>
      </c>
    </row>
    <row r="647" spans="1:25" x14ac:dyDescent="0.3">
      <c r="A647">
        <v>32300</v>
      </c>
      <c r="B647" t="s">
        <v>10624</v>
      </c>
      <c r="C647">
        <f>-1119.51634051157 -1305.17114225108 -182.844158965095</f>
        <v>-2607.531641727745</v>
      </c>
      <c r="D647">
        <f>-1127.5546336174 -1305.64798249181 -303.686867486478</f>
        <v>-2736.889483595688</v>
      </c>
      <c r="E647">
        <f>-1106.26419642601 -1321.1373115965 -421.997328865755</f>
        <v>-2849.3988368882647</v>
      </c>
      <c r="F647">
        <f>-1075.63559868793 -1341.12637520668 -525.230824607711</f>
        <v>-2941.992798502321</v>
      </c>
      <c r="G647">
        <f>-1034.26211836847 -1367.06957296462 -623.261756576195</f>
        <v>-3024.5934479092848</v>
      </c>
      <c r="H647">
        <f>-966.16884423548 -1409.19888500619 -752.831864518599</f>
        <v>-3128.1995937602692</v>
      </c>
      <c r="I647">
        <f>-896.373610106314 -1429.88634874967 -824.131443522498</f>
        <v>-3150.3914023784823</v>
      </c>
      <c r="J647">
        <f>-1009.59431111589 -1365.88493424397 -710.51100675771</f>
        <v>-3085.99025211757</v>
      </c>
      <c r="K647">
        <f>-1056.24748395337 -1231.98568223725 -749.490733331929</f>
        <v>-3037.7238995225489</v>
      </c>
      <c r="L647">
        <f>-1123.05314803119 -1110.38894250029 -464.995661308157</f>
        <v>-2698.4377518396373</v>
      </c>
      <c r="M647">
        <f>-1105.45474514927 -1001.95077677516 -229.255333121994</f>
        <v>-2336.6608550464243</v>
      </c>
      <c r="N647">
        <f>-983.001705776828 -1415.23099218998 -680.491057757313</f>
        <v>-3078.7237557241206</v>
      </c>
      <c r="O647">
        <f>-937.843885051626 -1526.29781402811 -595.349009655484</f>
        <v>-3059.4907087352203</v>
      </c>
      <c r="P647">
        <f>-1055.26553344902 -1527.70842637495 -301.416432659138</f>
        <v>-2884.3903924831084</v>
      </c>
      <c r="Q647">
        <f>-1086.49479489817 -1398.70035232654 -77.7566147606941</f>
        <v>-2562.9517619854041</v>
      </c>
      <c r="R647">
        <f>-1178.42886870959 -1226.75672437799 -178.875730035738</f>
        <v>-2584.0613231233178</v>
      </c>
      <c r="S647" t="s">
        <v>10625</v>
      </c>
      <c r="T647" t="s">
        <v>10626</v>
      </c>
      <c r="U647" t="s">
        <v>10627</v>
      </c>
      <c r="V647">
        <f>-1060.5532978657 -1383.56823403314 -186.085110081375</f>
        <v>-2630.206641980215</v>
      </c>
      <c r="W647" t="s">
        <v>10628</v>
      </c>
      <c r="X647" t="s">
        <v>10629</v>
      </c>
      <c r="Y647" t="s">
        <v>10630</v>
      </c>
    </row>
    <row r="648" spans="1:25" x14ac:dyDescent="0.3">
      <c r="A648">
        <v>32350</v>
      </c>
      <c r="B648" t="s">
        <v>10631</v>
      </c>
      <c r="C648">
        <f>-1119.76386069294 -1305.19959929255 -182.853509014745</f>
        <v>-2607.8169690002351</v>
      </c>
      <c r="D648">
        <f>-1127.79487231905 -1305.67888533674 -303.696778805094</f>
        <v>-2737.1705364608843</v>
      </c>
      <c r="E648">
        <f>-1106.54990834949 -1321.2250650646 -422.00780664182</f>
        <v>-2849.7827800559098</v>
      </c>
      <c r="F648">
        <f>-1075.98459848708 -1341.28930742894 -525.245686169327</f>
        <v>-2942.5195920853466</v>
      </c>
      <c r="G648">
        <f>-1034.69656633895 -1367.33206105821 -623.286108089946</f>
        <v>-3025.3147354871062</v>
      </c>
      <c r="H648">
        <f>-966.744815704296 -1409.62582715151 -752.877068367264</f>
        <v>-3129.2477112230699</v>
      </c>
      <c r="I648">
        <f>-896.967284038148 -1430.38046996833 -824.174388813886</f>
        <v>-3151.522142820364</v>
      </c>
      <c r="J648">
        <f>-1010.09049917467 -1366.23414624124 -710.554053855889</f>
        <v>-3086.8786992717987</v>
      </c>
      <c r="K648">
        <f>-1056.64680341836 -1232.31988083624 -749.578462457235</f>
        <v>-3038.5451467118346</v>
      </c>
      <c r="L648">
        <f>-1123.32250978091 -1110.56233756892 -465.121791430869</f>
        <v>-2699.0066387806992</v>
      </c>
      <c r="M648">
        <f>-1105.74523728583 -1002.07319626032 -229.403351025864</f>
        <v>-2337.2217845720143</v>
      </c>
      <c r="N648">
        <f>-983.5322300892 -1415.59015273677 -680.520077536296</f>
        <v>-3079.6424603622659</v>
      </c>
      <c r="O648">
        <f>-938.34560816889 -1526.62900117132 -595.354549393335</f>
        <v>-3060.3291587335452</v>
      </c>
      <c r="P648">
        <f>-1055.58746622913 -1527.96899326164 -301.349827872871</f>
        <v>-2884.9062873636412</v>
      </c>
      <c r="Q648">
        <f>-1086.86733710631 -1398.96116955805 -77.6969103064108</f>
        <v>-2563.5254169707709</v>
      </c>
      <c r="R648">
        <f>-1178.68953742736 -1226.81865787868 -178.892050636965</f>
        <v>-2584.4002459430048</v>
      </c>
      <c r="S648" t="s">
        <v>10632</v>
      </c>
      <c r="T648" t="s">
        <v>10633</v>
      </c>
      <c r="U648" t="s">
        <v>10634</v>
      </c>
      <c r="V648">
        <f>-1060.81083370912 -1383.58052831267 -186.094749089958</f>
        <v>-2630.486111111748</v>
      </c>
      <c r="W648" t="s">
        <v>10635</v>
      </c>
      <c r="X648" t="s">
        <v>10636</v>
      </c>
      <c r="Y648" t="s">
        <v>10637</v>
      </c>
    </row>
    <row r="649" spans="1:25" x14ac:dyDescent="0.3">
      <c r="A649">
        <v>32400</v>
      </c>
      <c r="B649" t="s">
        <v>10638</v>
      </c>
      <c r="C649">
        <f>-1119.88005154861 -1305.24095033519 -182.869332526337</f>
        <v>-2607.9903344101372</v>
      </c>
      <c r="D649">
        <f>-1127.92836927078 -1305.73739139159 -303.711334444799</f>
        <v>-2737.3770951071692</v>
      </c>
      <c r="E649">
        <f>-1106.71697942193 -1321.3166689362 -422.024168743767</f>
        <v>-2850.0578171018969</v>
      </c>
      <c r="F649">
        <f>-1076.18879355101 -1341.41819064104 -525.265705691719</f>
        <v>-2942.8726898837685</v>
      </c>
      <c r="G649">
        <f>-1034.94466926761 -1367.50607544833 -623.312655198058</f>
        <v>-3025.763399913998</v>
      </c>
      <c r="H649">
        <f>-967.060823660562 -1409.87108062281 -752.915875877636</f>
        <v>-3129.8477801610084</v>
      </c>
      <c r="I649">
        <f>-897.293630727373 -1430.65526409938 -824.214801896144</f>
        <v>-3152.1636967228969</v>
      </c>
      <c r="J649">
        <f>-1010.37072993653 -1366.44638967215 -710.590152292788</f>
        <v>-3087.407271901468</v>
      </c>
      <c r="K649">
        <f>-1056.90971427705 -1232.52243754797 -749.623833068618</f>
        <v>-3039.0559848936377</v>
      </c>
      <c r="L649">
        <f>-1123.54266886759 -1110.6796338258 -465.193585167584</f>
        <v>-2699.4158878609737</v>
      </c>
      <c r="M649">
        <f>-1105.98779723172 -1002.18190336076 -229.477504049115</f>
        <v>-2337.6472046415947</v>
      </c>
      <c r="N649">
        <f>-983.823917832017 -1415.8053479095 -680.550816333003</f>
        <v>-3080.1800820745202</v>
      </c>
      <c r="O649">
        <f>-938.613397168523 -1526.82988867536 -595.384273292242</f>
        <v>-3060.8275591361253</v>
      </c>
      <c r="P649">
        <f>-1055.84003931716 -1528.11525338057 -301.373353071903</f>
        <v>-2885.3286457696331</v>
      </c>
      <c r="Q649">
        <f>-1087.06247609997 -1399.10372373309 -77.714529999382</f>
        <v>-2563.8807298324423</v>
      </c>
      <c r="R649">
        <f>-1178.8075223439 -1226.843504546 -178.919699396768</f>
        <v>-2584.5707262866681</v>
      </c>
      <c r="S649" t="s">
        <v>10639</v>
      </c>
      <c r="T649" t="s">
        <v>10640</v>
      </c>
      <c r="U649" t="s">
        <v>10641</v>
      </c>
      <c r="V649">
        <f>-1060.91466655934 -1383.64363519894 -186.101065363519</f>
        <v>-2630.6593671217993</v>
      </c>
      <c r="W649" t="s">
        <v>10642</v>
      </c>
      <c r="X649" t="s">
        <v>10643</v>
      </c>
      <c r="Y649" t="s">
        <v>10644</v>
      </c>
    </row>
    <row r="650" spans="1:25" x14ac:dyDescent="0.3">
      <c r="A650">
        <v>32450</v>
      </c>
      <c r="B650" t="s">
        <v>10645</v>
      </c>
      <c r="C650">
        <f>-1120.1444168016 -1305.3286513917 -182.89552467942</f>
        <v>-2608.36859287272</v>
      </c>
      <c r="D650">
        <f>-1128.24955871667 -1305.84769997104 -303.733706218099</f>
        <v>-2737.8309649058087</v>
      </c>
      <c r="E650">
        <f>-1107.12228432301 -1321.47395707749 -422.055405642739</f>
        <v>-2850.6516470432389</v>
      </c>
      <c r="F650">
        <f>-1076.68063409875 -1341.62914507226 -525.312035512518</f>
        <v>-2943.6218146835276</v>
      </c>
      <c r="G650">
        <f>-1035.53294741603 -1367.78256191031 -623.381994954093</f>
        <v>-3026.6975042804333</v>
      </c>
      <c r="H650">
        <f>-967.792862554816 -1410.25167445285 -753.026278887739</f>
        <v>-3131.0708158954048</v>
      </c>
      <c r="I650">
        <f>-898.061749813478 -1431.09316595463 -824.343804681294</f>
        <v>-3153.4987204494018</v>
      </c>
      <c r="J650">
        <f>-1011.03739025727 -1366.77984736341 -710.682120061927</f>
        <v>-3088.4993576826068</v>
      </c>
      <c r="K650">
        <f>-1057.57509545835 -1232.86240127095 -749.721551403104</f>
        <v>-3040.1590481324038</v>
      </c>
      <c r="L650">
        <f>-1124.15842058481 -1110.98783708376 -465.29320211574</f>
        <v>-2700.4394597843097</v>
      </c>
      <c r="M650">
        <f>-1106.59779342993 -1002.41573551126 -229.611760041569</f>
        <v>-2338.6252889827592</v>
      </c>
      <c r="N650">
        <f>-984.494104946464 -1416.14096516353 -680.643219053334</f>
        <v>-3081.2782891633278</v>
      </c>
      <c r="O650">
        <f>-939.246819207949 -1527.16007821304 -595.481392069221</f>
        <v>-3061.8882894902099</v>
      </c>
      <c r="P650">
        <f>-1056.41924546835 -1528.37205717714 -301.448499750794</f>
        <v>-2886.2398023962837</v>
      </c>
      <c r="Q650">
        <f>-1087.60017316514 -1399.36773927886 -77.7797714778566</f>
        <v>-2564.7476839218566</v>
      </c>
      <c r="R650">
        <f>-1179.08464989437 -1226.91906715093 -178.935967437211</f>
        <v>-2584.9396844825105</v>
      </c>
      <c r="S650" t="s">
        <v>10646</v>
      </c>
      <c r="T650" t="s">
        <v>10647</v>
      </c>
      <c r="U650" t="s">
        <v>10648</v>
      </c>
      <c r="V650">
        <f>-1061.17477812202 -1383.73495045919 -186.131838623279</f>
        <v>-2631.0415672044892</v>
      </c>
      <c r="W650" t="s">
        <v>10649</v>
      </c>
      <c r="X650" t="s">
        <v>10650</v>
      </c>
      <c r="Y650" t="s">
        <v>10651</v>
      </c>
    </row>
    <row r="651" spans="1:25" x14ac:dyDescent="0.3">
      <c r="A651">
        <v>32500</v>
      </c>
      <c r="B651" t="s">
        <v>10652</v>
      </c>
      <c r="C651">
        <f>-1120.33113272838 -1305.39749990103 -182.899171190686</f>
        <v>-2608.6278038200958</v>
      </c>
      <c r="D651">
        <f>-1128.45229302713 -1305.91334198869 -303.736138197925</f>
        <v>-2738.1017732137448</v>
      </c>
      <c r="E651">
        <f>-1107.34739275057 -1321.53902935495 -422.06195697044</f>
        <v>-2850.94837907596</v>
      </c>
      <c r="F651">
        <f>-1076.92790998929 -1341.69465039485 -525.32488818976</f>
        <v>-2943.9474485739001</v>
      </c>
      <c r="G651">
        <f>-1035.80390080697 -1367.84947536079 -623.404371303799</f>
        <v>-3027.0577474715592</v>
      </c>
      <c r="H651">
        <f>-968.09775541667 -1410.32151225857 -753.065602910944</f>
        <v>-3131.4848705861841</v>
      </c>
      <c r="I651">
        <f>-898.37717720954 -1431.16962570002 -824.391518170218</f>
        <v>-3153.9383210797778</v>
      </c>
      <c r="J651">
        <f>-1011.3345256044 -1366.85111477811 -710.712027940457</f>
        <v>-3088.8976683229671</v>
      </c>
      <c r="K651">
        <f>-1057.88260672112 -1232.93909223183 -749.74803197289</f>
        <v>-3040.5697309258403</v>
      </c>
      <c r="L651">
        <f>-1124.43556313537 -1111.0712605421 -465.309705365329</f>
        <v>-2700.8165290427992</v>
      </c>
      <c r="M651">
        <f>-1106.91128510765 -1002.51006282453 -229.620495736325</f>
        <v>-2339.041843668505</v>
      </c>
      <c r="N651">
        <f>-984.776706980025 -1416.20677714224 -680.67718901353</f>
        <v>-3081.6606731357952</v>
      </c>
      <c r="O651">
        <f>-939.505689694339 -1527.22834971596 -595.531037327464</f>
        <v>-3062.2650767377627</v>
      </c>
      <c r="P651">
        <f>-1056.63928058712 -1528.49559738573 -301.482880137148</f>
        <v>-2886.6177581099982</v>
      </c>
      <c r="Q651">
        <f>-1087.84837137149 -1399.52525688824 -77.7985318418845</f>
        <v>-2565.1721601016147</v>
      </c>
      <c r="R651">
        <f>-1179.28034080736 -1226.99934478359 -178.927658482329</f>
        <v>-2585.2073440732793</v>
      </c>
      <c r="S651" t="s">
        <v>10653</v>
      </c>
      <c r="T651" t="s">
        <v>10654</v>
      </c>
      <c r="U651" t="s">
        <v>10655</v>
      </c>
      <c r="V651">
        <f>-1061.34886463337 -1383.78918645649 -186.148928911215</f>
        <v>-2631.2869800010749</v>
      </c>
      <c r="W651" t="s">
        <v>10656</v>
      </c>
      <c r="X651" t="s">
        <v>10657</v>
      </c>
      <c r="Y651" t="s">
        <v>10658</v>
      </c>
    </row>
    <row r="652" spans="1:25" x14ac:dyDescent="0.3">
      <c r="A652">
        <v>32550</v>
      </c>
      <c r="B652" t="s">
        <v>10659</v>
      </c>
      <c r="C652">
        <f>-1120.72261170298 -1305.51385366993 -182.902689203121</f>
        <v>-2609.1391545760312</v>
      </c>
      <c r="D652">
        <f>-1128.90581402217 -1306.05128724636 -303.735372857488</f>
        <v>-2738.6924741260182</v>
      </c>
      <c r="E652">
        <f>-1107.85220520141 -1321.67255295868 -422.070870169538</f>
        <v>-2851.5956283296277</v>
      </c>
      <c r="F652">
        <f>-1077.47341345887 -1341.81412431115 -525.348606078347</f>
        <v>-2944.6361438483673</v>
      </c>
      <c r="G652">
        <f>-1036.38357748926 -1367.945354145 -623.448730626518</f>
        <v>-3027.777662260778</v>
      </c>
      <c r="H652">
        <f>-968.717598086224 -1410.37527092984 -753.144652972005</f>
        <v>-3132.2375219880691</v>
      </c>
      <c r="I652">
        <f>-898.999272077825 -1431.20318507406 -824.478557875124</f>
        <v>-3154.6810150270089</v>
      </c>
      <c r="J652">
        <f>-1011.95600629916 -1366.92915123608 -710.767946757293</f>
        <v>-3089.653104292533</v>
      </c>
      <c r="K652">
        <f>-1058.53728154522 -1233.01519447488 -749.773148101418</f>
        <v>-3041.3256241215176</v>
      </c>
      <c r="L652">
        <f>-1125.08478198731 -1111.19655436661 -465.312551742391</f>
        <v>-2701.5938880963108</v>
      </c>
      <c r="M652">
        <f>-1107.61194390799 -1002.64984588977 -229.612760459825</f>
        <v>-2339.8745502575848</v>
      </c>
      <c r="N652">
        <f>-985.35939127931 -1416.27353769569 -680.748667394384</f>
        <v>-3082.3815963693842</v>
      </c>
      <c r="O652">
        <f>-940.043681191463 -1527.31861500597 -595.658118561162</f>
        <v>-3063.0204147585951</v>
      </c>
      <c r="P652">
        <f>-1057.1216627399 -1528.64918001806 -301.587999631079</f>
        <v>-2887.3588423890392</v>
      </c>
      <c r="Q652">
        <f>-1088.36587564097 -1399.73654693802 -77.8752961827259</f>
        <v>-2565.9777187617156</v>
      </c>
      <c r="R652">
        <f>-1179.69868726027 -1227.14664575361 -178.913965181869</f>
        <v>-2585.7592981957491</v>
      </c>
      <c r="S652" t="s">
        <v>10660</v>
      </c>
      <c r="T652" t="s">
        <v>10661</v>
      </c>
      <c r="U652" t="s">
        <v>10662</v>
      </c>
      <c r="V652">
        <f>-1061.72224409574 -1383.8717326742 -186.172720580827</f>
        <v>-2631.7666973507671</v>
      </c>
      <c r="W652" t="s">
        <v>10663</v>
      </c>
      <c r="X652" t="s">
        <v>10664</v>
      </c>
      <c r="Y652" t="s">
        <v>10665</v>
      </c>
    </row>
    <row r="653" spans="1:25" x14ac:dyDescent="0.3">
      <c r="A653">
        <v>32600</v>
      </c>
      <c r="B653" t="s">
        <v>10666</v>
      </c>
      <c r="C653">
        <f>-1120.93376117555 -1305.59525338313 -182.891063619322</f>
        <v>-2609.4200781780019</v>
      </c>
      <c r="D653">
        <f>-1129.1279130196 -1306.1113271578 -303.723214113655</f>
        <v>-2738.9624542910551</v>
      </c>
      <c r="E653">
        <f>-1108.06988391321 -1321.70839198452 -422.061045033499</f>
        <v>-2851.8393209312289</v>
      </c>
      <c r="F653">
        <f>-1077.68137159369 -1341.82775483122 -525.34027366776</f>
        <v>-2944.8494000926703</v>
      </c>
      <c r="G653">
        <f>-1036.57671322635 -1367.93696661211 -623.439987482568</f>
        <v>-3027.9536673210282</v>
      </c>
      <c r="H653">
        <f>-968.885433796787 -1410.33670129599 -753.132521257816</f>
        <v>-3132.3546563505934</v>
      </c>
      <c r="I653">
        <f>-899.14995094085 -1431.14889644208 -824.454336015114</f>
        <v>-3154.7531833980438</v>
      </c>
      <c r="J653">
        <f>-1012.1372510468 -1366.90414703481 -710.755626241785</f>
        <v>-3089.7970243233949</v>
      </c>
      <c r="K653">
        <f>-1058.75648724147 -1233.00128419146 -749.743835483265</f>
        <v>-3041.5016069161948</v>
      </c>
      <c r="L653">
        <f>-1125.32936713463 -1111.24174351635 -465.26380419356</f>
        <v>-2701.83491484454</v>
      </c>
      <c r="M653">
        <f>-1107.8183135321 -1002.71630500081 -229.557131596396</f>
        <v>-2340.0917501293061</v>
      </c>
      <c r="N653">
        <f>-985.536188513429 -1416.24813971669 -680.739810790295</f>
        <v>-3082.5241390204142</v>
      </c>
      <c r="O653">
        <f>-940.202666661211 -1527.29003370884 -595.658514737201</f>
        <v>-3063.151215107252</v>
      </c>
      <c r="P653">
        <f>-1057.24304134549 -1528.68363955551 -301.573875722735</f>
        <v>-2887.5005566237346</v>
      </c>
      <c r="Q653">
        <f>-1088.50713171062 -1399.84080342221 -77.8237078165009</f>
        <v>-2566.1716429493304</v>
      </c>
      <c r="R653">
        <f>-1179.91136542458 -1227.23690533376 -178.895838653793</f>
        <v>-2586.0441094121329</v>
      </c>
      <c r="S653" t="s">
        <v>10667</v>
      </c>
      <c r="T653" t="s">
        <v>10668</v>
      </c>
      <c r="U653" t="s">
        <v>10669</v>
      </c>
      <c r="V653">
        <f>-1061.93001081681 -1383.93668420289 -186.185989876417</f>
        <v>-2632.0526848961172</v>
      </c>
      <c r="W653" t="s">
        <v>10670</v>
      </c>
      <c r="X653" t="s">
        <v>10671</v>
      </c>
      <c r="Y653" t="s">
        <v>10672</v>
      </c>
    </row>
    <row r="654" spans="1:25" x14ac:dyDescent="0.3">
      <c r="A654">
        <v>32650</v>
      </c>
      <c r="B654" t="s">
        <v>10673</v>
      </c>
      <c r="C654">
        <f>-1121.38612484474 -1305.68459484915 -182.906797889341</f>
        <v>-2609.977517583231</v>
      </c>
      <c r="D654">
        <f>-1129.66421285207 -1306.24788678843 -303.73290784804</f>
        <v>-2739.6450074885397</v>
      </c>
      <c r="E654">
        <f>-1108.58116975832 -1321.78193018442 -422.074739665781</f>
        <v>-2852.4378396085208</v>
      </c>
      <c r="F654">
        <f>-1078.12523667107 -1341.79964849161 -525.353796088623</f>
        <v>-2945.2786812513027</v>
      </c>
      <c r="G654">
        <f>-1036.90912774275 -1367.76302645625 -623.445569561299</f>
        <v>-3028.1177237602988</v>
      </c>
      <c r="H654">
        <f>-969.018707487702 -1409.91462462607 -753.114831565878</f>
        <v>-3132.0481636796499</v>
      </c>
      <c r="I654">
        <f>-899.191216960682 -1430.59631303708 -824.384644662487</f>
        <v>-3154.1721746602493</v>
      </c>
      <c r="J654">
        <f>-1012.38406874612 -1366.5978216318 -710.735419637654</f>
        <v>-3089.7173100155737</v>
      </c>
      <c r="K654">
        <f>-1059.0710229027 -1232.70017146849 -749.672018566823</f>
        <v>-3041.4432129380129</v>
      </c>
      <c r="L654">
        <f>-1125.78845182447 -1111.07571524236 -465.168121659323</f>
        <v>-2702.0322887261532</v>
      </c>
      <c r="M654">
        <f>-1108.25856133347 -1002.65053133013 -229.416774246947</f>
        <v>-2340.3258669105471</v>
      </c>
      <c r="N654">
        <f>-985.732165574439 -1415.92986628472 -680.745008963151</f>
        <v>-3082.4070408223101</v>
      </c>
      <c r="O654">
        <f>-940.350985618923 -1526.97403929803 -595.688292624236</f>
        <v>-3063.0133175411893</v>
      </c>
      <c r="P654">
        <f>-1057.40417184348 -1528.40623964581 -301.60886154849</f>
        <v>-2887.4192730377804</v>
      </c>
      <c r="Q654">
        <f>-1088.56733605191 -1399.58734764694 -77.8308460710934</f>
        <v>-2565.9855297699432</v>
      </c>
      <c r="R654">
        <f>-1180.40864060823 -1227.34661866371 -178.885803137237</f>
        <v>-2586.6410624091768</v>
      </c>
      <c r="S654" t="s">
        <v>10674</v>
      </c>
      <c r="T654" t="s">
        <v>10675</v>
      </c>
      <c r="U654" t="s">
        <v>10676</v>
      </c>
      <c r="V654">
        <f>-1062.33936099669 -1384.02834177661 -186.211417831276</f>
        <v>-2632.579120604576</v>
      </c>
      <c r="W654" t="s">
        <v>10677</v>
      </c>
      <c r="X654" t="s">
        <v>10678</v>
      </c>
      <c r="Y654" t="s">
        <v>10679</v>
      </c>
    </row>
    <row r="655" spans="1:25" x14ac:dyDescent="0.3">
      <c r="A655">
        <v>32700</v>
      </c>
      <c r="B655" t="s">
        <v>10680</v>
      </c>
      <c r="C655">
        <f>-1121.60784430119 -1305.69795753123 -182.922855028434</f>
        <v>-2610.2286568608538</v>
      </c>
      <c r="D655">
        <f>-1129.92579580368 -1306.27680316832 -303.746275999065</f>
        <v>-2739.9488749710649</v>
      </c>
      <c r="E655">
        <f>-1108.84207729147 -1321.80146758236 -422.08909346619</f>
        <v>-2852.7326383400205</v>
      </c>
      <c r="F655">
        <f>-1078.36975046112 -1341.80151191386 -525.366710564591</f>
        <v>-2945.5379729395709</v>
      </c>
      <c r="G655">
        <f>-1037.12251639435 -1367.73866278824 -623.452270112525</f>
        <v>-3028.3134492951249</v>
      </c>
      <c r="H655">
        <f>-969.174730908357 -1409.84535720243 -753.106305626305</f>
        <v>-3132.1263937370923</v>
      </c>
      <c r="I655">
        <f>-899.314953125977 -1430.48216197748 -824.35732746884</f>
        <v>-3154.1544425722973</v>
      </c>
      <c r="J655">
        <f>-1012.5732714744 -1366.55357358087 -710.735264588972</f>
        <v>-3089.8621096442421</v>
      </c>
      <c r="K655">
        <f>-1059.34547386919 -1232.67816172424 -749.654657557528</f>
        <v>-3041.6782931509583</v>
      </c>
      <c r="L655">
        <f>-1126.11837240391 -1111.17057213373 -465.113835787154</f>
        <v>-2702.4027803247941</v>
      </c>
      <c r="M655">
        <f>-1108.64456114285 -1002.81531025307 -229.326077325908</f>
        <v>-2340.7859487218284</v>
      </c>
      <c r="N655">
        <f>-985.905782248733 -1415.8753305907 -680.741739876792</f>
        <v>-3082.5228527162253</v>
      </c>
      <c r="O655">
        <f>-940.496594303779 -1526.91223975549 -595.695343119919</f>
        <v>-3063.1041771791879</v>
      </c>
      <c r="P655">
        <f>-1057.50532967794 -1528.3883245375 -301.598433320845</f>
        <v>-2887.4920875362845</v>
      </c>
      <c r="Q655">
        <f>-1088.71312403213 -1399.61198704842 -77.8020581366117</f>
        <v>-2566.1271692171617</v>
      </c>
      <c r="R655">
        <f>-1180.65053899131 -1227.39407362479 -178.88358408813</f>
        <v>-2586.9281967042302</v>
      </c>
      <c r="S655" t="s">
        <v>10681</v>
      </c>
      <c r="T655" t="s">
        <v>10682</v>
      </c>
      <c r="U655" t="s">
        <v>10683</v>
      </c>
      <c r="V655">
        <f>-1062.54316862791 -1383.98920155314 -186.227794210589</f>
        <v>-2632.7601643916391</v>
      </c>
      <c r="W655" t="s">
        <v>10684</v>
      </c>
      <c r="X655" t="s">
        <v>10685</v>
      </c>
      <c r="Y655" t="s">
        <v>10686</v>
      </c>
    </row>
    <row r="656" spans="1:25" x14ac:dyDescent="0.3">
      <c r="A656">
        <v>32750</v>
      </c>
      <c r="B656" t="s">
        <v>10687</v>
      </c>
      <c r="C656">
        <f>-1121.97096438047 -1305.72594728364 -182.934897102479</f>
        <v>-2610.6318087665886</v>
      </c>
      <c r="D656">
        <f>-1130.24817219617 -1306.26687150205 -303.761278409758</f>
        <v>-2740.2763221079776</v>
      </c>
      <c r="E656">
        <f>-1109.11498392013 -1321.73569839449 -422.1026668872</f>
        <v>-2852.9533492018199</v>
      </c>
      <c r="F656">
        <f>-1078.59532364846 -1341.67903635114 -525.377213203074</f>
        <v>-2945.6515732026742</v>
      </c>
      <c r="G656">
        <f>-1037.2984760982 -1367.55404954707 -623.458448054997</f>
        <v>-3028.3109737002669</v>
      </c>
      <c r="H656">
        <f>-969.279829907785 -1409.56950305072 -753.104724531046</f>
        <v>-3131.9540574895509</v>
      </c>
      <c r="I656">
        <f>-899.388939762463 -1430.1264969151 -824.348396478493</f>
        <v>-3153.863833156056</v>
      </c>
      <c r="J656">
        <f>-1012.73665790936 -1366.33278623147 -710.737144629073</f>
        <v>-3089.8065887699031</v>
      </c>
      <c r="K656">
        <f>-1059.63717074997 -1232.5166272112 -749.677854018703</f>
        <v>-3041.8316519798732</v>
      </c>
      <c r="L656">
        <f>-1126.63744862552 -1111.06866781316 -465.165018780804</f>
        <v>-2702.8711352194837</v>
      </c>
      <c r="M656">
        <f>-1109.47050427753 -1002.80909485751 -229.310808484998</f>
        <v>-2341.5904076200377</v>
      </c>
      <c r="N656">
        <f>-986.015297901718 -1415.62515175024 -680.74340963998</f>
        <v>-3082.3838592919383</v>
      </c>
      <c r="O656">
        <f>-940.549051143494 -1526.64730686294 -595.702543548526</f>
        <v>-3062.89890155496</v>
      </c>
      <c r="P656">
        <f>-1057.48142032429 -1528.32032699676 -301.576248148752</f>
        <v>-2887.377995469802</v>
      </c>
      <c r="Q656">
        <f>-1088.7167042759 -1399.57235633772 -77.767529061568</f>
        <v>-2566.0565896751878</v>
      </c>
      <c r="R656">
        <f>-1181.10269792589 -1227.50656439535 -178.896438944481</f>
        <v>-2587.5057012657207</v>
      </c>
      <c r="S656" t="s">
        <v>10688</v>
      </c>
      <c r="T656" t="s">
        <v>10689</v>
      </c>
      <c r="U656" t="s">
        <v>10690</v>
      </c>
      <c r="V656">
        <f>-1062.79281171028 -1383.9078032051 -186.254841266301</f>
        <v>-2632.9554561816808</v>
      </c>
      <c r="W656" t="s">
        <v>10691</v>
      </c>
      <c r="X656" t="s">
        <v>10692</v>
      </c>
      <c r="Y656" t="s">
        <v>10693</v>
      </c>
    </row>
    <row r="657" spans="1:25" x14ac:dyDescent="0.3">
      <c r="A657">
        <v>32800</v>
      </c>
      <c r="B657" t="s">
        <v>10694</v>
      </c>
      <c r="C657">
        <f>-1122.08847322512 -1305.6845671339 -182.941575725685</f>
        <v>-2610.7146160847051</v>
      </c>
      <c r="D657">
        <f>-1130.37534849957 -1306.23764911098 -303.767200249135</f>
        <v>-2740.3801978596853</v>
      </c>
      <c r="E657">
        <f>-1109.23568019471 -1321.69986171908 -422.108243537157</f>
        <v>-2853.0437854509473</v>
      </c>
      <c r="F657">
        <f>-1078.70334769144 -1341.62909149029 -525.381866527905</f>
        <v>-2945.714305709635</v>
      </c>
      <c r="G657">
        <f>-1037.38704474388 -1367.48181037245 -623.460660018226</f>
        <v>-3028.329515134556</v>
      </c>
      <c r="H657">
        <f>-969.334345655366 -1409.45769321372 -753.101883705691</f>
        <v>-3131.8939225747768</v>
      </c>
      <c r="I657">
        <f>-899.435456849936 -1429.98558867729 -824.34617895881</f>
        <v>-3153.767224486036</v>
      </c>
      <c r="J657">
        <f>-1012.82142160034 -1366.24768871043 -710.738337273538</f>
        <v>-3089.8074475843082</v>
      </c>
      <c r="K657">
        <f>-1059.79525482295 -1232.451567829 -749.683570724014</f>
        <v>-3041.9303933759638</v>
      </c>
      <c r="L657">
        <f>-1126.91562307198 -1110.98979506129 -465.204996967276</f>
        <v>-2703.1104151005457</v>
      </c>
      <c r="M657">
        <f>-1109.91491563044 -1002.66022857718 -229.370878507882</f>
        <v>-2341.9460227155018</v>
      </c>
      <c r="N657">
        <f>-986.069703131664 -1415.52166369634 -680.741224791418</f>
        <v>-3082.3325916194221</v>
      </c>
      <c r="O657">
        <f>-940.554878750419 -1526.5176285224 -595.696219883731</f>
        <v>-3062.7687271565501</v>
      </c>
      <c r="P657">
        <f>-1057.47089247673 -1528.23107329326 -301.563766615046</f>
        <v>-2887.2657323850358</v>
      </c>
      <c r="Q657">
        <f>-1088.68976175164 -1399.46710438039 -77.761937436214</f>
        <v>-2565.9188035682437</v>
      </c>
      <c r="R657">
        <f>-1181.24635970667 -1227.50446107705 -178.906987399674</f>
        <v>-2587.6578081833941</v>
      </c>
      <c r="S657" t="s">
        <v>10695</v>
      </c>
      <c r="T657" t="s">
        <v>10696</v>
      </c>
      <c r="U657" t="s">
        <v>10697</v>
      </c>
      <c r="V657">
        <f>-1062.87376767703 -1383.86036995597 -186.255186403557</f>
        <v>-2632.9893240365573</v>
      </c>
      <c r="W657" t="s">
        <v>10698</v>
      </c>
      <c r="X657" t="s">
        <v>10699</v>
      </c>
      <c r="Y657" t="s">
        <v>10700</v>
      </c>
    </row>
    <row r="658" spans="1:25" x14ac:dyDescent="0.3">
      <c r="A658">
        <v>32850</v>
      </c>
      <c r="B658" t="s">
        <v>10701</v>
      </c>
      <c r="C658">
        <f>-1122.35963724969 -1305.78543896796 -182.947415437364</f>
        <v>-2611.0924916550139</v>
      </c>
      <c r="D658">
        <f>-1130.68279878933 -1306.3722649333 -303.770276267233</f>
        <v>-2740.8253399898626</v>
      </c>
      <c r="E658">
        <f>-1109.50768621052 -1321.8242234135 -422.106454971637</f>
        <v>-2853.4383645956573</v>
      </c>
      <c r="F658">
        <f>-1078.91231229899 -1341.72046992847 -525.367813334578</f>
        <v>-2946.0005955620377</v>
      </c>
      <c r="G658">
        <f>-1037.50158074042 -1367.51310428202 -623.422660618089</f>
        <v>-3028.4373456405292</v>
      </c>
      <c r="H658">
        <f>-969.28518910424 -1409.37426701859 -753.014857373742</f>
        <v>-3131.6743134965718</v>
      </c>
      <c r="I658">
        <f>-899.649620979111 -1429.93872966301 -824.506005841457</f>
        <v>-3154.0943564835779</v>
      </c>
      <c r="J658">
        <f>-1012.89292040476 -1366.25023464675 -710.68751521843</f>
        <v>-3089.8306702699401</v>
      </c>
      <c r="K658">
        <f>-1060.07208047813 -1232.55176260812 -749.714581723172</f>
        <v>-3042.3384248094221</v>
      </c>
      <c r="L658">
        <f>-1127.35652955864 -1111.08854179702 -465.275394773152</f>
        <v>-2703.7204661288119</v>
      </c>
      <c r="M658">
        <f>-1110.76647893885 -1002.55116802073 -229.507630118475</f>
        <v>-2342.825277078055</v>
      </c>
      <c r="N658">
        <f>-986.044760436334 -1415.45376155673 -680.661159528556</f>
        <v>-3082.1596815216199</v>
      </c>
      <c r="O658">
        <f>-940.497141104168 -1526.3866415696 -595.55628384378</f>
        <v>-3062.4400665175481</v>
      </c>
      <c r="P658">
        <f>-1057.42489749973 -1528.16067799122 -301.429027588513</f>
        <v>-2887.0146030794631</v>
      </c>
      <c r="Q658">
        <f>-1088.51208871305 -1399.2544294156 -77.6906209928444</f>
        <v>-2565.4571391214945</v>
      </c>
      <c r="R658">
        <f>-1181.62345701597 -1227.66579411385 -178.916202229683</f>
        <v>-2588.2054533595028</v>
      </c>
      <c r="S658" t="s">
        <v>10702</v>
      </c>
      <c r="T658" t="s">
        <v>10703</v>
      </c>
      <c r="U658" t="s">
        <v>10704</v>
      </c>
      <c r="V658">
        <f>-1063.0588703089 -1383.93778793764 -186.261062620224</f>
        <v>-2633.257720866764</v>
      </c>
      <c r="W658" t="s">
        <v>10705</v>
      </c>
      <c r="X658" t="s">
        <v>10706</v>
      </c>
      <c r="Y658" t="s">
        <v>10707</v>
      </c>
    </row>
    <row r="659" spans="1:25" x14ac:dyDescent="0.3">
      <c r="A659">
        <v>32900</v>
      </c>
      <c r="B659" t="s">
        <v>10708</v>
      </c>
      <c r="C659">
        <f>-1122.57985347196 -1305.80341557571 -182.948139822215</f>
        <v>-2611.3314088698853</v>
      </c>
      <c r="D659">
        <f>-1130.95146486217 -1306.43120842428 -303.767513424732</f>
        <v>-2741.150186711182</v>
      </c>
      <c r="E659">
        <f>-1109.688115673 -1321.88548422981 -422.087414140828</f>
        <v>-2853.6610140436383</v>
      </c>
      <c r="F659">
        <f>-1078.96003888729 -1341.76525698828 -525.312514400056</f>
        <v>-2946.0378102756258</v>
      </c>
      <c r="G659">
        <f>-1037.36728518739 -1367.5206156583 -623.300101462957</f>
        <v>-3028.1880023086469</v>
      </c>
      <c r="H659">
        <f>-968.851281421305 -1409.30600030397 -752.758733015468</f>
        <v>-3130.9160147407429</v>
      </c>
      <c r="I659">
        <f>-899.617293950154 -1430.0037391459 -824.600483163589</f>
        <v>-3154.2215162596431</v>
      </c>
      <c r="J659">
        <f>-1012.59407967364 -1366.23375600243 -710.518142524759</f>
        <v>-3089.3459782008294</v>
      </c>
      <c r="K659">
        <f>-1059.81310085139 -1232.57570753027 -749.642895724487</f>
        <v>-3042.0317041061471</v>
      </c>
      <c r="L659">
        <f>-1127.52859104979 -1111.00972910263 -465.349868995158</f>
        <v>-2703.888189147578</v>
      </c>
      <c r="M659">
        <f>-1111.13077608395 -1002.35817739003 -229.621182253552</f>
        <v>-2343.110135727532</v>
      </c>
      <c r="N659">
        <f>-985.740912669283 -1415.40079084067 -680.436404949659</f>
        <v>-3081.5781084596119</v>
      </c>
      <c r="O659">
        <f>-940.22081050686 -1526.28185431059 -595.245572804673</f>
        <v>-3061.7482376221228</v>
      </c>
      <c r="P659">
        <f>-1057.40702904361 -1528.13077539849 -301.221574344272</f>
        <v>-2886.7593787863721</v>
      </c>
      <c r="Q659">
        <f>-1088.34044054979 -1399.07549495672 -77.5478329071062</f>
        <v>-2564.963768413616</v>
      </c>
      <c r="R659">
        <f>-1181.89844986176 -1227.69452922347 -178.914139039011</f>
        <v>-2588.5071181242406</v>
      </c>
      <c r="S659" t="s">
        <v>10709</v>
      </c>
      <c r="T659" t="s">
        <v>10710</v>
      </c>
      <c r="U659" t="s">
        <v>10711</v>
      </c>
      <c r="V659">
        <f>-1063.22435669239 -1383.89971608039 -186.260730236779</f>
        <v>-2633.3848030095592</v>
      </c>
      <c r="W659" t="s">
        <v>10712</v>
      </c>
      <c r="X659" t="s">
        <v>10713</v>
      </c>
      <c r="Y659" t="s">
        <v>10714</v>
      </c>
    </row>
    <row r="660" spans="1:25" x14ac:dyDescent="0.3">
      <c r="A660">
        <v>32950</v>
      </c>
      <c r="B660" t="s">
        <v>10715</v>
      </c>
      <c r="C660">
        <f>-1123.03618007936 -1305.82630141438 -183.000118485507</f>
        <v>-2611.8625999792471</v>
      </c>
      <c r="D660">
        <f>-1131.45206089098 -1306.50569508735 -303.816135699586</f>
        <v>-2741.7738916779163</v>
      </c>
      <c r="E660">
        <f>-1110.09355383912 -1321.95908025152 -422.119101137353</f>
        <v>-2854.1717352279929</v>
      </c>
      <c r="F660">
        <f>-1079.22861314345 -1341.820105926 -525.306922375119</f>
        <v>-2946.3556414445693</v>
      </c>
      <c r="G660">
        <f>-1037.45403448136 -1367.54058996147 -623.226328444467</f>
        <v>-3028.2209528872972</v>
      </c>
      <c r="H660">
        <f>-968.645121118172 -1409.26178389082 -752.550266811565</f>
        <v>-3130.4571718205571</v>
      </c>
      <c r="I660">
        <f>-900.528393231066 -1430.30919540776 -825.352068877628</f>
        <v>-3156.1896575164537</v>
      </c>
      <c r="J660">
        <f>-1012.50433239078 -1366.22565996868 -710.39367466702</f>
        <v>-3089.1236670264802</v>
      </c>
      <c r="K660">
        <f>-1059.73551581702 -1232.61543655337 -749.628386770634</f>
        <v>-3041.979339141024</v>
      </c>
      <c r="L660">
        <f>-1128.25170522739 -1111.16141280784 -465.479489804334</f>
        <v>-2704.8926078395634</v>
      </c>
      <c r="M660">
        <f>-1112.51666658521 -1002.5408885539 -229.691331849594</f>
        <v>-2344.7488869887043</v>
      </c>
      <c r="N660">
        <f>-985.677517675306 -1415.37723333385 -680.263254349682</f>
        <v>-3081.318005358838</v>
      </c>
      <c r="O660">
        <f>-940.311233818361 -1526.25259235622 -594.972618453054</f>
        <v>-3061.5364446276349</v>
      </c>
      <c r="P660">
        <f>-1057.92984456998 -1528.19373748219 -301.121740171749</f>
        <v>-2887.2453222239192</v>
      </c>
      <c r="Q660">
        <f>-1089.10252156509 -1399.09294434844 -77.5076434551847</f>
        <v>-2565.7031093687146</v>
      </c>
      <c r="R660">
        <f>-1182.47220729177 -1227.78055882128 -178.922169106598</f>
        <v>-2589.174935219648</v>
      </c>
      <c r="S660" t="s">
        <v>10716</v>
      </c>
      <c r="T660" t="s">
        <v>10717</v>
      </c>
      <c r="U660" t="s">
        <v>10718</v>
      </c>
      <c r="V660">
        <f>-1063.58958015808 -1383.84314534621 -186.278611827781</f>
        <v>-2633.7113373320708</v>
      </c>
      <c r="W660" t="s">
        <v>10719</v>
      </c>
      <c r="X660" t="s">
        <v>10720</v>
      </c>
      <c r="Y660" t="s">
        <v>10721</v>
      </c>
    </row>
    <row r="661" spans="1:25" x14ac:dyDescent="0.3">
      <c r="A661">
        <v>33000</v>
      </c>
      <c r="B661" t="s">
        <v>10722</v>
      </c>
      <c r="C661">
        <f>-1123.21085994481 -1305.82043023624 -183.002283113609</f>
        <v>-2612.0335732946592</v>
      </c>
      <c r="D661">
        <f>-1131.5065192359 -1306.40400279656 -303.827100721681</f>
        <v>-2741.7376227541408</v>
      </c>
      <c r="E661">
        <f>-1110.1050923466 -1321.78214475286 -422.132058744841</f>
        <v>-2854.0192958443008</v>
      </c>
      <c r="F661">
        <f>-1079.23282094713 -1341.58553249642 -525.328874074121</f>
        <v>-2946.1472275176711</v>
      </c>
      <c r="G661">
        <f>-1037.4809633853 -1367.26030884315 -623.26986155907</f>
        <v>-3028.0111337875196</v>
      </c>
      <c r="H661">
        <f>-968.732844965473 -1408.93191735101 -752.642002915586</f>
        <v>-3130.3067652320692</v>
      </c>
      <c r="I661">
        <f>-901.102968725763 -1430.13809728824 -825.85055134757</f>
        <v>-3157.0916173615733</v>
      </c>
      <c r="J661">
        <f>-1012.5749945753 -1365.91396310897 -710.449153400491</f>
        <v>-3088.9381110847607</v>
      </c>
      <c r="K661">
        <f>-1059.81117412237 -1232.28474581546 -749.632838522968</f>
        <v>-3041.728758460798</v>
      </c>
      <c r="L661">
        <f>-1128.3088502882 -1110.97813946492 -465.416478019637</f>
        <v>-2704.703467772757</v>
      </c>
      <c r="M661">
        <f>-1113.0399860199 -1002.57026725787 -229.499808776322</f>
        <v>-2345.1100620540919</v>
      </c>
      <c r="N661">
        <f>-985.728558608969 -1415.07309106016 -680.348557752318</f>
        <v>-3081.1502074214468</v>
      </c>
      <c r="O661">
        <f>-940.318214932767 -1525.97223585082 -595.116916802388</f>
        <v>-3061.407367585975</v>
      </c>
      <c r="P661">
        <f>-1058.01774571462 -1528.03831232212 -301.299381277028</f>
        <v>-2887.3554393137679</v>
      </c>
      <c r="Q661">
        <f>-1089.49314128226 -1399.06130992488 -77.6560456301136</f>
        <v>-2566.2104968372537</v>
      </c>
      <c r="R661">
        <f>-1182.6346767445 -1227.79794469514 -178.941481274833</f>
        <v>-2589.3741027144724</v>
      </c>
      <c r="S661" t="s">
        <v>10723</v>
      </c>
      <c r="T661" t="s">
        <v>10724</v>
      </c>
      <c r="U661" t="s">
        <v>10725</v>
      </c>
      <c r="V661">
        <f>-1063.72883932981 -1383.76697553593 -186.298636388749</f>
        <v>-2633.7944512544886</v>
      </c>
      <c r="W661" t="s">
        <v>10726</v>
      </c>
      <c r="X661" t="s">
        <v>10727</v>
      </c>
      <c r="Y661" t="s">
        <v>10728</v>
      </c>
    </row>
    <row r="662" spans="1:25" x14ac:dyDescent="0.3">
      <c r="A662">
        <v>33050</v>
      </c>
      <c r="B662" t="s">
        <v>10729</v>
      </c>
      <c r="C662">
        <f>-1123.32202048688 -1305.63760709923 -182.974577066517</f>
        <v>-2611.9342046526276</v>
      </c>
      <c r="D662">
        <f>-1131.37546740771 -1305.98730983794 -303.816683072758</f>
        <v>-2741.179460318408</v>
      </c>
      <c r="E662">
        <f>-1109.94127019706 -1321.15212438174 -422.143266609675</f>
        <v>-2853.236661188475</v>
      </c>
      <c r="F662">
        <f>-1079.12023466597 -1340.7741785683 -525.390124672489</f>
        <v>-2945.2845379067589</v>
      </c>
      <c r="G662">
        <f>-1037.49389528741 -1366.28194698889 -623.428059475409</f>
        <v>-3027.2039017517091</v>
      </c>
      <c r="H662">
        <f>-968.989410643839 -1407.73962407779 -752.998020389423</f>
        <v>-3129.7270551110519</v>
      </c>
      <c r="I662">
        <f>-902.020958965492 -1429.1618181924 -826.749624905977</f>
        <v>-3157.9324020638687</v>
      </c>
      <c r="J662">
        <f>-1012.74368365018 -1364.78545561717 -710.649315016303</f>
        <v>-3088.1784542836531</v>
      </c>
      <c r="K662">
        <f>-1059.97089589879 -1231.05573306805 -749.533490846168</f>
        <v>-3040.560119813008</v>
      </c>
      <c r="L662">
        <f>-1128.06532822382 -1110.39061441248 -464.947306539385</f>
        <v>-2703.4032491756852</v>
      </c>
      <c r="M662">
        <f>-1112.80636470238 -1002.40105059389 -228.83827394456</f>
        <v>-2344.0456892408301</v>
      </c>
      <c r="N662">
        <f>-985.857377214854 -1414.0063246638 -680.685448202812</f>
        <v>-3080.549150081466</v>
      </c>
      <c r="O662">
        <f>-940.350134110918 -1525.04153188106 -595.692613559641</f>
        <v>-3061.0842795516191</v>
      </c>
      <c r="P662">
        <f>-1057.80485757077 -1527.3936187889 -301.779393860678</f>
        <v>-2886.977870220348</v>
      </c>
      <c r="Q662">
        <f>-1089.50107279753 -1398.58994631257 -78.0674188042454</f>
        <v>-2566.1584379143455</v>
      </c>
      <c r="R662">
        <f>-1182.71434100158 -1227.66376758835 -178.951320026051</f>
        <v>-2589.3294286159808</v>
      </c>
      <c r="S662" t="s">
        <v>10730</v>
      </c>
      <c r="T662" t="s">
        <v>10731</v>
      </c>
      <c r="U662" t="s">
        <v>10732</v>
      </c>
      <c r="V662">
        <f>-1063.84925746963 -1383.60081379102 -186.320905297879</f>
        <v>-2633.7709765585291</v>
      </c>
      <c r="W662" t="s">
        <v>10733</v>
      </c>
      <c r="X662" t="s">
        <v>10734</v>
      </c>
      <c r="Y662" t="s">
        <v>10735</v>
      </c>
    </row>
    <row r="663" spans="1:25" x14ac:dyDescent="0.3">
      <c r="A663">
        <v>33100</v>
      </c>
      <c r="B663" t="s">
        <v>10736</v>
      </c>
      <c r="C663">
        <f>-1123.25213521001 -1305.62733120949 -182.970183381189</f>
        <v>-2611.8496498006893</v>
      </c>
      <c r="D663">
        <f>-1131.30253742871 -1305.94012571133 -303.81268588254</f>
        <v>-2741.0553490225798</v>
      </c>
      <c r="E663">
        <f>-1109.91212422318 -1321.05255052863 -422.153924547982</f>
        <v>-2853.1185992997921</v>
      </c>
      <c r="F663">
        <f>-1079.1474980642 -1340.62270245812 -525.427202793399</f>
        <v>-2945.1974033157189</v>
      </c>
      <c r="G663">
        <f>-1037.59221206451 -1366.07546729346 -623.509693327457</f>
        <v>-3027.1773726854271</v>
      </c>
      <c r="H663">
        <f>-969.199144925196 -1407.45497517718 -753.163562675208</f>
        <v>-3129.8176827775842</v>
      </c>
      <c r="I663">
        <f>-902.436408163487 -1428.95361006814 -827.079243617052</f>
        <v>-3158.4692618486788</v>
      </c>
      <c r="J663">
        <f>-1012.90463773804 -1364.51743015417 -710.747612357991</f>
        <v>-3088.1696802502011</v>
      </c>
      <c r="K663">
        <f>-1060.10759663845 -1230.7328314467 -749.469152924602</f>
        <v>-3040.309581009752</v>
      </c>
      <c r="L663">
        <f>-1127.89383941164 -1110.33160352841 -464.697792392045</f>
        <v>-2702.9232353320949</v>
      </c>
      <c r="M663">
        <f>-1112.29545349276 -1002.59186510049 -228.496776340964</f>
        <v>-2343.3840949342143</v>
      </c>
      <c r="N663">
        <f>-986.017230054632 -1413.77421965316 -680.843875525678</f>
        <v>-3080.6353252334698</v>
      </c>
      <c r="O663">
        <f>-940.528593943739 -1524.88872110007 -595.948765692509</f>
        <v>-3061.3660807363181</v>
      </c>
      <c r="P663">
        <f>-1057.85502784855 -1527.25535378778 -301.984325588948</f>
        <v>-2887.0947072252784</v>
      </c>
      <c r="Q663">
        <f>-1089.42263586574 -1398.47507134357 -78.2407797581775</f>
        <v>-2566.1384869674876</v>
      </c>
      <c r="R663">
        <f>-1182.64403086916 -1227.67518673565 -178.935842892276</f>
        <v>-2589.2550604970857</v>
      </c>
      <c r="S663" t="s">
        <v>10737</v>
      </c>
      <c r="T663" t="s">
        <v>10738</v>
      </c>
      <c r="U663" t="s">
        <v>10739</v>
      </c>
      <c r="V663">
        <f>-1063.79313937063 -1383.64945833043 -186.330475726271</f>
        <v>-2633.7730734273305</v>
      </c>
      <c r="W663" t="s">
        <v>10740</v>
      </c>
      <c r="X663" t="s">
        <v>10741</v>
      </c>
      <c r="Y663" t="s">
        <v>10742</v>
      </c>
    </row>
    <row r="664" spans="1:25" x14ac:dyDescent="0.3">
      <c r="A664">
        <v>33150</v>
      </c>
      <c r="B664" t="s">
        <v>10743</v>
      </c>
      <c r="C664">
        <f>-1122.92230067096 -1305.5432728872 -182.997139503301</f>
        <v>-2611.4627130614608</v>
      </c>
      <c r="D664">
        <f>-1131.08236717739 -1305.8298149128 -303.832357874701</f>
        <v>-2740.7445399648909</v>
      </c>
      <c r="E664">
        <f>-1109.85631206496 -1320.90622423537 -422.207708468434</f>
        <v>-2852.9702447687641</v>
      </c>
      <c r="F664">
        <f>-1079.25933689094 -1340.4448485525 -525.536866629843</f>
        <v>-2945.2410520732828</v>
      </c>
      <c r="G664">
        <f>-1037.88813815734 -1365.87030435086 -623.70424979239</f>
        <v>-3027.4626923005899</v>
      </c>
      <c r="H664">
        <f>-969.765064832869 -1407.21941731777 -753.509850755815</f>
        <v>-3130.494332906454</v>
      </c>
      <c r="I664">
        <f>-903.126776023817 -1428.75344784484 -827.527471968638</f>
        <v>-3159.4076958372948</v>
      </c>
      <c r="J664">
        <f>-1013.33613984183 -1364.25846702291 -710.979308987162</f>
        <v>-3088.5739158519018</v>
      </c>
      <c r="K664">
        <f>-1060.39412592453 -1230.35650171584 -749.434728101351</f>
        <v>-3040.1853557417212</v>
      </c>
      <c r="L664">
        <f>-1127.40154863465 -1110.37744121216 -464.301025116743</f>
        <v>-2702.0800149635529</v>
      </c>
      <c r="M664">
        <f>-1110.79269565571 -1003.03326954731 -227.988817733635</f>
        <v>-2341.8147829366553</v>
      </c>
      <c r="N664">
        <f>-986.478707786165 -1413.58895216776 -681.170348404863</f>
        <v>-3081.2380083587882</v>
      </c>
      <c r="O664">
        <f>-941.033677707014 -1524.84364932438 -596.421674838316</f>
        <v>-3062.2990018697101</v>
      </c>
      <c r="P664">
        <f>-1057.95611504763 -1527.16043292437 -302.295772165056</f>
        <v>-2887.4123201370562</v>
      </c>
      <c r="Q664">
        <f>-1089.14263203186 -1398.42740571131 -78.4717145858923</f>
        <v>-2566.0417523290625</v>
      </c>
      <c r="R664">
        <f>-1182.18316413621 -1227.38309301897 -178.927554630867</f>
        <v>-2588.4938117860474</v>
      </c>
      <c r="S664" t="s">
        <v>10744</v>
      </c>
      <c r="T664" t="s">
        <v>10745</v>
      </c>
      <c r="U664" t="s">
        <v>10746</v>
      </c>
      <c r="V664">
        <f>-1063.607324041 -1383.71311602795 -186.370358361015</f>
        <v>-2633.6907984299651</v>
      </c>
      <c r="W664" t="s">
        <v>10747</v>
      </c>
      <c r="X664" t="s">
        <v>10748</v>
      </c>
      <c r="Y664" t="s">
        <v>10749</v>
      </c>
    </row>
    <row r="665" spans="1:25" x14ac:dyDescent="0.3">
      <c r="A665">
        <v>33200</v>
      </c>
      <c r="B665" t="s">
        <v>10750</v>
      </c>
      <c r="C665">
        <f>-1122.82711415841 -1305.56352232937 -182.938391918283</f>
        <v>-2611.3290284060631</v>
      </c>
      <c r="D665">
        <f>-1131.03755668054 -1305.82523912871 -303.770256804524</f>
        <v>-2740.6330526137745</v>
      </c>
      <c r="E665">
        <f>-1109.90076516525 -1320.88393311902 -422.163691574321</f>
        <v>-2852.9483898585913</v>
      </c>
      <c r="F665">
        <f>-1079.3976455837 -1340.41000175324 -525.522987794728</f>
        <v>-2945.3306351316683</v>
      </c>
      <c r="G665">
        <f>-1038.13127731228 -1365.8269454849 -623.736765632313</f>
        <v>-3027.6949884294932</v>
      </c>
      <c r="H665">
        <f>-970.163058346048 -1407.16903029817 -753.625708513674</f>
        <v>-3130.9577971578919</v>
      </c>
      <c r="I665">
        <f>-903.461422971457 -1428.64772161279 -827.602420222856</f>
        <v>-3159.7115648071031</v>
      </c>
      <c r="J665">
        <f>-1013.66407813547 -1364.19645304755 -711.035341734256</f>
        <v>-3088.8958729172764</v>
      </c>
      <c r="K665">
        <f>-1060.66808273418 -1230.24138576641 -749.377260424793</f>
        <v>-3040.2867289253832</v>
      </c>
      <c r="L665">
        <f>-1127.23494197898 -1110.37526097243 -464.092838600168</f>
        <v>-2701.7030415515778</v>
      </c>
      <c r="M665">
        <f>-1109.97466833004 -1003.15756320374 -227.770005035392</f>
        <v>-2340.9022365691721</v>
      </c>
      <c r="N665">
        <f>-986.809699323562 -1413.55639090511 -681.272228661088</f>
        <v>-3081.6383188897598</v>
      </c>
      <c r="O665">
        <f>-941.380525115643 -1524.89287382479 -596.622781385637</f>
        <v>-3062.8961803260704</v>
      </c>
      <c r="P665">
        <f>-1058.06161744543 -1527.25447931794 -302.401707711519</f>
        <v>-2887.7178044748894</v>
      </c>
      <c r="Q665">
        <f>-1089.09147402861 -1398.5994327347 -78.510844208275</f>
        <v>-2566.2017509715852</v>
      </c>
      <c r="R665">
        <f>-1182.02189382578 -1227.34560477474 -178.796651182083</f>
        <v>-2588.1641497826031</v>
      </c>
      <c r="S665" t="s">
        <v>10751</v>
      </c>
      <c r="T665" t="s">
        <v>10752</v>
      </c>
      <c r="U665" t="s">
        <v>10753</v>
      </c>
      <c r="V665">
        <f>-1063.57996602873 -1383.79810799718 -186.362702784329</f>
        <v>-2633.7407768102389</v>
      </c>
      <c r="W665" t="s">
        <v>10754</v>
      </c>
      <c r="X665" t="s">
        <v>10755</v>
      </c>
      <c r="Y665" t="s">
        <v>10756</v>
      </c>
    </row>
    <row r="666" spans="1:25" x14ac:dyDescent="0.3">
      <c r="A666">
        <v>33250</v>
      </c>
      <c r="B666" t="s">
        <v>10757</v>
      </c>
      <c r="C666">
        <f>-1122.61355823205 -1305.49468452813 -182.744102944496</f>
        <v>-2610.8523457046758</v>
      </c>
      <c r="D666">
        <f>-1130.99956209176 -1305.78300016032 -303.563807975371</f>
        <v>-2740.3463702274512</v>
      </c>
      <c r="E666">
        <f>-1110.03567228686 -1320.86882423797 -421.98462736901</f>
        <v>-2852.8891238938404</v>
      </c>
      <c r="F666">
        <f>-1079.68196204882 -1340.41607341896 -525.383881546281</f>
        <v>-2945.4819170140609</v>
      </c>
      <c r="G666">
        <f>-1038.55494760691 -1365.84831158537 -623.651918869243</f>
        <v>-3028.0551780615233</v>
      </c>
      <c r="H666">
        <f>-970.766955412735 -1407.20365124857 -753.631008078322</f>
        <v>-3131.6016147396267</v>
      </c>
      <c r="I666">
        <f>-903.83395958984 -1428.54008627338 -827.439548399906</f>
        <v>-3159.8135942631261</v>
      </c>
      <c r="J666">
        <f>-1014.17682860483 -1364.20366403778 -710.975340788512</f>
        <v>-3089.3558334311219</v>
      </c>
      <c r="K666">
        <f>-1061.06817468412 -1230.16981010686 -749.185909961307</f>
        <v>-3040.4238947522872</v>
      </c>
      <c r="L666">
        <f>-1126.98836998999 -1110.38066419723 -463.719139866712</f>
        <v>-2701.0881740539317</v>
      </c>
      <c r="M666">
        <f>-1108.42212876823 -1003.18392452073 -227.485780172704</f>
        <v>-2339.091833461664</v>
      </c>
      <c r="N666">
        <f>-987.345285795736 -1413.60671939207 -681.26328161744</f>
        <v>-3082.2152868052463</v>
      </c>
      <c r="O666">
        <f>-941.990521357379 -1525.0478714801 -596.715343226737</f>
        <v>-3063.7537360642159</v>
      </c>
      <c r="P666">
        <f>-1058.45782538551 -1527.32919595022 -302.408764922017</f>
        <v>-2888.1957862577469</v>
      </c>
      <c r="Q666">
        <f>-1089.18614505093 -1398.83648473096 -78.3832334819111</f>
        <v>-2566.4058632638012</v>
      </c>
      <c r="R666">
        <f>-1181.48552380232 -1227.12278767106 -178.471577894019</f>
        <v>-2587.0798893673991</v>
      </c>
      <c r="S666" t="s">
        <v>10758</v>
      </c>
      <c r="T666" t="s">
        <v>10759</v>
      </c>
      <c r="U666" t="s">
        <v>10760</v>
      </c>
      <c r="V666">
        <f>-1063.6595723415 -1383.91482346025 -186.285840244947</f>
        <v>-2633.8602360466971</v>
      </c>
      <c r="W666" t="s">
        <v>10761</v>
      </c>
      <c r="X666" t="s">
        <v>10762</v>
      </c>
      <c r="Y666" t="s">
        <v>10763</v>
      </c>
    </row>
    <row r="667" spans="1:25" x14ac:dyDescent="0.3">
      <c r="A667">
        <v>33300</v>
      </c>
      <c r="B667" t="s">
        <v>10764</v>
      </c>
      <c r="C667">
        <f>-1122.53085814977 -1305.42066789859 -182.682210867869</f>
        <v>-2610.6337369162288</v>
      </c>
      <c r="D667">
        <f>-1131.04029061716 -1305.77505350205 -303.493057735785</f>
        <v>-2740.3084018549948</v>
      </c>
      <c r="E667">
        <f>-1110.15895518721 -1320.92868821346 -421.919844647519</f>
        <v>-2853.0074880481889</v>
      </c>
      <c r="F667">
        <f>-1079.86165507867 -1340.5355172549 -525.324470282715</f>
        <v>-2945.721642616285</v>
      </c>
      <c r="G667">
        <f>-1038.77272495569 -1366.02375038723 -623.59396404398</f>
        <v>-3028.3904393868997</v>
      </c>
      <c r="H667">
        <f>-971.019045448709 -1407.4514543895 -753.567766267593</f>
        <v>-3132.038266105802</v>
      </c>
      <c r="I667">
        <f>-903.94667127265 -1428.73432963121 -827.265312595251</f>
        <v>-3159.9463134991111</v>
      </c>
      <c r="J667">
        <f>-1014.39657196897 -1364.4126052303 -710.918454297093</f>
        <v>-3089.7276314963628</v>
      </c>
      <c r="K667">
        <f>-1061.18953771872 -1230.34580120026 -749.147805064908</f>
        <v>-3040.6831439838879</v>
      </c>
      <c r="L667">
        <f>-1126.93520856015 -1110.48783984118 -463.669508601381</f>
        <v>-2701.0925570027107</v>
      </c>
      <c r="M667">
        <f>-1107.96197465396 -1003.24559828884 -227.4892350196</f>
        <v>-2338.6968079623998</v>
      </c>
      <c r="N667">
        <f>-987.599305415998 -1413.82935920187 -681.198265232648</f>
        <v>-3082.6269298505158</v>
      </c>
      <c r="O667">
        <f>-942.362152779867 -1525.29879507009 -596.629154449365</f>
        <v>-3064.2901022993219</v>
      </c>
      <c r="P667">
        <f>-1058.79722032774 -1527.37600971353 -302.308281084663</f>
        <v>-2888.4815111259331</v>
      </c>
      <c r="Q667">
        <f>-1089.29016313343 -1398.86671248523 -78.2601619102821</f>
        <v>-2566.4170375289418</v>
      </c>
      <c r="R667">
        <f>-1181.27082327258 -1226.92593323558 -178.376060840772</f>
        <v>-2586.5728173489319</v>
      </c>
      <c r="S667" t="s">
        <v>10765</v>
      </c>
      <c r="T667" t="s">
        <v>10766</v>
      </c>
      <c r="U667" t="s">
        <v>10767</v>
      </c>
      <c r="V667">
        <f>-1063.74462395617 -1383.95705468392 -186.251292083714</f>
        <v>-2633.9529707238039</v>
      </c>
      <c r="W667" t="s">
        <v>10768</v>
      </c>
      <c r="X667" t="s">
        <v>10769</v>
      </c>
      <c r="Y667" t="s">
        <v>10770</v>
      </c>
    </row>
    <row r="668" spans="1:25" x14ac:dyDescent="0.3">
      <c r="A668">
        <v>33350</v>
      </c>
      <c r="B668" t="s">
        <v>10771</v>
      </c>
      <c r="C668">
        <f>-1122.51245355971 -1305.30550350094 -182.63031732181</f>
        <v>-2610.4482743824597</v>
      </c>
      <c r="D668">
        <f>-1131.17854476217 -1305.74810496207 -303.429748985723</f>
        <v>-2740.3563987099633</v>
      </c>
      <c r="E668">
        <f>-1110.38582323195 -1321.03273172846 -421.855251130742</f>
        <v>-2853.273806091152</v>
      </c>
      <c r="F668">
        <f>-1080.14174714037 -1340.77355303034 -525.249858693922</f>
        <v>-2946.1651588646318</v>
      </c>
      <c r="G668">
        <f>-1039.0815287441 -1366.40922780123 -623.49300157442</f>
        <v>-3028.9837581197498</v>
      </c>
      <c r="H668">
        <f>-971.345244603834 -1408.05355342865 -753.406781495753</f>
        <v>-3132.8055795282371</v>
      </c>
      <c r="I668">
        <f>-904.039979718608 -1429.35884801028 -826.88502788424</f>
        <v>-3160.2838556131283</v>
      </c>
      <c r="J668">
        <f>-1014.65635080506 -1364.90012478968 -710.805595321561</f>
        <v>-3090.3620709163006</v>
      </c>
      <c r="K668">
        <f>-1061.20342220102 -1230.77373660798 -749.122455682777</f>
        <v>-3041.0996144917767</v>
      </c>
      <c r="L668">
        <f>-1126.82411379942 -1110.57994789141 -463.756913140539</f>
        <v>-2701.160974831369</v>
      </c>
      <c r="M668">
        <f>-1107.72330849752 -1003.32323617931 -227.593424221552</f>
        <v>-2338.6399688983824</v>
      </c>
      <c r="N668">
        <f>-987.97654142504 -1414.3543650138 -681.042266368728</f>
        <v>-3083.3731728075682</v>
      </c>
      <c r="O668">
        <f>-943.062659614204 -1525.9077112166 -596.412038432224</f>
        <v>-3065.3824092630284</v>
      </c>
      <c r="P668">
        <f>-1059.42361628211 -1527.53601088351 -302.059140117745</f>
        <v>-2889.0187672833649</v>
      </c>
      <c r="Q668">
        <f>-1089.34472655943 -1398.83158828428 -78.0457844846774</f>
        <v>-2566.2220993283877</v>
      </c>
      <c r="R668">
        <f>-1181.03651048334 -1226.67950431151 -178.289770180618</f>
        <v>-2586.0057849754676</v>
      </c>
      <c r="S668" t="s">
        <v>10772</v>
      </c>
      <c r="T668" t="s">
        <v>10773</v>
      </c>
      <c r="U668" t="s">
        <v>10774</v>
      </c>
      <c r="V668">
        <f>-1063.96880905199 -1383.93793387664 -186.2150294379</f>
        <v>-2634.12177236653</v>
      </c>
      <c r="W668" t="s">
        <v>10775</v>
      </c>
      <c r="X668" t="s">
        <v>10776</v>
      </c>
      <c r="Y668" t="s">
        <v>10777</v>
      </c>
    </row>
    <row r="669" spans="1:25" x14ac:dyDescent="0.3">
      <c r="A669">
        <v>33400</v>
      </c>
      <c r="B669" t="s">
        <v>10778</v>
      </c>
      <c r="C669">
        <f>-1122.57806290315 -1305.22448384 -182.627253561308</f>
        <v>-2610.4298003044578</v>
      </c>
      <c r="D669">
        <f>-1131.30162350525 -1305.69584052587 -303.422570040195</f>
        <v>-2740.4200340713151</v>
      </c>
      <c r="E669">
        <f>-1110.51420643976 -1321.01685316311 -421.844188408056</f>
        <v>-2853.3752480109265</v>
      </c>
      <c r="F669">
        <f>-1080.25523720459 -1340.79382675772 -525.22768187539</f>
        <v>-2946.2767458376998</v>
      </c>
      <c r="G669">
        <f>-1039.16261748262 -1366.4684672915 -623.447058191136</f>
        <v>-3029.0781429652557</v>
      </c>
      <c r="H669">
        <f>-971.365468828553 -1408.16932351202 -753.310879651991</f>
        <v>-3132.8456719925639</v>
      </c>
      <c r="I669">
        <f>-903.951194934996 -1429.53403476359 -826.671869238805</f>
        <v>-3160.1570989373909</v>
      </c>
      <c r="J669">
        <f>-1014.67115488764 -1364.97918771723 -710.741324263365</f>
        <v>-3090.391666868235</v>
      </c>
      <c r="K669">
        <f>-1061.0648488353 -1230.81502185117 -749.097210799904</f>
        <v>-3040.9770814863741</v>
      </c>
      <c r="L669">
        <f>-1126.73688476892 -1110.52285385729 -463.784813712844</f>
        <v>-2701.044552339054</v>
      </c>
      <c r="M669">
        <f>-1107.87514707649 -1003.22949389703 -227.618753090071</f>
        <v>-2338.7233940635911</v>
      </c>
      <c r="N669">
        <f>-988.0560582333 -1414.45676584374 -680.958792082562</f>
        <v>-3083.471616159602</v>
      </c>
      <c r="O669">
        <f>-943.287835393002 -1526.05771391963 -596.308994647631</f>
        <v>-3065.6545439602633</v>
      </c>
      <c r="P669">
        <f>-1059.63912427847 -1527.56031157947 -301.95156103734</f>
        <v>-2889.1509968952801</v>
      </c>
      <c r="Q669">
        <f>-1089.36125908363 -1398.82450218524 -77.9297964082663</f>
        <v>-2566.1155576771362</v>
      </c>
      <c r="R669">
        <f>-1181.01995369327 -1226.51150449468 -178.313571313336</f>
        <v>-2585.8450295012863</v>
      </c>
      <c r="S669" t="s">
        <v>10779</v>
      </c>
      <c r="T669" t="s">
        <v>10780</v>
      </c>
      <c r="U669" t="s">
        <v>10781</v>
      </c>
      <c r="V669">
        <f>-1064.12229187912 -1383.89606471625 -186.214048467995</f>
        <v>-2634.2324050633651</v>
      </c>
      <c r="W669" t="s">
        <v>10782</v>
      </c>
      <c r="X669" t="s">
        <v>10783</v>
      </c>
      <c r="Y669" t="s">
        <v>10784</v>
      </c>
    </row>
    <row r="670" spans="1:25" x14ac:dyDescent="0.3">
      <c r="A670">
        <v>33450</v>
      </c>
      <c r="B670" t="s">
        <v>10785</v>
      </c>
      <c r="C670">
        <f>-1122.69326629299 -1304.9961663174 -182.69465744835</f>
        <v>-2610.3840900587402</v>
      </c>
      <c r="D670">
        <f>-1131.55928686636 -1305.57850110003 -303.478987911403</f>
        <v>-2740.6167758777929</v>
      </c>
      <c r="E670">
        <f>-1110.78466167954 -1320.97681995467 -421.893018294215</f>
        <v>-2853.6544999284251</v>
      </c>
      <c r="F670">
        <f>-1080.48927025713 -1340.81443066464 -525.254067186377</f>
        <v>-2946.5577681081472</v>
      </c>
      <c r="G670">
        <f>-1039.31768407762 -1366.54246095872 -623.426515685092</f>
        <v>-3029.2866607214323</v>
      </c>
      <c r="H670">
        <f>-971.372719716757 -1408.31132508759 -753.190965434182</f>
        <v>-3132.8750102385288</v>
      </c>
      <c r="I670">
        <f>-903.779085794328 -1429.88041247617 -826.326953526254</f>
        <v>-3159.9864517967521</v>
      </c>
      <c r="J670">
        <f>-1014.68298274954 -1365.06763042087 -710.680838017759</f>
        <v>-3090.4314511881689</v>
      </c>
      <c r="K670">
        <f>-1060.81313864914 -1230.82310687023 -749.110940413103</f>
        <v>-3040.7471859324733</v>
      </c>
      <c r="L670">
        <f>-1126.72826668525 -1110.22215402072 -463.985013102761</f>
        <v>-2700.935433808731</v>
      </c>
      <c r="M670">
        <f>-1108.62717849015 -1003.01953349663 -227.718193649191</f>
        <v>-2339.3649056359714</v>
      </c>
      <c r="N670">
        <f>-988.189545866945 -1414.59216184239 -680.867739190812</f>
        <v>-3083.6494469001473</v>
      </c>
      <c r="O670">
        <f>-943.674399808736 -1526.25702797575 -596.182979832256</f>
        <v>-3066.114407616742</v>
      </c>
      <c r="P670">
        <f>-1060.04547999912 -1527.48420836775 -301.83206693233</f>
        <v>-2889.3617552992</v>
      </c>
      <c r="Q670">
        <f>-1089.45286059792 -1398.68116967552 -77.8074248034836</f>
        <v>-2565.9414550769238</v>
      </c>
      <c r="R670">
        <f>-1181.09383643789 -1226.22394909356 -178.405430147942</f>
        <v>-2585.7232156793916</v>
      </c>
      <c r="S670" t="s">
        <v>10786</v>
      </c>
      <c r="T670" t="s">
        <v>10787</v>
      </c>
      <c r="U670" t="s">
        <v>10788</v>
      </c>
      <c r="V670">
        <f>-1064.29548820607 -1383.75541451544 -186.255109905071</f>
        <v>-2634.3060126265814</v>
      </c>
      <c r="W670" t="s">
        <v>10789</v>
      </c>
      <c r="X670" t="s">
        <v>10790</v>
      </c>
      <c r="Y670" t="s">
        <v>10791</v>
      </c>
    </row>
    <row r="671" spans="1:25" x14ac:dyDescent="0.3">
      <c r="A671">
        <v>33500</v>
      </c>
      <c r="B671" t="s">
        <v>10792</v>
      </c>
      <c r="C671">
        <f>-1122.76940247988 -1304.84673616211 -182.734926223578</f>
        <v>-2610.3510648655679</v>
      </c>
      <c r="D671">
        <f>-1131.6832940065 -1305.47148810353 -303.515509920642</f>
        <v>-2740.6702920306725</v>
      </c>
      <c r="E671">
        <f>-1110.91495943329 -1320.91075391475 -421.92526635933</f>
        <v>-2853.7509797073703</v>
      </c>
      <c r="F671">
        <f>-1080.61195609245 -1340.78931929343 -525.276295668912</f>
        <v>-2946.6775710547922</v>
      </c>
      <c r="G671">
        <f>-1039.42251027739 -1366.56453964888 -623.428789409801</f>
        <v>-3029.4158393360713</v>
      </c>
      <c r="H671">
        <f>-971.445429929299 -1408.40751549994 -753.1525989015</f>
        <v>-3133.0055443307392</v>
      </c>
      <c r="I671">
        <f>-903.793216774227 -1430.09569052823 -826.199145364953</f>
        <v>-3160.08805266741</v>
      </c>
      <c r="J671">
        <f>-1014.74188112375 -1365.12223570452 -710.670604782295</f>
        <v>-3090.5347216105652</v>
      </c>
      <c r="K671">
        <f>-1060.76081676417 -1230.86775293314 -749.155786158932</f>
        <v>-3040.7843558562417</v>
      </c>
      <c r="L671">
        <f>-1126.78517345543 -1110.15525238728 -464.102440492834</f>
        <v>-2701.0428663355437</v>
      </c>
      <c r="M671">
        <f>-1109.13128374221 -1002.93381181573 -227.810313218775</f>
        <v>-2339.8754087767147</v>
      </c>
      <c r="N671">
        <f>-988.304493503602 -1414.66436444398 -680.837035054356</f>
        <v>-3083.8058930019379</v>
      </c>
      <c r="O671">
        <f>-943.909418241648 -1526.35351471599 -596.10203590412</f>
        <v>-3066.3649688617579</v>
      </c>
      <c r="P671">
        <f>-1060.17503189157 -1527.50356682068 -301.709162667258</f>
        <v>-2889.387761379508</v>
      </c>
      <c r="Q671">
        <f>-1089.41895421915 -1398.62490968262 -77.7066177464362</f>
        <v>-2565.7504816482065</v>
      </c>
      <c r="R671">
        <f>-1181.18585616818 -1226.07855451874 -178.461600942418</f>
        <v>-2585.7260116293382</v>
      </c>
      <c r="S671" t="s">
        <v>10793</v>
      </c>
      <c r="T671" t="s">
        <v>10794</v>
      </c>
      <c r="U671" t="s">
        <v>10795</v>
      </c>
      <c r="V671">
        <f>-1064.34523811705 -1383.57567063348 -186.282562239761</f>
        <v>-2634.203470990291</v>
      </c>
      <c r="W671" t="s">
        <v>10796</v>
      </c>
      <c r="X671" t="s">
        <v>10797</v>
      </c>
      <c r="Y671" t="s">
        <v>10798</v>
      </c>
    </row>
    <row r="672" spans="1:25" x14ac:dyDescent="0.3">
      <c r="A672">
        <v>33550</v>
      </c>
      <c r="B672" t="s">
        <v>10799</v>
      </c>
      <c r="C672">
        <f>-1122.96568847642 -1304.47239703201 -182.786628227039</f>
        <v>-2610.2247137354689</v>
      </c>
      <c r="D672">
        <f>-1131.93064615033 -1305.13392236034 -303.563246924718</f>
        <v>-2740.6278154353881</v>
      </c>
      <c r="E672">
        <f>-1111.14868091801 -1320.65300131134 -421.960168389854</f>
        <v>-2853.7618506192043</v>
      </c>
      <c r="F672">
        <f>-1080.8122691327 -1340.62406350739 -525.283593710464</f>
        <v>-2946.7199263505536</v>
      </c>
      <c r="G672">
        <f>-1039.57319779301 -1366.51291918413 -623.385319669647</f>
        <v>-3029.4714366467865</v>
      </c>
      <c r="H672">
        <f>-971.515550829114 -1408.53600803857 -753.008702845307</f>
        <v>-3133.0602617129907</v>
      </c>
      <c r="I672">
        <f>-903.786034931991 -1430.43576420228 -825.920218738508</f>
        <v>-3160.1420178727794</v>
      </c>
      <c r="J672">
        <f>-1014.81308741265 -1365.17382454542 -710.606255405881</f>
        <v>-3090.5931673639507</v>
      </c>
      <c r="K672">
        <f>-1060.69997496941 -1230.92339846301 -749.259918952356</f>
        <v>-3040.8832923847758</v>
      </c>
      <c r="L672">
        <f>-1127.04560778959 -1109.77668781608 -464.465459909997</f>
        <v>-2701.2877555156665</v>
      </c>
      <c r="M672">
        <f>-1110.0276227513 -1002.39148124629 -228.201050555731</f>
        <v>-2340.6201545533208</v>
      </c>
      <c r="N672">
        <f>-988.444789438803 -1414.71036295157 -680.702475262486</f>
        <v>-3083.8576276528593</v>
      </c>
      <c r="O672">
        <f>-944.198144027454 -1526.38292945561 -595.869103684053</f>
        <v>-3066.4501771671166</v>
      </c>
      <c r="P672">
        <f>-1060.4747144029 -1527.3821938184 -301.479895196883</f>
        <v>-2889.3368034181826</v>
      </c>
      <c r="Q672">
        <f>-1089.49577803987 -1398.37518874303 -77.5222982199787</f>
        <v>-2565.3932650028787</v>
      </c>
      <c r="R672">
        <f>-1181.39551454314 -1225.71801163386 -178.538645653075</f>
        <v>-2585.6521718300751</v>
      </c>
      <c r="S672" t="s">
        <v>10800</v>
      </c>
      <c r="T672" t="s">
        <v>10801</v>
      </c>
      <c r="U672" t="s">
        <v>10802</v>
      </c>
      <c r="V672">
        <f>-1064.50420808307 -1383.18943451335 -186.330604799734</f>
        <v>-2634.0242473961539</v>
      </c>
      <c r="W672" t="s">
        <v>10803</v>
      </c>
      <c r="X672" t="s">
        <v>10804</v>
      </c>
      <c r="Y672" t="s">
        <v>10805</v>
      </c>
    </row>
    <row r="673" spans="1:25" x14ac:dyDescent="0.3">
      <c r="A673">
        <v>33600</v>
      </c>
      <c r="B673" t="s">
        <v>10806</v>
      </c>
      <c r="C673">
        <f>-1123.06071516028 -1304.26875235046 -182.821084816228</f>
        <v>-2610.150552326968</v>
      </c>
      <c r="D673">
        <f>-1132.04191710539 -1304.95799000391 -303.596398289258</f>
        <v>-2740.5963053985579</v>
      </c>
      <c r="E673">
        <f>-1111.24833483563 -1320.51227560175 -421.986634971464</f>
        <v>-2853.7472454088438</v>
      </c>
      <c r="F673">
        <f>-1080.89086770565 -1340.51673864984 -525.297395970156</f>
        <v>-2946.7050023256461</v>
      </c>
      <c r="G673">
        <f>-1039.62115765642 -1366.43959058102 -623.377247808457</f>
        <v>-3029.4379960458969</v>
      </c>
      <c r="H673">
        <f>-971.512179910579 -1408.5093310406 -752.958522334637</f>
        <v>-3132.9800332858163</v>
      </c>
      <c r="I673">
        <f>-903.74051341312 -1430.46516091157 -825.814061039446</f>
        <v>-3160.0197353641361</v>
      </c>
      <c r="J673">
        <f>-1014.8340861405 -1365.13727494537 -710.591141269776</f>
        <v>-3090.5625023556458</v>
      </c>
      <c r="K673">
        <f>-1060.71753400219 -1230.9100147097 -749.318401260623</f>
        <v>-3040.9459499725131</v>
      </c>
      <c r="L673">
        <f>-1127.15415488502 -1109.54121200781 -464.639690923435</f>
        <v>-2701.3350578162649</v>
      </c>
      <c r="M673">
        <f>-1110.3115782668 -1001.98424755287 -228.440911533987</f>
        <v>-2340.7367373536572</v>
      </c>
      <c r="N673">
        <f>-988.462493100806 -1414.65226858543 -680.65452458186</f>
        <v>-3083.769286268096</v>
      </c>
      <c r="O673">
        <f>-944.231051763583 -1526.28374736367 -595.755280408107</f>
        <v>-3066.2700795353599</v>
      </c>
      <c r="P673">
        <f>-1060.53834496529 -1527.23695440084 -301.378218684891</f>
        <v>-2889.1535180510209</v>
      </c>
      <c r="Q673">
        <f>-1089.60468838776 -1398.19740312727 -77.4451866350329</f>
        <v>-2565.2472781500628</v>
      </c>
      <c r="R673">
        <f>-1181.49243657293 -1225.56797455531 -178.572765874205</f>
        <v>-2585.6331770024449</v>
      </c>
      <c r="S673" t="s">
        <v>10807</v>
      </c>
      <c r="T673" t="s">
        <v>10808</v>
      </c>
      <c r="U673" t="s">
        <v>10809</v>
      </c>
      <c r="V673">
        <f>-1064.57321004616 -1382.95916763059 -186.352875283428</f>
        <v>-2633.8852529601781</v>
      </c>
      <c r="W673" t="s">
        <v>10810</v>
      </c>
      <c r="X673" t="s">
        <v>10811</v>
      </c>
      <c r="Y673" t="s">
        <v>10812</v>
      </c>
    </row>
    <row r="674" spans="1:25" x14ac:dyDescent="0.3">
      <c r="A674">
        <v>33650</v>
      </c>
      <c r="B674" t="s">
        <v>10813</v>
      </c>
      <c r="C674">
        <f>-1123.16969204086 -1303.99508870407 -182.872035913206</f>
        <v>-2610.0368166581356</v>
      </c>
      <c r="D674">
        <f>-1132.20745184774 -1304.75618063017 -303.642702634419</f>
        <v>-2740.6063351123294</v>
      </c>
      <c r="E674">
        <f>-1111.41415036745 -1320.38454304519 -422.023301532482</f>
        <v>-2853.8219949451222</v>
      </c>
      <c r="F674">
        <f>-1081.0343541714 -1340.45319134076 -525.314948686779</f>
        <v>-2946.8024941989388</v>
      </c>
      <c r="G674">
        <f>-1039.72094918192 -1366.43503988189 -623.360920735017</f>
        <v>-3029.5169097988269</v>
      </c>
      <c r="H674">
        <f>-971.530685922701 -1408.57895737175 -752.875169848028</f>
        <v>-3132.9848131424787</v>
      </c>
      <c r="I674">
        <f>-903.659688871629 -1430.56635188598 -825.628699592764</f>
        <v>-3159.854740350373</v>
      </c>
      <c r="J674">
        <f>-1014.90254975851 -1365.19929945499 -710.56670839152</f>
        <v>-3090.6685576050199</v>
      </c>
      <c r="K674">
        <f>-1060.87013492017 -1231.03720610167 -749.435077490725</f>
        <v>-3041.342418512565</v>
      </c>
      <c r="L674">
        <f>-1127.29442107787 -1109.40514721637 -464.86585699698</f>
        <v>-2701.56542529122</v>
      </c>
      <c r="M674">
        <f>-1110.39981849158 -1001.52353081853 -228.818795500446</f>
        <v>-2340.7421448105561</v>
      </c>
      <c r="N674">
        <f>-988.50297418862 -1414.66385060862 -680.571454677753</f>
        <v>-3083.7382794749929</v>
      </c>
      <c r="O674">
        <f>-944.248131824244 -1526.196751446 -595.561195315234</f>
        <v>-3066.0060785854776</v>
      </c>
      <c r="P674">
        <f>-1060.63036138615 -1527.00935627582 -301.213171387599</f>
        <v>-2888.8528890495691</v>
      </c>
      <c r="Q674">
        <f>-1089.74170493447 -1397.89151063542 -77.3312445315478</f>
        <v>-2564.9644601014379</v>
      </c>
      <c r="R674">
        <f>-1181.62533866869 -1225.29775741559 -178.643934168542</f>
        <v>-2585.5670302528215</v>
      </c>
      <c r="S674" t="s">
        <v>10814</v>
      </c>
      <c r="T674" t="s">
        <v>10815</v>
      </c>
      <c r="U674" t="s">
        <v>10816</v>
      </c>
      <c r="V674">
        <f>-1064.67052009235 -1382.68699097353 -186.375973900108</f>
        <v>-2633.7334849659883</v>
      </c>
      <c r="W674" t="s">
        <v>10817</v>
      </c>
      <c r="X674" t="s">
        <v>10818</v>
      </c>
      <c r="Y674" t="s">
        <v>10819</v>
      </c>
    </row>
    <row r="675" spans="1:25" x14ac:dyDescent="0.3">
      <c r="A675">
        <v>33700</v>
      </c>
      <c r="B675" t="s">
        <v>10820</v>
      </c>
      <c r="C675">
        <f>-1123.19840151617 -1303.87134080706 -182.884805634084</f>
        <v>-2609.9545479573139</v>
      </c>
      <c r="D675">
        <f>-1132.27561606585 -1304.67418578145 -303.652219156699</f>
        <v>-2740.6020210039992</v>
      </c>
      <c r="E675">
        <f>-1111.47929414272 -1320.33906229743 -422.027389322741</f>
        <v>-2853.8457457628906</v>
      </c>
      <c r="F675">
        <f>-1081.08068295667 -1340.43833095767 -525.307583560994</f>
        <v>-2946.8265974753335</v>
      </c>
      <c r="G675">
        <f>-1039.73380467912 -1366.44793538943 -623.331932876592</f>
        <v>-3029.5136729451424</v>
      </c>
      <c r="H675">
        <f>-971.483644651879 -1408.62713054163 -752.803306327187</f>
        <v>-3132.9140815206961</v>
      </c>
      <c r="I675">
        <f>-903.566337326442 -1430.61132461691 -825.514547180228</f>
        <v>-3159.6922091235801</v>
      </c>
      <c r="J675">
        <f>-1014.88140339422 -1365.24047867691 -710.528688044149</f>
        <v>-3090.6505701152792</v>
      </c>
      <c r="K675">
        <f>-1060.8836366746 -1231.1024782655 -749.462213565468</f>
        <v>-3041.448328505568</v>
      </c>
      <c r="L675">
        <f>-1127.40642988825 -1109.3701942175 -464.958830802294</f>
        <v>-2701.7354549080437</v>
      </c>
      <c r="M675">
        <f>-1110.30345832241 -1001.38548061211 -228.973982781677</f>
        <v>-2340.6629217161972</v>
      </c>
      <c r="N675">
        <f>-988.483061765976 -1414.68782450487 -680.50387684941</f>
        <v>-3083.6747631202561</v>
      </c>
      <c r="O675">
        <f>-944.229782762414 -1526.18921984423 -595.457555449047</f>
        <v>-3065.876558055691</v>
      </c>
      <c r="P675">
        <f>-1060.6604945314 -1526.93503631456 -301.128650326069</f>
        <v>-2888.7241811720287</v>
      </c>
      <c r="Q675">
        <f>-1089.72210619403 -1397.74818617092 -77.2800190708249</f>
        <v>-2564.7503114357751</v>
      </c>
      <c r="R675">
        <f>-1181.67695776346 -1225.1869182303 -178.659070403449</f>
        <v>-2585.5229463972091</v>
      </c>
      <c r="S675" t="s">
        <v>10821</v>
      </c>
      <c r="T675" t="s">
        <v>10822</v>
      </c>
      <c r="U675" t="s">
        <v>10823</v>
      </c>
      <c r="V675">
        <f>-1064.68247941294 -1382.54604638123 -186.384006207692</f>
        <v>-2633.6125320018623</v>
      </c>
      <c r="W675" t="s">
        <v>10824</v>
      </c>
      <c r="X675" t="s">
        <v>10825</v>
      </c>
      <c r="Y675" t="s">
        <v>10826</v>
      </c>
    </row>
    <row r="676" spans="1:25" x14ac:dyDescent="0.3">
      <c r="A676">
        <v>33750</v>
      </c>
      <c r="B676" t="s">
        <v>10827</v>
      </c>
      <c r="C676">
        <f>-1123.17165706879 -1303.55584610249 -182.878352699817</f>
        <v>-2609.6058558710965</v>
      </c>
      <c r="D676">
        <f>-1132.27572275245 -1304.36063332439 -303.643742022874</f>
        <v>-2740.280098099714</v>
      </c>
      <c r="E676">
        <f>-1111.46776553005 -1320.03164376237 -422.016114483567</f>
        <v>-2853.5155237759868</v>
      </c>
      <c r="F676">
        <f>-1081.04412988271 -1340.13777786602 -525.287607588658</f>
        <v>-2946.4695153373877</v>
      </c>
      <c r="G676">
        <f>-1039.65911926923 -1366.15508538589 -623.293918851245</f>
        <v>-3029.1081235063652</v>
      </c>
      <c r="H676">
        <f>-971.343975196413 -1408.34520254353 -752.727343136216</f>
        <v>-3132.4165208761688</v>
      </c>
      <c r="I676">
        <f>-903.342507270371 -1430.28486413316 -825.373335188282</f>
        <v>-3159.000706591813</v>
      </c>
      <c r="J676">
        <f>-1014.78341641693 -1364.96958243049 -710.484110148778</f>
        <v>-3090.237108996198</v>
      </c>
      <c r="K676">
        <f>-1060.82758493303 -1230.869971579 -749.47852301554</f>
        <v>-3041.17607952757</v>
      </c>
      <c r="L676">
        <f>-1127.47065775523 -1109.05842627519 -465.03713961645</f>
        <v>-2701.5662236468697</v>
      </c>
      <c r="M676">
        <f>-1110.00284379239 -1001.0516681466 -229.089159212413</f>
        <v>-2340.1436711514029</v>
      </c>
      <c r="N676">
        <f>-988.359157564299 -1414.3851724788 -680.429823599179</f>
        <v>-3083.1741536422783</v>
      </c>
      <c r="O676">
        <f>-944.080278441063 -1525.8364590058 -595.321230526308</f>
        <v>-3065.2379679731712</v>
      </c>
      <c r="P676">
        <f>-1060.56397665453 -1526.6494995972 -301.013391249535</f>
        <v>-2888.2268675012647</v>
      </c>
      <c r="Q676">
        <f>-1089.71937356625 -1397.49274479466 -77.1594653094534</f>
        <v>-2564.3715836703632</v>
      </c>
      <c r="R676">
        <f>-1181.66983806748 -1224.9420502265 -178.641166172434</f>
        <v>-2585.2530544664141</v>
      </c>
      <c r="S676" t="s">
        <v>10828</v>
      </c>
      <c r="T676" t="s">
        <v>10829</v>
      </c>
      <c r="U676" t="s">
        <v>10830</v>
      </c>
      <c r="V676">
        <f>-1064.63056572564 -1382.13956976856 -186.396048644114</f>
        <v>-2633.1661841383138</v>
      </c>
      <c r="W676" t="s">
        <v>10831</v>
      </c>
      <c r="X676" t="s">
        <v>10832</v>
      </c>
      <c r="Y676" t="s">
        <v>10833</v>
      </c>
    </row>
    <row r="677" spans="1:25" x14ac:dyDescent="0.3">
      <c r="A677">
        <v>33800</v>
      </c>
      <c r="B677" t="s">
        <v>10834</v>
      </c>
      <c r="C677">
        <f>-1123.14164120683 -1303.42654337167 -182.871378517224</f>
        <v>-2609.4395630957242</v>
      </c>
      <c r="D677">
        <f>-1132.21146640539 -1304.1913798032 -303.639489389806</f>
        <v>-2740.0423355983958</v>
      </c>
      <c r="E677">
        <f>-1111.3894821039 -1319.83419098186 -422.013162578678</f>
        <v>-2853.2368356644383</v>
      </c>
      <c r="F677">
        <f>-1080.96116556706 -1339.9194062037 -525.287284820235</f>
        <v>-2946.1678565909951</v>
      </c>
      <c r="G677">
        <f>-1039.57899723351 -1365.92038252878 -623.299027055678</f>
        <v>-3028.798406817968</v>
      </c>
      <c r="H677">
        <f>-971.274998922821 -1408.0925507431 -752.744351625812</f>
        <v>-3132.1119012917334</v>
      </c>
      <c r="I677">
        <f>-903.238767518307 -1429.9966373717 -825.368479356074</f>
        <v>-3158.6038842460812</v>
      </c>
      <c r="J677">
        <f>-1014.71741526811 -1364.72746815795 -710.493304385149</f>
        <v>-3089.938187811209</v>
      </c>
      <c r="K677">
        <f>-1060.79262919041 -1230.63383867641 -749.47976646631</f>
        <v>-3040.9062343331302</v>
      </c>
      <c r="L677">
        <f>-1127.42781554531 -1108.89723603554 -465.004573298274</f>
        <v>-2701.3296248791239</v>
      </c>
      <c r="M677">
        <f>-1109.89587411466 -1000.93833347622 -229.039338233042</f>
        <v>-2339.8735458239221</v>
      </c>
      <c r="N677">
        <f>-988.277409251644 -1414.13783897105 -680.44433837756</f>
        <v>-3082.8595866002543</v>
      </c>
      <c r="O677">
        <f>-943.967025382381 -1525.57573450537 -595.341938127452</f>
        <v>-3064.8846980152034</v>
      </c>
      <c r="P677">
        <f>-1060.45986375853 -1526.43569888358 -301.037765566289</f>
        <v>-2887.9333282083994</v>
      </c>
      <c r="Q677">
        <f>-1089.67700034123 -1397.29547422122 -77.1824394729341</f>
        <v>-2564.1549140353841</v>
      </c>
      <c r="R677">
        <f>-1181.65512535266 -1224.8331983613 -178.636212538194</f>
        <v>-2585.124536252154</v>
      </c>
      <c r="S677" t="s">
        <v>10835</v>
      </c>
      <c r="T677" t="s">
        <v>10836</v>
      </c>
      <c r="U677" t="s">
        <v>10837</v>
      </c>
      <c r="V677">
        <f>-1064.57554674989 -1381.9886807168 -186.403731757726</f>
        <v>-2632.9679592244156</v>
      </c>
      <c r="W677" t="s">
        <v>10838</v>
      </c>
      <c r="X677" t="s">
        <v>10839</v>
      </c>
      <c r="Y677" t="s">
        <v>10840</v>
      </c>
    </row>
    <row r="678" spans="1:25" x14ac:dyDescent="0.3">
      <c r="A678">
        <v>33850</v>
      </c>
      <c r="B678" t="s">
        <v>10841</v>
      </c>
      <c r="C678">
        <f>-1122.99238098514 -1303.10380395698 -182.907015244025</f>
        <v>-2609.003200186145</v>
      </c>
      <c r="D678">
        <f>-1131.95966605562 -1303.78507515405 -303.683253848231</f>
        <v>-2739.4279950579007</v>
      </c>
      <c r="E678">
        <f>-1111.09623802527 -1319.36610071222 -422.057684246102</f>
        <v>-2852.5200229835918</v>
      </c>
      <c r="F678">
        <f>-1080.65427754688 -1339.40336652014 -525.337241407665</f>
        <v>-2945.394885474685</v>
      </c>
      <c r="G678">
        <f>-1039.28052532354 -1365.36394360315 -623.363237906607</f>
        <v>-3028.0077068332971</v>
      </c>
      <c r="H678">
        <f>-971.008931479279 -1407.48755669728 -752.841482253712</f>
        <v>-3131.3379704302711</v>
      </c>
      <c r="I678">
        <f>-902.907251567733 -1429.30934603724 -825.429097468246</f>
        <v>-3157.645695073219</v>
      </c>
      <c r="J678">
        <f>-1014.45101635354 -1364.14569438626 -710.566298773688</f>
        <v>-3089.1630095134879</v>
      </c>
      <c r="K678">
        <f>-1060.59322439508 -1230.05993046742 -749.493169297347</f>
        <v>-3040.1463241598467</v>
      </c>
      <c r="L678">
        <f>-1127.1991160212 -1108.53308897923 -464.92138789003</f>
        <v>-2700.65359289046</v>
      </c>
      <c r="M678">
        <f>-1109.75960930057 -1000.70687651686 -228.888837451888</f>
        <v>-2339.355323269318</v>
      </c>
      <c r="N678">
        <f>-987.982985839292 -1413.55263919733 -680.536478459288</f>
        <v>-3082.0721034959101</v>
      </c>
      <c r="O678">
        <f>-943.60679219991 -1524.99124402217 -595.462995942934</f>
        <v>-3064.0610321650138</v>
      </c>
      <c r="P678">
        <f>-1060.11111090632 -1525.90199153731 -301.163658103625</f>
        <v>-2887.1767605472551</v>
      </c>
      <c r="Q678">
        <f>-1089.43839697755 -1396.77585513394 -77.3145856777929</f>
        <v>-2563.528837789283</v>
      </c>
      <c r="R678">
        <f>-1181.51170139865 -1224.57290879677 -178.656192140639</f>
        <v>-2584.7408023360595</v>
      </c>
      <c r="S678" t="s">
        <v>10842</v>
      </c>
      <c r="T678" t="s">
        <v>10843</v>
      </c>
      <c r="U678" t="s">
        <v>10844</v>
      </c>
      <c r="V678">
        <f>-1064.42200660023 -1381.63617931515 -186.419107251065</f>
        <v>-2632.4772931664447</v>
      </c>
      <c r="W678" t="s">
        <v>10845</v>
      </c>
      <c r="X678" t="s">
        <v>10846</v>
      </c>
      <c r="Y678" t="s">
        <v>10847</v>
      </c>
    </row>
    <row r="679" spans="1:25" x14ac:dyDescent="0.3">
      <c r="A679">
        <v>33900</v>
      </c>
      <c r="B679" t="s">
        <v>10848</v>
      </c>
      <c r="C679">
        <f>-1122.90334887144 -1302.97640051372 -182.91910114139</f>
        <v>-2608.7988505265498</v>
      </c>
      <c r="D679">
        <f>-1131.80411164685 -1303.60586325871 -303.700639494244</f>
        <v>-2739.1106143998045</v>
      </c>
      <c r="E679">
        <f>-1110.90745009576 -1319.14607334709 -422.07453956383</f>
        <v>-2852.1280630066799</v>
      </c>
      <c r="F679">
        <f>-1080.44886660867 -1339.15091834139 -525.355469038079</f>
        <v>-2944.9552539881388</v>
      </c>
      <c r="G679">
        <f>-1039.07115645398 -1365.08365399041 -623.387170754119</f>
        <v>-3027.5419811985089</v>
      </c>
      <c r="H679">
        <f>-970.806226520218 -1407.17355125205 -752.879811796472</f>
        <v>-3130.8595895687399</v>
      </c>
      <c r="I679">
        <f>-902.674082472991 -1428.94237913059 -825.454633945777</f>
        <v>-3157.0710955493582</v>
      </c>
      <c r="J679">
        <f>-1014.24879944769 -1363.84460243741 -710.591955718678</f>
        <v>-3088.6853576037779</v>
      </c>
      <c r="K679">
        <f>-1060.42024293892 -1229.76048317479 -749.494427932233</f>
        <v>-3039.6751540459431</v>
      </c>
      <c r="L679">
        <f>-1127.07195661318 -1108.35964997343 -464.879482183732</f>
        <v>-2700.3110887703415</v>
      </c>
      <c r="M679">
        <f>-1109.71313123005 -1000.6323557816 -228.795757610802</f>
        <v>-2339.1412446224522</v>
      </c>
      <c r="N679">
        <f>-987.773866500695 -1413.25553424986 -680.574741739097</f>
        <v>-3081.6041424896521</v>
      </c>
      <c r="O679">
        <f>-943.385010874153 -1524.7011649364 -595.520712589125</f>
        <v>-3063.6068883996777</v>
      </c>
      <c r="P679">
        <f>-1059.93181060624 -1525.65934080656 -301.23840369334</f>
        <v>-2886.8295551061401</v>
      </c>
      <c r="Q679">
        <f>-1089.33242688487 -1396.54579887959 -77.391654168648</f>
        <v>-2563.2698799331079</v>
      </c>
      <c r="R679">
        <f>-1181.43077320347 -1224.4823074134 -178.670517520005</f>
        <v>-2584.5835981368746</v>
      </c>
      <c r="S679" t="s">
        <v>10849</v>
      </c>
      <c r="T679" t="s">
        <v>10850</v>
      </c>
      <c r="U679" t="s">
        <v>10851</v>
      </c>
      <c r="V679">
        <f>-1064.32477919361 -1381.4872948211 -186.42876611139</f>
        <v>-2632.2408401261</v>
      </c>
      <c r="W679" t="s">
        <v>10852</v>
      </c>
      <c r="X679" t="s">
        <v>10853</v>
      </c>
      <c r="Y679" t="s">
        <v>10854</v>
      </c>
    </row>
    <row r="680" spans="1:25" x14ac:dyDescent="0.3">
      <c r="A680">
        <v>33950</v>
      </c>
      <c r="B680" t="s">
        <v>10855</v>
      </c>
      <c r="C680">
        <f>-1122.51497204265 -1302.65878666811 -182.922526104947</f>
        <v>-2608.0962848157069</v>
      </c>
      <c r="D680">
        <f>-1131.34250745068 -1303.24160524751 -303.709777879566</f>
        <v>-2738.293890577756</v>
      </c>
      <c r="E680">
        <f>-1110.4102975134 -1318.73947759497 -422.082899126521</f>
        <v>-2851.232674234891</v>
      </c>
      <c r="F680">
        <f>-1079.93502950677 -1338.70876999077 -525.365768241209</f>
        <v>-2944.009567738749</v>
      </c>
      <c r="G680">
        <f>-1038.55544692761 -1364.60943639506 -623.405282591455</f>
        <v>-3026.570165914125</v>
      </c>
      <c r="H680">
        <f>-970.302270214263 -1406.65914804295 -752.917187683943</f>
        <v>-3129.8786059411559</v>
      </c>
      <c r="I680">
        <f>-902.077703563806 -1428.30620534173 -825.441519938722</f>
        <v>-3155.8254288442577</v>
      </c>
      <c r="J680">
        <f>-1013.74252267809 -1363.34439169682 -710.612327400666</f>
        <v>-3087.699241775576</v>
      </c>
      <c r="K680">
        <f>-1059.94284314717 -1229.2560314236 -749.46538819338</f>
        <v>-3038.66426276415</v>
      </c>
      <c r="L680">
        <f>-1126.76179763651 -1108.07577854439 -464.795717291601</f>
        <v>-2699.6332934725015</v>
      </c>
      <c r="M680">
        <f>-1109.61348767024 -1000.53884061559 -228.6098200768</f>
        <v>-2338.7621483626299</v>
      </c>
      <c r="N680">
        <f>-987.261876803345 -1412.76253292849 -680.611998047046</f>
        <v>-3080.6364077788812</v>
      </c>
      <c r="O680">
        <f>-942.873231435362 -1524.23781294376 -595.594869541563</f>
        <v>-3062.7059139206849</v>
      </c>
      <c r="P680">
        <f>-1059.56048208022 -1525.29043104074 -301.368515058943</f>
        <v>-2886.2194281799034</v>
      </c>
      <c r="Q680">
        <f>-1089.15241200172 -1396.2527379509 -77.5032100690332</f>
        <v>-2562.9083600216532</v>
      </c>
      <c r="R680">
        <f>-1180.99671077376 -1224.17276415064 -178.678335269339</f>
        <v>-2583.847810193739</v>
      </c>
      <c r="S680" t="s">
        <v>10856</v>
      </c>
      <c r="T680" t="s">
        <v>10857</v>
      </c>
      <c r="U680" t="s">
        <v>10858</v>
      </c>
      <c r="V680">
        <f>-1063.97105692711 -1381.14281133295 -186.428520486348</f>
        <v>-2631.5423887464085</v>
      </c>
      <c r="W680" t="s">
        <v>10859</v>
      </c>
      <c r="X680" t="s">
        <v>10860</v>
      </c>
      <c r="Y680" t="s">
        <v>10861</v>
      </c>
    </row>
    <row r="681" spans="1:25" x14ac:dyDescent="0.3">
      <c r="A681">
        <v>34000</v>
      </c>
      <c r="B681" t="s">
        <v>10862</v>
      </c>
      <c r="C681">
        <f>-1122.28828695975 -1302.53272060893 -182.903895663009</f>
        <v>-2607.724903231689</v>
      </c>
      <c r="D681">
        <f>-1131.06323946084 -1303.07348071816 -303.695050094576</f>
        <v>-2737.8317702735758</v>
      </c>
      <c r="E681">
        <f>-1110.10567403405 -1318.54144449417 -422.067710379662</f>
        <v>-2850.7148289078818</v>
      </c>
      <c r="F681">
        <f>-1079.61828300639 -1338.48816919808 -525.351309667562</f>
        <v>-2943.4577618720318</v>
      </c>
      <c r="G681">
        <f>-1038.23668670724 -1364.37062898984 -623.394759918194</f>
        <v>-3026.0020756152744</v>
      </c>
      <c r="H681">
        <f>-969.990418795902 -1406.39937891199 -752.917076358169</f>
        <v>-3129.306874066061</v>
      </c>
      <c r="I681">
        <f>-901.718177198212 -1427.9860852518 -825.414613409828</f>
        <v>-3155.11887585984</v>
      </c>
      <c r="J681">
        <f>-1013.43087568668 -1363.09324126756 -710.603690211382</f>
        <v>-3087.127807165622</v>
      </c>
      <c r="K681">
        <f>-1059.65948763437 -1229.01128848056 -749.435690479947</f>
        <v>-3038.106466594877</v>
      </c>
      <c r="L681">
        <f>-1126.53172104961 -1107.91535718834 -464.742672600277</f>
        <v>-2699.1897508382272</v>
      </c>
      <c r="M681">
        <f>-1109.49798084601 -1000.47832417422 -228.502926845066</f>
        <v>-2338.4792318652962</v>
      </c>
      <c r="N681">
        <f>-986.943681225891 -1412.51267154711 -680.611255626099</f>
        <v>-3080.0676083991002</v>
      </c>
      <c r="O681">
        <f>-942.521344799498 -1523.98594999473 -595.609526246803</f>
        <v>-3062.116821041031</v>
      </c>
      <c r="P681">
        <f>-1059.27499072882 -1525.11462256374 -301.409662561894</f>
        <v>-2885.7992758544542</v>
      </c>
      <c r="Q681">
        <f>-1088.93199115945 -1396.09565196894 -77.5422987861186</f>
        <v>-2562.5699419145085</v>
      </c>
      <c r="R681">
        <f>-1180.73936835998 -1224.03673645628 -178.661385799477</f>
        <v>-2583.4374906157373</v>
      </c>
      <c r="S681" t="s">
        <v>10863</v>
      </c>
      <c r="T681" t="s">
        <v>10864</v>
      </c>
      <c r="U681" t="s">
        <v>10865</v>
      </c>
      <c r="V681">
        <f>-1063.76706857912 -1381.02039674685 -186.417316142543</f>
        <v>-2631.2047814685129</v>
      </c>
      <c r="W681" t="s">
        <v>10866</v>
      </c>
      <c r="X681" t="s">
        <v>10867</v>
      </c>
      <c r="Y681" t="s">
        <v>10868</v>
      </c>
    </row>
    <row r="682" spans="1:25" x14ac:dyDescent="0.3">
      <c r="A682">
        <v>34050</v>
      </c>
      <c r="B682" t="s">
        <v>10869</v>
      </c>
      <c r="C682">
        <f>-1121.9034696945 -1302.22402563503 -182.861404944982</f>
        <v>-2606.9889002745122</v>
      </c>
      <c r="D682">
        <f>-1130.65085986443 -1302.74495344633 -303.654678619211</f>
        <v>-2737.050491929971</v>
      </c>
      <c r="E682">
        <f>-1109.67293680672 -1318.18885076153 -422.026927229534</f>
        <v>-2849.8887147977839</v>
      </c>
      <c r="F682">
        <f>-1079.16929543337 -1338.11086002715 -525.310475891555</f>
        <v>-2942.5906313520754</v>
      </c>
      <c r="G682">
        <f>-1037.77294555558 -1363.96493826108 -623.355134525211</f>
        <v>-3025.0930183418714</v>
      </c>
      <c r="H682">
        <f>-969.506963493039 -1405.94992590042 -752.881163058872</f>
        <v>-3128.3380524523313</v>
      </c>
      <c r="I682">
        <f>-901.145694517886 -1427.43504461042 -825.3251552449</f>
        <v>-3153.9058943732061</v>
      </c>
      <c r="J682">
        <f>-1012.96229833409 -1362.66409922713 -710.562240501148</f>
        <v>-3086.1886380623682</v>
      </c>
      <c r="K682">
        <f>-1059.2329598734 -1228.58616685035 -749.36603781305</f>
        <v>-3037.1851645367997</v>
      </c>
      <c r="L682">
        <f>-1126.27931901641 -1107.69407262766 -464.627259987359</f>
        <v>-2698.6006516314292</v>
      </c>
      <c r="M682">
        <f>-1109.42728757844 -1000.37715276881 -228.319952237728</f>
        <v>-2338.1243925849781</v>
      </c>
      <c r="N682">
        <f>-986.462827359266 -1412.08161243748 -680.577490375952</f>
        <v>-3079.1219301726983</v>
      </c>
      <c r="O682">
        <f>-942.017299434832 -1523.5588297916 -595.593214026449</f>
        <v>-3061.1693432528809</v>
      </c>
      <c r="P682">
        <f>-1058.90286894302 -1524.81537769541 -301.446342921799</f>
        <v>-2885.1645895602292</v>
      </c>
      <c r="Q682">
        <f>-1088.80401265122 -1395.88642309132 -77.5595758237328</f>
        <v>-2562.2500115662729</v>
      </c>
      <c r="R682">
        <f>-1180.3714477229 -1223.7571330605 -178.602932742732</f>
        <v>-2582.7315135261319</v>
      </c>
      <c r="S682" t="s">
        <v>10870</v>
      </c>
      <c r="T682" t="s">
        <v>10871</v>
      </c>
      <c r="U682" t="s">
        <v>10872</v>
      </c>
      <c r="V682">
        <f>-1063.42396396892 -1380.72419245869 -186.385586524583</f>
        <v>-2630.5337429521933</v>
      </c>
      <c r="W682" t="s">
        <v>10873</v>
      </c>
      <c r="X682" t="s">
        <v>10874</v>
      </c>
      <c r="Y682" t="s">
        <v>10875</v>
      </c>
    </row>
    <row r="683" spans="1:25" x14ac:dyDescent="0.3">
      <c r="A683">
        <v>34100</v>
      </c>
      <c r="B683" t="s">
        <v>10876</v>
      </c>
      <c r="C683">
        <f>-1121.74980454187 -1302.04237869107 -182.854286698245</f>
        <v>-2606.6464699311855</v>
      </c>
      <c r="D683">
        <f>-1130.48435685767 -1302.56552866894 -303.648504526139</f>
        <v>-2736.6983900527489</v>
      </c>
      <c r="E683">
        <f>-1109.48896069775 -1318.00719702719 -422.017997031259</f>
        <v>-2849.5141547561984</v>
      </c>
      <c r="F683">
        <f>-1078.96801261568 -1337.92532178789 -525.297113653229</f>
        <v>-2942.1904480567991</v>
      </c>
      <c r="G683">
        <f>-1037.55304048116 -1363.77368917802 -623.335353720598</f>
        <v>-3024.6620833797783</v>
      </c>
      <c r="H683">
        <f>-969.26012167123 -1405.74879716095 -752.850590921592</f>
        <v>-3127.8595097537718</v>
      </c>
      <c r="I683">
        <f>-900.857502861729 -1427.19872133766 -825.265730953957</f>
        <v>-3153.3219551533457</v>
      </c>
      <c r="J683">
        <f>-1012.72677576264 -1362.46799428517 -710.538114525293</f>
        <v>-3085.7328845731035</v>
      </c>
      <c r="K683">
        <f>-1059.00904636855 -1228.39186006188 -749.339263029885</f>
        <v>-3036.740169460315</v>
      </c>
      <c r="L683">
        <f>-1126.14047551881 -1107.55316498302 -464.598163954993</f>
        <v>-2698.2918044568232</v>
      </c>
      <c r="M683">
        <f>-1109.37087019933 -1000.30802158779 -228.252257448549</f>
        <v>-2337.9311492356687</v>
      </c>
      <c r="N683">
        <f>-986.228484103244 -1411.88420135234 -680.550178367597</f>
        <v>-3078.6628638231814</v>
      </c>
      <c r="O683">
        <f>-941.77193527755 -1523.35378071203 -595.564885220918</f>
        <v>-3060.6906012104978</v>
      </c>
      <c r="P683">
        <f>-1058.78090325836 -1524.64700017392 -301.467299831109</f>
        <v>-2884.8952032633888</v>
      </c>
      <c r="Q683">
        <f>-1088.77679329373 -1395.75230291139 -77.5733923259204</f>
        <v>-2562.1024885310403</v>
      </c>
      <c r="R683">
        <f>-1180.23273517604 -1223.60776912188 -178.599146799571</f>
        <v>-2582.4396510974912</v>
      </c>
      <c r="S683" t="s">
        <v>10877</v>
      </c>
      <c r="T683" t="s">
        <v>10878</v>
      </c>
      <c r="U683" t="s">
        <v>10879</v>
      </c>
      <c r="V683">
        <f>-1063.25202051621 -1380.48527472089 -186.37256329801</f>
        <v>-2630.1098585351097</v>
      </c>
      <c r="W683" t="s">
        <v>10880</v>
      </c>
      <c r="X683" t="s">
        <v>10881</v>
      </c>
      <c r="Y683" t="s">
        <v>10882</v>
      </c>
    </row>
    <row r="684" spans="1:25" x14ac:dyDescent="0.3">
      <c r="A684">
        <v>34150</v>
      </c>
      <c r="B684" t="s">
        <v>10883</v>
      </c>
      <c r="C684">
        <f>-1121.48862686394 -1301.66547371244 -182.844206855918</f>
        <v>-2605.9983074322981</v>
      </c>
      <c r="D684">
        <f>-1130.14027021779 -1302.13741874631 -303.644587743144</f>
        <v>-2735.9222767072438</v>
      </c>
      <c r="E684">
        <f>-1109.0725220706 -1317.56341111237 -422.00318462058</f>
        <v>-2848.6391178035501</v>
      </c>
      <c r="F684">
        <f>-1078.49370854234 -1337.48387962405 -525.264717003076</f>
        <v>-2941.2423051694659</v>
      </c>
      <c r="G684">
        <f>-1037.0305120545 -1363.35200668457 -623.277402097913</f>
        <v>-3023.6599208369826</v>
      </c>
      <c r="H684">
        <f>-968.682356832086 -1405.37343049534 -752.748476058042</f>
        <v>-3126.8042633854679</v>
      </c>
      <c r="I684">
        <f>-900.192423184193 -1426.79506019411 -825.089528419606</f>
        <v>-3152.0770117979091</v>
      </c>
      <c r="J684">
        <f>-1012.14861094432 -1362.06432721967 -710.464561817424</f>
        <v>-3084.6774999814143</v>
      </c>
      <c r="K684">
        <f>-1058.39858216864 -1227.98405149959 -749.280746516481</f>
        <v>-3035.6633801847106</v>
      </c>
      <c r="L684">
        <f>-1125.78901474068 -1107.26380067672 -464.550553611384</f>
        <v>-2697.6033690287841</v>
      </c>
      <c r="M684">
        <f>-1109.14298767689 -1000.12827319756 -228.146336921411</f>
        <v>-2337.4175977958612</v>
      </c>
      <c r="N684">
        <f>-985.699968362744 -1411.49616916168 -680.458625565472</f>
        <v>-3077.6547630898958</v>
      </c>
      <c r="O684">
        <f>-941.278565010525 -1522.98506145628 -595.478963747054</f>
        <v>-3059.7425902138589</v>
      </c>
      <c r="P684">
        <f>-1058.48423598102 -1524.36801446292 -301.460040545705</f>
        <v>-2884.3122909896447</v>
      </c>
      <c r="Q684">
        <f>-1088.69426591159 -1395.51063633976 -77.5735618794936</f>
        <v>-2561.778464130844</v>
      </c>
      <c r="R684">
        <f>-1179.95376802638 -1223.22946604159 -178.598825192556</f>
        <v>-2581.7820592605262</v>
      </c>
      <c r="S684" t="s">
        <v>10884</v>
      </c>
      <c r="T684" t="s">
        <v>10885</v>
      </c>
      <c r="U684" t="s">
        <v>10886</v>
      </c>
      <c r="V684">
        <f>-1062.97905955252 -1380.09859032395 -186.356352875737</f>
        <v>-2629.4340027522067</v>
      </c>
      <c r="W684" t="s">
        <v>10887</v>
      </c>
      <c r="X684" t="s">
        <v>10888</v>
      </c>
      <c r="Y684" t="s">
        <v>10889</v>
      </c>
    </row>
    <row r="685" spans="1:25" x14ac:dyDescent="0.3">
      <c r="A685">
        <v>34200</v>
      </c>
      <c r="B685" t="s">
        <v>10890</v>
      </c>
      <c r="C685">
        <f>-1121.32964156267 -1301.39611377264 -182.850045536875</f>
        <v>-2605.575800872185</v>
      </c>
      <c r="D685">
        <f>-1129.9287438377 -1301.86368321411 -303.654140784263</f>
        <v>-2735.446567836073</v>
      </c>
      <c r="E685">
        <f>-1108.79230536566 -1317.26809461238 -422.003324413842</f>
        <v>-2848.0637243918823</v>
      </c>
      <c r="F685">
        <f>-1078.1460894094 -1337.16210058306 -525.25001956399</f>
        <v>-2940.55820955645</v>
      </c>
      <c r="G685">
        <f>-1036.61103946409 -1362.99689339593 -623.241104202776</f>
        <v>-3022.849037062796</v>
      </c>
      <c r="H685">
        <f>-968.159267537015 -1404.96479708832 -752.674708469323</f>
        <v>-3125.7987730946579</v>
      </c>
      <c r="I685">
        <f>-899.598266664451 -1426.34134883737 -824.961797222149</f>
        <v>-3150.9014127239702</v>
      </c>
      <c r="J685">
        <f>-1011.66417048378 -1361.67662755651 -710.409214776175</f>
        <v>-3083.7500128164647</v>
      </c>
      <c r="K685">
        <f>-1057.87668532231 -1227.59206400815 -749.231455853558</f>
        <v>-3034.7002051840182</v>
      </c>
      <c r="L685">
        <f>-1125.40783355415 -1106.90010080449 -464.522535286387</f>
        <v>-2696.8304696450268</v>
      </c>
      <c r="M685">
        <f>-1108.82307490098 -999.814219397246 -228.091506973688</f>
        <v>-2336.7288012719141</v>
      </c>
      <c r="N685">
        <f>-985.229960490463 -1411.11398121162 -680.399585131777</f>
        <v>-3076.7435268338604</v>
      </c>
      <c r="O685">
        <f>-940.830954136146 -1522.61602814372 -595.414421051313</f>
        <v>-3058.8614033311787</v>
      </c>
      <c r="P685">
        <f>-1058.1633531777 -1524.05409685158 -301.446416219031</f>
        <v>-2883.663866248311</v>
      </c>
      <c r="Q685">
        <f>-1088.53651141864 -1395.21969326648 -77.5687048688064</f>
        <v>-2561.3249095539263</v>
      </c>
      <c r="R685">
        <f>-1179.7705125176 -1222.96503171618 -178.623718863437</f>
        <v>-2581.3592630972171</v>
      </c>
      <c r="S685" t="s">
        <v>10891</v>
      </c>
      <c r="T685" t="s">
        <v>10892</v>
      </c>
      <c r="U685" t="s">
        <v>10893</v>
      </c>
      <c r="V685">
        <f>-1062.83149081757 -1379.8275650849 -186.344666834372</f>
        <v>-2629.0037227368421</v>
      </c>
      <c r="W685" t="s">
        <v>10894</v>
      </c>
      <c r="X685" t="s">
        <v>10895</v>
      </c>
      <c r="Y685" t="s">
        <v>10896</v>
      </c>
    </row>
    <row r="686" spans="1:25" x14ac:dyDescent="0.3">
      <c r="A686">
        <v>34250</v>
      </c>
      <c r="B686" t="s">
        <v>10897</v>
      </c>
      <c r="C686">
        <f>-1120.91239365012 -1300.80702109181 -182.878395358776</f>
        <v>-2604.5978101007058</v>
      </c>
      <c r="D686">
        <f>-1129.44497797529 -1301.274787617 -303.68737590126</f>
        <v>-2734.4071414935502</v>
      </c>
      <c r="E686">
        <f>-1108.20380958589 -1316.66281119518 -422.019848319499</f>
        <v>-2846.8864691005692</v>
      </c>
      <c r="F686">
        <f>-1077.45085353528 -1336.53686526745 -525.238626658104</f>
        <v>-2939.2263454608337</v>
      </c>
      <c r="G686">
        <f>-1035.79962975847 -1362.34723293234 -623.186838499363</f>
        <v>-3021.3337011901731</v>
      </c>
      <c r="H686">
        <f>-967.179368063896 -1404.27719436174 -752.543562376378</f>
        <v>-3124.0001248020139</v>
      </c>
      <c r="I686">
        <f>-898.468450060131 -1425.59846485477 -824.704428222904</f>
        <v>-3148.7713431378052</v>
      </c>
      <c r="J686">
        <f>-1010.73169746399 -1360.99597804658 -710.319616053489</f>
        <v>-3082.0472915640589</v>
      </c>
      <c r="K686">
        <f>-1056.89072827365 -1226.88572820219 -749.168911467467</f>
        <v>-3032.9453679433068</v>
      </c>
      <c r="L686">
        <f>-1124.66107761275 -1106.30646937053 -464.468918968605</f>
        <v>-2695.4364659518851</v>
      </c>
      <c r="M686">
        <f>-1108.19715813416 -999.326029492965 -227.981732987181</f>
        <v>-2335.5049206143062</v>
      </c>
      <c r="N686">
        <f>-984.35172207933 -1410.45300045147 -680.294659957055</f>
        <v>-3075.0993824878551</v>
      </c>
      <c r="O686">
        <f>-940.006069902032 -1521.92649121136 -595.263610364405</f>
        <v>-3057.1961714777967</v>
      </c>
      <c r="P686">
        <f>-1057.69235595942 -1523.42108941303 -301.437274267357</f>
        <v>-2882.5507196398066</v>
      </c>
      <c r="Q686">
        <f>-1088.39601734345 -1394.69196146285 -77.5440392245174</f>
        <v>-2560.6320180308176</v>
      </c>
      <c r="R686">
        <f>-1179.30068448948 -1222.39915167088 -178.677592253292</f>
        <v>-2580.3774284136521</v>
      </c>
      <c r="S686" t="s">
        <v>10898</v>
      </c>
      <c r="T686" t="s">
        <v>10899</v>
      </c>
      <c r="U686" t="s">
        <v>10900</v>
      </c>
      <c r="V686">
        <f>-1062.47853987526 -1379.22443479168 -186.324195084846</f>
        <v>-2628.027169751786</v>
      </c>
      <c r="W686" t="s">
        <v>10901</v>
      </c>
      <c r="X686" t="s">
        <v>10902</v>
      </c>
      <c r="Y686" t="s">
        <v>10903</v>
      </c>
    </row>
    <row r="687" spans="1:25" x14ac:dyDescent="0.3">
      <c r="A687">
        <v>34300</v>
      </c>
      <c r="B687" t="s">
        <v>10904</v>
      </c>
      <c r="C687">
        <f>-1120.71709855727 -1300.53162215648 -182.890048740752</f>
        <v>-2604.1387694545019</v>
      </c>
      <c r="D687">
        <f>-1129.18860876206 -1300.97249320598 -303.70334720672</f>
        <v>-2733.8644491747605</v>
      </c>
      <c r="E687">
        <f>-1107.88845472356 -1316.3553375018 -422.025911232683</f>
        <v>-2846.2697034580433</v>
      </c>
      <c r="F687">
        <f>-1077.08644022749 -1336.23649888407 -525.228758384104</f>
        <v>-2938.551697495664</v>
      </c>
      <c r="G687">
        <f>-1035.39260537565 -1362.0671725886 -623.153527214918</f>
        <v>-3020.613305179168</v>
      </c>
      <c r="H687">
        <f>-966.721842517622 -1404.04036805699 -752.469418695444</f>
        <v>-3123.2316292700561</v>
      </c>
      <c r="I687">
        <f>-897.932838039521 -1425.35678542159 -824.557134871602</f>
        <v>-3147.8467583327133</v>
      </c>
      <c r="J687">
        <f>-1010.27488156407 -1360.73377711735 -710.272213794316</f>
        <v>-3081.280872475736</v>
      </c>
      <c r="K687">
        <f>-1056.359964275 -1226.61946808231 -749.171720702737</f>
        <v>-3032.1511530600474</v>
      </c>
      <c r="L687">
        <f>-1124.3047121599 -1106.04638249592 -464.510812793937</f>
        <v>-2694.8619074497569</v>
      </c>
      <c r="M687">
        <f>-1107.92221480898 -999.11466935425 -227.995889049671</f>
        <v>-2335.0327732129008</v>
      </c>
      <c r="N687">
        <f>-983.938151051333 -1410.20327107938 -680.229925149489</f>
        <v>-3074.3713472802019</v>
      </c>
      <c r="O687">
        <f>-939.655209636931 -1521.67776317587 -595.157806234002</f>
        <v>-3056.4907790468033</v>
      </c>
      <c r="P687">
        <f>-1057.4901078125 -1523.21827062656 -301.391256522225</f>
        <v>-2882.0996349612847</v>
      </c>
      <c r="Q687">
        <f>-1088.31432031509 -1394.49496156233 -77.51132225019</f>
        <v>-2560.3206041276103</v>
      </c>
      <c r="R687">
        <f>-1179.11364403536 -1222.11096576634 -178.724090986153</f>
        <v>-2579.9487007878533</v>
      </c>
      <c r="S687" t="s">
        <v>10905</v>
      </c>
      <c r="T687" t="s">
        <v>10906</v>
      </c>
      <c r="U687" t="s">
        <v>10907</v>
      </c>
      <c r="V687">
        <f>-1062.28704282828 -1378.94678713642 -186.32440780212</f>
        <v>-2627.5582377668197</v>
      </c>
      <c r="W687" t="s">
        <v>10908</v>
      </c>
      <c r="X687" t="s">
        <v>10909</v>
      </c>
      <c r="Y687" t="s">
        <v>10910</v>
      </c>
    </row>
    <row r="688" spans="1:25" x14ac:dyDescent="0.3">
      <c r="A688">
        <v>34350</v>
      </c>
      <c r="B688" t="s">
        <v>10911</v>
      </c>
      <c r="C688">
        <f>-1120.21399482202 -1299.88379845037 -182.899190277469</f>
        <v>-2602.9969835498591</v>
      </c>
      <c r="D688">
        <f>-1128.56323546291 -1300.27275030969 -303.721144226496</f>
        <v>-2732.5571299990961</v>
      </c>
      <c r="E688">
        <f>-1107.14632466272 -1315.65850053507 -422.02230340184</f>
        <v>-2844.8271285996298</v>
      </c>
      <c r="F688">
        <f>-1076.24617640466 -1335.56674909265 -525.190653078924</f>
        <v>-2937.0035785762338</v>
      </c>
      <c r="G688">
        <f>-1034.46508889634 -1361.44980971704 -623.0642874117</f>
        <v>-3018.9791860250798</v>
      </c>
      <c r="H688">
        <f>-965.6875901917 -1403.52238554761 -752.291068355764</f>
        <v>-3121.5010440950737</v>
      </c>
      <c r="I688">
        <f>-896.739993106054 -1424.8325842656 -824.229185708513</f>
        <v>-3145.8017630801669</v>
      </c>
      <c r="J688">
        <f>-1009.24601030429 -1360.16238645245 -710.154481462124</f>
        <v>-3079.5628782188637</v>
      </c>
      <c r="K688">
        <f>-1055.13855433852 -1226.01600017883 -749.164497942168</f>
        <v>-3030.3190524595179</v>
      </c>
      <c r="L688">
        <f>-1123.5121132002 -1105.0584229772 -464.769479138716</f>
        <v>-2693.340015316116</v>
      </c>
      <c r="M688">
        <f>-1107.41393309685 -998.147827485685 -228.225533580672</f>
        <v>-2333.7872941632072</v>
      </c>
      <c r="N688">
        <f>-982.993008752628 -1409.65078705049 -680.06995195868</f>
        <v>-3072.713747761798</v>
      </c>
      <c r="O688">
        <f>-938.850979251387 -1521.14044891964 -594.947209694178</f>
        <v>-3054.9386378652052</v>
      </c>
      <c r="P688">
        <f>-1057.10227676628 -1522.72970346004 -301.348436034345</f>
        <v>-2881.180416260665</v>
      </c>
      <c r="Q688">
        <f>-1088.22442375665 -1394.05477802716 -77.481834998257</f>
        <v>-2559.7610367820671</v>
      </c>
      <c r="R688">
        <f>-1178.49917522048 -1221.5153004016 -178.761753000269</f>
        <v>-2578.7762286223488</v>
      </c>
      <c r="S688" t="s">
        <v>10912</v>
      </c>
      <c r="T688" t="s">
        <v>10913</v>
      </c>
      <c r="U688" t="s">
        <v>10914</v>
      </c>
      <c r="V688">
        <f>-1061.84940017314 -1378.23966184264 -186.311633399113</f>
        <v>-2626.4006954148931</v>
      </c>
      <c r="W688" t="s">
        <v>10915</v>
      </c>
      <c r="X688" t="s">
        <v>10916</v>
      </c>
      <c r="Y688" t="s">
        <v>10917</v>
      </c>
    </row>
    <row r="689" spans="1:25" x14ac:dyDescent="0.3">
      <c r="A689">
        <v>34400</v>
      </c>
      <c r="B689" t="s">
        <v>10918</v>
      </c>
      <c r="C689">
        <f>-1119.85650559817 -1299.45456727495 -182.90322223692</f>
        <v>-2602.21429511004</v>
      </c>
      <c r="D689">
        <f>-1128.17633804486 -1299.85257686741 -303.727082292315</f>
        <v>-2731.7559972045851</v>
      </c>
      <c r="E689">
        <f>-1106.71910658851 -1315.2573277292 -422.018556763035</f>
        <v>-2843.994991080745</v>
      </c>
      <c r="F689">
        <f>-1075.78007356325 -1335.18751140575 -525.170868685678</f>
        <v>-2936.1384536546784</v>
      </c>
      <c r="G689">
        <f>-1033.9591804215 -1361.09732396063 -623.020560258197</f>
        <v>-3018.0770646403266</v>
      </c>
      <c r="H689">
        <f>-965.126875320257 -1403.21222426369 -752.204360003792</f>
        <v>-3120.5434595877387</v>
      </c>
      <c r="I689">
        <f>-896.101491268274 -1424.53104852842 -824.065200560505</f>
        <v>-3144.6977403571991</v>
      </c>
      <c r="J689">
        <f>-1008.68934146241 -1359.8285981018 -710.09618800606</f>
        <v>-3078.6141275702698</v>
      </c>
      <c r="K689">
        <f>-1054.48521107461 -1225.65681355647 -749.144291101154</f>
        <v>-3029.286315732234</v>
      </c>
      <c r="L689">
        <f>-1122.9806927892 -1104.60778873791 -464.817498615496</f>
        <v>-2692.405980142606</v>
      </c>
      <c r="M689">
        <f>-1107.0836975048 -997.579170909632 -228.313389564088</f>
        <v>-2332.9762579785202</v>
      </c>
      <c r="N689">
        <f>-982.476706611618 -1409.32679242655 -679.992781360174</f>
        <v>-3071.7962803983419</v>
      </c>
      <c r="O689">
        <f>-938.392488195256 -1520.8026473096 -594.821805070534</f>
        <v>-3054.01694057539</v>
      </c>
      <c r="P689">
        <f>-1056.85036135753 -1522.41099553847 -301.306371990021</f>
        <v>-2880.5677288860206</v>
      </c>
      <c r="Q689">
        <f>-1088.15744205957 -1393.77150253215 -77.4452118591876</f>
        <v>-2559.3741564509078</v>
      </c>
      <c r="R689">
        <f>-1178.08954138341 -1221.10097087507 -178.795467087323</f>
        <v>-2577.9859793458036</v>
      </c>
      <c r="S689" t="s">
        <v>10919</v>
      </c>
      <c r="T689" t="s">
        <v>10920</v>
      </c>
      <c r="U689" t="s">
        <v>10921</v>
      </c>
      <c r="V689">
        <f>-1061.54387052266 -1377.81996884098 -186.29974935291</f>
        <v>-2625.6635887165503</v>
      </c>
      <c r="W689" t="s">
        <v>10922</v>
      </c>
      <c r="X689" t="s">
        <v>10923</v>
      </c>
      <c r="Y689" t="s">
        <v>10924</v>
      </c>
    </row>
    <row r="690" spans="1:25" x14ac:dyDescent="0.3">
      <c r="A690">
        <v>34450</v>
      </c>
      <c r="B690" t="s">
        <v>10925</v>
      </c>
      <c r="C690">
        <f>-1119.20556968431 -1298.61939410513 -182.934015672926</f>
        <v>-2600.7589794623655</v>
      </c>
      <c r="D690">
        <f>-1127.47399277821 -1299.05189822578 -303.76139581533</f>
        <v>-2730.2872868193203</v>
      </c>
      <c r="E690">
        <f>-1105.92899729249 -1314.50712435535 -422.030268534323</f>
        <v>-2842.4663901821632</v>
      </c>
      <c r="F690">
        <f>-1074.8990693385 -1334.48831164304 -525.145413469523</f>
        <v>-2934.5327944510636</v>
      </c>
      <c r="G690">
        <f>-1032.9785375909 -1360.45337737439 -622.93773558554</f>
        <v>-3016.3696505508301</v>
      </c>
      <c r="H690">
        <f>-964.001506550369 -1402.64826976062 -752.018219841488</f>
        <v>-3118.6679961524769</v>
      </c>
      <c r="I690">
        <f>-894.794293054085 -1423.96718094354 -823.703972826694</f>
        <v>-3142.4654468243189</v>
      </c>
      <c r="J690">
        <f>-1007.59441733916 -1359.22664756344 -709.980776671565</f>
        <v>-3076.8018415741649</v>
      </c>
      <c r="K690">
        <f>-1053.24483855451 -1225.04528576564 -749.16028685196</f>
        <v>-3027.4504111721099</v>
      </c>
      <c r="L690">
        <f>-1122.06913960114 -1103.77703148028 -465.006474057806</f>
        <v>-2690.8526451392258</v>
      </c>
      <c r="M690">
        <f>-1106.37669954372 -996.675833368363 -228.521547597609</f>
        <v>-2331.5740805096916</v>
      </c>
      <c r="N690">
        <f>-981.448984511928 -1408.73003032798 -679.827366688357</f>
        <v>-3070.0063815282651</v>
      </c>
      <c r="O690">
        <f>-937.474870376163 -1520.16769654345 -594.549254823334</f>
        <v>-3052.1918217429466</v>
      </c>
      <c r="P690">
        <f>-1056.4087330068 -1521.72986072746 -301.22602491583</f>
        <v>-2879.3646186500901</v>
      </c>
      <c r="Q690">
        <f>-1088.00188431497 -1393.09098997277 -77.4047645819926</f>
        <v>-2558.4976388697332</v>
      </c>
      <c r="R690">
        <f>-1177.38943715736 -1220.28975729776 -178.865147657615</f>
        <v>-2576.5443421127347</v>
      </c>
      <c r="S690" t="s">
        <v>10926</v>
      </c>
      <c r="T690" t="s">
        <v>10927</v>
      </c>
      <c r="U690" t="s">
        <v>10928</v>
      </c>
      <c r="V690">
        <f>-1061.00035811093 -1376.96494885824 -186.273636121249</f>
        <v>-2624.2389430904191</v>
      </c>
      <c r="W690" t="s">
        <v>10929</v>
      </c>
      <c r="X690" t="s">
        <v>10930</v>
      </c>
      <c r="Y690" t="s">
        <v>10931</v>
      </c>
    </row>
    <row r="691" spans="1:25" x14ac:dyDescent="0.3">
      <c r="A691">
        <v>34500</v>
      </c>
      <c r="B691" t="s">
        <v>10932</v>
      </c>
      <c r="C691">
        <f>-1118.87984129727 -1298.16945232167 -182.967499986751</f>
        <v>-2600.0167936056914</v>
      </c>
      <c r="D691">
        <f>-1127.10651056485 -1298.61021697834 -303.79772580848</f>
        <v>-2729.5144533516705</v>
      </c>
      <c r="E691">
        <f>-1105.50105400422 -1314.09291933144 -422.051912519062</f>
        <v>-2841.6458858547221</v>
      </c>
      <c r="F691">
        <f>-1074.41121207983 -1334.10617537669 -525.142832265541</f>
        <v>-2933.6602197220609</v>
      </c>
      <c r="G691">
        <f>-1032.42737303925 -1360.10983301627 -622.897692954277</f>
        <v>-3015.4348990097969</v>
      </c>
      <c r="H691">
        <f>-963.36081728797 -1402.36428056704 -751.910697016591</f>
        <v>-3117.6357948716013</v>
      </c>
      <c r="I691">
        <f>-894.058866001373 -1423.69463780263 -823.501491662106</f>
        <v>-3141.254995466109</v>
      </c>
      <c r="J691">
        <f>-1006.96913763184 -1358.91352041083 -709.919611198552</f>
        <v>-3075.8022692412219</v>
      </c>
      <c r="K691">
        <f>-1052.52412310606 -1224.72099552348 -749.173593728062</f>
        <v>-3026.4187123576021</v>
      </c>
      <c r="L691">
        <f>-1121.60749983709 -1103.3584618034 -465.122870618304</f>
        <v>-2690.0888322587934</v>
      </c>
      <c r="M691">
        <f>-1105.94495909978 -996.278593741026 -228.626237652022</f>
        <v>-2330.8497904928281</v>
      </c>
      <c r="N691">
        <f>-980.872128999935 -1408.4224900234 -679.733460933466</f>
        <v>-3069.0280799568009</v>
      </c>
      <c r="O691">
        <f>-936.97166472695 -1519.85114360854 -594.401923853474</f>
        <v>-3051.2247321889645</v>
      </c>
      <c r="P691">
        <f>-1056.14925055434 -1521.41238821581 -301.177597341102</f>
        <v>-2878.7392361112525</v>
      </c>
      <c r="Q691">
        <f>-1087.95025276472 -1392.77436565665 -77.3852801889642</f>
        <v>-2558.1098986103343</v>
      </c>
      <c r="R691">
        <f>-1177.01823234192 -1219.84433188501 -178.923141924433</f>
        <v>-2575.7857061513628</v>
      </c>
      <c r="S691" t="s">
        <v>10933</v>
      </c>
      <c r="T691" t="s">
        <v>10934</v>
      </c>
      <c r="U691" t="s">
        <v>10935</v>
      </c>
      <c r="V691">
        <f>-1060.71094089779 -1376.48556356255 -186.27205423635</f>
        <v>-2623.4685586966898</v>
      </c>
      <c r="W691" t="s">
        <v>10936</v>
      </c>
      <c r="X691" t="s">
        <v>10937</v>
      </c>
      <c r="Y691" t="s">
        <v>10938</v>
      </c>
    </row>
    <row r="692" spans="1:25" x14ac:dyDescent="0.3">
      <c r="A692">
        <v>34550</v>
      </c>
      <c r="B692" t="s">
        <v>10939</v>
      </c>
      <c r="C692">
        <f>-1118.14003052766 -1297.15004091199 -182.985675610447</f>
        <v>-2598.2757470500969</v>
      </c>
      <c r="D692">
        <f>-1126.19849117479 -1297.54421301762 -303.827253916292</f>
        <v>-2727.5699581087024</v>
      </c>
      <c r="E692">
        <f>-1104.44798918251 -1313.03297969246 -422.054105004267</f>
        <v>-2839.5350738792372</v>
      </c>
      <c r="F692">
        <f>-1073.24057047376 -1333.07275898337 -525.104378285658</f>
        <v>-2931.4177077427876</v>
      </c>
      <c r="G692">
        <f>-1031.15504522095 -1359.12332491428 -622.803000051498</f>
        <v>-3013.0813701867282</v>
      </c>
      <c r="H692">
        <f>-961.965633730509 -1401.46339396883 -751.722172397112</f>
        <v>-3115.1512000964508</v>
      </c>
      <c r="I692">
        <f>-892.494552869291 -1422.81138135677 -823.143605219745</f>
        <v>-3138.4495394458063</v>
      </c>
      <c r="J692">
        <f>-1005.59409310571 -1357.97064621496 -709.795308627401</f>
        <v>-3073.360047948071</v>
      </c>
      <c r="K692">
        <f>-1050.94429059637 -1223.75124892901 -749.178673224205</f>
        <v>-3023.8742127495848</v>
      </c>
      <c r="L692">
        <f>-1120.47927988834 -1102.29326565012 -465.279077807761</f>
        <v>-2688.0516233462208</v>
      </c>
      <c r="M692">
        <f>-1105.01089868913 -995.387699979677 -228.690887936501</f>
        <v>-2329.0894866053081</v>
      </c>
      <c r="N692">
        <f>-979.565511507786 -1407.48779940169 -679.563559805137</f>
        <v>-3066.6168707146126</v>
      </c>
      <c r="O692">
        <f>-935.805782428179 -1518.90130305368 -594.134861613541</f>
        <v>-3048.8419470954</v>
      </c>
      <c r="P692">
        <f>-1055.53463917796 -1520.4864355234 -301.135295853808</f>
        <v>-2877.156370555168</v>
      </c>
      <c r="Q692">
        <f>-1087.7799748141 -1391.83883182039 -77.4121136683431</f>
        <v>-2557.0309203028328</v>
      </c>
      <c r="R692">
        <f>-1176.18493248596 -1218.85355804207 -178.989092211121</f>
        <v>-2574.0275827391506</v>
      </c>
      <c r="S692" t="s">
        <v>10940</v>
      </c>
      <c r="T692" t="s">
        <v>10941</v>
      </c>
      <c r="U692" t="s">
        <v>10942</v>
      </c>
      <c r="V692">
        <f>-1060.05409328967 -1375.45087476258 -186.251538253339</f>
        <v>-2621.7565063055886</v>
      </c>
      <c r="W692" t="s">
        <v>10943</v>
      </c>
      <c r="X692" t="s">
        <v>10944</v>
      </c>
      <c r="Y692" t="s">
        <v>10945</v>
      </c>
    </row>
    <row r="693" spans="1:25" x14ac:dyDescent="0.3">
      <c r="A693">
        <v>34600</v>
      </c>
      <c r="B693" t="s">
        <v>10946</v>
      </c>
      <c r="C693">
        <f>-1117.6868833602 -1296.54222034482 -182.98458083476</f>
        <v>-2597.2136845397799</v>
      </c>
      <c r="D693">
        <f>-1125.70268772777 -1296.93137853108 -303.829116050299</f>
        <v>-2726.463182309149</v>
      </c>
      <c r="E693">
        <f>-1103.90880891889 -1312.43207234085 -422.046317540923</f>
        <v>-2838.3871988006631</v>
      </c>
      <c r="F693">
        <f>-1072.6637743491 -1332.49005311916 -525.08169950576</f>
        <v>-2930.2355269740196</v>
      </c>
      <c r="G693">
        <f>-1030.5435709103 -1358.56639035666 -622.758544726834</f>
        <v>-3011.8685059937939</v>
      </c>
      <c r="H693">
        <f>-961.310253258857 -1400.95015462931 -751.639819681965</f>
        <v>-3113.9002275701318</v>
      </c>
      <c r="I693">
        <f>-891.760405713428 -1422.30404990892 -822.982732293537</f>
        <v>-3137.0471879158849</v>
      </c>
      <c r="J693">
        <f>-1004.9418100954 -1357.43527782616 -709.739045941556</f>
        <v>-3072.1161338631159</v>
      </c>
      <c r="K693">
        <f>-1050.19334650843 -1223.19145809839 -749.177648112171</f>
        <v>-3022.5624527189912</v>
      </c>
      <c r="L693">
        <f>-1119.91540287161 -1101.7091605626 -465.334177702062</f>
        <v>-2686.9587411362718</v>
      </c>
      <c r="M693">
        <f>-1104.56987814198 -994.881080028883 -228.703026809374</f>
        <v>-2328.1539849802371</v>
      </c>
      <c r="N693">
        <f>-978.945864408214 -1406.95805946296 -679.488425249928</f>
        <v>-3065.3923491211017</v>
      </c>
      <c r="O693">
        <f>-935.260832344416 -1518.35927303992 -594.013920494749</f>
        <v>-3047.6340258790851</v>
      </c>
      <c r="P693">
        <f>-1055.26726488266 -1519.89208821907 -301.127747345015</f>
        <v>-2876.2871004467447</v>
      </c>
      <c r="Q693">
        <f>-1087.65507751538 -1391.27005738145 -77.4104473991084</f>
        <v>-2556.3355822959384</v>
      </c>
      <c r="R693">
        <f>-1175.70305781436 -1218.23864466798 -179.009578650222</f>
        <v>-2572.9512811325617</v>
      </c>
      <c r="S693" t="s">
        <v>10947</v>
      </c>
      <c r="T693" t="s">
        <v>10948</v>
      </c>
      <c r="U693" t="s">
        <v>10949</v>
      </c>
      <c r="V693">
        <f>-1059.63223300916 -1374.82732953706 -186.227130595479</f>
        <v>-2620.6866931416989</v>
      </c>
      <c r="W693" t="s">
        <v>10950</v>
      </c>
      <c r="X693" t="s">
        <v>10951</v>
      </c>
      <c r="Y693" t="s">
        <v>10952</v>
      </c>
    </row>
    <row r="694" spans="1:25" x14ac:dyDescent="0.3">
      <c r="A694">
        <v>34650</v>
      </c>
      <c r="B694" t="s">
        <v>10953</v>
      </c>
      <c r="C694">
        <f>-1116.91812131724 -1295.29660763007 -182.97697324392</f>
        <v>-2595.19170219123</v>
      </c>
      <c r="D694">
        <f>-1124.82459060474 -1295.64365404847 -303.828800562415</f>
        <v>-2724.2970452156246</v>
      </c>
      <c r="E694">
        <f>-1102.91089803935 -1311.14724212867 -422.02360467559</f>
        <v>-2836.0817448436101</v>
      </c>
      <c r="F694">
        <f>-1071.55923953577 -1331.22927708788 -525.021805346841</f>
        <v>-2927.8103219704913</v>
      </c>
      <c r="G694">
        <f>-1029.33822304301 -1357.35233597575 -622.642630053341</f>
        <v>-3009.333189072101</v>
      </c>
      <c r="H694">
        <f>-959.974829471669 -1399.82539447819 -751.424371227807</f>
        <v>-3111.2245951776663</v>
      </c>
      <c r="I694">
        <f>-890.285558749702 -1421.21689945587 -822.619855039072</f>
        <v>-3134.1223132446439</v>
      </c>
      <c r="J694">
        <f>-1003.61799387282 -1356.25972553634 -709.588821309217</f>
        <v>-3069.466540718377</v>
      </c>
      <c r="K694">
        <f>-1048.64133936201 -1221.97421591832 -749.139046951872</f>
        <v>-3019.7546022322022</v>
      </c>
      <c r="L694">
        <f>-1118.74039828219 -1100.49451423034 -465.387293383322</f>
        <v>-2684.6222058958519</v>
      </c>
      <c r="M694">
        <f>-1103.74135071111 -993.841755571164 -228.654839820997</f>
        <v>-2326.237946103271</v>
      </c>
      <c r="N694">
        <f>-977.713975575853 -1405.8050260564 -679.296073827255</f>
        <v>-3062.8150754595081</v>
      </c>
      <c r="O694">
        <f>-934.192351586853 -1517.20830201633 -593.742133602844</f>
        <v>-3045.1427872060267</v>
      </c>
      <c r="P694">
        <f>-1054.5515715261 -1518.79340689348 -301.000947824512</f>
        <v>-2874.345926244092</v>
      </c>
      <c r="Q694">
        <f>-1087.21760282982 -1390.16157541526 -77.3297579113516</f>
        <v>-2554.7089361564313</v>
      </c>
      <c r="R694">
        <f>-1174.98712990597 -1217.08733026656 -179.02977324704</f>
        <v>-2571.1042334195699</v>
      </c>
      <c r="S694" t="s">
        <v>10954</v>
      </c>
      <c r="T694" t="s">
        <v>10955</v>
      </c>
      <c r="U694" t="s">
        <v>10956</v>
      </c>
      <c r="V694">
        <f>-1058.8556654213 -1373.52628081285 -186.183761630348</f>
        <v>-2618.5657078644977</v>
      </c>
      <c r="W694" t="s">
        <v>10957</v>
      </c>
      <c r="X694" t="s">
        <v>10958</v>
      </c>
      <c r="Y694" t="s">
        <v>10959</v>
      </c>
    </row>
    <row r="695" spans="1:25" x14ac:dyDescent="0.3">
      <c r="A695">
        <v>34700</v>
      </c>
      <c r="B695" t="s">
        <v>10960</v>
      </c>
      <c r="C695">
        <f>-1116.62132655207 -1294.63584588275 -182.970791180121</f>
        <v>-2594.227963614941</v>
      </c>
      <c r="D695">
        <f>-1124.49037594857 -1294.98395208924 -303.825060891583</f>
        <v>-2723.299388929393</v>
      </c>
      <c r="E695">
        <f>-1102.51688078392 -1310.49786138065 -422.00728531549</f>
        <v>-2835.0220274800595</v>
      </c>
      <c r="F695">
        <f>-1071.10489235804 -1330.59400211743 -524.984401833867</f>
        <v>-2926.6832963093366</v>
      </c>
      <c r="G695">
        <f>-1028.81941481615 -1356.73610040738 -622.572192545071</f>
        <v>-3008.1277077686009</v>
      </c>
      <c r="H695">
        <f>-959.364407610263 -1399.24101003269 -751.294167160898</f>
        <v>-3109.8995848038512</v>
      </c>
      <c r="I695">
        <f>-889.599992512571 -1420.64920112255 -822.410985430851</f>
        <v>-3132.6601790659724</v>
      </c>
      <c r="J695">
        <f>-1003.02821905273 -1355.65853074982 -709.49740413188</f>
        <v>-3068.1841539344305</v>
      </c>
      <c r="K695">
        <f>-1047.95710632465 -1221.35449619398 -749.091580214605</f>
        <v>-3018.4031827332351</v>
      </c>
      <c r="L695">
        <f>-1118.28899873592 -1099.7753587886 -465.440171558022</f>
        <v>-2683.5045290825419</v>
      </c>
      <c r="M695">
        <f>-1103.43785911711 -993.20719434073 -228.660286992742</f>
        <v>-2325.3053404505818</v>
      </c>
      <c r="N695">
        <f>-977.163976623509 -1405.20929591957 -679.17991895818</f>
        <v>-3061.5531915012589</v>
      </c>
      <c r="O695">
        <f>-933.717576295993 -1516.61537362324 -593.594080538894</f>
        <v>-3043.9270304581273</v>
      </c>
      <c r="P695">
        <f>-1054.32062865655 -1518.24534252575 -300.953731189383</f>
        <v>-2873.5197023716828</v>
      </c>
      <c r="Q695">
        <f>-1087.19203839734 -1389.66658250885 -77.2820110285862</f>
        <v>-2554.1406319347761</v>
      </c>
      <c r="R695">
        <f>-1174.73027980432 -1216.47944239664 -179.049433950355</f>
        <v>-2570.2591561513145</v>
      </c>
      <c r="S695" t="s">
        <v>10961</v>
      </c>
      <c r="T695" t="s">
        <v>10962</v>
      </c>
      <c r="U695" t="s">
        <v>10963</v>
      </c>
      <c r="V695">
        <f>-1058.54645145414 -1372.83239142437 -186.163060873527</f>
        <v>-2617.5419037520369</v>
      </c>
      <c r="W695" t="s">
        <v>10964</v>
      </c>
      <c r="X695" t="s">
        <v>10965</v>
      </c>
      <c r="Y695" t="s">
        <v>10966</v>
      </c>
    </row>
    <row r="696" spans="1:25" x14ac:dyDescent="0.3">
      <c r="A696">
        <v>34750</v>
      </c>
      <c r="B696" t="s">
        <v>10967</v>
      </c>
      <c r="C696">
        <f>-1115.96027247253 -1293.40787999817 -182.990817399982</f>
        <v>-2592.3589698706819</v>
      </c>
      <c r="D696">
        <f>-1123.735001969 -1293.81916133536 -303.850933707032</f>
        <v>-2721.4050970113922</v>
      </c>
      <c r="E696">
        <f>-1101.60880514488 -1309.38536824172 -421.997874872026</f>
        <v>-2832.9920482586258</v>
      </c>
      <c r="F696">
        <f>-1070.04151817708 -1329.52655470237 -524.918716386002</f>
        <v>-2924.486789265452</v>
      </c>
      <c r="G696">
        <f>-1027.58854488674 -1355.71254651021 -622.421973848964</f>
        <v>-3005.7230652459139</v>
      </c>
      <c r="H696">
        <f>-957.89313570785 -1398.27767788487 -750.993997951672</f>
        <v>-3107.1648115443923</v>
      </c>
      <c r="I696">
        <f>-887.959161638515 -1419.72161705069 -821.933207510291</f>
        <v>-3129.6139861994961</v>
      </c>
      <c r="J696">
        <f>-1001.61474823284 -1354.66131139658 -709.293176492373</f>
        <v>-3065.5692361217934</v>
      </c>
      <c r="K696">
        <f>-1046.38529212377 -1220.35374444229 -749.011487443027</f>
        <v>-3015.7505240090868</v>
      </c>
      <c r="L696">
        <f>-1117.25089827279 -1098.73555846769 -465.509648774126</f>
        <v>-2681.4961055146064</v>
      </c>
      <c r="M696">
        <f>-1102.63967990109 -992.229751293818 -228.686747393256</f>
        <v>-2323.5561785881641</v>
      </c>
      <c r="N696">
        <f>-975.847642151796 -1404.22650468143 -678.916474665683</f>
        <v>-3058.9906214989091</v>
      </c>
      <c r="O696">
        <f>-932.604570036484 -1515.65509030468 -593.243075508889</f>
        <v>-3041.5027358500529</v>
      </c>
      <c r="P696">
        <f>-1053.76931857488 -1517.28197049908 -300.834745511402</f>
        <v>-2871.8860345853623</v>
      </c>
      <c r="Q696">
        <f>-1086.9170186378 -1388.69333048883 -77.209510154713</f>
        <v>-2552.8198592813433</v>
      </c>
      <c r="R696">
        <f>-1173.97819334136 -1215.48108188868 -179.131975179595</f>
        <v>-2568.591250409635</v>
      </c>
      <c r="S696" t="s">
        <v>10968</v>
      </c>
      <c r="T696" t="s">
        <v>10969</v>
      </c>
      <c r="U696" t="s">
        <v>10970</v>
      </c>
      <c r="V696">
        <f>-1057.87133596308 -1371.53217136609 -186.100854046293</f>
        <v>-2615.5043613754628</v>
      </c>
      <c r="W696" t="s">
        <v>10971</v>
      </c>
      <c r="X696" t="s">
        <v>10972</v>
      </c>
      <c r="Y696" t="s">
        <v>10973</v>
      </c>
    </row>
    <row r="697" spans="1:25" x14ac:dyDescent="0.3">
      <c r="A697">
        <v>34800</v>
      </c>
      <c r="B697" t="s">
        <v>10974</v>
      </c>
      <c r="C697">
        <f>-1115.64509268068 -1292.23669630322 -182.995172475768</f>
        <v>-2590.8769614596681</v>
      </c>
      <c r="D697">
        <f>-1123.35593394776 -1292.71116158146 -303.859338718386</f>
        <v>-2719.9264342476058</v>
      </c>
      <c r="E697">
        <f>-1101.14272627513 -1308.337361952 -421.981831098414</f>
        <v>-2831.4619193255439</v>
      </c>
      <c r="F697">
        <f>-1069.48881152491 -1328.52811557938 -524.866369036328</f>
        <v>-2922.8832961406179</v>
      </c>
      <c r="G697">
        <f>-1026.94246909596 -1354.75677853916 -622.317476735712</f>
        <v>-3004.016724370832</v>
      </c>
      <c r="H697">
        <f>-957.111491767294 -1397.37222034585 -750.799296788012</f>
        <v>-3105.2830089011559</v>
      </c>
      <c r="I697">
        <f>-887.0884756205 -1418.81495701825 -821.65098863306</f>
        <v>-3127.55442127181</v>
      </c>
      <c r="J697">
        <f>-1000.87290679512 -1353.73664110805 -709.160476853071</f>
        <v>-3063.7700247562411</v>
      </c>
      <c r="K697">
        <f>-1045.54495979566 -1219.42414295196 -748.983026975982</f>
        <v>-3013.9521297236024</v>
      </c>
      <c r="L697">
        <f>-1116.74130943807 -1097.76251112002 -465.582854222907</f>
        <v>-2680.0866747809969</v>
      </c>
      <c r="M697">
        <f>-1102.28573730127 -991.264419013277 -228.74687278438</f>
        <v>-2322.2970290989269</v>
      </c>
      <c r="N697">
        <f>-975.146146885271 -1403.29580307806 -678.739626882089</f>
        <v>-3057.1815768454203</v>
      </c>
      <c r="O697">
        <f>-931.994543801097 -1514.71433327113 -592.997665763557</f>
        <v>-3039.7065428357841</v>
      </c>
      <c r="P697">
        <f>-1053.49447461708 -1516.21595625649 -300.727909767929</f>
        <v>-2870.4383406414986</v>
      </c>
      <c r="Q697">
        <f>-1086.80988702372 -1387.623709496 -77.1295856350838</f>
        <v>-2551.5631821548036</v>
      </c>
      <c r="R697">
        <f>-1173.55658561675 -1214.01990751085 -179.187570386872</f>
        <v>-2566.7640635144717</v>
      </c>
      <c r="S697" t="s">
        <v>10975</v>
      </c>
      <c r="T697" t="s">
        <v>10976</v>
      </c>
      <c r="U697" t="s">
        <v>10977</v>
      </c>
      <c r="V697">
        <f>-1057.7166744585 -1370.55204437139 -186.064329719577</f>
        <v>-2614.3330485494666</v>
      </c>
      <c r="W697" t="s">
        <v>10978</v>
      </c>
      <c r="X697" t="s">
        <v>10979</v>
      </c>
      <c r="Y697" t="s">
        <v>10980</v>
      </c>
    </row>
    <row r="698" spans="1:25" x14ac:dyDescent="0.3">
      <c r="A698">
        <v>34850</v>
      </c>
      <c r="B698" t="s">
        <v>10981</v>
      </c>
      <c r="C698">
        <f>-1114.33853692241 -1289.80279606483 -182.990830416965</f>
        <v>-2587.1321634042051</v>
      </c>
      <c r="D698">
        <f>-1121.88954978732 -1290.78291081988 -303.861982821416</f>
        <v>-2716.5344434286162</v>
      </c>
      <c r="E698">
        <f>-1099.44820168967 -1306.82197477312 -421.886089329345</f>
        <v>-2828.1562657921349</v>
      </c>
      <c r="F698">
        <f>-1067.56133594374 -1327.33204727742 -524.635350787833</f>
        <v>-2919.5287340089931</v>
      </c>
      <c r="G698">
        <f>-1024.75665258522 -1353.81713314679 -621.903754711441</f>
        <v>-3000.4775404434513</v>
      </c>
      <c r="H698">
        <f>-954.54154728216 -1396.71584953863 -750.081497283651</f>
        <v>-3101.3388941044409</v>
      </c>
      <c r="I698">
        <f>-884.282112658891 -1418.21820801316 -820.680848438345</f>
        <v>-3123.1811691103962</v>
      </c>
      <c r="J698">
        <f>-998.415802157121 -1352.98044540946 -708.666839991147</f>
        <v>-3060.0630875577276</v>
      </c>
      <c r="K698">
        <f>-1042.86513909848 -1218.70407884784 -748.892157268119</f>
        <v>-3010.4613752144396</v>
      </c>
      <c r="L698">
        <f>-1114.89242027607 -1096.87447684644 -465.774091482779</f>
        <v>-2677.5409886052894</v>
      </c>
      <c r="M698">
        <f>-1100.94668664682 -990.356796329906 -228.916374697926</f>
        <v>-2320.2198576746518</v>
      </c>
      <c r="N698">
        <f>-972.80333172938 -1402.48852695082 -678.066936036021</f>
        <v>-3053.3587947162209</v>
      </c>
      <c r="O698">
        <f>-930.007364636378 -1513.71896924897 -591.924327329035</f>
        <v>-3035.650661214383</v>
      </c>
      <c r="P698">
        <f>-1052.17887272757 -1514.52509194525 -299.93166592511</f>
        <v>-2866.6356305979298</v>
      </c>
      <c r="Q698">
        <f>-1085.65023272514 -1385.33461284808 -76.7019537373711</f>
        <v>-2547.6867993105911</v>
      </c>
      <c r="R698">
        <f>-1170.68031630443 -1211.79798469942 -179.397114650655</f>
        <v>-2561.8754156545051</v>
      </c>
      <c r="S698" t="s">
        <v>10982</v>
      </c>
      <c r="T698" t="s">
        <v>10983</v>
      </c>
      <c r="U698" t="s">
        <v>10984</v>
      </c>
      <c r="V698">
        <f>-1057.4112680099 -1368.16258873703 -185.72799726518</f>
        <v>-2611.3018540121097</v>
      </c>
      <c r="W698" t="s">
        <v>10985</v>
      </c>
      <c r="X698" t="s">
        <v>10986</v>
      </c>
      <c r="Y698" t="s">
        <v>10987</v>
      </c>
    </row>
    <row r="699" spans="1:25" x14ac:dyDescent="0.3">
      <c r="A699">
        <v>34900</v>
      </c>
      <c r="B699" t="s">
        <v>10988</v>
      </c>
      <c r="C699">
        <f>-1113.90716236696 -1287.80446752636 -182.98583823701</f>
        <v>-2584.6974681303295</v>
      </c>
      <c r="D699">
        <f>-1121.54199628512 -1289.3048358903 -303.846309525014</f>
        <v>-2714.6931417004339</v>
      </c>
      <c r="E699">
        <f>-1099.04161943889 -1305.78065579386 -421.799137533107</f>
        <v>-2826.6214127658573</v>
      </c>
      <c r="F699">
        <f>-1067.04243585951 -1326.63490811728 -524.444099459674</f>
        <v>-2918.1214434364642</v>
      </c>
      <c r="G699">
        <f>-1024.06825222361 -1353.4034629766 -621.560123583828</f>
        <v>-2999.031838784038</v>
      </c>
      <c r="H699">
        <f>-953.560879343609 -1396.62442335291 -749.468969850208</f>
        <v>-3099.654272546727</v>
      </c>
      <c r="I699">
        <f>-883.146888333003 -1418.24161323243 -819.87884951837</f>
        <v>-3121.2673510838026</v>
      </c>
      <c r="J699">
        <f>-997.525271415944 -1352.78211271749 -708.263313451844</f>
        <v>-3058.5706975852781</v>
      </c>
      <c r="K699">
        <f>-1041.84498187714 -1218.58371485163 -748.92170103436</f>
        <v>-3009.3503977631299</v>
      </c>
      <c r="L699">
        <f>-1114.46551026827 -1096.57216816557 -466.033664608708</f>
        <v>-2677.0713430425481</v>
      </c>
      <c r="M699">
        <f>-1101.07393819397 -989.971724120163 -229.181208000536</f>
        <v>-2320.2268703146692</v>
      </c>
      <c r="N699">
        <f>-971.991143566815 -1402.21885951957 -677.483173691043</f>
        <v>-3051.6931767774277</v>
      </c>
      <c r="O699">
        <f>-929.493128064104 -1513.27889056594 -590.98768598375</f>
        <v>-3033.7597046137939</v>
      </c>
      <c r="P699">
        <f>-1052.30570539463 -1513.20882881879 -299.263178719874</f>
        <v>-2864.777712933294</v>
      </c>
      <c r="Q699">
        <f>-1085.67510168996 -1383.38816159941 -76.3839522533475</f>
        <v>-2545.4472155427179</v>
      </c>
      <c r="R699">
        <f>-1170.24429166724 -1209.50868715987 -179.415516064137</f>
        <v>-2559.1684948912475</v>
      </c>
      <c r="S699" t="s">
        <v>10989</v>
      </c>
      <c r="T699" t="s">
        <v>10990</v>
      </c>
      <c r="U699" t="s">
        <v>10991</v>
      </c>
      <c r="V699">
        <f>-1057.57449062011 -1366.24401139574 -185.497094216845</f>
        <v>-2609.315596232695</v>
      </c>
      <c r="W699" t="s">
        <v>10992</v>
      </c>
      <c r="X699" t="s">
        <v>10993</v>
      </c>
      <c r="Y699" t="s">
        <v>10994</v>
      </c>
    </row>
    <row r="700" spans="1:25" x14ac:dyDescent="0.3">
      <c r="A700">
        <v>34950</v>
      </c>
      <c r="B700" t="s">
        <v>10995</v>
      </c>
      <c r="C700">
        <f>-1114.60978053441 -1282.77204256671 -182.972710392918</f>
        <v>-2580.3545334940382</v>
      </c>
      <c r="D700">
        <f>-1122.01668228354 -1285.13329505529 -303.833570042982</f>
        <v>-2710.9835473818121</v>
      </c>
      <c r="E700">
        <f>-1099.07949820801 -1302.56290936195 -421.564926468393</f>
        <v>-2823.2073340383527</v>
      </c>
      <c r="F700">
        <f>-1066.60535673898 -1324.26946345139 -523.883608499722</f>
        <v>-2914.7584286900919</v>
      </c>
      <c r="G700">
        <f>-1023.0836006642 -1351.8493646688 -620.527462315398</f>
        <v>-2995.4604276483979</v>
      </c>
      <c r="H700">
        <f>-951.748442673249 -1396.12757470524 -747.613112470944</f>
        <v>-3095.4891298494331</v>
      </c>
      <c r="I700">
        <f>-880.928447469668 -1418.2586758169 -817.453802850526</f>
        <v>-3116.6409261370936</v>
      </c>
      <c r="J700">
        <f>-995.927885406406 -1351.9103590917 -707.042969779533</f>
        <v>-3054.8812142776392</v>
      </c>
      <c r="K700">
        <f>-1039.68226850317 -1217.95228832585 -749.015985004557</f>
        <v>-3006.6505418335769</v>
      </c>
      <c r="L700">
        <f>-1114.30824440942 -1094.42080251829 -467.312024863493</f>
        <v>-2676.0410717912027</v>
      </c>
      <c r="M700">
        <f>-1101.89655380086 -987.419709480568 -230.586980674783</f>
        <v>-2319.9032439562106</v>
      </c>
      <c r="N700">
        <f>-970.69619478577 -1401.1612955684 -675.720422864636</f>
        <v>-3047.5779132188059</v>
      </c>
      <c r="O700">
        <f>-928.953829739824 -1511.78008384667 -588.262642947541</f>
        <v>-3028.9965565340353</v>
      </c>
      <c r="P700">
        <f>-1053.88078361628 -1509.59476593152 -297.445324271981</f>
        <v>-2860.9208738197813</v>
      </c>
      <c r="Q700">
        <f>-1087.81309791301 -1378.40100770854 -75.4570256848194</f>
        <v>-2541.6711313063693</v>
      </c>
      <c r="R700">
        <f>-1170.63200248448 -1204.01265433092 -180.049544000657</f>
        <v>-2554.6942008160568</v>
      </c>
      <c r="S700" t="s">
        <v>10996</v>
      </c>
      <c r="T700" t="s">
        <v>10997</v>
      </c>
      <c r="U700" t="s">
        <v>10998</v>
      </c>
      <c r="V700">
        <f>-1058.61950814897 -1361.43043458037 -185.013856149652</f>
        <v>-2605.0637988789917</v>
      </c>
      <c r="W700" t="s">
        <v>10999</v>
      </c>
      <c r="X700" t="s">
        <v>11000</v>
      </c>
      <c r="Y700" t="s">
        <v>11001</v>
      </c>
    </row>
    <row r="701" spans="1:25" x14ac:dyDescent="0.3">
      <c r="A701">
        <v>35000</v>
      </c>
      <c r="B701" t="s">
        <v>11002</v>
      </c>
      <c r="C701">
        <f>-1115.73849069454 -1278.43284538321 -183.267922966172</f>
        <v>-2577.439259043922</v>
      </c>
      <c r="D701">
        <f>-1123.03792437363 -1281.10849596795 -304.128894644202</f>
        <v>-2708.2753149857817</v>
      </c>
      <c r="E701">
        <f>-1099.85138926991 -1298.98456794624 -421.744314337016</f>
        <v>-2820.5802715531659</v>
      </c>
      <c r="F701">
        <f>-1067.0995228366 -1321.12302633507 -523.881817639685</f>
        <v>-2912.1043668113548</v>
      </c>
      <c r="G701">
        <f>-1023.25483473994 -1349.14583496339 -620.251968633038</f>
        <v>-2992.652638336368</v>
      </c>
      <c r="H701">
        <f>-951.431802261268 -1394.03444954585 -746.847619302724</f>
        <v>-3092.3138711098422</v>
      </c>
      <c r="I701">
        <f>-880.372846033836 -1416.55101575578 -816.321439129568</f>
        <v>-3113.245300919184</v>
      </c>
      <c r="J701">
        <f>-995.715463380966 -1349.58653070817 -706.64491078354</f>
        <v>-3051.946904872676</v>
      </c>
      <c r="K701">
        <f>-1038.95211446604 -1215.70597945162 -749.404354451779</f>
        <v>-3004.0624483694392</v>
      </c>
      <c r="L701">
        <f>-1114.75813108718 -1090.89815067293 -468.579431404467</f>
        <v>-2674.2357131645767</v>
      </c>
      <c r="M701">
        <f>-1102.8273651888 -983.504965046012 -232.007089496545</f>
        <v>-2318.3394197313573</v>
      </c>
      <c r="N701">
        <f>-970.707038440577 -1398.75873479242 -675.021050401543</f>
        <v>-3044.4868236345401</v>
      </c>
      <c r="O701">
        <f>-929.590867230691 -1509.16183133432 -587.000871994087</f>
        <v>-3025.7535705590981</v>
      </c>
      <c r="P701">
        <f>-1055.4842889214 -1505.72044372575 -296.612967272319</f>
        <v>-2857.8176999194693</v>
      </c>
      <c r="Q701">
        <f>-1089.38018398081 -1373.52503842705 -75.2139542735036</f>
        <v>-2538.1191766813636</v>
      </c>
      <c r="R701">
        <f>-1171.83362190402 -1198.59754658713 -180.989398943228</f>
        <v>-2551.420567434378</v>
      </c>
      <c r="S701" t="s">
        <v>11003</v>
      </c>
      <c r="T701" t="s">
        <v>11004</v>
      </c>
      <c r="U701" t="s">
        <v>11005</v>
      </c>
      <c r="V701">
        <f>-1059.71881134883 -1357.81957684309 -184.974095074215</f>
        <v>-2602.512483266135</v>
      </c>
      <c r="W701" t="s">
        <v>11006</v>
      </c>
      <c r="X701" t="s">
        <v>11007</v>
      </c>
      <c r="Y701" t="s">
        <v>11008</v>
      </c>
    </row>
    <row r="702" spans="1:25" x14ac:dyDescent="0.3">
      <c r="A702">
        <v>35050</v>
      </c>
      <c r="B702" t="s">
        <v>11009</v>
      </c>
      <c r="C702">
        <f>-1117.47475713149 -1269.17355655434 -184.166746673914</f>
        <v>-2570.8150603597437</v>
      </c>
      <c r="D702">
        <f>-1125.03898139907 -1272.51907129917 -304.994660000303</f>
        <v>-2702.5527126985435</v>
      </c>
      <c r="E702">
        <f>-1101.59878449376 -1291.44927046739 -422.394665312106</f>
        <v>-2815.4427202732563</v>
      </c>
      <c r="F702">
        <f>-1068.4248805081 -1314.64922678749 -524.159712459995</f>
        <v>-2907.2338197555846</v>
      </c>
      <c r="G702">
        <f>-1023.99067646938 -1343.80492506841 -619.921919326482</f>
        <v>-2987.717520864272</v>
      </c>
      <c r="H702">
        <f>-951.203577361634 -1390.30625400691 -745.379756340121</f>
        <v>-3086.8895877086652</v>
      </c>
      <c r="I702">
        <f>-879.642419216646 -1413.93883951192 -813.961731886476</f>
        <v>-3107.5429906150421</v>
      </c>
      <c r="J702">
        <f>-995.541261327187 -1345.17207964084 -706.009671636637</f>
        <v>-3046.7230126046638</v>
      </c>
      <c r="K702">
        <f>-1037.24776979722 -1211.31547086483 -750.369422168872</f>
        <v>-2998.9326628309218</v>
      </c>
      <c r="L702">
        <f>-1114.9869794649 -1083.63966345699 -471.368194604891</f>
        <v>-2669.9948375267813</v>
      </c>
      <c r="M702">
        <f>-1104.96220707789 -975.274028525194 -235.151180589753</f>
        <v>-2315.387416192837</v>
      </c>
      <c r="N702">
        <f>-971.277932550229 -1394.28963007768 -673.727234111778</f>
        <v>-3039.2947967396867</v>
      </c>
      <c r="O702">
        <f>-931.943557821877 -1504.4047737544 -584.563312939357</f>
        <v>-3020.9116445156342</v>
      </c>
      <c r="P702">
        <f>-1059.8902963882 -1498.0533695618 -295.123436859892</f>
        <v>-2853.0671028098923</v>
      </c>
      <c r="Q702">
        <f>-1092.03787593281 -1363.65765257501 -74.7909589365347</f>
        <v>-2530.4864874443547</v>
      </c>
      <c r="R702">
        <f>-1173.37025541792 -1188.23506326796 -182.581602536084</f>
        <v>-2544.186921221964</v>
      </c>
      <c r="S702" t="s">
        <v>11010</v>
      </c>
      <c r="T702" t="s">
        <v>11011</v>
      </c>
      <c r="U702" t="s">
        <v>11012</v>
      </c>
      <c r="V702">
        <f>-1061.93503484684 -1350.02383063145 -185.169743827665</f>
        <v>-2597.1286093059553</v>
      </c>
      <c r="W702" t="s">
        <v>11013</v>
      </c>
      <c r="X702" t="s">
        <v>11014</v>
      </c>
      <c r="Y702" t="s">
        <v>11015</v>
      </c>
    </row>
    <row r="703" spans="1:25" x14ac:dyDescent="0.3">
      <c r="A703">
        <v>35100</v>
      </c>
      <c r="B703" t="s">
        <v>11016</v>
      </c>
      <c r="C703">
        <f>-1117.90509497994 -1264.36277147386 -184.535506404037</f>
        <v>-2566.8033728578366</v>
      </c>
      <c r="D703">
        <f>-1125.41638879351 -1267.84830298283 -305.362706401736</f>
        <v>-2698.627398178076</v>
      </c>
      <c r="E703">
        <f>-1101.77730776463 -1287.26086701173 -422.644134968551</f>
        <v>-2811.682309744911</v>
      </c>
      <c r="F703">
        <f>-1068.37605865668 -1311.01287790282 -524.207059763981</f>
        <v>-2903.5959963234809</v>
      </c>
      <c r="G703">
        <f>-1023.68029133673 -1340.81719526016 -619.647344687393</f>
        <v>-2984.1448312842826</v>
      </c>
      <c r="H703">
        <f>-950.508708877548 -1388.30125047012 -744.512066220531</f>
        <v>-3083.322025568199</v>
      </c>
      <c r="I703">
        <f>-878.720557908419 -1412.61845927767 -812.615840281224</f>
        <v>-3103.9548574673126</v>
      </c>
      <c r="J703">
        <f>-994.755434082964 -1342.71175624718 -705.566559535199</f>
        <v>-3043.033749865343</v>
      </c>
      <c r="K703">
        <f>-1035.3304957807 -1208.77596907734 -750.720903204418</f>
        <v>-2994.8273680624579</v>
      </c>
      <c r="L703">
        <f>-1113.91166757906 -1079.35976617339 -472.759308387169</f>
        <v>-2666.0307421396187</v>
      </c>
      <c r="M703">
        <f>-1105.20866462298 -970.435020647647 -236.747155587205</f>
        <v>-2312.3908408578318</v>
      </c>
      <c r="N703">
        <f>-971.014322239558 -1391.87029730265 -672.960031793614</f>
        <v>-3035.8446513358222</v>
      </c>
      <c r="O703">
        <f>-932.907956316831 -1501.93762423062 -583.203575598201</f>
        <v>-3018.049156145652</v>
      </c>
      <c r="P703">
        <f>-1061.65785706408 -1494.08361030042 -294.15694334799</f>
        <v>-2849.8984107124897</v>
      </c>
      <c r="Q703">
        <f>-1092.62195409894 -1358.27781760734 -74.5207393100389</f>
        <v>-2525.4205110163193</v>
      </c>
      <c r="R703">
        <f>-1173.08514309232 -1183.16659445882 -183.104383470571</f>
        <v>-2539.3561210217113</v>
      </c>
      <c r="S703" t="s">
        <v>11017</v>
      </c>
      <c r="T703" t="s">
        <v>11018</v>
      </c>
      <c r="U703" t="s">
        <v>11019</v>
      </c>
      <c r="V703">
        <f>-1062.94901464176 -1345.70735639772 -185.262474303487</f>
        <v>-2593.9188453429674</v>
      </c>
      <c r="W703" t="s">
        <v>11020</v>
      </c>
      <c r="X703" t="s">
        <v>11021</v>
      </c>
      <c r="Y703" t="s">
        <v>11022</v>
      </c>
    </row>
    <row r="704" spans="1:25" x14ac:dyDescent="0.3">
      <c r="A704">
        <v>35150</v>
      </c>
      <c r="B704" t="s">
        <v>11023</v>
      </c>
      <c r="C704">
        <f>-1118.26057506896 -1253.38607914568 -185.119839817454</f>
        <v>-2556.7664940320938</v>
      </c>
      <c r="D704">
        <f>-1125.45398779639 -1257.24846467466 -305.955178769335</f>
        <v>-2688.6576312403849</v>
      </c>
      <c r="E704">
        <f>-1101.29200728335 -1277.71595197966 -422.95018615017</f>
        <v>-2801.9581454131799</v>
      </c>
      <c r="F704">
        <f>-1067.36796845435 -1302.66309148232 -524.052331761399</f>
        <v>-2894.0833916980691</v>
      </c>
      <c r="G704">
        <f>-1022.13081083812 -1333.87201295644 -618.785943721645</f>
        <v>-2974.7887675162046</v>
      </c>
      <c r="H704">
        <f>-948.220030395753 -1383.49403929763 -742.377443346368</f>
        <v>-3074.0915130397507</v>
      </c>
      <c r="I704">
        <f>-876.073298920145 -1409.2783121828 -809.556235875722</f>
        <v>-3094.9078469786668</v>
      </c>
      <c r="J704">
        <f>-992.130735397801 -1336.85461116151 -704.304661825836</f>
        <v>-3033.2900083851468</v>
      </c>
      <c r="K704">
        <f>-1029.69449331535 -1202.54760392261 -750.966888510955</f>
        <v>-2983.208985748915</v>
      </c>
      <c r="L704">
        <f>-1110.1124222617 -1069.37240998536 -475.315710882774</f>
        <v>-2654.8005431298338</v>
      </c>
      <c r="M704">
        <f>-1103.63410532498 -959.189831798171 -239.816484761215</f>
        <v>-2302.6404218843663</v>
      </c>
      <c r="N704">
        <f>-969.715773167108 -1386.22103804289 -671.079310876815</f>
        <v>-3027.0161220868131</v>
      </c>
      <c r="O704">
        <f>-934.748367898211 -1496.42971324291 -580.235814976503</f>
        <v>-3011.4138961176241</v>
      </c>
      <c r="P704">
        <f>-1065.92192700672 -1485.12450402473 -292.395773055117</f>
        <v>-2843.442204086567</v>
      </c>
      <c r="Q704">
        <f>-1094.43486322363 -1345.44340895098 -74.8682085603656</f>
        <v>-2514.7464807349756</v>
      </c>
      <c r="R704">
        <f>-1171.54146892441 -1171.4212649399 -184.1204090265</f>
        <v>-2527.0831428908104</v>
      </c>
      <c r="S704" t="s">
        <v>11024</v>
      </c>
      <c r="T704" t="s">
        <v>11025</v>
      </c>
      <c r="U704" t="s">
        <v>11026</v>
      </c>
      <c r="V704">
        <f>-1064.85552589812 -1335.67935472873 -185.193183776742</f>
        <v>-2585.7280644035923</v>
      </c>
      <c r="W704" t="s">
        <v>11027</v>
      </c>
      <c r="X704" t="s">
        <v>11028</v>
      </c>
      <c r="Y704" t="s">
        <v>11029</v>
      </c>
    </row>
    <row r="705" spans="1:25" x14ac:dyDescent="0.3">
      <c r="A705">
        <v>35200</v>
      </c>
      <c r="B705" t="s">
        <v>11030</v>
      </c>
      <c r="C705">
        <f>-1118.57252358301 -1247.0566329929 -185.307868155435</f>
        <v>-2550.937024731345</v>
      </c>
      <c r="D705">
        <f>-1125.3746884991 -1251.1738739265 -306.157315566027</f>
        <v>-2682.7058779916269</v>
      </c>
      <c r="E705">
        <f>-1100.77682449877 -1272.19696497702 -422.962898950632</f>
        <v>-2795.9366884264218</v>
      </c>
      <c r="F705">
        <f>-1066.46446794324 -1297.75863126184 -523.780151102637</f>
        <v>-2888.0032503077168</v>
      </c>
      <c r="G705">
        <f>-1020.86350209218 -1329.68305596084 -618.099945892214</f>
        <v>-2968.6465039452341</v>
      </c>
      <c r="H705">
        <f>-946.490866930439 -1380.39313086768 -740.97066094202</f>
        <v>-3067.8546587401388</v>
      </c>
      <c r="I705">
        <f>-874.161089655545 -1406.93538364261 -807.655707455776</f>
        <v>-3088.752180753931</v>
      </c>
      <c r="J705">
        <f>-990.205267831859 -1333.19379286609 -703.364857362733</f>
        <v>-3026.763918060682</v>
      </c>
      <c r="K705">
        <f>-1026.02872639743 -1198.65632998446 -750.699294536403</f>
        <v>-2975.384350918293</v>
      </c>
      <c r="L705">
        <f>-1107.39252122712 -1063.49953045876 -476.29307255687</f>
        <v>-2647.1851242427497</v>
      </c>
      <c r="M705">
        <f>-1101.70477835008 -952.711114458289 -241.057874161941</f>
        <v>-2295.47376697031</v>
      </c>
      <c r="N705">
        <f>-968.591634114337 -1382.7171911705 -669.843396144249</f>
        <v>-3021.1522214290862</v>
      </c>
      <c r="O705">
        <f>-935.46765889242 -1493.06948692933 -578.479543303718</f>
        <v>-3007.016689125468</v>
      </c>
      <c r="P705">
        <f>-1068.25435498468 -1480.00925096588 -291.454488891068</f>
        <v>-2839.7180948416285</v>
      </c>
      <c r="Q705">
        <f>-1095.4962394847 -1338.30600081264 -75.075065669709</f>
        <v>-2508.8773059670493</v>
      </c>
      <c r="R705">
        <f>-1170.95650216541 -1164.58773406645 -184.672198263032</f>
        <v>-2520.2164344948919</v>
      </c>
      <c r="S705" t="s">
        <v>11031</v>
      </c>
      <c r="T705" t="s">
        <v>11032</v>
      </c>
      <c r="U705" t="s">
        <v>11033</v>
      </c>
      <c r="V705">
        <f>-1066.08254117605 -1329.80101530053 -184.965694550651</f>
        <v>-2580.8492510272308</v>
      </c>
      <c r="W705" t="s">
        <v>11034</v>
      </c>
      <c r="X705" t="s">
        <v>11035</v>
      </c>
      <c r="Y705" t="s">
        <v>11036</v>
      </c>
    </row>
    <row r="706" spans="1:25" x14ac:dyDescent="0.3">
      <c r="A706">
        <v>35250</v>
      </c>
      <c r="B706" t="s">
        <v>11037</v>
      </c>
      <c r="C706">
        <f>-1120.53244908826 -1232.241490039 -185.717736823971</f>
        <v>-2538.4916759512307</v>
      </c>
      <c r="D706">
        <f>-1126.47592249746 -1237.1368666634 -306.583446825111</f>
        <v>-2670.1962359859713</v>
      </c>
      <c r="E706">
        <f>-1100.84764407862 -1259.34406948213 -422.947479447431</f>
        <v>-2783.1391930081809</v>
      </c>
      <c r="F706">
        <f>-1065.58853807983 -1286.12555346224 -523.119375157972</f>
        <v>-2874.8334667000418</v>
      </c>
      <c r="G706">
        <f>-1019.06783634085 -1319.39998646073 -616.518937897524</f>
        <v>-2954.9867606991038</v>
      </c>
      <c r="H706">
        <f>-943.48600648868 -1372.10291883951 -737.802841869164</f>
        <v>-3053.3917671973541</v>
      </c>
      <c r="I706">
        <f>-870.793197249746 -1399.4897098198 -803.747480531251</f>
        <v>-3074.030387600797</v>
      </c>
      <c r="J706">
        <f>-986.838473490229 -1323.82503706217 -701.159582170048</f>
        <v>-3011.8230927224472</v>
      </c>
      <c r="K706">
        <f>-1018.81005225141 -1188.82044215472 -749.844845700799</f>
        <v>-2957.4753401069288</v>
      </c>
      <c r="L706">
        <f>-1103.26353185248 -1049.3633570479 -478.541486994657</f>
        <v>-2631.1683758950371</v>
      </c>
      <c r="M706">
        <f>-1097.98652209609 -937.540238417652 -243.786615952615</f>
        <v>-2279.3133764663571</v>
      </c>
      <c r="N706">
        <f>-967.018775349993 -1373.74197206319 -667.117424444875</f>
        <v>-3007.8781718580576</v>
      </c>
      <c r="O706">
        <f>-937.893250449054 -1484.48814989719 -574.855514169358</f>
        <v>-2997.2369145156017</v>
      </c>
      <c r="P706">
        <f>-1075.64558718003 -1467.64795842689 -290.378930102138</f>
        <v>-2833.6724757090578</v>
      </c>
      <c r="Q706">
        <f>-1100.65358931761 -1323.76003883621 -75.1746294160226</f>
        <v>-2499.5882575698429</v>
      </c>
      <c r="R706">
        <f>-1171.16324287662 -1148.47833162158 -186.270460643252</f>
        <v>-2505.9120351414522</v>
      </c>
      <c r="S706" t="s">
        <v>11038</v>
      </c>
      <c r="T706" t="s">
        <v>11039</v>
      </c>
      <c r="U706" t="s">
        <v>11040</v>
      </c>
      <c r="V706">
        <f>-1069.96494429817 -1316.1311696531 -184.287767028044</f>
        <v>-2570.3838809793142</v>
      </c>
      <c r="W706" t="s">
        <v>11041</v>
      </c>
      <c r="X706" t="s">
        <v>11042</v>
      </c>
      <c r="Y706" t="s">
        <v>11043</v>
      </c>
    </row>
    <row r="707" spans="1:25" x14ac:dyDescent="0.3">
      <c r="A707">
        <v>35300</v>
      </c>
      <c r="B707" t="s">
        <v>11044</v>
      </c>
      <c r="C707">
        <f>-1121.96462924969 -1223.62027036619 -185.944744618844</f>
        <v>-2531.5296442347244</v>
      </c>
      <c r="D707">
        <f>-1127.21567716444 -1228.88911227093 -306.82675438305</f>
        <v>-2662.9315438184194</v>
      </c>
      <c r="E707">
        <f>-1100.85769840544 -1251.65235522304 -422.920105356857</f>
        <v>-2775.4301589853367</v>
      </c>
      <c r="F707">
        <f>-1064.95657170102 -1279.00500011208 -522.708900949925</f>
        <v>-2866.6704727630249</v>
      </c>
      <c r="G707">
        <f>-1017.83469243223 -1312.91095326136 -615.578411321618</f>
        <v>-2946.3240570152075</v>
      </c>
      <c r="H707">
        <f>-941.481513053605 -1366.54655279939 -735.96712418383</f>
        <v>-3043.9951900368251</v>
      </c>
      <c r="I707">
        <f>-868.72622639354 -1393.2634397348 -802.117481332605</f>
        <v>-3064.1071474609453</v>
      </c>
      <c r="J707">
        <f>-984.660897387181 -1317.73376196295 -699.831695367724</f>
        <v>-3002.226354717855</v>
      </c>
      <c r="K707">
        <f>-1014.25181707223 -1182.58156180891 -749.415275653414</f>
        <v>-2946.2486545345541</v>
      </c>
      <c r="L707">
        <f>-1102.04948997646 -1040.2466576666 -480.680237619486</f>
        <v>-2622.976385262546</v>
      </c>
      <c r="M707">
        <f>-1096.78035606168 -927.771239406212 -246.237182577965</f>
        <v>-2270.7887780458573</v>
      </c>
      <c r="N707">
        <f>-965.869995690546 -1367.89521788408 -665.566058448183</f>
        <v>-2999.3312720228091</v>
      </c>
      <c r="O707">
        <f>-938.171539160754 -1478.65297441202 -572.926676881095</f>
        <v>-2989.7511904538687</v>
      </c>
      <c r="P707">
        <f>-1078.57836270096 -1458.84689212036 -289.942833875423</f>
        <v>-2827.3680886967427</v>
      </c>
      <c r="Q707">
        <f>-1101.26282756896 -1319.81191501004 -71.3181782001254</f>
        <v>-2492.3929207791248</v>
      </c>
      <c r="R707">
        <f>-1171.6483832558 -1139.25845922943 -187.091996565074</f>
        <v>-2497.998839050304</v>
      </c>
      <c r="S707" t="s">
        <v>11045</v>
      </c>
      <c r="T707" t="s">
        <v>11046</v>
      </c>
      <c r="U707" t="s">
        <v>11047</v>
      </c>
      <c r="V707">
        <f>-1072.22269228479 -1308.14563088668 -183.796457791582</f>
        <v>-2564.1647809630517</v>
      </c>
      <c r="W707" t="s">
        <v>11048</v>
      </c>
      <c r="X707" t="s">
        <v>11049</v>
      </c>
      <c r="Y707" t="s">
        <v>11050</v>
      </c>
    </row>
    <row r="708" spans="1:25" x14ac:dyDescent="0.3">
      <c r="A708">
        <v>35350</v>
      </c>
      <c r="B708" t="s">
        <v>11051</v>
      </c>
      <c r="C708">
        <f>-1123.43493475322 -1204.24348989568 -186.064549896581</f>
        <v>-2513.742974545481</v>
      </c>
      <c r="D708">
        <f>-1125.3913515769 -1209.89179441626 -307.027677031498</f>
        <v>-2642.310823024658</v>
      </c>
      <c r="E708">
        <f>-1097.1023508349 -1233.01241110756 -422.594652847344</f>
        <v>-2752.7094147898042</v>
      </c>
      <c r="F708">
        <f>-1059.97358837819 -1260.60376699492 -521.867159145028</f>
        <v>-2842.444514518138</v>
      </c>
      <c r="G708">
        <f>-1012.08980635882 -1294.6282552085 -614.302585782016</f>
        <v>-2921.0206473493363</v>
      </c>
      <c r="H708">
        <f>-935.097023477523 -1348.28018593994 -734.275962927341</f>
        <v>-3017.6531723448038</v>
      </c>
      <c r="I708">
        <f>-863.539418677686 -1370.99557807655 -803.170751820046</f>
        <v>-3037.7057485742821</v>
      </c>
      <c r="J708">
        <f>-978.232682654716 -1299.31769656802 -698.291112027114</f>
        <v>-2975.8414912498502</v>
      </c>
      <c r="K708">
        <f>-1005.3950509552 -1163.94872168613 -749.071805165587</f>
        <v>-2918.4155778069171</v>
      </c>
      <c r="L708">
        <f>-1098.26266647085 -1013.84449280631 -486.33517646437</f>
        <v>-2598.4423357415299</v>
      </c>
      <c r="M708">
        <f>-1093.75835670649 -898.913799602054 -253.06992834536</f>
        <v>-2245.7420846539039</v>
      </c>
      <c r="N708">
        <f>-960.09518307535 -1349.76404667481 -664.091723113879</f>
        <v>-2973.9509528640392</v>
      </c>
      <c r="O708">
        <f>-932.203078686961 -1459.45849054684 -570.285246909282</f>
        <v>-2961.9468161430832</v>
      </c>
      <c r="P708">
        <f>-1103.01623435741 -1418.07895122311 -307.042405570701</f>
        <v>-2828.1375911512205</v>
      </c>
      <c r="Q708">
        <f>-1145.99927396859 -1325.00787605972 -68.0188218965645</f>
        <v>-2539.0259719248747</v>
      </c>
      <c r="R708">
        <f>-1170.57438816308 -1118.54362454165 -188.918976855452</f>
        <v>-2478.0369895601821</v>
      </c>
      <c r="S708" t="s">
        <v>11052</v>
      </c>
      <c r="T708" t="s">
        <v>11053</v>
      </c>
      <c r="U708" t="s">
        <v>11054</v>
      </c>
      <c r="V708">
        <f>-1075.69373043187 -1290.12435646127 -181.997466326924</f>
        <v>-2547.8155532200644</v>
      </c>
      <c r="W708" t="s">
        <v>11055</v>
      </c>
      <c r="X708" t="s">
        <v>11056</v>
      </c>
      <c r="Y708" t="s">
        <v>11057</v>
      </c>
    </row>
    <row r="709" spans="1:25" x14ac:dyDescent="0.3">
      <c r="A709">
        <v>35400</v>
      </c>
      <c r="B709" t="s">
        <v>11058</v>
      </c>
      <c r="C709">
        <f>-1122.1731776319 -1193.40688060941 -185.847316643051</f>
        <v>-2501.4273748843611</v>
      </c>
      <c r="D709">
        <f>-1122.40317734199 -1199.79847823904 -306.789089443327</f>
        <v>-2628.9907450243568</v>
      </c>
      <c r="E709">
        <f>-1092.980700415 -1223.38054279711 -421.979131861572</f>
        <v>-2738.340375073682</v>
      </c>
      <c r="F709">
        <f>-1055.06798797395 -1251.26556052395 -520.872574353823</f>
        <v>-2827.2061228517227</v>
      </c>
      <c r="G709">
        <f>-1006.62718764112 -1285.46051071697 -612.954316138163</f>
        <v>-2905.0420144962532</v>
      </c>
      <c r="H709">
        <f>-929.075507681728 -1339.22688054287 -732.515695135</f>
        <v>-3000.8180833595979</v>
      </c>
      <c r="I709">
        <f>-858.454090291371 -1360.06848396808 -802.951634389723</f>
        <v>-3021.4742086491742</v>
      </c>
      <c r="J709">
        <f>-972.075987728425 -1290.04729007785 -696.665370246058</f>
        <v>-2958.788648052333</v>
      </c>
      <c r="K709">
        <f>-998.859260200435 -1154.43079006404 -747.485145914381</f>
        <v>-2900.7751961788558</v>
      </c>
      <c r="L709">
        <f>-1094.05392603512 -1005.26054773179 -485.049678540881</f>
        <v>-2584.3641523077908</v>
      </c>
      <c r="M709">
        <f>-1090.2251426137 -889.369918359642 -252.247693152356</f>
        <v>-2231.8427541256979</v>
      </c>
      <c r="N709">
        <f>-954.703462697853 -1340.82654030468 -662.561736059121</f>
        <v>-2958.0917390616537</v>
      </c>
      <c r="O709">
        <f>-929.008859589987 -1449.44060155619 -566.987103323315</f>
        <v>-2945.4365644694917</v>
      </c>
      <c r="P709">
        <f>-1103.78538838557 -1405.27290277846 -306.81682516035</f>
        <v>-2815.8751163243805</v>
      </c>
      <c r="Q709">
        <f>-1190.11366672743 -1318.40571461532 -77.3749539948282</f>
        <v>-2585.894335337578</v>
      </c>
      <c r="R709">
        <f>-1168.01667687426 -1106.9722571955 -190.16314460916</f>
        <v>-2465.1520786789201</v>
      </c>
      <c r="S709" t="s">
        <v>11059</v>
      </c>
      <c r="T709" t="s">
        <v>11060</v>
      </c>
      <c r="U709" t="s">
        <v>11061</v>
      </c>
      <c r="V709">
        <f>-1075.68240366791 -1279.70562463786 -180.641675389011</f>
        <v>-2536.0297036947809</v>
      </c>
      <c r="W709" t="s">
        <v>11062</v>
      </c>
      <c r="X709" t="s">
        <v>11063</v>
      </c>
      <c r="Y709" t="s">
        <v>11064</v>
      </c>
    </row>
    <row r="710" spans="1:25" x14ac:dyDescent="0.3">
      <c r="A710">
        <v>35450</v>
      </c>
      <c r="B710" t="s">
        <v>11065</v>
      </c>
      <c r="C710">
        <f>-1114.13051286762 -1173.24318527312 -182.773652677151</f>
        <v>-2470.147350817891</v>
      </c>
      <c r="D710">
        <f>-1112.04557382909 -1181.0499953806 -303.614599510066</f>
        <v>-2596.710168719756</v>
      </c>
      <c r="E710">
        <f>-1080.38491359982 -1205.39119222607 -418.050957530853</f>
        <v>-2703.8270633567431</v>
      </c>
      <c r="F710">
        <f>-1040.4731113117 -1233.60870738471 -516.059476561233</f>
        <v>-2790.1412952576429</v>
      </c>
      <c r="G710">
        <f>-990.04738733745 -1267.73378058759 -607.095546555252</f>
        <v>-2864.8767144802919</v>
      </c>
      <c r="H710">
        <f>-909.737641211638 -1320.94799265652 -725.072614657635</f>
        <v>-2955.7582485257931</v>
      </c>
      <c r="I710">
        <f>-840.73371297695 -1337.69771281449 -798.154018870405</f>
        <v>-2976.585444661845</v>
      </c>
      <c r="J710">
        <f>-953.265325082201 -1271.75721435349 -689.87992507049</f>
        <v>-2914.9024645061813</v>
      </c>
      <c r="K710">
        <f>-979.558606181233 -1136.29143392299 -740.572145796771</f>
        <v>-2856.422185900994</v>
      </c>
      <c r="L710">
        <f>-1080.42994523327 -990.386428554269 -478.421742719054</f>
        <v>-2549.2381165065926</v>
      </c>
      <c r="M710">
        <f>-1082.78672454742 -875.250823351593 -245.225862403509</f>
        <v>-2203.2634103025221</v>
      </c>
      <c r="N710">
        <f>-937.279088962989 -1323.04743220425 -655.862849325751</f>
        <v>-2916.1893704929903</v>
      </c>
      <c r="O710">
        <f>-917.423428981323 -1433.54344939831 -560.777809307183</f>
        <v>-2911.7446876868162</v>
      </c>
      <c r="P710">
        <f>-1108.97913447763 -1394.55035097726 -311.835788565684</f>
        <v>-2815.3652740205744</v>
      </c>
      <c r="Q710">
        <f>-1226.99552901452 -1320.91248321747 -92.0822457575861</f>
        <v>-2639.9902579895761</v>
      </c>
      <c r="R710">
        <f>-1156.71231049726 -1085.1902148428 -189.299574358356</f>
        <v>-2431.2020996984161</v>
      </c>
      <c r="S710" t="s">
        <v>11066</v>
      </c>
      <c r="T710" t="s">
        <v>11067</v>
      </c>
      <c r="U710" t="s">
        <v>11068</v>
      </c>
      <c r="V710">
        <f>-1070.2002504008 -1262.13272971151 -175.432843259573</f>
        <v>-2507.765823371883</v>
      </c>
      <c r="W710" t="s">
        <v>11069</v>
      </c>
      <c r="X710" t="s">
        <v>11070</v>
      </c>
      <c r="Y710" t="s">
        <v>11071</v>
      </c>
    </row>
    <row r="711" spans="1:25" x14ac:dyDescent="0.3">
      <c r="A711">
        <v>35500</v>
      </c>
      <c r="B711" t="s">
        <v>11072</v>
      </c>
      <c r="C711">
        <f>-1103.7097054696 -1169.17319196046 -177.677346478357</f>
        <v>-2450.5602439084169</v>
      </c>
      <c r="D711">
        <f>-1100.71695377658 -1177.46966927214 -298.466401428902</f>
        <v>-2576.6530244776222</v>
      </c>
      <c r="E711">
        <f>-1067.93757342754 -1201.67047626538 -412.617221117185</f>
        <v>-2682.225270810105</v>
      </c>
      <c r="F711">
        <f>-1026.92918420855 -1229.47784551843 -510.28968825256</f>
        <v>-2766.6967179795402</v>
      </c>
      <c r="G711">
        <f>-975.321978479241 -1262.89494562753 -600.925412898711</f>
        <v>-2839.1423370054817</v>
      </c>
      <c r="H711">
        <f>-893.28122397656 -1314.80629568882 -718.290398077358</f>
        <v>-2926.3779177427382</v>
      </c>
      <c r="I711">
        <f>-824.634641063833 -1329.69858369716 -792.106712713809</f>
        <v>-2946.4399374748023</v>
      </c>
      <c r="J711">
        <f>-937.122094540083 -1265.88611371329 -683.109360414852</f>
        <v>-2886.1175686682245</v>
      </c>
      <c r="K711">
        <f>-962.216076111156 -1129.59353377923 -732.487178701547</f>
        <v>-2824.2967885919334</v>
      </c>
      <c r="L711">
        <f>-1066.41490058334 -986.00002695006 -470.361765374924</f>
        <v>-2522.7766929083241</v>
      </c>
      <c r="M711">
        <f>-1073.80226543637 -871.685163829913 -236.867557817476</f>
        <v>-2182.3549870837592</v>
      </c>
      <c r="N711">
        <f>-922.04133668427 -1317.78814279904 -649.610797214129</f>
        <v>-2889.440276697439</v>
      </c>
      <c r="O711">
        <f>-904.593685466159 -1430.38544347913 -556.725566928285</f>
        <v>-2891.7046958735737</v>
      </c>
      <c r="P711">
        <f>-1102.909397511 -1396.02662337374 -312.437764671575</f>
        <v>-2811.3737855563149</v>
      </c>
      <c r="Q711">
        <f>-1229.95812551679 -1329.8540517261 -95.3620369978206</f>
        <v>-2655.1742142407106</v>
      </c>
      <c r="R711">
        <f>-1144.22897479001 -1079.86050528211 -185.156043694048</f>
        <v>-2409.2455237661679</v>
      </c>
      <c r="S711" t="s">
        <v>11073</v>
      </c>
      <c r="T711" t="s">
        <v>11074</v>
      </c>
      <c r="U711" t="s">
        <v>11075</v>
      </c>
      <c r="V711">
        <f>-1060.62134355651 -1260.46373188217 -169.321211467977</f>
        <v>-2490.406286906657</v>
      </c>
      <c r="W711" t="s">
        <v>11076</v>
      </c>
      <c r="X711" t="s">
        <v>11077</v>
      </c>
      <c r="Y711" t="s">
        <v>11078</v>
      </c>
    </row>
    <row r="712" spans="1:25" x14ac:dyDescent="0.3">
      <c r="A712">
        <v>35550</v>
      </c>
      <c r="B712" t="s">
        <v>11079</v>
      </c>
      <c r="C712">
        <f>-1089.52381418181 -1161.76120309477 -153.082150937283</f>
        <v>-2404.3671682138634</v>
      </c>
      <c r="D712">
        <f>-1087.27215206979 -1174.03869118047 -273.547992389506</f>
        <v>-2534.8588356397663</v>
      </c>
      <c r="E712">
        <f>-1053.7658613441 -1198.29373508957 -387.475837781607</f>
        <v>-2639.5354342152768</v>
      </c>
      <c r="F712">
        <f>-1011.56356020029 -1224.74221137636 -485.017199298803</f>
        <v>-2721.3229708754529</v>
      </c>
      <c r="G712">
        <f>-958.270672735302 -1255.52518874425 -575.610330755376</f>
        <v>-2789.4061922349283</v>
      </c>
      <c r="H712">
        <f>-873.418898352095 -1302.58472199724 -693.022396035543</f>
        <v>-2869.0260163848779</v>
      </c>
      <c r="I712">
        <f>-805.240433024451 -1313.94077545411 -767.893705271789</f>
        <v>-2887.0749137503499</v>
      </c>
      <c r="J712">
        <f>-917.242680141094 -1254.6646362507 -656.470249302822</f>
        <v>-2828.3775656946159</v>
      </c>
      <c r="K712">
        <f>-936.948403032728 -1115.00177345303 -698.094008582142</f>
        <v>-2750.0441850678999</v>
      </c>
      <c r="L712">
        <f>-1049.56228112836 -976.268447933067 -436.832942156263</f>
        <v>-2462.6636712176901</v>
      </c>
      <c r="M712">
        <f>-1068.37091451694 -865.372724029609 -202.332509996244</f>
        <v>-2136.0761485427929</v>
      </c>
      <c r="N712">
        <f>-904.683635558892 -1308.86006619151 -625.672205960358</f>
        <v>-2839.2159077107599</v>
      </c>
      <c r="O712">
        <f>-892.74679936989 -1428.70036063914 -541.279273964362</f>
        <v>-2862.726433973392</v>
      </c>
      <c r="P712">
        <f>-1097.80265941855 -1408.26714444636 -301.027849552866</f>
        <v>-2807.0976534177757</v>
      </c>
      <c r="Q712">
        <f>-1226.03271554932 -1353.13640603889 -81.5746546308575</f>
        <v>-2660.7437762190675</v>
      </c>
      <c r="R712">
        <f>-1128.13717855117 -1071.90482576663 -163.040722387907</f>
        <v>-2363.082726705707</v>
      </c>
      <c r="S712" t="s">
        <v>11080</v>
      </c>
      <c r="T712" t="s">
        <v>11081</v>
      </c>
      <c r="U712" t="s">
        <v>11082</v>
      </c>
      <c r="V712">
        <f>-1052.93365790704 -1251.72361414842 -141.844000482819</f>
        <v>-2446.501272538279</v>
      </c>
      <c r="W712" t="s">
        <v>11083</v>
      </c>
      <c r="X712" t="s">
        <v>11084</v>
      </c>
      <c r="Y712" t="s">
        <v>11085</v>
      </c>
    </row>
    <row r="713" spans="1:25" x14ac:dyDescent="0.3">
      <c r="A713">
        <v>35600</v>
      </c>
      <c r="B713" t="s">
        <v>11086</v>
      </c>
      <c r="C713">
        <f>-1084.12730600365 -1155.32783315342 -135.293948899625</f>
        <v>-2374.7490880566947</v>
      </c>
      <c r="D713">
        <f>-1084.04971856481 -1169.28264982137 -255.597973929041</f>
        <v>-2508.930342315221</v>
      </c>
      <c r="E713">
        <f>-1051.28127166903 -1192.81624383383 -369.891401577656</f>
        <v>-2613.9889170805159</v>
      </c>
      <c r="F713">
        <f>-1009.18439568188 -1217.78665913994 -467.866771476597</f>
        <v>-2694.837826298417</v>
      </c>
      <c r="G713">
        <f>-955.471613117721 -1246.36409222898 -558.933325669596</f>
        <v>-2760.769031016297</v>
      </c>
      <c r="H713">
        <f>-869.53400044068 -1289.69629530016 -676.988585679286</f>
        <v>-2836.2188814201263</v>
      </c>
      <c r="I713">
        <f>-801.96269469097 -1298.85293619542 -752.706831372392</f>
        <v>-2853.5224622587821</v>
      </c>
      <c r="J713">
        <f>-913.382133825452 -1242.7912755756 -639.170791458999</f>
        <v>-2795.3442008600505</v>
      </c>
      <c r="K713">
        <f>-931.419812850247 -1101.29871913352 -674.63547442431</f>
        <v>-2707.3540064080771</v>
      </c>
      <c r="L713">
        <f>-1046.52684265481 -965.716637930307 -412.807164450756</f>
        <v>-2425.050645035873</v>
      </c>
      <c r="M713">
        <f>-1072.8038540279 -855.949676482626 -178.493681055321</f>
        <v>-2107.247211565847</v>
      </c>
      <c r="N713">
        <f>-901.735326586147 -1298.25501013806 -610.334696335833</f>
        <v>-2810.3250330600399</v>
      </c>
      <c r="O713">
        <f>-892.3034173126 -1421.7871052635 -531.033051286656</f>
        <v>-2845.1235738627556</v>
      </c>
      <c r="P713">
        <f>-1097.70798333378 -1413.41078796914 -290.356957548817</f>
        <v>-2801.4757288517371</v>
      </c>
      <c r="Q713">
        <f>-1219.08905652233 -1363.02913207585 -65.9234572041381</f>
        <v>-2648.0416458023183</v>
      </c>
      <c r="R713">
        <f>-1123.42187199703 -1066.00769566518 -145.402747125095</f>
        <v>-2334.8323147873052</v>
      </c>
      <c r="S713" t="s">
        <v>11087</v>
      </c>
      <c r="T713" t="s">
        <v>11088</v>
      </c>
      <c r="U713" t="s">
        <v>11089</v>
      </c>
      <c r="V713">
        <f>-1046.16411415186 -1244.55718291407 -125.214459639282</f>
        <v>-2415.935756705212</v>
      </c>
      <c r="W713" t="s">
        <v>11090</v>
      </c>
      <c r="X713" t="s">
        <v>11091</v>
      </c>
      <c r="Y713" t="s">
        <v>11092</v>
      </c>
    </row>
    <row r="714" spans="1:25" x14ac:dyDescent="0.3">
      <c r="A714">
        <v>35650</v>
      </c>
      <c r="B714" t="s">
        <v>11093</v>
      </c>
      <c r="C714">
        <f>-1076.60194731009 -1129.49479863279 -102.895011838626</f>
        <v>-2308.9917577815063</v>
      </c>
      <c r="D714">
        <f>-1081.76645122484 -1143.61107142916 -223.069348850147</f>
        <v>-2448.4468715041471</v>
      </c>
      <c r="E714">
        <f>-1051.59233789466 -1163.23281382533 -338.806548489653</f>
        <v>-2553.6317002096425</v>
      </c>
      <c r="F714">
        <f>-1010.71490825936 -1183.21694243325 -438.428374074027</f>
        <v>-2632.3602247666372</v>
      </c>
      <c r="G714">
        <f>-957.118390529307 -1205.5002492574 -531.303006241461</f>
        <v>-2693.9216460281677</v>
      </c>
      <c r="H714">
        <f>-870.244432078102 -1238.86105095185 -651.884985341017</f>
        <v>-2760.9904683709692</v>
      </c>
      <c r="I714">
        <f>-805.339630466728 -1242.50701402269 -730.35175251022</f>
        <v>-2778.1983969996381</v>
      </c>
      <c r="J714">
        <f>-914.93046090041 -1195.50345036829 -610.943579062801</f>
        <v>-2721.3774903315011</v>
      </c>
      <c r="K714">
        <f>-935.468812608605 -1052.11799922316 -636.043272856876</f>
        <v>-2623.6300846886411</v>
      </c>
      <c r="L714">
        <f>-1048.85537364233 -930.313126968992 -366.797626071902</f>
        <v>-2345.966126683224</v>
      </c>
      <c r="M714">
        <f>-1094.61284076638 -821.534765649162 -135.031287094391</f>
        <v>-2051.178893509933</v>
      </c>
      <c r="N714">
        <f>-902.436489744546 -1252.6963986193 -586.118908495688</f>
        <v>-2741.2517968595339</v>
      </c>
      <c r="O714">
        <f>-893.627878093527 -1381.22838876622 -515.373090477396</f>
        <v>-2790.229357337143</v>
      </c>
      <c r="P714">
        <f>-1096.86121309517 -1399.61823926483 -273.413969728887</f>
        <v>-2769.8934220888868</v>
      </c>
      <c r="Q714">
        <f>-1198.52356069867 -1360.31723961691 -37.2736679595902</f>
        <v>-2596.1144682751701</v>
      </c>
      <c r="R714">
        <f>-1116.62916159557 -1041.11148901186 -110.259839844822</f>
        <v>-2268.0004904522521</v>
      </c>
      <c r="S714" t="s">
        <v>11094</v>
      </c>
      <c r="T714" t="s">
        <v>11095</v>
      </c>
      <c r="U714" t="s">
        <v>11096</v>
      </c>
      <c r="V714">
        <f>-1039.12579220233 -1216.94022121806 -94.8535834146325</f>
        <v>-2350.9195968350223</v>
      </c>
      <c r="W714" t="s">
        <v>11097</v>
      </c>
      <c r="X714" t="s">
        <v>11098</v>
      </c>
      <c r="Y714" t="s">
        <v>11099</v>
      </c>
    </row>
    <row r="715" spans="1:25" x14ac:dyDescent="0.3">
      <c r="A715">
        <v>35700</v>
      </c>
      <c r="B715" t="s">
        <v>11100</v>
      </c>
      <c r="C715">
        <f>-1077.59231162321 -1107.41450935348 -91.0276759160458</f>
        <v>-2276.0344968927357</v>
      </c>
      <c r="D715">
        <f>-1083.67237584111 -1120.49507017372 -211.276372194372</f>
        <v>-2415.4438182092017</v>
      </c>
      <c r="E715">
        <f>-1054.42665322257 -1137.49160957893 -327.665165757358</f>
        <v>-2519.5834285588576</v>
      </c>
      <c r="F715">
        <f>-1014.32879673745 -1154.51276969191 -428.150453122636</f>
        <v>-2596.9920195519962</v>
      </c>
      <c r="G715">
        <f>-961.406960289062 -1173.29051702095 -522.179876978817</f>
        <v>-2656.8773542888289</v>
      </c>
      <c r="H715">
        <f>-875.318791030685 -1201.26167912149 -644.680606219099</f>
        <v>-2721.2610763712742</v>
      </c>
      <c r="I715">
        <f>-812.369006548373 -1201.82557220537 -724.805578734273</f>
        <v>-2739.0001574880162</v>
      </c>
      <c r="J715">
        <f>-920.523730504253 -1160.13585971364 -602.041453620888</f>
        <v>-2682.7010438387806</v>
      </c>
      <c r="K715">
        <f>-944.322548919694 -1016.65119038413 -623.446067371547</f>
        <v>-2584.4198066753711</v>
      </c>
      <c r="L715">
        <f>-1055.99761060136 -903.04593648153 -349.934240471233</f>
        <v>-2308.9777875541231</v>
      </c>
      <c r="M715">
        <f>-1110.37521820513 -797.415170472525 -118.574622263634</f>
        <v>-2026.365010941289</v>
      </c>
      <c r="N715">
        <f>-906.296539900435 -1217.63472297906 -578.914314194283</f>
        <v>-2702.8455770737783</v>
      </c>
      <c r="O715">
        <f>-893.589156472723 -1347.4306513199 -511.008898647177</f>
        <v>-2752.0287064397999</v>
      </c>
      <c r="P715">
        <f>-1091.58567565489 -1376.40725550165 -265.76633070424</f>
        <v>-2733.75926186078</v>
      </c>
      <c r="Q715">
        <f>-1184.86524024608 -1346.53177016034 -24.8339171128409</f>
        <v>-2556.2309275192611</v>
      </c>
      <c r="R715">
        <f>-1118.0917582784 -1018.86934715687 -97.5128344463885</f>
        <v>-2234.4739398816582</v>
      </c>
      <c r="S715" t="s">
        <v>11101</v>
      </c>
      <c r="T715" t="s">
        <v>11102</v>
      </c>
      <c r="U715" t="s">
        <v>11103</v>
      </c>
      <c r="V715">
        <f>-1039.33453633541 -1194.06853618458 -83.4208652241491</f>
        <v>-2316.8239377441391</v>
      </c>
      <c r="W715" t="s">
        <v>11104</v>
      </c>
      <c r="X715" t="s">
        <v>11105</v>
      </c>
      <c r="Y715" t="s">
        <v>11106</v>
      </c>
    </row>
    <row r="716" spans="1:25" x14ac:dyDescent="0.3">
      <c r="A716">
        <v>35750</v>
      </c>
      <c r="B716" t="s">
        <v>11107</v>
      </c>
      <c r="C716">
        <f>-1087.39903601733 -1035.95001355444 -82.9065056479571</f>
        <v>-2206.2555552197268</v>
      </c>
      <c r="D716">
        <f>-1094.63885265844 -1044.53731168424 -203.495182294024</f>
        <v>-2342.6713466367037</v>
      </c>
      <c r="E716">
        <f>-1068.18208688018 -1055.9429968161 -321.225825575402</f>
        <v>-2445.3509092716818</v>
      </c>
      <c r="F716">
        <f>-1031.10722990575 -1067.47321741625 -423.633824478914</f>
        <v>-2522.214271800914</v>
      </c>
      <c r="G716">
        <f>-981.564156845909 -1080.34321136095 -520.456810509494</f>
        <v>-2582.3641787163529</v>
      </c>
      <c r="H716">
        <f>-900.386829485027 -1099.68911469159 -647.877152929554</f>
        <v>-2647.9530971061708</v>
      </c>
      <c r="I716">
        <f>-841.664790893473 -1095.28308724335 -731.035507011548</f>
        <v>-2667.9833851483709</v>
      </c>
      <c r="J716">
        <f>-945.712060626275 -1062.56917850849 -601.82672790771</f>
        <v>-2610.1079670424751</v>
      </c>
      <c r="K716">
        <f>-978.882336919177 -920.269291792497 -618.406547195254</f>
        <v>-2517.5581759069282</v>
      </c>
      <c r="L716">
        <f>-1087.13388139355 -827.164602554416 -335.91880448284</f>
        <v>-2250.2172884308061</v>
      </c>
      <c r="M716">
        <f>-1149.8931538955 -734.624845686339 -101.100336357148</f>
        <v>-1985.618335938987</v>
      </c>
      <c r="N716">
        <f>-926.898499604471 -1119.68913722174 -581.168546936051</f>
        <v>-2627.756183762262</v>
      </c>
      <c r="O716">
        <f>-902.938870485441 -1249.86795813106 -517.284542949461</f>
        <v>-2670.0913715659622</v>
      </c>
      <c r="P716">
        <f>-1082.65173582521 -1299.17167507739 -261.43573406729</f>
        <v>-2643.2591449698898</v>
      </c>
      <c r="Q716">
        <f>-1159.34793279975 -1287.5292060314 -13.1935448228703</f>
        <v>-2460.0706836540198</v>
      </c>
      <c r="R716">
        <f>-1131.84190966514 -948.143649762404 -86.2527823729592</f>
        <v>-2166.2383418005033</v>
      </c>
      <c r="S716" t="s">
        <v>11108</v>
      </c>
      <c r="T716" t="s">
        <v>11109</v>
      </c>
      <c r="U716" t="s">
        <v>11110</v>
      </c>
      <c r="V716">
        <f>-1045.85396809292 -1120.46311369478 -79.1306722626179</f>
        <v>-2245.4477540503176</v>
      </c>
      <c r="W716" t="s">
        <v>11111</v>
      </c>
      <c r="X716" t="s">
        <v>11112</v>
      </c>
      <c r="Y716" t="s">
        <v>11113</v>
      </c>
    </row>
    <row r="717" spans="1:25" x14ac:dyDescent="0.3">
      <c r="A717">
        <v>35800</v>
      </c>
      <c r="B717" t="s">
        <v>11114</v>
      </c>
      <c r="C717">
        <f>-1093.39023197921 -989.860890151262 -83.4585622605999</f>
        <v>-2166.7096843910722</v>
      </c>
      <c r="D717">
        <f>-1099.58211354548 -996.173479390719 -204.246051167952</f>
        <v>-2300.0016441041507</v>
      </c>
      <c r="E717">
        <f>-1074.17206034496 -1005.2443004176 -322.409602493142</f>
        <v>-2401.8259632557019</v>
      </c>
      <c r="F717">
        <f>-1038.80094372437 -1014.57440958965 -425.640777222537</f>
        <v>-2479.0161305365568</v>
      </c>
      <c r="G717">
        <f>-991.612474022001 -1025.12129733108 -523.910116144798</f>
        <v>-2540.6438874978789</v>
      </c>
      <c r="H717">
        <f>-914.262099145125 -1041.08013471188 -654.149212172875</f>
        <v>-2609.4914460298796</v>
      </c>
      <c r="I717">
        <f>-857.823645931701 -1034.7930109216 -738.755262566684</f>
        <v>-2631.3719194199848</v>
      </c>
      <c r="J717">
        <f>-959.157822978774 -1005.71952375876 -606.327443234641</f>
        <v>-2571.2047899721751</v>
      </c>
      <c r="K717">
        <f>-997.602751809891 -864.498365780183 -620.612941459102</f>
        <v>-2482.7140590491758</v>
      </c>
      <c r="L717">
        <f>-1103.78169970788 -782.267056852322 -333.99427845898</f>
        <v>-2220.0430350191818</v>
      </c>
      <c r="M717">
        <f>-1166.41337282775 -699.249835352522 -95.6092638033053</f>
        <v>-1961.2724719835774</v>
      </c>
      <c r="N717">
        <f>-937.816624284208 -1062.31809812564 -586.717460672971</f>
        <v>-2586.852183082819</v>
      </c>
      <c r="O717">
        <f>-907.330685001627 -1192.08941942598 -524.668480029113</f>
        <v>-2624.0885844567201</v>
      </c>
      <c r="P717">
        <f>-1074.73554958718 -1249.46901787439 -262.2386720616</f>
        <v>-2586.4432395231702</v>
      </c>
      <c r="Q717">
        <f>-1141.47347723484 -1244.44979266761 -10.9163703318459</f>
        <v>-2396.8396402342955</v>
      </c>
      <c r="R717">
        <f>-1138.25185608802 -902.761354311062 -85.7245150526736</f>
        <v>-2126.7377254517555</v>
      </c>
      <c r="S717" t="s">
        <v>11115</v>
      </c>
      <c r="T717" t="s">
        <v>11116</v>
      </c>
      <c r="U717" t="s">
        <v>11117</v>
      </c>
      <c r="V717">
        <f>-1048.47769190323 -1074.28985167306 -81.4469480151602</f>
        <v>-2204.21449159145</v>
      </c>
      <c r="W717" t="s">
        <v>11118</v>
      </c>
      <c r="X717" t="s">
        <v>11119</v>
      </c>
      <c r="Y717" t="s">
        <v>11120</v>
      </c>
    </row>
    <row r="718" spans="1:25" x14ac:dyDescent="0.3">
      <c r="A718">
        <v>35850</v>
      </c>
      <c r="B718" t="s">
        <v>11121</v>
      </c>
      <c r="C718">
        <f>-1099.93445486625 -903.298332324025 -92.4421657323931</f>
        <v>-2095.6749529226681</v>
      </c>
      <c r="D718">
        <f>-1107.16156163591 -909.095728741034 -213.19799434235</f>
        <v>-2229.455284719294</v>
      </c>
      <c r="E718">
        <f>-1085.48834627207 -915.128627506355 -332.296389418515</f>
        <v>-2332.9133631969398</v>
      </c>
      <c r="F718">
        <f>-1054.43151735676 -920.55692585791 -437.181378465671</f>
        <v>-2412.1698216803411</v>
      </c>
      <c r="G718">
        <f>-1012.34041435614 -925.987030009228 -538.145369001002</f>
        <v>-2476.4728133663698</v>
      </c>
      <c r="H718">
        <f>-942.723646881348 -933.52013548938 -673.410846670565</f>
        <v>-2549.654629041293</v>
      </c>
      <c r="I718">
        <f>-890.933692842643 -922.12786445957 -760.422351522974</f>
        <v>-2573.483908825187</v>
      </c>
      <c r="J718">
        <f>-986.958911961013 -902.635709859967 -622.007401465467</f>
        <v>-2511.6020232864471</v>
      </c>
      <c r="K718">
        <f>-1036.65690498455 -764.708440837048 -632.034472885916</f>
        <v>-2433.399818707514</v>
      </c>
      <c r="L718">
        <f>-1138.29389399059 -703.94115645751 -338.498446175565</f>
        <v>-2180.7334966236649</v>
      </c>
      <c r="M718">
        <f>-1195.39697980423 -637.354564127216 -93.6566118802006</f>
        <v>-1926.4081558116468</v>
      </c>
      <c r="N718">
        <f>-960.094909326047 -957.738253927515 -605.112696437405</f>
        <v>-2522.9458596909672</v>
      </c>
      <c r="O718">
        <f>-916.323196379871 -1085.06314135382 -545.854014812827</f>
        <v>-2547.2403525465179</v>
      </c>
      <c r="P718">
        <f>-1055.53198505766 -1155.9761928178 -270.575237944064</f>
        <v>-2482.0834158195244</v>
      </c>
      <c r="Q718">
        <f>-1100.18213239241 -1160.33598322903 -14.3928025075713</f>
        <v>-2274.9109181290114</v>
      </c>
      <c r="R718">
        <f>-1148.55323769878 -819.268105868547 -94.9994271554208</f>
        <v>-2062.820770722748</v>
      </c>
      <c r="S718" t="s">
        <v>11122</v>
      </c>
      <c r="T718" t="s">
        <v>11123</v>
      </c>
      <c r="U718" t="s">
        <v>11124</v>
      </c>
      <c r="V718">
        <f>-1051.38586252124 -991.282200173948 -89.7257603524153</f>
        <v>-2132.3938230476033</v>
      </c>
      <c r="W718" t="s">
        <v>11125</v>
      </c>
      <c r="X718" t="s">
        <v>11126</v>
      </c>
      <c r="Y718" t="s">
        <v>11127</v>
      </c>
    </row>
    <row r="719" spans="1:25" x14ac:dyDescent="0.3">
      <c r="A719">
        <v>35900</v>
      </c>
      <c r="B719" t="s">
        <v>11128</v>
      </c>
      <c r="C719">
        <f>-1098.91134094127 -868.233790086935 -108.341796978288</f>
        <v>-2075.4869280064931</v>
      </c>
      <c r="D719">
        <f>-1103.55620424074 -872.51471409507 -229.287677126115</f>
        <v>-2205.3585954619248</v>
      </c>
      <c r="E719">
        <f>-1082.06863886904 -876.245650480215 -348.514099233284</f>
        <v>-2306.828388582539</v>
      </c>
      <c r="F719">
        <f>-1052.24835853834 -879.26094822815 -453.854028141814</f>
        <v>-2385.3633349083038</v>
      </c>
      <c r="G719">
        <f>-1012.38458632077 -881.943648000304 -555.827228735377</f>
        <v>-2450.155463056451</v>
      </c>
      <c r="H719">
        <f>-946.802128656528 -885.306127641682 -693.259410441568</f>
        <v>-2525.3676667397781</v>
      </c>
      <c r="I719">
        <f>-897.220460234086 -871.480539958443 -781.199814568035</f>
        <v>-2549.9008147605641</v>
      </c>
      <c r="J719">
        <f>-990.595106107914 -856.743179415709 -640.16298039092</f>
        <v>-2487.5012659145432</v>
      </c>
      <c r="K719">
        <f>-1045.36088348493 -720.512993215369 -648.318796795805</f>
        <v>-2414.1926734961039</v>
      </c>
      <c r="L719">
        <f>-1142.71078806152 -667.755219897999 -351.796018931741</f>
        <v>-2162.2620268912601</v>
      </c>
      <c r="M719">
        <f>-1196.2370286367 -607.259838680249 -104.576770729057</f>
        <v>-1908.073638046006</v>
      </c>
      <c r="N719">
        <f>-961.045603444169 -910.893604855036 -624.737046865849</f>
        <v>-2496.676255165054</v>
      </c>
      <c r="O719">
        <f>-910.44322658798 -1036.39897134056 -567.123173101087</f>
        <v>-2513.965371029627</v>
      </c>
      <c r="P719">
        <f>-1036.59933425779 -1111.27314286542 -286.65090026413</f>
        <v>-2434.5233773873401</v>
      </c>
      <c r="Q719">
        <f>-1070.00622578265 -1118.75180656166 -28.8330440049276</f>
        <v>-2217.5910763492375</v>
      </c>
      <c r="R719">
        <f>-1149.5668176545 -779.900892175784 -112.575837923806</f>
        <v>-2042.04354775409</v>
      </c>
      <c r="S719" t="s">
        <v>11129</v>
      </c>
      <c r="T719" t="s">
        <v>11130</v>
      </c>
      <c r="U719" t="s">
        <v>11131</v>
      </c>
      <c r="V719">
        <f>-1045.13752443677 -957.839447636918 -104.015021694237</f>
        <v>-2106.9919937679251</v>
      </c>
      <c r="W719" t="s">
        <v>11132</v>
      </c>
      <c r="X719" t="s">
        <v>11133</v>
      </c>
      <c r="Y719" t="s">
        <v>11134</v>
      </c>
    </row>
    <row r="720" spans="1:25" x14ac:dyDescent="0.3">
      <c r="A720">
        <v>35950</v>
      </c>
      <c r="B720" t="s">
        <v>11135</v>
      </c>
      <c r="C720">
        <f>-1082.04763670161 -788.05690534448 -136.51499400809</f>
        <v>-2006.6195360541801</v>
      </c>
      <c r="D720">
        <f>-1090.93624341145 -793.373918862147 -257.182096036708</f>
        <v>-2141.4922583103053</v>
      </c>
      <c r="E720">
        <f>-1073.96698592108 -794.795661934783 -377.184514855019</f>
        <v>-2245.9471627108824</v>
      </c>
      <c r="F720">
        <f>-1048.28435722071 -794.370785972472 -483.650713967837</f>
        <v>-2326.305857161019</v>
      </c>
      <c r="G720">
        <f>-1012.57356329414 -792.280680577659 -587.165097439399</f>
        <v>-2392.0193413111983</v>
      </c>
      <c r="H720">
        <f>-952.748575705841 -787.640584890526 -727.163128421015</f>
        <v>-2467.552289017382</v>
      </c>
      <c r="I720">
        <f>-906.396934943489 -769.359254927585 -816.046834579691</f>
        <v>-2491.803024450765</v>
      </c>
      <c r="J720">
        <f>-996.057139253985 -763.477037874047 -671.544698661751</f>
        <v>-2431.0788757897831</v>
      </c>
      <c r="K720">
        <f>-1061.39602933364 -631.761199691021 -674.300746026303</f>
        <v>-2367.4579750509638</v>
      </c>
      <c r="L720">
        <f>-1147.86843157444 -590.083415672979 -372.685583049855</f>
        <v>-2110.6374302972736</v>
      </c>
      <c r="M720">
        <f>-1192.656281678 -534.571272620711 -122.57661806787</f>
        <v>-1849.8041723665808</v>
      </c>
      <c r="N720">
        <f>-962.381433405085 -815.910377177697 -658.892048801407</f>
        <v>-2437.183859384189</v>
      </c>
      <c r="O720">
        <f>-900.923020839145 -938.307966848731 -605.50511188973</f>
        <v>-2444.7360995776062</v>
      </c>
      <c r="P720">
        <f>-1007.71491414174 -1017.85709922058 -318.357701272249</f>
        <v>-2343.9297146345689</v>
      </c>
      <c r="Q720">
        <f>-1015.87733926271 -1028.56000584087 -58.6253795567395</f>
        <v>-2103.0627246603194</v>
      </c>
      <c r="R720">
        <f>-1138.68961359856 -701.394714989401 -139.660048127192</f>
        <v>-1979.7443767151531</v>
      </c>
      <c r="S720" t="s">
        <v>11136</v>
      </c>
      <c r="T720" t="s">
        <v>11137</v>
      </c>
      <c r="U720" t="s">
        <v>11138</v>
      </c>
      <c r="V720">
        <f>-1023.80576030188 -872.727874258884 -130.667708866494</f>
        <v>-2027.2013434272578</v>
      </c>
      <c r="W720" t="s">
        <v>11139</v>
      </c>
      <c r="X720" t="s">
        <v>11140</v>
      </c>
      <c r="Y720" t="s">
        <v>11141</v>
      </c>
    </row>
    <row r="721" spans="1:25" x14ac:dyDescent="0.3">
      <c r="A721">
        <v>36000</v>
      </c>
      <c r="B721" t="s">
        <v>11142</v>
      </c>
      <c r="C721">
        <f>-1077.04669311209 -749.42621633175 -152.270530167279</f>
        <v>-1978.7434396111189</v>
      </c>
      <c r="D721">
        <f>-1087.82136171779 -755.242114938264 -272.760766167019</f>
        <v>-2115.8242428230733</v>
      </c>
      <c r="E721">
        <f>-1072.83359653074 -755.180158556038 -393.035009101578</f>
        <v>-2221.048764188356</v>
      </c>
      <c r="F721">
        <f>-1048.9550494312 -752.647864247462 -499.891347513083</f>
        <v>-2301.494261191745</v>
      </c>
      <c r="G721">
        <f>-1015.04694326192 -747.716267943258 -603.914272230664</f>
        <v>-2366.6774834358421</v>
      </c>
      <c r="H721">
        <f>-957.716801835429 -738.393448552162 -744.720302505471</f>
        <v>-2440.8305528930618</v>
      </c>
      <c r="I721">
        <f>-912.689350256038 -717.577448870882 -833.727134510766</f>
        <v>-2463.993933637686</v>
      </c>
      <c r="J721">
        <f>-1000.70003435029 -716.620221195583 -687.875961641156</f>
        <v>-2405.1962171870291</v>
      </c>
      <c r="K721">
        <f>-1069.40765640966 -586.641401895535 -687.136835785831</f>
        <v>-2343.1858940910261</v>
      </c>
      <c r="L721">
        <f>-1151.7278595494 -548.85570413754 -383.851802351257</f>
        <v>-2084.4353660381967</v>
      </c>
      <c r="M721">
        <f>-1191.21088801961 -492.790677104091 -132.973595687691</f>
        <v>-1816.9751608113918</v>
      </c>
      <c r="N721">
        <f>-965.46720565437 -768.416836497551 -676.960182900411</f>
        <v>-2410.8442250523321</v>
      </c>
      <c r="O721">
        <f>-899.551720947619 -889.830706460629 -626.400789797519</f>
        <v>-2415.783217205767</v>
      </c>
      <c r="P721">
        <f>-999.63780930112 -970.23270325141 -337.083488453807</f>
        <v>-2306.954001006337</v>
      </c>
      <c r="Q721">
        <f>-994.81103460014 -979.02034967432 -77.1959288333438</f>
        <v>-2051.0273131078038</v>
      </c>
      <c r="R721">
        <f>-1135.45771282571 -668.302642172084 -153.298971521128</f>
        <v>-1957.0593265189218</v>
      </c>
      <c r="S721" t="s">
        <v>11143</v>
      </c>
      <c r="T721" t="s">
        <v>11144</v>
      </c>
      <c r="U721" t="s">
        <v>11145</v>
      </c>
      <c r="V721">
        <f>-1018.17817737388 -827.493812054871 -150.476615742086</f>
        <v>-1996.1486051708371</v>
      </c>
      <c r="W721" t="s">
        <v>11146</v>
      </c>
      <c r="X721" t="s">
        <v>11147</v>
      </c>
      <c r="Y721" t="s">
        <v>11148</v>
      </c>
    </row>
    <row r="722" spans="1:25" x14ac:dyDescent="0.3">
      <c r="A722">
        <v>36050</v>
      </c>
      <c r="B722" t="s">
        <v>11149</v>
      </c>
      <c r="C722">
        <f>-1070.32369595542 -687.57949129936 -179.488568779742</f>
        <v>-1937.3917560345219</v>
      </c>
      <c r="D722">
        <f>-1081.05798610044 -691.871679657821 -300.046247584325</f>
        <v>-2072.975913342586</v>
      </c>
      <c r="E722">
        <f>-1067.47175906367 -687.574036384851 -420.410352298079</f>
        <v>-2175.4561477466</v>
      </c>
      <c r="F722">
        <f>-1045.3888813095 -680.264477097592 -527.432609270405</f>
        <v>-2253.0859676774971</v>
      </c>
      <c r="G722">
        <f>-1013.75683882141 -669.70897164451 -631.753502867521</f>
        <v>-2315.2193133334413</v>
      </c>
      <c r="H722">
        <f>-960.043618654557 -651.778462914578 -773.151433072291</f>
        <v>-2384.9735146414259</v>
      </c>
      <c r="I722">
        <f>-916.727052264054 -626.213120615332 -861.769074113467</f>
        <v>-2404.709246992853</v>
      </c>
      <c r="J722">
        <f>-1002.38793347038 -634.195362319759 -714.408827332406</f>
        <v>-2350.9921231225449</v>
      </c>
      <c r="K722">
        <f>-1075.08479646687 -506.476393539101 -707.315376449708</f>
        <v>-2288.876566455679</v>
      </c>
      <c r="L722">
        <f>-1151.74632800241 -471.519087796119 -402.213410961534</f>
        <v>-2025.4788267600632</v>
      </c>
      <c r="M722">
        <f>-1179.9388388595 -411.098789549911 -150.824018199394</f>
        <v>-1741.8616466088049</v>
      </c>
      <c r="N722">
        <f>-965.232185132798 -685.229002435014 -706.765717244793</f>
        <v>-2357.226904812605</v>
      </c>
      <c r="O722">
        <f>-893.245853050654 -805.772658187282 -663.302614139078</f>
        <v>-2362.3211253770137</v>
      </c>
      <c r="P722">
        <f>-982.130560138993 -892.562733467241 -372.178633839136</f>
        <v>-2246.8719274453701</v>
      </c>
      <c r="Q722">
        <f>-947.016705309091 -891.936846735242 -114.479782282537</f>
        <v>-1953.43333432687</v>
      </c>
      <c r="R722">
        <f>-1132.17394739495 -612.336574463382 -175.436527209907</f>
        <v>-1919.9470490682388</v>
      </c>
      <c r="S722" t="s">
        <v>11150</v>
      </c>
      <c r="T722" t="s">
        <v>11151</v>
      </c>
      <c r="U722" t="s">
        <v>11152</v>
      </c>
      <c r="V722">
        <f>-1009.38398199638 -764.61935695739 -182.350695350581</f>
        <v>-1956.354034304351</v>
      </c>
      <c r="W722" t="s">
        <v>11153</v>
      </c>
      <c r="X722" t="s">
        <v>11154</v>
      </c>
      <c r="Y722" t="s">
        <v>11155</v>
      </c>
    </row>
    <row r="723" spans="1:25" x14ac:dyDescent="0.3">
      <c r="A723">
        <v>36100</v>
      </c>
      <c r="B723" t="s">
        <v>11156</v>
      </c>
      <c r="C723">
        <f>-1065.39929318836 -660.254531576714 -188.782943801711</f>
        <v>-1914.4367685667851</v>
      </c>
      <c r="D723">
        <f>-1075.06879745853 -664.254474914081 -309.440738908016</f>
        <v>-2048.7640112806271</v>
      </c>
      <c r="E723">
        <f>-1061.81854750611 -658.542974283653 -429.783511727981</f>
        <v>-2150.1450335177442</v>
      </c>
      <c r="F723">
        <f>-1040.56501586607 -649.572969982439 -536.847380982037</f>
        <v>-2226.9853668305459</v>
      </c>
      <c r="G723">
        <f>-1010.24848022415 -637.020987029926 -641.337701029958</f>
        <v>-2288.6071682840338</v>
      </c>
      <c r="H723">
        <f>-958.828965258977 -616.005930338534 -783.1629388691</f>
        <v>-2357.997834466611</v>
      </c>
      <c r="I723">
        <f>-916.298454539404 -588.714080188717 -871.64620002792</f>
        <v>-2376.6587347560408</v>
      </c>
      <c r="J723">
        <f>-1000.52160416502 -599.958824821886 -723.521260044402</f>
        <v>-2324.0016890313082</v>
      </c>
      <c r="K723">
        <f>-1074.66794621197 -473.354103309007 -713.494097129359</f>
        <v>-2261.5161466503359</v>
      </c>
      <c r="L723">
        <f>-1147.33327133223 -438.138666940541 -407.445404429931</f>
        <v>-1992.9173427027019</v>
      </c>
      <c r="M723">
        <f>-1170.26170088486 -374.783835629255 -156.243168689088</f>
        <v>-1701.2887052032029</v>
      </c>
      <c r="N723">
        <f>-962.639423927105 -650.650117568449 -717.298035990041</f>
        <v>-2330.5875774855949</v>
      </c>
      <c r="O723">
        <f>-888.407688930283 -771.166524520304 -677.360544161095</f>
        <v>-2336.9347576116825</v>
      </c>
      <c r="P723">
        <f>-972.165934226482 -863.311884787747 -386.362301495555</f>
        <v>-2221.8401205097839</v>
      </c>
      <c r="Q723">
        <f>-920.264944207954 -857.310782073116 -131.583325948093</f>
        <v>-1909.1590522291631</v>
      </c>
      <c r="R723">
        <f>-1128.86291891436 -586.591518267494 -184.066838168134</f>
        <v>-1899.5212753499882</v>
      </c>
      <c r="S723" t="s">
        <v>11157</v>
      </c>
      <c r="T723" t="s">
        <v>11158</v>
      </c>
      <c r="U723" t="s">
        <v>11159</v>
      </c>
      <c r="V723">
        <f>-1001.89276180736 -735.74703834947 -191.926056403589</f>
        <v>-1929.565856560419</v>
      </c>
      <c r="W723" t="s">
        <v>11160</v>
      </c>
      <c r="X723" t="s">
        <v>11161</v>
      </c>
      <c r="Y723" t="s">
        <v>11162</v>
      </c>
    </row>
    <row r="724" spans="1:25" x14ac:dyDescent="0.3">
      <c r="A724">
        <v>36150</v>
      </c>
      <c r="B724" t="s">
        <v>11163</v>
      </c>
      <c r="C724">
        <f>-1054.10478096383 -607.390067021633 -200.048181626097</f>
        <v>-1861.5430296115599</v>
      </c>
      <c r="D724">
        <f>-1062.68739720015 -611.839198458149 -320.772393045263</f>
        <v>-1995.2989887035619</v>
      </c>
      <c r="E724">
        <f>-1050.66924684294 -604.260367685158 -441.141402044291</f>
        <v>-2096.0710165723895</v>
      </c>
      <c r="F724">
        <f>-1031.37821322473 -592.761211796222 -548.33503745842</f>
        <v>-2172.4744624793721</v>
      </c>
      <c r="G724">
        <f>-1003.80092781939 -576.905942843459 -653.134672788877</f>
        <v>-2233.841543451726</v>
      </c>
      <c r="H724">
        <f>-956.928269265981 -550.552190307847 -795.642333701811</f>
        <v>-2303.1227932756392</v>
      </c>
      <c r="I724">
        <f>-916.100711035076 -520.513822268914 -884.037958917157</f>
        <v>-2320.652492221147</v>
      </c>
      <c r="J724">
        <f>-997.364944754863 -537.326052835657 -734.463316914127</f>
        <v>-2269.1543145046471</v>
      </c>
      <c r="K724">
        <f>-1074.05862159833 -412.919018348924 -719.013556818943</f>
        <v>-2205.9911967661974</v>
      </c>
      <c r="L724">
        <f>-1138.8686827629 -376.112274941769 -411.391961091323</f>
        <v>-1926.3729187959921</v>
      </c>
      <c r="M724">
        <f>-1151.36522507858 -305.497531261697 -161.39308279098</f>
        <v>-1618.2558391312571</v>
      </c>
      <c r="N724">
        <f>-957.970990501621 -587.099776816563 -730.710801669657</f>
        <v>-2275.7815689878412</v>
      </c>
      <c r="O724">
        <f>-879.359334907147 -706.71218488581 -696.611031718939</f>
        <v>-2282.6825515118958</v>
      </c>
      <c r="P724">
        <f>-954.6005958259 -810.292927796379 -407.135769472502</f>
        <v>-2172.0292930947808</v>
      </c>
      <c r="Q724">
        <f>-871.428820340067 -797.131025714674 -161.064016516985</f>
        <v>-1829.623862571726</v>
      </c>
      <c r="R724">
        <f>-1122.02951117265 -537.381239130028 -195.260301194992</f>
        <v>-1854.6710514976701</v>
      </c>
      <c r="S724" t="s">
        <v>11164</v>
      </c>
      <c r="T724" t="s">
        <v>11165</v>
      </c>
      <c r="U724" t="s">
        <v>11166</v>
      </c>
      <c r="V724">
        <f>-986.617026527091 -677.276041964241 -204.392431570679</f>
        <v>-1868.2855000620111</v>
      </c>
      <c r="W724" t="s">
        <v>11167</v>
      </c>
      <c r="X724" t="s">
        <v>11168</v>
      </c>
      <c r="Y724" t="s">
        <v>11169</v>
      </c>
    </row>
    <row r="725" spans="1:25" x14ac:dyDescent="0.3">
      <c r="A725">
        <v>36200</v>
      </c>
      <c r="B725" t="s">
        <v>11170</v>
      </c>
      <c r="C725">
        <f>-1048.37901454408 -580.863218466482 -202.497689059044</f>
        <v>-1831.7399220696059</v>
      </c>
      <c r="D725">
        <f>-1056.80450016035 -585.453034151823 -323.227683124002</f>
        <v>-1965.4852174361749</v>
      </c>
      <c r="E725">
        <f>-1045.38590904103 -576.989052364273 -443.596128714449</f>
        <v>-2065.9710901197518</v>
      </c>
      <c r="F725">
        <f>-1026.90145263066 -564.313420983953 -550.799097727173</f>
        <v>-2142.0139713417861</v>
      </c>
      <c r="G725">
        <f>-1000.36615794724 -546.93423835513 -655.626160906263</f>
        <v>-2202.9265572086329</v>
      </c>
      <c r="H725">
        <f>-955.161266158746 -518.126968909442 -798.197754065831</f>
        <v>-2271.4859891340188</v>
      </c>
      <c r="I725">
        <f>-915.143537874786 -486.881385312671 -886.545191422175</f>
        <v>-2288.5701146096321</v>
      </c>
      <c r="J725">
        <f>-995.227934460043 -506.249525283101 -736.500853432079</f>
        <v>-2237.9783131752229</v>
      </c>
      <c r="K725">
        <f>-1072.96441260989 -382.706607337576 -718.748481488964</f>
        <v>-2174.41950143643</v>
      </c>
      <c r="L725">
        <f>-1134.4153014843 -345.573044439398 -410.477369040215</f>
        <v>-1890.4657149639131</v>
      </c>
      <c r="M725">
        <f>-1141.65820311882 -271.317418715626 -161.327337542692</f>
        <v>-1574.302959377138</v>
      </c>
      <c r="N725">
        <f>-955.098118884815 -555.497037551139 -733.727691918075</f>
        <v>-2244.3228483540288</v>
      </c>
      <c r="O725">
        <f>-874.748389842174 -674.609281785941 -702.329714478794</f>
        <v>-2251.6873861069089</v>
      </c>
      <c r="P725">
        <f>-945.236270168648 -784.445116812082 -413.965766429072</f>
        <v>-2143.6471534098023</v>
      </c>
      <c r="Q725">
        <f>-849.614114497571 -768.208218706658 -172.646868789872</f>
        <v>-1790.469201994101</v>
      </c>
      <c r="R725">
        <f>-1118.59740698964 -512.380261999669 -198.159516347684</f>
        <v>-1829.1371853369928</v>
      </c>
      <c r="S725" t="s">
        <v>11171</v>
      </c>
      <c r="T725" t="s">
        <v>11172</v>
      </c>
      <c r="U725" t="s">
        <v>11173</v>
      </c>
      <c r="V725">
        <f>-978.543437555352 -649.074602678527 -206.950685180541</f>
        <v>-1834.5687254144202</v>
      </c>
      <c r="W725" t="s">
        <v>11174</v>
      </c>
      <c r="X725" t="s">
        <v>11175</v>
      </c>
      <c r="Y725" t="s">
        <v>11176</v>
      </c>
    </row>
    <row r="726" spans="1:25" x14ac:dyDescent="0.3">
      <c r="A726">
        <v>36250</v>
      </c>
      <c r="B726" t="s">
        <v>11177</v>
      </c>
      <c r="C726">
        <f>-1032.14533124505 -521.802683605861 -200.957858160007</f>
        <v>-1754.905873010918</v>
      </c>
      <c r="D726">
        <f>-1040.10818864694 -526.672011285526 -321.708312582409</f>
        <v>-1888.4885125148751</v>
      </c>
      <c r="E726">
        <f>-1029.44645415994 -516.720141162175 -442.032385927947</f>
        <v>-1988.1989812500619</v>
      </c>
      <c r="F726">
        <f>-1012.04564996723 -502.072987809576 -549.165589987407</f>
        <v>-2063.284227764213</v>
      </c>
      <c r="G726">
        <f>-986.930073204919 -482.164179691111 -653.892269594283</f>
        <v>-2122.9865224903128</v>
      </c>
      <c r="H726">
        <f>-943.99526800863 -449.321251146138 -796.293067940316</f>
        <v>-2189.609587095084</v>
      </c>
      <c r="I726">
        <f>-905.001519910553 -415.852281252774 -884.283417772266</f>
        <v>-2205.137218935593</v>
      </c>
      <c r="J726">
        <f>-983.948053854011 -439.95627026252 -734.091751024199</f>
        <v>-2157.9960751407298</v>
      </c>
      <c r="K726">
        <f>-1064.06684576335 -318.484714828714 -713.175109322096</f>
        <v>-2095.7266699141601</v>
      </c>
      <c r="L726">
        <f>-1118.87802707656 -279.959633064346 -403.824515831949</f>
        <v>-1802.662175972855</v>
      </c>
      <c r="M726">
        <f>-1116.44662488349 -200.100730557191 -156.319567969354</f>
        <v>-1472.8669234100348</v>
      </c>
      <c r="N726">
        <f>-942.037132124351 -487.7502336793 -732.47843092105</f>
        <v>-2162.265796724701</v>
      </c>
      <c r="O726">
        <f>-858.030707991679 -605.286290791751 -704.911651717444</f>
        <v>-2168.2286505008738</v>
      </c>
      <c r="P726">
        <f>-917.989063034636 -724.98510473601 -418.095576821383</f>
        <v>-2061.0697445920291</v>
      </c>
      <c r="Q726">
        <f>-806.857790566286 -700.843103676101 -184.195935088683</f>
        <v>-1691.89682933107</v>
      </c>
      <c r="R726">
        <f>-1106.51396882875 -456.878653383613 -197.505558692055</f>
        <v>-1760.898180904418</v>
      </c>
      <c r="S726" t="s">
        <v>11178</v>
      </c>
      <c r="T726" t="s">
        <v>11179</v>
      </c>
      <c r="U726" t="s">
        <v>11180</v>
      </c>
      <c r="V726">
        <f>-957.895322299089 -586.160344657708 -203.154347416342</f>
        <v>-1747.2100143731391</v>
      </c>
      <c r="W726" t="s">
        <v>11181</v>
      </c>
      <c r="X726" t="s">
        <v>11182</v>
      </c>
      <c r="Y726" t="s">
        <v>11183</v>
      </c>
    </row>
    <row r="727" spans="1:25" x14ac:dyDescent="0.3">
      <c r="A727">
        <v>36300</v>
      </c>
      <c r="B727" t="s">
        <v>11184</v>
      </c>
      <c r="C727">
        <f>-1021.05160371207 -489.062630487286 -197.537183715086</f>
        <v>-1707.6514179144419</v>
      </c>
      <c r="D727">
        <f>-1028.52587085628 -494.671731600888 -318.286773371865</f>
        <v>-1841.4843758290331</v>
      </c>
      <c r="E727">
        <f>-1018.02357466728 -484.512661826491 -438.607523581991</f>
        <v>-1941.143760075762</v>
      </c>
      <c r="F727">
        <f>-1000.96553597205 -469.345418675787 -545.723486474277</f>
        <v>-2016.034441122114</v>
      </c>
      <c r="G727">
        <f>-976.348957029367 -448.625563079329 -650.411232086828</f>
        <v>-2075.3857521955242</v>
      </c>
      <c r="H727">
        <f>-934.236064259362 -414.390703666073 -792.72956480632</f>
        <v>-2141.3563327317552</v>
      </c>
      <c r="I727">
        <f>-895.316434920258 -379.982750780799 -880.389954008345</f>
        <v>-2155.6891397094018</v>
      </c>
      <c r="J727">
        <f>-974.445877193575 -406.199178805898 -730.528374055178</f>
        <v>-2111.1734300546509</v>
      </c>
      <c r="K727">
        <f>-1056.82824244896 -286.296160504435 -708.990470940553</f>
        <v>-2052.1148738939482</v>
      </c>
      <c r="L727">
        <f>-1107.59302446976 -246.135513772907 -399.157874905515</f>
        <v>-1752.8864131481819</v>
      </c>
      <c r="M727">
        <f>-1101.41009194354 -164.321737356936 -152.357666391903</f>
        <v>-1418.0894956923789</v>
      </c>
      <c r="N727">
        <f>-931.293524669034 -452.877859673065 -728.987858388175</f>
        <v>-2113.1592427302739</v>
      </c>
      <c r="O727">
        <f>-844.569690071992 -568.550493650216 -702.343848469613</f>
        <v>-2115.4640321918209</v>
      </c>
      <c r="P727">
        <f>-899.759795177566 -691.533693282936 -415.960470348347</f>
        <v>-2007.2539588088489</v>
      </c>
      <c r="Q727">
        <f>-784.922535892019 -665.266300716394 -184.088856509491</f>
        <v>-1634.2776931179042</v>
      </c>
      <c r="R727">
        <f>-1098.28024048305 -428.141355402777 -194.78685257997</f>
        <v>-1721.2084484657969</v>
      </c>
      <c r="S727" t="s">
        <v>11185</v>
      </c>
      <c r="T727" t="s">
        <v>11186</v>
      </c>
      <c r="U727" t="s">
        <v>11187</v>
      </c>
      <c r="V727">
        <f>-943.703970619766 -549.154067370595 -198.7029884659</f>
        <v>-1691.5610264562611</v>
      </c>
      <c r="W727" t="s">
        <v>11188</v>
      </c>
      <c r="X727" t="s">
        <v>11189</v>
      </c>
      <c r="Y727" t="s">
        <v>11190</v>
      </c>
    </row>
    <row r="728" spans="1:25" x14ac:dyDescent="0.3">
      <c r="A728">
        <v>36350</v>
      </c>
      <c r="B728" t="s">
        <v>11191</v>
      </c>
      <c r="C728">
        <f>-996.802487357777 -422.256049637407 -185.925472671461</f>
        <v>-1604.9840096666449</v>
      </c>
      <c r="D728">
        <f>-1003.88451735328 -429.812703940573 -306.592595896082</f>
        <v>-1740.2898171899351</v>
      </c>
      <c r="E728">
        <f>-993.591605349311 -420.13548493297 -426.970996431727</f>
        <v>-1840.6980867140078</v>
      </c>
      <c r="F728">
        <f>-976.870438490276 -404.873975483737 -534.126728442562</f>
        <v>-1915.8711424165749</v>
      </c>
      <c r="G728">
        <f>-952.672920939864 -383.593871415587 -638.799823622665</f>
        <v>-1975.0666159781158</v>
      </c>
      <c r="H728">
        <f>-911.180177078918 -348.154564167624 -781.005541589102</f>
        <v>-2040.3402828356438</v>
      </c>
      <c r="I728">
        <f>-871.693401578736 -312.423059801429 -867.879163257075</f>
        <v>-2051.9956246372399</v>
      </c>
      <c r="J728">
        <f>-952.743655118228 -342.143166410703 -719.448522877278</f>
        <v>-2014.3353444062091</v>
      </c>
      <c r="K728">
        <f>-1042.62590991342 -227.589781939698 -699.049377321682</f>
        <v>-1969.2650691747999</v>
      </c>
      <c r="L728">
        <f>-1086.41840949152 -183.283294133666 -388.718447060193</f>
        <v>-1658.420150685379</v>
      </c>
      <c r="M728">
        <f>-1074.29116699704 -97.223642595957 -143.588436403083</f>
        <v>-1315.10324599608</v>
      </c>
      <c r="N728">
        <f>-906.335226685148 -385.527607942405 -716.719355862577</f>
        <v>-2008.58219049013</v>
      </c>
      <c r="O728">
        <f>-812.127200277327 -495.228633948816 -689.826162907161</f>
        <v>-1997.1819971333041</v>
      </c>
      <c r="P728">
        <f>-863.294971379532 -622.463794960684 -404.555584815114</f>
        <v>-1890.3143511553299</v>
      </c>
      <c r="Q728">
        <f>-744.758364795832 -586.528093596239 -175.864130710594</f>
        <v>-1507.150589102665</v>
      </c>
      <c r="R728">
        <f>-1080.45950876396 -372.796420063513 -183.970538059508</f>
        <v>-1637.2264668869809</v>
      </c>
      <c r="S728" t="s">
        <v>11192</v>
      </c>
      <c r="T728" t="s">
        <v>11193</v>
      </c>
      <c r="U728" t="s">
        <v>11194</v>
      </c>
      <c r="V728">
        <f>-913.881339985704 -472.747133478596 -186.318866098363</f>
        <v>-1572.947339562663</v>
      </c>
      <c r="W728" t="s">
        <v>11195</v>
      </c>
      <c r="X728" t="s">
        <v>11196</v>
      </c>
      <c r="Y728" t="s">
        <v>11197</v>
      </c>
    </row>
    <row r="729" spans="1:25" x14ac:dyDescent="0.3">
      <c r="A729">
        <v>36400</v>
      </c>
      <c r="B729" t="s">
        <v>11198</v>
      </c>
      <c r="C729">
        <f>-982.533206811883 -390.132246649098 -178.370254355753</f>
        <v>-1551.035707816734</v>
      </c>
      <c r="D729">
        <f>-990.300333796138 -399.135355261324 -298.895960624467</f>
        <v>-1688.3316496819291</v>
      </c>
      <c r="E729">
        <f>-980.226015643139 -390.245098485223 -419.353442530259</f>
        <v>-1789.8245566586208</v>
      </c>
      <c r="F729">
        <f>-963.491739232195 -375.446967854904 -526.572117942322</f>
        <v>-1865.5108250294211</v>
      </c>
      <c r="G729">
        <f>-939.058527274957 -354.40739381767 -631.239268681701</f>
        <v>-1924.7051897743281</v>
      </c>
      <c r="H729">
        <f>-897.004344140212 -319.096849480178 -773.311789421334</f>
        <v>-1989.4129830417239</v>
      </c>
      <c r="I729">
        <f>-856.97474808702 -283.128238732031 -859.838613970024</f>
        <v>-1999.941600789075</v>
      </c>
      <c r="J729">
        <f>-939.61472954025 -313.961778559515 -712.39457269975</f>
        <v>-1965.9710807995148</v>
      </c>
      <c r="K729">
        <f>-1034.06694422461 -202.851113149352 -693.613615736217</f>
        <v>-1930.5316731101789</v>
      </c>
      <c r="L729">
        <f>-1077.8673877959 -157.24765403262 -383.471805698403</f>
        <v>-1618.5868475269228</v>
      </c>
      <c r="M729">
        <f>-1063.75728902044 -67.3177942098071 -139.841734427992</f>
        <v>-1270.9168176582391</v>
      </c>
      <c r="N729">
        <f>-891.609321982639 -355.479622584835 -708.503667034184</f>
        <v>-1955.5926116016581</v>
      </c>
      <c r="O729">
        <f>-793.356730566262 -461.179634194091 -680.385133599301</f>
        <v>-1934.9214983596539</v>
      </c>
      <c r="P729">
        <f>-843.938471824876 -592.443179937112 -396.840451535297</f>
        <v>-1833.222103297285</v>
      </c>
      <c r="Q729">
        <f>-724.132254679573 -547.545016199546 -170.405845305125</f>
        <v>-1442.0831161842441</v>
      </c>
      <c r="R729">
        <f>-1068.08774238229 -344.882039750563 -176.010139515184</f>
        <v>-1588.9799216480369</v>
      </c>
      <c r="S729" t="s">
        <v>11199</v>
      </c>
      <c r="T729" t="s">
        <v>11200</v>
      </c>
      <c r="U729" t="s">
        <v>11201</v>
      </c>
      <c r="V729">
        <f>-896.857392060308 -436.606561180501 -179.769915777227</f>
        <v>-1513.2338690180361</v>
      </c>
      <c r="W729" t="s">
        <v>11202</v>
      </c>
      <c r="X729" t="s">
        <v>11203</v>
      </c>
      <c r="Y729" t="s">
        <v>11204</v>
      </c>
    </row>
    <row r="730" spans="1:25" x14ac:dyDescent="0.3">
      <c r="A730">
        <v>36450</v>
      </c>
      <c r="B730" t="s">
        <v>11205</v>
      </c>
      <c r="C730">
        <f>-950.831911633192 -322.629314594884 -161.695157556986</f>
        <v>-1435.1563837850622</v>
      </c>
      <c r="D730">
        <f>-961.852631483837 -335.058363205799 -281.661273340302</f>
        <v>-1578.572268029938</v>
      </c>
      <c r="E730">
        <f>-952.898717172401 -328.252857390993 -402.342962131067</f>
        <v>-1683.494536694461</v>
      </c>
      <c r="F730">
        <f>-936.276020416825 -314.843016110092 -509.7613676414</f>
        <v>-1760.880404168317</v>
      </c>
      <c r="G730">
        <f>-911.051656172752 -294.757735982815 -614.428223899071</f>
        <v>-1820.2376160546378</v>
      </c>
      <c r="H730">
        <f>-866.97967828441 -260.387912460584 -756.1194304499</f>
        <v>-1883.4870211948942</v>
      </c>
      <c r="I730">
        <f>-825.815751471529 -224.587090581205 -842.182318652244</f>
        <v>-1892.5851607049781</v>
      </c>
      <c r="J730">
        <f>-911.56095467101 -256.306756132728 -696.548011216115</f>
        <v>-1864.4157220198531</v>
      </c>
      <c r="K730">
        <f>-1013.33223591271 -151.150615202489 -682.584790876487</f>
        <v>-1847.0676419916861</v>
      </c>
      <c r="L730">
        <f>-1067.40992494516 -111.085626791107 -373.300841014433</f>
        <v>-1551.7963927506999</v>
      </c>
      <c r="M730">
        <f>-1052.25596998261 -12.5404257428902 -133.089936848501</f>
        <v>-1197.8863325740012</v>
      </c>
      <c r="N730">
        <f>-861.399398932193 -294.884297050547 -690.303177671769</f>
        <v>-1846.586873654509</v>
      </c>
      <c r="O730">
        <f>-757.622587904723 -393.900015277093 -657.676942748049</f>
        <v>-1809.1995459298651</v>
      </c>
      <c r="P730">
        <f>-803.391517530379 -524.624137619496 -373.067475124175</f>
        <v>-1701.0831302740498</v>
      </c>
      <c r="Q730">
        <f>-679.3221901907 -462.314066880384 -153.14392245731</f>
        <v>-1294.780179528394</v>
      </c>
      <c r="R730">
        <f>-1039.36507172486 -281.978608613015 -155.660401619141</f>
        <v>-1477.0040819570158</v>
      </c>
      <c r="S730" t="s">
        <v>11206</v>
      </c>
      <c r="T730" t="s">
        <v>11207</v>
      </c>
      <c r="U730" t="s">
        <v>11208</v>
      </c>
      <c r="V730">
        <f>-863.526531165186 -364.207051030211 -168.288054699958</f>
        <v>-1396.021636895355</v>
      </c>
      <c r="W730" t="s">
        <v>11209</v>
      </c>
      <c r="X730" t="s">
        <v>11210</v>
      </c>
      <c r="Y730" t="s">
        <v>11211</v>
      </c>
    </row>
    <row r="731" spans="1:25" x14ac:dyDescent="0.3">
      <c r="A731">
        <v>36500</v>
      </c>
      <c r="B731" t="s">
        <v>11212</v>
      </c>
      <c r="C731">
        <f>-931.667119911809 -288.704135396514 -155.336946074153</f>
        <v>-1375.7082013824761</v>
      </c>
      <c r="D731">
        <f>-943.275162261521 -302.924589355608 -275.048387862021</f>
        <v>-1521.24813947915</v>
      </c>
      <c r="E731">
        <f>-934.328442971293 -297.568205699892 -395.803801110071</f>
        <v>-1627.7004497812561</v>
      </c>
      <c r="F731">
        <f>-917.464638024404 -285.334385489248 -503.324836515832</f>
        <v>-1706.1238600294841</v>
      </c>
      <c r="G731">
        <f>-891.749663646022 -266.305643870977 -608.069669913759</f>
        <v>-1766.124977430758</v>
      </c>
      <c r="H731">
        <f>-846.74223464102 -233.296661936974 -749.790398865212</f>
        <v>-1829.8292954432059</v>
      </c>
      <c r="I731">
        <f>-804.865643299866 -198.030749626993 -835.730243010385</f>
        <v>-1838.6266359372439</v>
      </c>
      <c r="J731">
        <f>-892.100705055759 -229.205330003378 -690.809085807711</f>
        <v>-1812.115120866848</v>
      </c>
      <c r="K731">
        <f>-996.683895353037 -126.327347198041 -679.742003803414</f>
        <v>-1802.7532463544919</v>
      </c>
      <c r="L731">
        <f>-1058.95149219046 -89.1460549879159 -371.640596941682</f>
        <v>-1519.7381441200578</v>
      </c>
      <c r="M731" t="s">
        <v>11213</v>
      </c>
      <c r="N731">
        <f>-841.212510494759 -266.598760693826 -683.357640006619</f>
        <v>-1791.1689111952041</v>
      </c>
      <c r="O731">
        <f>-735.905148775831 -362.61373747321 -647.418374866599</f>
        <v>-1745.93726111564</v>
      </c>
      <c r="P731">
        <f>-778.083996486581 -487.605777918254 -359.696099499868</f>
        <v>-1625.385873904703</v>
      </c>
      <c r="Q731">
        <f>-651.420828396472 -415.284297538731 -144.363580046944</f>
        <v>-1211.0687059821469</v>
      </c>
      <c r="R731">
        <f>-1019.81684688804 -248.493576237661 -146.149026130672</f>
        <v>-1414.4594492563729</v>
      </c>
      <c r="S731" t="s">
        <v>11214</v>
      </c>
      <c r="T731" t="s">
        <v>11215</v>
      </c>
      <c r="U731" t="s">
        <v>11216</v>
      </c>
      <c r="V731">
        <f>-843.446272797748 -330.263526005024 -164.310784898941</f>
        <v>-1338.0205837017129</v>
      </c>
      <c r="W731" t="s">
        <v>11217</v>
      </c>
      <c r="X731" t="s">
        <v>11218</v>
      </c>
      <c r="Y731" t="s">
        <v>11219</v>
      </c>
    </row>
    <row r="732" spans="1:25" x14ac:dyDescent="0.3">
      <c r="A732">
        <v>36550</v>
      </c>
      <c r="B732" t="s">
        <v>11220</v>
      </c>
      <c r="C732">
        <f>-884.191733827206 -211.058972407058 -157.619620803518</f>
        <v>-1252.8703270377821</v>
      </c>
      <c r="D732">
        <f>-899.193867026306 -228.879472527835 -276.46901657082</f>
        <v>-1404.5423561249611</v>
      </c>
      <c r="E732">
        <f>-891.241119509288 -227.918086258368 -397.40863009648</f>
        <v>-1516.567835864136</v>
      </c>
      <c r="F732">
        <f>-874.356618097121 -219.914141159277 -505.32391669936</f>
        <v>-1599.5946759557578</v>
      </c>
      <c r="G732">
        <f>-847.751789160984 -205.343885647574 -610.560366541825</f>
        <v>-1663.656041350383</v>
      </c>
      <c r="H732">
        <f>-800.664179695343 -178.746773159096 -752.951967297038</f>
        <v>-1732.3629201514771</v>
      </c>
      <c r="I732">
        <f>-756.883366786641 -145.702626534721 -838.825793339063</f>
        <v>-1741.4117866604249</v>
      </c>
      <c r="J732">
        <f>-847.537479803677 -173.07405426446 -695.301053314996</f>
        <v>-1715.9125873831331</v>
      </c>
      <c r="K732">
        <f>-957.247336450439 -75.742585458363 -691.079246157472</f>
        <v>-1724.069168066274</v>
      </c>
      <c r="L732">
        <f>-1035.40956822192 -38.5864316495092 -386.618750488043</f>
        <v>-1460.6147503594721</v>
      </c>
      <c r="M732" t="s">
        <v>11221</v>
      </c>
      <c r="N732">
        <f>-795.460476152579 -207.956233545977 -684.595280931164</f>
        <v>-1688.01199062972</v>
      </c>
      <c r="O732">
        <f>-686.693345533767 -297.016382990882 -640.503973282592</f>
        <v>-1624.213701807241</v>
      </c>
      <c r="P732">
        <f>-727.122703120501 -403.525067744626 -345.194904252085</f>
        <v>-1475.8426751172121</v>
      </c>
      <c r="Q732">
        <f>-598.485744220044 -304.658239914627 -141.921766857975</f>
        <v>-1045.0657509926459</v>
      </c>
      <c r="R732">
        <f>-972.440521089892 -173.936386325677 -142.856719051514</f>
        <v>-1289.233626467083</v>
      </c>
      <c r="S732" t="s">
        <v>11222</v>
      </c>
      <c r="T732" t="s">
        <v>11223</v>
      </c>
      <c r="U732" t="s">
        <v>11224</v>
      </c>
      <c r="V732">
        <f>-795.806932186689 -245.184703509945 -170.864077142769</f>
        <v>-1211.8557128394029</v>
      </c>
      <c r="W732" t="s">
        <v>11225</v>
      </c>
      <c r="X732" t="s">
        <v>11226</v>
      </c>
      <c r="Y732" t="s">
        <v>11227</v>
      </c>
    </row>
    <row r="733" spans="1:25" x14ac:dyDescent="0.3">
      <c r="A733">
        <v>36600</v>
      </c>
      <c r="B733" t="s">
        <v>11228</v>
      </c>
      <c r="C733">
        <f>-868.597065922439 -178.725821266826 -163.052855289429</f>
        <v>-1210.3757424786941</v>
      </c>
      <c r="D733">
        <f>-886.685598315122 -196.254824518533 -281.515189155995</f>
        <v>-1364.4556119896502</v>
      </c>
      <c r="E733">
        <f>-879.746848884145 -196.694971322277 -402.520411105126</f>
        <v>-1478.9622313115481</v>
      </c>
      <c r="F733">
        <f>-863.006454455124 -190.604699489703 -510.582856194409</f>
        <v>-1564.1940101392361</v>
      </c>
      <c r="G733">
        <f>-835.828514300128 -178.565418331356 -615.992950680009</f>
        <v>-1630.386883311493</v>
      </c>
      <c r="H733">
        <f>-787.257479600956 -156.099482044604 -758.597735633236</f>
        <v>-1701.9546972787959</v>
      </c>
      <c r="I733">
        <f>-742.034043147225 -124.406450618154 -844.232772924616</f>
        <v>-1710.673266689995</v>
      </c>
      <c r="J733">
        <f>-834.961633587874 -149.175784728652 -701.770852262105</f>
        <v>-1685.9082705786309</v>
      </c>
      <c r="K733">
        <f>-947.25845000312 -54.1579965698327 -701.999967463726</f>
        <v>-1703.4164140366786</v>
      </c>
      <c r="L733">
        <f>-1029.67384739385 -18.3375562242588 -398.502352308312</f>
        <v>-1446.513755926421</v>
      </c>
      <c r="M733" t="s">
        <v>11229</v>
      </c>
      <c r="N733">
        <f>-782.53567665213 -182.904116674522 -689.228127622134</f>
        <v>-1654.6679209487861</v>
      </c>
      <c r="O733">
        <f>-672.681387601713 -268.031580785022 -641.325950427672</f>
        <v>-1582.038918814407</v>
      </c>
      <c r="P733">
        <f>-712.496805960746 -363.823741384328 -342.286174694011</f>
        <v>-1418.6067220390848</v>
      </c>
      <c r="Q733">
        <f>-585.950247048727 -249.188212333591 -146.105935550678</f>
        <v>-981.24439493299587</v>
      </c>
      <c r="R733">
        <f>-957.986044368537 -140.195290688459 -148.95709074243</f>
        <v>-1247.1384257994259</v>
      </c>
      <c r="S733" t="s">
        <v>11230</v>
      </c>
      <c r="T733" t="s">
        <v>11231</v>
      </c>
      <c r="U733" t="s">
        <v>11232</v>
      </c>
      <c r="V733">
        <f>-778.690816857825 -218.567093290834 -175.950150128152</f>
        <v>-1173.208060276811</v>
      </c>
      <c r="W733" t="s">
        <v>11233</v>
      </c>
      <c r="X733" t="s">
        <v>11234</v>
      </c>
      <c r="Y733" t="s">
        <v>11235</v>
      </c>
    </row>
    <row r="734" spans="1:25" x14ac:dyDescent="0.3">
      <c r="A734">
        <v>36650</v>
      </c>
      <c r="B734" t="s">
        <v>11236</v>
      </c>
      <c r="C734">
        <f>-834.995466047431 -117.421853863764 -175.500540942731</f>
        <v>-1127.917860853926</v>
      </c>
      <c r="D734">
        <f>-856.198316606513 -137.122480519122 -293.102101378218</f>
        <v>-1286.422898503853</v>
      </c>
      <c r="E734">
        <f>-849.591063964442 -139.754679248694 -414.097819613068</f>
        <v>-1403.443562826204</v>
      </c>
      <c r="F734">
        <f>-832.016631298943 -135.672877743831 -522.122538425384</f>
        <v>-1489.8120474681582</v>
      </c>
      <c r="G734">
        <f>-802.912505990477 -125.704487963089 -627.234156177408</f>
        <v>-1555.851150130974</v>
      </c>
      <c r="H734">
        <f>-750.597103957895 -106.223306516984 -768.950621079433</f>
        <v>-1625.771031554312</v>
      </c>
      <c r="I734">
        <f>-702.69545920065 -75.9501088899331 -853.638051943901</f>
        <v>-1632.2836200344841</v>
      </c>
      <c r="J734">
        <f>-800.20830774847 -98.935429413465 -713.827721224816</f>
        <v>-1612.971458386751</v>
      </c>
      <c r="K734">
        <f>-916.321463336014 -8.79040733064448 -719.955128651941</f>
        <v>-1645.0669993185993</v>
      </c>
      <c r="L734" t="s">
        <v>11237</v>
      </c>
      <c r="M734" t="s">
        <v>11238</v>
      </c>
      <c r="N734">
        <f>-747.281745169036 -130.750711250226 -698.663282342309</f>
        <v>-1576.695738761571</v>
      </c>
      <c r="O734">
        <f>-635.581977181697 -209.938608530902 -645.417455008238</f>
        <v>-1490.9380407208369</v>
      </c>
      <c r="P734">
        <f>-667.258809321715 -288.176165185281 -340.357448939576</f>
        <v>-1295.792423446572</v>
      </c>
      <c r="Q734">
        <f>-546.824856757891 -142.123108155852 -162.014521349983</f>
        <v>-850.96248626372608</v>
      </c>
      <c r="R734">
        <f>-926.247863178547 -84.5370949294322 -165.732621017175</f>
        <v>-1176.5175791251543</v>
      </c>
      <c r="S734" t="s">
        <v>11239</v>
      </c>
      <c r="T734" t="s">
        <v>11240</v>
      </c>
      <c r="U734" t="s">
        <v>11241</v>
      </c>
      <c r="V734">
        <f>-742.734400527774 -149.732004278952 -187.281246017358</f>
        <v>-1079.7476508240841</v>
      </c>
      <c r="W734" t="s">
        <v>11242</v>
      </c>
      <c r="X734" t="s">
        <v>11243</v>
      </c>
      <c r="Y734" t="s">
        <v>11244</v>
      </c>
    </row>
    <row r="735" spans="1:25" x14ac:dyDescent="0.3">
      <c r="A735">
        <v>36700</v>
      </c>
      <c r="B735" t="s">
        <v>11245</v>
      </c>
      <c r="C735">
        <f>-821.436828947473 -80.7360006445288 -185.154878120591</f>
        <v>-1087.3277077125929</v>
      </c>
      <c r="D735">
        <f>-841.55941608656 -101.78876145518 -302.711938052936</f>
        <v>-1246.0601155946758</v>
      </c>
      <c r="E735">
        <f>-833.745603626219 -104.643595672267 -423.630752976723</f>
        <v>-1362.0199522752091</v>
      </c>
      <c r="F735">
        <f>-815.048408264576 -100.270160427291 -531.455261744068</f>
        <v>-1446.773830435935</v>
      </c>
      <c r="G735">
        <f>-784.80741973913 -89.5111110044004 -636.167237989272</f>
        <v>-1510.4857687328024</v>
      </c>
      <c r="H735">
        <f>-730.919567693706 -68.4131750876818 -777.060658411555</f>
        <v>-1576.3934011929427</v>
      </c>
      <c r="I735">
        <f>-681.887989175859 -37.7007133581635 -860.939484001149</f>
        <v>-1580.5281865351717</v>
      </c>
      <c r="J735">
        <f>-781.411344985575 -62.2999165403958 -722.598572038866</f>
        <v>-1566.3098335648369</v>
      </c>
      <c r="K735" t="s">
        <v>11246</v>
      </c>
      <c r="L735" t="s">
        <v>11247</v>
      </c>
      <c r="M735" t="s">
        <v>11248</v>
      </c>
      <c r="N735">
        <f>-728.115203642596 -93.1967439467983 -706.840846589884</f>
        <v>-1528.1527941792783</v>
      </c>
      <c r="O735">
        <f>-614.850348073446 -169.605984023581 -652.044758198362</f>
        <v>-1436.5010902953891</v>
      </c>
      <c r="P735">
        <f>-639.360864972957 -238.777785246905 -344.147443701227</f>
        <v>-1222.2860939210891</v>
      </c>
      <c r="Q735">
        <f>-521.589648893703 -79.9179416748323 -175.222707228676</f>
        <v>-776.73029779721128</v>
      </c>
      <c r="R735">
        <f>-912.130774361672 -49.385532755085 -177.070694544561</f>
        <v>-1138.587001661318</v>
      </c>
      <c r="S735" t="s">
        <v>11249</v>
      </c>
      <c r="T735" t="s">
        <v>11250</v>
      </c>
      <c r="U735" t="s">
        <v>11251</v>
      </c>
      <c r="V735">
        <f>-728.935866923408 -111.097793544189 -194.989285735776</f>
        <v>-1035.0229462033731</v>
      </c>
      <c r="W735" t="s">
        <v>11252</v>
      </c>
      <c r="X735" t="s">
        <v>11253</v>
      </c>
      <c r="Y735" t="s">
        <v>11254</v>
      </c>
    </row>
    <row r="736" spans="1:25" x14ac:dyDescent="0.3">
      <c r="A736">
        <v>36750</v>
      </c>
      <c r="B736" t="s">
        <v>11255</v>
      </c>
      <c r="C736">
        <f>-809.78781261503 -8.76024990818428 -196.909253971368</f>
        <v>-1015.4573164945823</v>
      </c>
      <c r="D736">
        <f>-828.211492696159 -32.6568773218812 -314.200772066849</f>
        <v>-1175.0691420848893</v>
      </c>
      <c r="E736">
        <f>-819.254330653748 -36.8012871335854 -435.002943567078</f>
        <v>-1291.0585613544113</v>
      </c>
      <c r="F736">
        <f>-799.828505800278 -32.7867503565099 -542.712684024291</f>
        <v>-1375.3279401810787</v>
      </c>
      <c r="G736">
        <f>-769.202848641679 -21.4879097083892 -647.255667003707</f>
        <v>-1437.9464253537753</v>
      </c>
      <c r="H736" t="s">
        <v>11256</v>
      </c>
      <c r="I736" t="s">
        <v>11257</v>
      </c>
      <c r="J736" t="s">
        <v>11258</v>
      </c>
      <c r="K736" t="s">
        <v>11259</v>
      </c>
      <c r="L736" t="s">
        <v>11260</v>
      </c>
      <c r="M736" t="s">
        <v>11261</v>
      </c>
      <c r="N736">
        <f>-711.892692618273 -23.0924363832412 -717.507571744038</f>
        <v>-1452.4927007455522</v>
      </c>
      <c r="O736">
        <f>-596.131098982191 -95.1463614748882 -662.407771095791</f>
        <v>-1353.6852315528702</v>
      </c>
      <c r="P736">
        <f>-612.882195619723 -145.305339190959 -350.334541063313</f>
        <v>-1108.5220758739949</v>
      </c>
      <c r="Q736" t="s">
        <v>11262</v>
      </c>
      <c r="R736" t="s">
        <v>11263</v>
      </c>
      <c r="S736" t="s">
        <v>11264</v>
      </c>
      <c r="T736" t="s">
        <v>11265</v>
      </c>
      <c r="U736" t="s">
        <v>11266</v>
      </c>
      <c r="V736">
        <f>-719.055234440291 -40.1027634321008 -202.743366167954</f>
        <v>-961.90136404034581</v>
      </c>
      <c r="W736" t="s">
        <v>11267</v>
      </c>
      <c r="X736" t="s">
        <v>11268</v>
      </c>
      <c r="Y736" t="s">
        <v>11269</v>
      </c>
    </row>
    <row r="737" spans="1:25" x14ac:dyDescent="0.3">
      <c r="A737">
        <v>36800</v>
      </c>
      <c r="B737" t="s">
        <v>11270</v>
      </c>
      <c r="C737" t="s">
        <v>11271</v>
      </c>
      <c r="D737">
        <f>-827.326987929975 -0.673877914889772 -316.973828556986</f>
        <v>-1144.9746944018507</v>
      </c>
      <c r="E737">
        <f>-818.523157272938 -5.74917204309509 -437.751704955237</f>
        <v>-1262.02403427127</v>
      </c>
      <c r="F737">
        <f>-799.31613342989 -2.32698717724088 -545.521078541615</f>
        <v>-1347.1641991487459</v>
      </c>
      <c r="G737" t="s">
        <v>11272</v>
      </c>
      <c r="H737" t="s">
        <v>11273</v>
      </c>
      <c r="I737" t="s">
        <v>11274</v>
      </c>
      <c r="J737" t="s">
        <v>11275</v>
      </c>
      <c r="K737" t="s">
        <v>11276</v>
      </c>
      <c r="L737" t="s">
        <v>11277</v>
      </c>
      <c r="M737" t="s">
        <v>11278</v>
      </c>
      <c r="N737" t="s">
        <v>11279</v>
      </c>
      <c r="O737">
        <f>-594.754094266899 -62.55036134075 -665.706613336505</f>
        <v>-1323.011068944154</v>
      </c>
      <c r="P737">
        <f>-607.591970696889 -106.57852198811 -352.524723209553</f>
        <v>-1066.6952158945519</v>
      </c>
      <c r="Q737" t="s">
        <v>11280</v>
      </c>
      <c r="R737" t="s">
        <v>11281</v>
      </c>
      <c r="S737" t="s">
        <v>11282</v>
      </c>
      <c r="T737" t="s">
        <v>11283</v>
      </c>
      <c r="U737" t="s">
        <v>11284</v>
      </c>
      <c r="V737">
        <f>-718.806701976549 -7.37183158719472 -205.292044079564</f>
        <v>-931.47057764330771</v>
      </c>
      <c r="W737" t="s">
        <v>11285</v>
      </c>
      <c r="X737" t="s">
        <v>11286</v>
      </c>
      <c r="Y737" t="s">
        <v>11287</v>
      </c>
    </row>
    <row r="738" spans="1:25" x14ac:dyDescent="0.3">
      <c r="A738">
        <v>36850</v>
      </c>
      <c r="B738" t="s">
        <v>11288</v>
      </c>
      <c r="C738" t="s">
        <v>11289</v>
      </c>
      <c r="D738" t="s">
        <v>11290</v>
      </c>
      <c r="E738" t="s">
        <v>11291</v>
      </c>
      <c r="F738" t="s">
        <v>11292</v>
      </c>
      <c r="G738" t="s">
        <v>11293</v>
      </c>
      <c r="H738" t="s">
        <v>11294</v>
      </c>
      <c r="I738" t="s">
        <v>11295</v>
      </c>
      <c r="J738" t="s">
        <v>11296</v>
      </c>
      <c r="K738" t="s">
        <v>11297</v>
      </c>
      <c r="L738" t="s">
        <v>11298</v>
      </c>
      <c r="M738" t="s">
        <v>11299</v>
      </c>
      <c r="N738" t="s">
        <v>11300</v>
      </c>
      <c r="O738">
        <f>-595.552771995778 -0.921769580895898 -670.892615395766</f>
        <v>-1267.3671569724399</v>
      </c>
      <c r="P738">
        <f>-601.253317369627 -35.0604462243657 -356.268517304323</f>
        <v>-992.58228089831573</v>
      </c>
      <c r="Q738" t="s">
        <v>11301</v>
      </c>
      <c r="R738" t="s">
        <v>11302</v>
      </c>
      <c r="S738" t="s">
        <v>11303</v>
      </c>
      <c r="T738" t="s">
        <v>11304</v>
      </c>
      <c r="U738" t="s">
        <v>11305</v>
      </c>
      <c r="V738" t="s">
        <v>11306</v>
      </c>
      <c r="W738" t="s">
        <v>11307</v>
      </c>
      <c r="X738" t="s">
        <v>11308</v>
      </c>
      <c r="Y738" t="s">
        <v>11309</v>
      </c>
    </row>
    <row r="739" spans="1:25" x14ac:dyDescent="0.3">
      <c r="A739">
        <v>36900</v>
      </c>
      <c r="B739" t="s">
        <v>11310</v>
      </c>
      <c r="C739" t="s">
        <v>11311</v>
      </c>
      <c r="D739" t="s">
        <v>11312</v>
      </c>
      <c r="E739" t="s">
        <v>11313</v>
      </c>
      <c r="F739" t="s">
        <v>11314</v>
      </c>
      <c r="G739" t="s">
        <v>11315</v>
      </c>
      <c r="H739" t="s">
        <v>11316</v>
      </c>
      <c r="I739" t="s">
        <v>11317</v>
      </c>
      <c r="J739" t="s">
        <v>11318</v>
      </c>
      <c r="K739" t="s">
        <v>11319</v>
      </c>
      <c r="L739" t="s">
        <v>11320</v>
      </c>
      <c r="M739" t="s">
        <v>11321</v>
      </c>
      <c r="N739" t="s">
        <v>11322</v>
      </c>
      <c r="O739" t="s">
        <v>11323</v>
      </c>
      <c r="P739">
        <f>-596.824409663827 -1.75000915252917 -357.925801652126</f>
        <v>-956.50022046848221</v>
      </c>
      <c r="Q739" t="s">
        <v>11324</v>
      </c>
      <c r="R739" t="s">
        <v>11325</v>
      </c>
      <c r="S739" t="s">
        <v>11326</v>
      </c>
      <c r="T739" t="s">
        <v>11327</v>
      </c>
      <c r="U739" t="s">
        <v>11328</v>
      </c>
      <c r="V739" t="s">
        <v>11329</v>
      </c>
      <c r="W739" t="s">
        <v>11330</v>
      </c>
      <c r="X739" t="s">
        <v>11331</v>
      </c>
      <c r="Y739" t="s">
        <v>11332</v>
      </c>
    </row>
    <row r="740" spans="1:25" x14ac:dyDescent="0.3">
      <c r="A740">
        <v>36950</v>
      </c>
      <c r="B740" t="s">
        <v>11333</v>
      </c>
      <c r="C740" t="s">
        <v>11334</v>
      </c>
      <c r="D740" t="s">
        <v>11335</v>
      </c>
      <c r="E740" t="s">
        <v>11336</v>
      </c>
      <c r="F740" t="s">
        <v>11337</v>
      </c>
      <c r="G740" t="s">
        <v>11338</v>
      </c>
      <c r="H740" t="s">
        <v>11339</v>
      </c>
      <c r="I740" t="s">
        <v>11340</v>
      </c>
      <c r="J740" t="s">
        <v>11341</v>
      </c>
      <c r="K740" t="s">
        <v>11342</v>
      </c>
      <c r="L740" t="s">
        <v>11343</v>
      </c>
      <c r="M740" t="s">
        <v>11344</v>
      </c>
      <c r="N740" t="s">
        <v>11345</v>
      </c>
      <c r="O740" t="s">
        <v>11346</v>
      </c>
      <c r="P740" t="s">
        <v>11347</v>
      </c>
      <c r="Q740" t="s">
        <v>11348</v>
      </c>
      <c r="R740" t="s">
        <v>11349</v>
      </c>
      <c r="S740" t="s">
        <v>11350</v>
      </c>
      <c r="T740" t="s">
        <v>11351</v>
      </c>
      <c r="U740" t="s">
        <v>11352</v>
      </c>
      <c r="V740" t="s">
        <v>11353</v>
      </c>
      <c r="W740" t="s">
        <v>11354</v>
      </c>
      <c r="X740" t="s">
        <v>11355</v>
      </c>
      <c r="Y740" t="s">
        <v>11356</v>
      </c>
    </row>
    <row r="741" spans="1:25" x14ac:dyDescent="0.3">
      <c r="A741">
        <v>37000</v>
      </c>
      <c r="B741" t="s">
        <v>11357</v>
      </c>
      <c r="C741" t="s">
        <v>11358</v>
      </c>
      <c r="D741" t="s">
        <v>11359</v>
      </c>
      <c r="E741" t="s">
        <v>11360</v>
      </c>
      <c r="F741" t="s">
        <v>11361</v>
      </c>
      <c r="G741" t="s">
        <v>11362</v>
      </c>
      <c r="H741" t="s">
        <v>11363</v>
      </c>
      <c r="I741" t="s">
        <v>11364</v>
      </c>
      <c r="J741" t="s">
        <v>11365</v>
      </c>
      <c r="K741" t="s">
        <v>11366</v>
      </c>
      <c r="L741" t="s">
        <v>11367</v>
      </c>
      <c r="M741" t="s">
        <v>11368</v>
      </c>
      <c r="N741" t="s">
        <v>11369</v>
      </c>
      <c r="O741" t="s">
        <v>11370</v>
      </c>
      <c r="P741" t="s">
        <v>11371</v>
      </c>
      <c r="Q741" t="s">
        <v>11372</v>
      </c>
      <c r="R741" t="s">
        <v>11373</v>
      </c>
      <c r="S741" t="s">
        <v>11374</v>
      </c>
      <c r="T741" t="s">
        <v>11375</v>
      </c>
      <c r="U741" t="s">
        <v>11376</v>
      </c>
      <c r="V741" t="s">
        <v>11377</v>
      </c>
      <c r="W741" t="s">
        <v>11378</v>
      </c>
      <c r="X741" t="s">
        <v>11379</v>
      </c>
      <c r="Y741" t="s">
        <v>11380</v>
      </c>
    </row>
    <row r="742" spans="1:25" x14ac:dyDescent="0.3">
      <c r="A742">
        <v>37050</v>
      </c>
      <c r="B742" t="s">
        <v>11381</v>
      </c>
      <c r="C742" t="s">
        <v>11382</v>
      </c>
      <c r="D742" t="s">
        <v>11383</v>
      </c>
      <c r="E742" t="s">
        <v>11384</v>
      </c>
      <c r="F742" t="s">
        <v>11385</v>
      </c>
      <c r="G742" t="s">
        <v>11386</v>
      </c>
      <c r="H742" t="s">
        <v>11387</v>
      </c>
      <c r="I742" t="s">
        <v>11388</v>
      </c>
      <c r="J742" t="s">
        <v>11389</v>
      </c>
      <c r="K742" t="s">
        <v>11390</v>
      </c>
      <c r="L742" t="s">
        <v>11391</v>
      </c>
      <c r="M742" t="s">
        <v>11392</v>
      </c>
      <c r="N742" t="s">
        <v>11393</v>
      </c>
      <c r="O742" t="s">
        <v>11394</v>
      </c>
      <c r="P742" t="s">
        <v>11395</v>
      </c>
      <c r="Q742" t="s">
        <v>11396</v>
      </c>
      <c r="R742" t="s">
        <v>11397</v>
      </c>
      <c r="S742" t="s">
        <v>11398</v>
      </c>
      <c r="T742" t="s">
        <v>11399</v>
      </c>
      <c r="U742" t="s">
        <v>11400</v>
      </c>
      <c r="V742" t="s">
        <v>11401</v>
      </c>
      <c r="W742" t="s">
        <v>11402</v>
      </c>
      <c r="X742" t="s">
        <v>11403</v>
      </c>
      <c r="Y742" t="s">
        <v>11404</v>
      </c>
    </row>
    <row r="743" spans="1:25" x14ac:dyDescent="0.3">
      <c r="A743">
        <v>37100</v>
      </c>
      <c r="B743" t="s">
        <v>11405</v>
      </c>
      <c r="C743" t="s">
        <v>11406</v>
      </c>
      <c r="D743" t="s">
        <v>11407</v>
      </c>
      <c r="E743" t="s">
        <v>11408</v>
      </c>
      <c r="F743" t="s">
        <v>11409</v>
      </c>
      <c r="G743" t="s">
        <v>11410</v>
      </c>
      <c r="H743" t="s">
        <v>11411</v>
      </c>
      <c r="I743" t="s">
        <v>11412</v>
      </c>
      <c r="J743" t="s">
        <v>11413</v>
      </c>
      <c r="K743" t="s">
        <v>11414</v>
      </c>
      <c r="L743" t="s">
        <v>11415</v>
      </c>
      <c r="M743" t="s">
        <v>11416</v>
      </c>
      <c r="N743" t="s">
        <v>11417</v>
      </c>
      <c r="O743" t="s">
        <v>11418</v>
      </c>
      <c r="P743" t="s">
        <v>11419</v>
      </c>
      <c r="Q743" t="s">
        <v>11420</v>
      </c>
      <c r="R743" t="s">
        <v>11421</v>
      </c>
      <c r="S743" t="s">
        <v>11422</v>
      </c>
      <c r="T743" t="s">
        <v>11423</v>
      </c>
      <c r="U743" t="s">
        <v>11424</v>
      </c>
      <c r="V743" t="s">
        <v>11425</v>
      </c>
      <c r="W743" t="s">
        <v>11426</v>
      </c>
      <c r="X743" t="s">
        <v>11427</v>
      </c>
      <c r="Y743" t="s">
        <v>11428</v>
      </c>
    </row>
    <row r="744" spans="1:25" x14ac:dyDescent="0.3">
      <c r="A744">
        <v>37150</v>
      </c>
      <c r="B744" t="s">
        <v>11429</v>
      </c>
      <c r="C744" t="s">
        <v>11430</v>
      </c>
      <c r="D744" t="s">
        <v>11431</v>
      </c>
      <c r="E744" t="s">
        <v>11432</v>
      </c>
      <c r="F744" t="s">
        <v>11433</v>
      </c>
      <c r="G744" t="s">
        <v>11434</v>
      </c>
      <c r="H744" t="s">
        <v>11435</v>
      </c>
      <c r="I744" t="s">
        <v>11436</v>
      </c>
      <c r="J744" t="s">
        <v>11437</v>
      </c>
      <c r="K744" t="s">
        <v>11438</v>
      </c>
      <c r="L744" t="s">
        <v>11439</v>
      </c>
      <c r="M744" t="s">
        <v>11440</v>
      </c>
      <c r="N744" t="s">
        <v>11441</v>
      </c>
      <c r="O744" t="s">
        <v>11442</v>
      </c>
      <c r="P744" t="s">
        <v>11443</v>
      </c>
      <c r="Q744" t="s">
        <v>11444</v>
      </c>
      <c r="R744" t="s">
        <v>11445</v>
      </c>
      <c r="S744" t="s">
        <v>11446</v>
      </c>
      <c r="T744" t="s">
        <v>11447</v>
      </c>
      <c r="U744" t="s">
        <v>11448</v>
      </c>
      <c r="V744" t="s">
        <v>11449</v>
      </c>
      <c r="W744" t="s">
        <v>11450</v>
      </c>
      <c r="X744" t="s">
        <v>11451</v>
      </c>
      <c r="Y744" t="s">
        <v>11452</v>
      </c>
    </row>
    <row r="745" spans="1:25" x14ac:dyDescent="0.3">
      <c r="A745">
        <v>37200</v>
      </c>
      <c r="B745" t="s">
        <v>11453</v>
      </c>
      <c r="C745" t="s">
        <v>11454</v>
      </c>
      <c r="D745" t="s">
        <v>11455</v>
      </c>
      <c r="E745" t="s">
        <v>11456</v>
      </c>
      <c r="F745" t="s">
        <v>11457</v>
      </c>
      <c r="G745" t="s">
        <v>11458</v>
      </c>
      <c r="H745" t="s">
        <v>11459</v>
      </c>
      <c r="I745" t="s">
        <v>11460</v>
      </c>
      <c r="J745" t="s">
        <v>11461</v>
      </c>
      <c r="K745" t="s">
        <v>11462</v>
      </c>
      <c r="L745" t="s">
        <v>11463</v>
      </c>
      <c r="M745" t="s">
        <v>11464</v>
      </c>
      <c r="N745" t="s">
        <v>11465</v>
      </c>
      <c r="O745" t="s">
        <v>11466</v>
      </c>
      <c r="P745" t="s">
        <v>11467</v>
      </c>
      <c r="Q745" t="s">
        <v>11468</v>
      </c>
      <c r="R745" t="s">
        <v>11469</v>
      </c>
      <c r="S745" t="s">
        <v>11470</v>
      </c>
      <c r="T745" t="s">
        <v>11471</v>
      </c>
      <c r="U745" t="s">
        <v>11472</v>
      </c>
      <c r="V745" t="s">
        <v>11473</v>
      </c>
      <c r="W745" t="s">
        <v>11474</v>
      </c>
      <c r="X745" t="s">
        <v>11475</v>
      </c>
      <c r="Y745" t="s">
        <v>11476</v>
      </c>
    </row>
    <row r="746" spans="1:25" x14ac:dyDescent="0.3">
      <c r="A746">
        <v>37250</v>
      </c>
      <c r="B746" t="s">
        <v>11477</v>
      </c>
      <c r="C746" t="s">
        <v>11478</v>
      </c>
      <c r="D746" t="s">
        <v>11479</v>
      </c>
      <c r="E746" t="s">
        <v>11480</v>
      </c>
      <c r="F746" t="s">
        <v>11481</v>
      </c>
      <c r="G746" t="s">
        <v>11482</v>
      </c>
      <c r="H746" t="s">
        <v>11483</v>
      </c>
      <c r="I746" t="s">
        <v>11484</v>
      </c>
      <c r="J746" t="s">
        <v>11485</v>
      </c>
      <c r="K746" t="s">
        <v>11486</v>
      </c>
      <c r="L746" t="s">
        <v>11487</v>
      </c>
      <c r="M746" t="s">
        <v>11488</v>
      </c>
      <c r="N746" t="s">
        <v>11489</v>
      </c>
      <c r="O746" t="s">
        <v>11490</v>
      </c>
      <c r="P746" t="s">
        <v>11491</v>
      </c>
      <c r="Q746" t="s">
        <v>11492</v>
      </c>
      <c r="R746" t="s">
        <v>11493</v>
      </c>
      <c r="S746" t="s">
        <v>11494</v>
      </c>
      <c r="T746" t="s">
        <v>11495</v>
      </c>
      <c r="U746" t="s">
        <v>11496</v>
      </c>
      <c r="V746" t="s">
        <v>11497</v>
      </c>
      <c r="W746" t="s">
        <v>11498</v>
      </c>
      <c r="X746" t="s">
        <v>11499</v>
      </c>
      <c r="Y746" t="s">
        <v>11500</v>
      </c>
    </row>
    <row r="747" spans="1:25" x14ac:dyDescent="0.3">
      <c r="A747">
        <v>37300</v>
      </c>
      <c r="B747" t="s">
        <v>11501</v>
      </c>
      <c r="C747" t="s">
        <v>11502</v>
      </c>
      <c r="D747" t="s">
        <v>11503</v>
      </c>
      <c r="E747" t="s">
        <v>11504</v>
      </c>
      <c r="F747" t="s">
        <v>11505</v>
      </c>
      <c r="G747" t="s">
        <v>11506</v>
      </c>
      <c r="H747" t="s">
        <v>11507</v>
      </c>
      <c r="I747" t="s">
        <v>11508</v>
      </c>
      <c r="J747" t="s">
        <v>11509</v>
      </c>
      <c r="K747" t="s">
        <v>11510</v>
      </c>
      <c r="L747" t="s">
        <v>11511</v>
      </c>
      <c r="M747" t="s">
        <v>11512</v>
      </c>
      <c r="N747" t="s">
        <v>11513</v>
      </c>
      <c r="O747" t="s">
        <v>11514</v>
      </c>
      <c r="P747" t="s">
        <v>11515</v>
      </c>
      <c r="Q747" t="s">
        <v>11516</v>
      </c>
      <c r="R747" t="s">
        <v>11517</v>
      </c>
      <c r="S747" t="s">
        <v>11518</v>
      </c>
      <c r="T747" t="s">
        <v>11519</v>
      </c>
      <c r="U747" t="s">
        <v>11520</v>
      </c>
      <c r="V747" t="s">
        <v>11521</v>
      </c>
      <c r="W747" t="s">
        <v>11522</v>
      </c>
      <c r="X747" t="s">
        <v>11523</v>
      </c>
      <c r="Y747" t="s">
        <v>11524</v>
      </c>
    </row>
    <row r="748" spans="1:25" x14ac:dyDescent="0.3">
      <c r="A748">
        <v>37350</v>
      </c>
      <c r="B748" t="s">
        <v>11525</v>
      </c>
      <c r="C748" t="s">
        <v>11526</v>
      </c>
      <c r="D748" t="s">
        <v>11527</v>
      </c>
      <c r="E748" t="s">
        <v>11528</v>
      </c>
      <c r="F748" t="s">
        <v>11529</v>
      </c>
      <c r="G748" t="s">
        <v>11530</v>
      </c>
      <c r="H748" t="s">
        <v>11531</v>
      </c>
      <c r="I748" t="s">
        <v>11532</v>
      </c>
      <c r="J748" t="s">
        <v>11533</v>
      </c>
      <c r="K748" t="s">
        <v>11534</v>
      </c>
      <c r="L748" t="s">
        <v>11535</v>
      </c>
      <c r="M748" t="s">
        <v>11536</v>
      </c>
      <c r="N748" t="s">
        <v>11537</v>
      </c>
      <c r="O748" t="s">
        <v>11538</v>
      </c>
      <c r="P748" t="s">
        <v>11539</v>
      </c>
      <c r="Q748" t="s">
        <v>11540</v>
      </c>
      <c r="R748" t="s">
        <v>11541</v>
      </c>
      <c r="S748" t="s">
        <v>11542</v>
      </c>
      <c r="T748" t="s">
        <v>11543</v>
      </c>
      <c r="U748" t="s">
        <v>11544</v>
      </c>
      <c r="V748" t="s">
        <v>11545</v>
      </c>
      <c r="W748" t="s">
        <v>11546</v>
      </c>
      <c r="X748" t="s">
        <v>11547</v>
      </c>
      <c r="Y748" t="s">
        <v>11548</v>
      </c>
    </row>
    <row r="749" spans="1:25" x14ac:dyDescent="0.3">
      <c r="A749">
        <v>37400</v>
      </c>
      <c r="B749" t="s">
        <v>11549</v>
      </c>
      <c r="C749" t="s">
        <v>11550</v>
      </c>
      <c r="D749" t="s">
        <v>11551</v>
      </c>
      <c r="E749" t="s">
        <v>11552</v>
      </c>
      <c r="F749" t="s">
        <v>11553</v>
      </c>
      <c r="G749" t="s">
        <v>11554</v>
      </c>
      <c r="H749" t="s">
        <v>11555</v>
      </c>
      <c r="I749" t="s">
        <v>11556</v>
      </c>
      <c r="J749" t="s">
        <v>11557</v>
      </c>
      <c r="K749" t="s">
        <v>11558</v>
      </c>
      <c r="L749" t="s">
        <v>11559</v>
      </c>
      <c r="M749" t="s">
        <v>11560</v>
      </c>
      <c r="N749" t="s">
        <v>11561</v>
      </c>
      <c r="O749" t="s">
        <v>11562</v>
      </c>
      <c r="P749" t="s">
        <v>11563</v>
      </c>
      <c r="Q749" t="s">
        <v>11564</v>
      </c>
      <c r="R749" t="s">
        <v>11565</v>
      </c>
      <c r="S749" t="s">
        <v>11566</v>
      </c>
      <c r="T749" t="s">
        <v>11567</v>
      </c>
      <c r="U749" t="s">
        <v>11568</v>
      </c>
      <c r="V749" t="s">
        <v>11569</v>
      </c>
      <c r="W749" t="s">
        <v>11570</v>
      </c>
      <c r="X749" t="s">
        <v>11571</v>
      </c>
      <c r="Y749" t="s">
        <v>11572</v>
      </c>
    </row>
    <row r="750" spans="1:25" x14ac:dyDescent="0.3">
      <c r="A750">
        <v>37450</v>
      </c>
      <c r="B750" t="s">
        <v>11573</v>
      </c>
      <c r="C750" t="s">
        <v>11574</v>
      </c>
      <c r="D750" t="s">
        <v>11575</v>
      </c>
      <c r="E750" t="s">
        <v>11576</v>
      </c>
      <c r="F750" t="s">
        <v>11577</v>
      </c>
      <c r="G750" t="s">
        <v>11578</v>
      </c>
      <c r="H750" t="s">
        <v>11579</v>
      </c>
      <c r="I750" t="s">
        <v>11580</v>
      </c>
      <c r="J750" t="s">
        <v>11581</v>
      </c>
      <c r="K750" t="s">
        <v>11582</v>
      </c>
      <c r="L750" t="s">
        <v>11583</v>
      </c>
      <c r="M750" t="s">
        <v>11584</v>
      </c>
      <c r="N750" t="s">
        <v>11585</v>
      </c>
      <c r="O750" t="s">
        <v>11586</v>
      </c>
      <c r="P750" t="s">
        <v>11587</v>
      </c>
      <c r="Q750" t="s">
        <v>11588</v>
      </c>
      <c r="R750" t="s">
        <v>11589</v>
      </c>
      <c r="S750" t="s">
        <v>11590</v>
      </c>
      <c r="T750" t="s">
        <v>11591</v>
      </c>
      <c r="U750" t="s">
        <v>11592</v>
      </c>
      <c r="V750" t="s">
        <v>11593</v>
      </c>
      <c r="W750" t="s">
        <v>11594</v>
      </c>
      <c r="X750" t="s">
        <v>11595</v>
      </c>
      <c r="Y750" t="s">
        <v>11596</v>
      </c>
    </row>
    <row r="751" spans="1:25" x14ac:dyDescent="0.3">
      <c r="A751">
        <v>37500</v>
      </c>
      <c r="B751" t="s">
        <v>11597</v>
      </c>
      <c r="C751" t="s">
        <v>11598</v>
      </c>
      <c r="D751" t="s">
        <v>11599</v>
      </c>
      <c r="E751" t="s">
        <v>11600</v>
      </c>
      <c r="F751" t="s">
        <v>11601</v>
      </c>
      <c r="G751" t="s">
        <v>11602</v>
      </c>
      <c r="H751" t="s">
        <v>11603</v>
      </c>
      <c r="I751" t="s">
        <v>11604</v>
      </c>
      <c r="J751" t="s">
        <v>11605</v>
      </c>
      <c r="K751" t="s">
        <v>11606</v>
      </c>
      <c r="L751" t="s">
        <v>11607</v>
      </c>
      <c r="M751" t="s">
        <v>11608</v>
      </c>
      <c r="N751" t="s">
        <v>11609</v>
      </c>
      <c r="O751" t="s">
        <v>11610</v>
      </c>
      <c r="P751" t="s">
        <v>11611</v>
      </c>
      <c r="Q751" t="s">
        <v>11612</v>
      </c>
      <c r="R751" t="s">
        <v>11613</v>
      </c>
      <c r="S751" t="s">
        <v>11614</v>
      </c>
      <c r="T751" t="s">
        <v>11615</v>
      </c>
      <c r="U751" t="s">
        <v>11616</v>
      </c>
      <c r="V751" t="s">
        <v>11617</v>
      </c>
      <c r="W751" t="s">
        <v>11618</v>
      </c>
      <c r="X751" t="s">
        <v>11619</v>
      </c>
      <c r="Y751" t="s">
        <v>11620</v>
      </c>
    </row>
    <row r="752" spans="1:25" x14ac:dyDescent="0.3">
      <c r="A752">
        <v>37550</v>
      </c>
      <c r="B752" t="s">
        <v>11621</v>
      </c>
      <c r="C752" t="s">
        <v>11622</v>
      </c>
      <c r="D752" t="s">
        <v>11623</v>
      </c>
      <c r="E752" t="s">
        <v>11624</v>
      </c>
      <c r="F752" t="s">
        <v>11625</v>
      </c>
      <c r="G752" t="s">
        <v>11626</v>
      </c>
      <c r="H752" t="s">
        <v>11627</v>
      </c>
      <c r="I752" t="s">
        <v>11628</v>
      </c>
      <c r="J752" t="s">
        <v>11629</v>
      </c>
      <c r="K752" t="s">
        <v>11630</v>
      </c>
      <c r="L752" t="s">
        <v>11631</v>
      </c>
      <c r="M752" t="s">
        <v>11632</v>
      </c>
      <c r="N752" t="s">
        <v>11633</v>
      </c>
      <c r="O752" t="s">
        <v>11634</v>
      </c>
      <c r="P752" t="s">
        <v>11635</v>
      </c>
      <c r="Q752" t="s">
        <v>11636</v>
      </c>
      <c r="R752" t="s">
        <v>11637</v>
      </c>
      <c r="S752" t="s">
        <v>11638</v>
      </c>
      <c r="T752" t="s">
        <v>11639</v>
      </c>
      <c r="U752" t="s">
        <v>11640</v>
      </c>
      <c r="V752" t="s">
        <v>11641</v>
      </c>
      <c r="W752" t="s">
        <v>11642</v>
      </c>
      <c r="X752" t="s">
        <v>11643</v>
      </c>
      <c r="Y752" t="s">
        <v>11644</v>
      </c>
    </row>
    <row r="753" spans="1:25" x14ac:dyDescent="0.3">
      <c r="A753">
        <v>37600</v>
      </c>
      <c r="B753" t="s">
        <v>11645</v>
      </c>
      <c r="C753" t="s">
        <v>11646</v>
      </c>
      <c r="D753" t="s">
        <v>11647</v>
      </c>
      <c r="E753" t="s">
        <v>11648</v>
      </c>
      <c r="F753" t="s">
        <v>11649</v>
      </c>
      <c r="G753" t="s">
        <v>11650</v>
      </c>
      <c r="H753" t="s">
        <v>11651</v>
      </c>
      <c r="I753" t="s">
        <v>11652</v>
      </c>
      <c r="J753" t="s">
        <v>11653</v>
      </c>
      <c r="K753" t="s">
        <v>11654</v>
      </c>
      <c r="L753" t="s">
        <v>11655</v>
      </c>
      <c r="M753" t="s">
        <v>11656</v>
      </c>
      <c r="N753" t="s">
        <v>11657</v>
      </c>
      <c r="O753" t="s">
        <v>11658</v>
      </c>
      <c r="P753" t="s">
        <v>11659</v>
      </c>
      <c r="Q753" t="s">
        <v>11660</v>
      </c>
      <c r="R753" t="s">
        <v>11661</v>
      </c>
      <c r="S753" t="s">
        <v>11662</v>
      </c>
      <c r="T753" t="s">
        <v>11663</v>
      </c>
      <c r="U753" t="s">
        <v>11664</v>
      </c>
      <c r="V753" t="s">
        <v>11665</v>
      </c>
      <c r="W753" t="s">
        <v>11666</v>
      </c>
      <c r="X753" t="s">
        <v>11667</v>
      </c>
      <c r="Y753" t="s">
        <v>11668</v>
      </c>
    </row>
    <row r="754" spans="1:25" x14ac:dyDescent="0.3">
      <c r="A754">
        <v>37650</v>
      </c>
      <c r="B754" t="s">
        <v>11669</v>
      </c>
      <c r="C754" t="s">
        <v>11670</v>
      </c>
      <c r="D754" t="s">
        <v>11671</v>
      </c>
      <c r="E754" t="s">
        <v>11672</v>
      </c>
      <c r="F754" t="s">
        <v>11673</v>
      </c>
      <c r="G754" t="s">
        <v>11674</v>
      </c>
      <c r="H754" t="s">
        <v>11675</v>
      </c>
      <c r="I754" t="s">
        <v>11676</v>
      </c>
      <c r="J754" t="s">
        <v>11677</v>
      </c>
      <c r="K754" t="s">
        <v>11678</v>
      </c>
      <c r="L754" t="s">
        <v>11679</v>
      </c>
      <c r="M754" t="s">
        <v>11680</v>
      </c>
      <c r="N754" t="s">
        <v>11681</v>
      </c>
      <c r="O754" t="s">
        <v>11682</v>
      </c>
      <c r="P754" t="s">
        <v>11683</v>
      </c>
      <c r="Q754" t="s">
        <v>11684</v>
      </c>
      <c r="R754" t="s">
        <v>11685</v>
      </c>
      <c r="S754" t="s">
        <v>11686</v>
      </c>
      <c r="T754" t="s">
        <v>11687</v>
      </c>
      <c r="U754" t="s">
        <v>11688</v>
      </c>
      <c r="V754" t="s">
        <v>11689</v>
      </c>
      <c r="W754" t="s">
        <v>11690</v>
      </c>
      <c r="X754" t="s">
        <v>11691</v>
      </c>
      <c r="Y754" t="s">
        <v>11692</v>
      </c>
    </row>
    <row r="755" spans="1:25" x14ac:dyDescent="0.3">
      <c r="A755">
        <v>37700</v>
      </c>
      <c r="B755" t="s">
        <v>11693</v>
      </c>
      <c r="C755" t="s">
        <v>11694</v>
      </c>
      <c r="D755" t="s">
        <v>11695</v>
      </c>
      <c r="E755" t="s">
        <v>11696</v>
      </c>
      <c r="F755" t="s">
        <v>11697</v>
      </c>
      <c r="G755" t="s">
        <v>11698</v>
      </c>
      <c r="H755" t="s">
        <v>11699</v>
      </c>
      <c r="I755" t="s">
        <v>11700</v>
      </c>
      <c r="J755" t="s">
        <v>11701</v>
      </c>
      <c r="K755" t="s">
        <v>11702</v>
      </c>
      <c r="L755" t="s">
        <v>11703</v>
      </c>
      <c r="M755" t="s">
        <v>11704</v>
      </c>
      <c r="N755" t="s">
        <v>11705</v>
      </c>
      <c r="O755" t="s">
        <v>11706</v>
      </c>
      <c r="P755" t="s">
        <v>11707</v>
      </c>
      <c r="Q755" t="s">
        <v>11708</v>
      </c>
      <c r="R755" t="s">
        <v>11709</v>
      </c>
      <c r="S755" t="s">
        <v>11710</v>
      </c>
      <c r="T755" t="s">
        <v>11711</v>
      </c>
      <c r="U755" t="s">
        <v>11712</v>
      </c>
      <c r="V755" t="s">
        <v>11713</v>
      </c>
      <c r="W755" t="s">
        <v>11714</v>
      </c>
      <c r="X755" t="s">
        <v>11715</v>
      </c>
      <c r="Y755" t="s">
        <v>11716</v>
      </c>
    </row>
    <row r="756" spans="1:25" x14ac:dyDescent="0.3">
      <c r="A756">
        <v>37750</v>
      </c>
      <c r="B756" t="s">
        <v>11717</v>
      </c>
      <c r="C756" t="s">
        <v>11718</v>
      </c>
      <c r="D756" t="s">
        <v>11719</v>
      </c>
      <c r="E756" t="s">
        <v>11720</v>
      </c>
      <c r="F756" t="s">
        <v>11721</v>
      </c>
      <c r="G756" t="s">
        <v>11722</v>
      </c>
      <c r="H756" t="s">
        <v>11723</v>
      </c>
      <c r="I756" t="s">
        <v>11724</v>
      </c>
      <c r="J756" t="s">
        <v>11725</v>
      </c>
      <c r="K756" t="s">
        <v>11726</v>
      </c>
      <c r="L756" t="s">
        <v>11727</v>
      </c>
      <c r="M756" t="s">
        <v>11728</v>
      </c>
      <c r="N756" t="s">
        <v>11729</v>
      </c>
      <c r="O756" t="s">
        <v>11730</v>
      </c>
      <c r="P756" t="s">
        <v>11731</v>
      </c>
      <c r="Q756" t="s">
        <v>11732</v>
      </c>
      <c r="R756" t="s">
        <v>11733</v>
      </c>
      <c r="S756" t="s">
        <v>11734</v>
      </c>
      <c r="T756" t="s">
        <v>11735</v>
      </c>
      <c r="U756" t="s">
        <v>11736</v>
      </c>
      <c r="V756" t="s">
        <v>11737</v>
      </c>
      <c r="W756" t="s">
        <v>11738</v>
      </c>
      <c r="X756" t="s">
        <v>11739</v>
      </c>
      <c r="Y756" t="s">
        <v>11740</v>
      </c>
    </row>
    <row r="757" spans="1:25" x14ac:dyDescent="0.3">
      <c r="A757">
        <v>37800</v>
      </c>
      <c r="B757" t="s">
        <v>11741</v>
      </c>
      <c r="C757" t="s">
        <v>11742</v>
      </c>
      <c r="D757" t="s">
        <v>11743</v>
      </c>
      <c r="E757" t="s">
        <v>11744</v>
      </c>
      <c r="F757" t="s">
        <v>11745</v>
      </c>
      <c r="G757" t="s">
        <v>11746</v>
      </c>
      <c r="H757" t="s">
        <v>11747</v>
      </c>
      <c r="I757" t="s">
        <v>11748</v>
      </c>
      <c r="J757" t="s">
        <v>11749</v>
      </c>
      <c r="K757" t="s">
        <v>11750</v>
      </c>
      <c r="L757" t="s">
        <v>11751</v>
      </c>
      <c r="M757" t="s">
        <v>11752</v>
      </c>
      <c r="N757" t="s">
        <v>11753</v>
      </c>
      <c r="O757" t="s">
        <v>11754</v>
      </c>
      <c r="P757" t="s">
        <v>11755</v>
      </c>
      <c r="Q757" t="s">
        <v>11756</v>
      </c>
      <c r="R757" t="s">
        <v>11757</v>
      </c>
      <c r="S757" t="s">
        <v>11758</v>
      </c>
      <c r="T757" t="s">
        <v>11759</v>
      </c>
      <c r="U757" t="s">
        <v>11760</v>
      </c>
      <c r="V757" t="s">
        <v>11761</v>
      </c>
      <c r="W757" t="s">
        <v>11762</v>
      </c>
      <c r="X757" t="s">
        <v>11763</v>
      </c>
      <c r="Y757" t="s">
        <v>11764</v>
      </c>
    </row>
    <row r="758" spans="1:25" x14ac:dyDescent="0.3">
      <c r="A758">
        <v>37850</v>
      </c>
      <c r="B758" t="s">
        <v>11765</v>
      </c>
      <c r="C758" t="s">
        <v>11766</v>
      </c>
      <c r="D758" t="s">
        <v>11767</v>
      </c>
      <c r="E758" t="s">
        <v>11768</v>
      </c>
      <c r="F758" t="s">
        <v>11769</v>
      </c>
      <c r="G758" t="s">
        <v>11770</v>
      </c>
      <c r="H758" t="s">
        <v>11771</v>
      </c>
      <c r="I758" t="s">
        <v>11772</v>
      </c>
      <c r="J758" t="s">
        <v>11773</v>
      </c>
      <c r="K758" t="s">
        <v>11774</v>
      </c>
      <c r="L758" t="s">
        <v>11775</v>
      </c>
      <c r="M758" t="s">
        <v>11776</v>
      </c>
      <c r="N758" t="s">
        <v>11777</v>
      </c>
      <c r="O758" t="s">
        <v>11778</v>
      </c>
      <c r="P758" t="s">
        <v>11779</v>
      </c>
      <c r="Q758" t="s">
        <v>11780</v>
      </c>
      <c r="R758" t="s">
        <v>11781</v>
      </c>
      <c r="S758" t="s">
        <v>11782</v>
      </c>
      <c r="T758" t="s">
        <v>11783</v>
      </c>
      <c r="U758" t="s">
        <v>11784</v>
      </c>
      <c r="V758" t="s">
        <v>11785</v>
      </c>
      <c r="W758" t="s">
        <v>11786</v>
      </c>
      <c r="X758" t="s">
        <v>11787</v>
      </c>
      <c r="Y758" t="s">
        <v>11788</v>
      </c>
    </row>
    <row r="759" spans="1:25" x14ac:dyDescent="0.3">
      <c r="A759">
        <v>37900</v>
      </c>
      <c r="B759" t="s">
        <v>11789</v>
      </c>
      <c r="C759" t="s">
        <v>11790</v>
      </c>
      <c r="D759" t="s">
        <v>11791</v>
      </c>
      <c r="E759" t="s">
        <v>11792</v>
      </c>
      <c r="F759" t="s">
        <v>11793</v>
      </c>
      <c r="G759" t="s">
        <v>11794</v>
      </c>
      <c r="H759" t="s">
        <v>11795</v>
      </c>
      <c r="I759" t="s">
        <v>11796</v>
      </c>
      <c r="J759" t="s">
        <v>11797</v>
      </c>
      <c r="K759" t="s">
        <v>11798</v>
      </c>
      <c r="L759" t="s">
        <v>11799</v>
      </c>
      <c r="M759" t="s">
        <v>11800</v>
      </c>
      <c r="N759" t="s">
        <v>11801</v>
      </c>
      <c r="O759" t="s">
        <v>11802</v>
      </c>
      <c r="P759" t="s">
        <v>11803</v>
      </c>
      <c r="Q759" t="s">
        <v>11804</v>
      </c>
      <c r="R759" t="s">
        <v>11805</v>
      </c>
      <c r="S759" t="s">
        <v>11806</v>
      </c>
      <c r="T759" t="s">
        <v>11807</v>
      </c>
      <c r="U759" t="s">
        <v>11808</v>
      </c>
      <c r="V759" t="s">
        <v>11809</v>
      </c>
      <c r="W759" t="s">
        <v>11810</v>
      </c>
      <c r="X759" t="s">
        <v>11811</v>
      </c>
      <c r="Y759" t="s">
        <v>11812</v>
      </c>
    </row>
    <row r="760" spans="1:25" x14ac:dyDescent="0.3">
      <c r="A760">
        <v>37950</v>
      </c>
      <c r="B760" t="s">
        <v>11813</v>
      </c>
      <c r="C760" t="s">
        <v>11814</v>
      </c>
      <c r="D760" t="s">
        <v>11815</v>
      </c>
      <c r="E760" t="s">
        <v>11816</v>
      </c>
      <c r="F760" t="s">
        <v>11817</v>
      </c>
      <c r="G760" t="s">
        <v>11818</v>
      </c>
      <c r="H760" t="s">
        <v>11819</v>
      </c>
      <c r="I760" t="s">
        <v>11820</v>
      </c>
      <c r="J760" t="s">
        <v>11821</v>
      </c>
      <c r="K760" t="s">
        <v>11822</v>
      </c>
      <c r="L760" t="s">
        <v>11823</v>
      </c>
      <c r="M760" t="s">
        <v>11824</v>
      </c>
      <c r="N760" t="s">
        <v>11825</v>
      </c>
      <c r="O760" t="s">
        <v>11826</v>
      </c>
      <c r="P760" t="s">
        <v>11827</v>
      </c>
      <c r="Q760" t="s">
        <v>11828</v>
      </c>
      <c r="R760" t="s">
        <v>11829</v>
      </c>
      <c r="S760" t="s">
        <v>11830</v>
      </c>
      <c r="T760" t="s">
        <v>11831</v>
      </c>
      <c r="U760" t="s">
        <v>11832</v>
      </c>
      <c r="V760" t="s">
        <v>11833</v>
      </c>
      <c r="W760" t="s">
        <v>11834</v>
      </c>
      <c r="X760" t="s">
        <v>11835</v>
      </c>
      <c r="Y760" t="s">
        <v>11836</v>
      </c>
    </row>
    <row r="761" spans="1:25" x14ac:dyDescent="0.3">
      <c r="A761">
        <v>38000</v>
      </c>
      <c r="B761" t="s">
        <v>11837</v>
      </c>
      <c r="C761" t="s">
        <v>11838</v>
      </c>
      <c r="D761" t="s">
        <v>11839</v>
      </c>
      <c r="E761" t="s">
        <v>11840</v>
      </c>
      <c r="F761" t="s">
        <v>11841</v>
      </c>
      <c r="G761" t="s">
        <v>11842</v>
      </c>
      <c r="H761" t="s">
        <v>11843</v>
      </c>
      <c r="I761" t="s">
        <v>11844</v>
      </c>
      <c r="J761" t="s">
        <v>11845</v>
      </c>
      <c r="K761" t="s">
        <v>11846</v>
      </c>
      <c r="L761" t="s">
        <v>11847</v>
      </c>
      <c r="M761" t="s">
        <v>11848</v>
      </c>
      <c r="N761" t="s">
        <v>11849</v>
      </c>
      <c r="O761" t="s">
        <v>11850</v>
      </c>
      <c r="P761" t="s">
        <v>11851</v>
      </c>
      <c r="Q761" t="s">
        <v>11852</v>
      </c>
      <c r="R761" t="s">
        <v>11853</v>
      </c>
      <c r="S761" t="s">
        <v>11854</v>
      </c>
      <c r="T761" t="s">
        <v>11855</v>
      </c>
      <c r="U761" t="s">
        <v>11856</v>
      </c>
      <c r="V761" t="s">
        <v>11857</v>
      </c>
      <c r="W761" t="s">
        <v>11858</v>
      </c>
      <c r="X761" t="s">
        <v>11859</v>
      </c>
      <c r="Y761" t="s">
        <v>11860</v>
      </c>
    </row>
    <row r="762" spans="1:25" x14ac:dyDescent="0.3">
      <c r="A762">
        <v>38050</v>
      </c>
      <c r="B762" t="s">
        <v>11861</v>
      </c>
      <c r="C762" t="s">
        <v>11862</v>
      </c>
      <c r="D762" t="s">
        <v>11863</v>
      </c>
      <c r="E762" t="s">
        <v>11864</v>
      </c>
      <c r="F762" t="s">
        <v>11865</v>
      </c>
      <c r="G762" t="s">
        <v>11866</v>
      </c>
      <c r="H762" t="s">
        <v>11867</v>
      </c>
      <c r="I762" t="s">
        <v>11868</v>
      </c>
      <c r="J762" t="s">
        <v>11869</v>
      </c>
      <c r="K762" t="s">
        <v>11870</v>
      </c>
      <c r="L762" t="s">
        <v>11871</v>
      </c>
      <c r="M762" t="s">
        <v>11872</v>
      </c>
      <c r="N762" t="s">
        <v>11873</v>
      </c>
      <c r="O762" t="s">
        <v>11874</v>
      </c>
      <c r="P762" t="s">
        <v>11875</v>
      </c>
      <c r="Q762" t="s">
        <v>11876</v>
      </c>
      <c r="R762" t="s">
        <v>11877</v>
      </c>
      <c r="S762" t="s">
        <v>11878</v>
      </c>
      <c r="T762" t="s">
        <v>11879</v>
      </c>
      <c r="U762" t="s">
        <v>11880</v>
      </c>
      <c r="V762" t="s">
        <v>11881</v>
      </c>
      <c r="W762" t="s">
        <v>11882</v>
      </c>
      <c r="X762" t="s">
        <v>11883</v>
      </c>
      <c r="Y762" t="s">
        <v>11884</v>
      </c>
    </row>
    <row r="763" spans="1:25" x14ac:dyDescent="0.3">
      <c r="A763">
        <v>38100</v>
      </c>
      <c r="B763" t="s">
        <v>11885</v>
      </c>
      <c r="C763" t="s">
        <v>11886</v>
      </c>
      <c r="D763" t="s">
        <v>11887</v>
      </c>
      <c r="E763" t="s">
        <v>11888</v>
      </c>
      <c r="F763" t="s">
        <v>11889</v>
      </c>
      <c r="G763" t="s">
        <v>11890</v>
      </c>
      <c r="H763" t="s">
        <v>11891</v>
      </c>
      <c r="I763" t="s">
        <v>11892</v>
      </c>
      <c r="J763" t="s">
        <v>11893</v>
      </c>
      <c r="K763" t="s">
        <v>11894</v>
      </c>
      <c r="L763" t="s">
        <v>11895</v>
      </c>
      <c r="M763" t="s">
        <v>11896</v>
      </c>
      <c r="N763" t="s">
        <v>11897</v>
      </c>
      <c r="O763" t="s">
        <v>11898</v>
      </c>
      <c r="P763" t="s">
        <v>11899</v>
      </c>
      <c r="Q763" t="s">
        <v>11900</v>
      </c>
      <c r="R763" t="s">
        <v>11901</v>
      </c>
      <c r="S763" t="s">
        <v>11902</v>
      </c>
      <c r="T763" t="s">
        <v>11903</v>
      </c>
      <c r="U763" t="s">
        <v>11904</v>
      </c>
      <c r="V763" t="s">
        <v>11905</v>
      </c>
      <c r="W763" t="s">
        <v>11906</v>
      </c>
      <c r="X763" t="s">
        <v>11907</v>
      </c>
      <c r="Y763" t="s">
        <v>11908</v>
      </c>
    </row>
    <row r="764" spans="1:25" x14ac:dyDescent="0.3">
      <c r="A764">
        <v>38150</v>
      </c>
      <c r="B764" t="s">
        <v>11909</v>
      </c>
      <c r="C764" t="s">
        <v>11910</v>
      </c>
      <c r="D764" t="s">
        <v>11911</v>
      </c>
      <c r="E764" t="s">
        <v>11912</v>
      </c>
      <c r="F764" t="s">
        <v>11913</v>
      </c>
      <c r="G764" t="s">
        <v>11914</v>
      </c>
      <c r="H764" t="s">
        <v>11915</v>
      </c>
      <c r="I764" t="s">
        <v>11916</v>
      </c>
      <c r="J764" t="s">
        <v>11917</v>
      </c>
      <c r="K764" t="s">
        <v>11918</v>
      </c>
      <c r="L764" t="s">
        <v>11919</v>
      </c>
      <c r="M764" t="s">
        <v>11920</v>
      </c>
      <c r="N764" t="s">
        <v>11921</v>
      </c>
      <c r="O764" t="s">
        <v>11922</v>
      </c>
      <c r="P764" t="s">
        <v>11923</v>
      </c>
      <c r="Q764" t="s">
        <v>11924</v>
      </c>
      <c r="R764" t="s">
        <v>11925</v>
      </c>
      <c r="S764" t="s">
        <v>11926</v>
      </c>
      <c r="T764" t="s">
        <v>11927</v>
      </c>
      <c r="U764" t="s">
        <v>11928</v>
      </c>
      <c r="V764" t="s">
        <v>11929</v>
      </c>
      <c r="W764" t="s">
        <v>11930</v>
      </c>
      <c r="X764" t="s">
        <v>11931</v>
      </c>
      <c r="Y764" t="s">
        <v>11932</v>
      </c>
    </row>
    <row r="765" spans="1:25" x14ac:dyDescent="0.3">
      <c r="A765">
        <v>38200</v>
      </c>
      <c r="B765" t="s">
        <v>11933</v>
      </c>
      <c r="C765" t="s">
        <v>11934</v>
      </c>
      <c r="D765" t="s">
        <v>11935</v>
      </c>
      <c r="E765" t="s">
        <v>11936</v>
      </c>
      <c r="F765" t="s">
        <v>11937</v>
      </c>
      <c r="G765" t="s">
        <v>11938</v>
      </c>
      <c r="H765" t="s">
        <v>11939</v>
      </c>
      <c r="I765" t="s">
        <v>11940</v>
      </c>
      <c r="J765" t="s">
        <v>11941</v>
      </c>
      <c r="K765" t="s">
        <v>11942</v>
      </c>
      <c r="L765" t="s">
        <v>11943</v>
      </c>
      <c r="M765" t="s">
        <v>11944</v>
      </c>
      <c r="N765" t="s">
        <v>11945</v>
      </c>
      <c r="O765" t="s">
        <v>11946</v>
      </c>
      <c r="P765" t="s">
        <v>11947</v>
      </c>
      <c r="Q765" t="s">
        <v>11948</v>
      </c>
      <c r="R765" t="s">
        <v>11949</v>
      </c>
      <c r="S765" t="s">
        <v>11950</v>
      </c>
      <c r="T765" t="s">
        <v>11951</v>
      </c>
      <c r="U765" t="s">
        <v>11952</v>
      </c>
      <c r="V765" t="s">
        <v>11953</v>
      </c>
      <c r="W765" t="s">
        <v>11954</v>
      </c>
      <c r="X765" t="s">
        <v>11955</v>
      </c>
      <c r="Y765" t="s">
        <v>11956</v>
      </c>
    </row>
    <row r="766" spans="1:25" x14ac:dyDescent="0.3">
      <c r="A766">
        <v>38250</v>
      </c>
      <c r="B766" t="s">
        <v>11957</v>
      </c>
      <c r="C766" t="s">
        <v>11958</v>
      </c>
      <c r="D766" t="s">
        <v>11959</v>
      </c>
      <c r="E766" t="s">
        <v>11960</v>
      </c>
      <c r="F766" t="s">
        <v>11961</v>
      </c>
      <c r="G766" t="s">
        <v>11962</v>
      </c>
      <c r="H766" t="s">
        <v>11963</v>
      </c>
      <c r="I766" t="s">
        <v>11964</v>
      </c>
      <c r="J766" t="s">
        <v>11965</v>
      </c>
      <c r="K766" t="s">
        <v>11966</v>
      </c>
      <c r="L766" t="s">
        <v>11967</v>
      </c>
      <c r="M766" t="s">
        <v>11968</v>
      </c>
      <c r="N766" t="s">
        <v>11969</v>
      </c>
      <c r="O766" t="s">
        <v>11970</v>
      </c>
      <c r="P766" t="s">
        <v>11971</v>
      </c>
      <c r="Q766" t="s">
        <v>11972</v>
      </c>
      <c r="R766" t="s">
        <v>11973</v>
      </c>
      <c r="S766" t="s">
        <v>11974</v>
      </c>
      <c r="T766" t="s">
        <v>11975</v>
      </c>
      <c r="U766" t="s">
        <v>11976</v>
      </c>
      <c r="V766" t="s">
        <v>11977</v>
      </c>
      <c r="W766" t="s">
        <v>11978</v>
      </c>
      <c r="X766" t="s">
        <v>11979</v>
      </c>
      <c r="Y766" t="s">
        <v>11980</v>
      </c>
    </row>
    <row r="767" spans="1:25" x14ac:dyDescent="0.3">
      <c r="A767">
        <v>38300</v>
      </c>
      <c r="B767" t="s">
        <v>11981</v>
      </c>
      <c r="C767" t="s">
        <v>11982</v>
      </c>
      <c r="D767" t="s">
        <v>11983</v>
      </c>
      <c r="E767" t="s">
        <v>11984</v>
      </c>
      <c r="F767" t="s">
        <v>11985</v>
      </c>
      <c r="G767" t="s">
        <v>11986</v>
      </c>
      <c r="H767" t="s">
        <v>11987</v>
      </c>
      <c r="I767" t="s">
        <v>11988</v>
      </c>
      <c r="J767" t="s">
        <v>11989</v>
      </c>
      <c r="K767" t="s">
        <v>11990</v>
      </c>
      <c r="L767" t="s">
        <v>11991</v>
      </c>
      <c r="M767" t="s">
        <v>11992</v>
      </c>
      <c r="N767" t="s">
        <v>11993</v>
      </c>
      <c r="O767" t="s">
        <v>11994</v>
      </c>
      <c r="P767" t="s">
        <v>11995</v>
      </c>
      <c r="Q767" t="s">
        <v>11996</v>
      </c>
      <c r="R767" t="s">
        <v>11997</v>
      </c>
      <c r="S767" t="s">
        <v>11998</v>
      </c>
      <c r="T767" t="s">
        <v>11999</v>
      </c>
      <c r="U767" t="s">
        <v>12000</v>
      </c>
      <c r="V767" t="s">
        <v>12001</v>
      </c>
      <c r="W767" t="s">
        <v>12002</v>
      </c>
      <c r="X767" t="s">
        <v>12003</v>
      </c>
      <c r="Y767" t="s">
        <v>12004</v>
      </c>
    </row>
    <row r="768" spans="1:25" x14ac:dyDescent="0.3">
      <c r="A768">
        <v>38350</v>
      </c>
      <c r="B768" t="s">
        <v>12005</v>
      </c>
      <c r="C768" t="s">
        <v>12006</v>
      </c>
      <c r="D768" t="s">
        <v>12007</v>
      </c>
      <c r="E768" t="s">
        <v>12008</v>
      </c>
      <c r="F768" t="s">
        <v>12009</v>
      </c>
      <c r="G768" t="s">
        <v>12010</v>
      </c>
      <c r="H768" t="s">
        <v>12011</v>
      </c>
      <c r="I768" t="s">
        <v>12012</v>
      </c>
      <c r="J768" t="s">
        <v>12013</v>
      </c>
      <c r="K768" t="s">
        <v>12014</v>
      </c>
      <c r="L768" t="s">
        <v>12015</v>
      </c>
      <c r="M768" t="s">
        <v>12016</v>
      </c>
      <c r="N768" t="s">
        <v>12017</v>
      </c>
      <c r="O768" t="s">
        <v>12018</v>
      </c>
      <c r="P768" t="s">
        <v>12019</v>
      </c>
      <c r="Q768" t="s">
        <v>12020</v>
      </c>
      <c r="R768" t="s">
        <v>12021</v>
      </c>
      <c r="S768" t="s">
        <v>12022</v>
      </c>
      <c r="T768" t="s">
        <v>12023</v>
      </c>
      <c r="U768" t="s">
        <v>12024</v>
      </c>
      <c r="V768" t="s">
        <v>12025</v>
      </c>
      <c r="W768" t="s">
        <v>12026</v>
      </c>
      <c r="X768" t="s">
        <v>12027</v>
      </c>
      <c r="Y768" t="s">
        <v>12028</v>
      </c>
    </row>
    <row r="769" spans="1:25" x14ac:dyDescent="0.3">
      <c r="A769">
        <v>38400</v>
      </c>
      <c r="B769" t="s">
        <v>12029</v>
      </c>
      <c r="C769" t="s">
        <v>12030</v>
      </c>
      <c r="D769" t="s">
        <v>12031</v>
      </c>
      <c r="E769" t="s">
        <v>12032</v>
      </c>
      <c r="F769" t="s">
        <v>12033</v>
      </c>
      <c r="G769" t="s">
        <v>12034</v>
      </c>
      <c r="H769" t="s">
        <v>12035</v>
      </c>
      <c r="I769" t="s">
        <v>12036</v>
      </c>
      <c r="J769" t="s">
        <v>12037</v>
      </c>
      <c r="K769" t="s">
        <v>12038</v>
      </c>
      <c r="L769" t="s">
        <v>12039</v>
      </c>
      <c r="M769" t="s">
        <v>12040</v>
      </c>
      <c r="N769" t="s">
        <v>12041</v>
      </c>
      <c r="O769" t="s">
        <v>12042</v>
      </c>
      <c r="P769" t="s">
        <v>12043</v>
      </c>
      <c r="Q769" t="s">
        <v>12044</v>
      </c>
      <c r="R769" t="s">
        <v>12045</v>
      </c>
      <c r="S769" t="s">
        <v>12046</v>
      </c>
      <c r="T769" t="s">
        <v>12047</v>
      </c>
      <c r="U769" t="s">
        <v>12048</v>
      </c>
      <c r="V769" t="s">
        <v>12049</v>
      </c>
      <c r="W769" t="s">
        <v>12050</v>
      </c>
      <c r="X769" t="s">
        <v>12051</v>
      </c>
      <c r="Y769" t="s">
        <v>12052</v>
      </c>
    </row>
    <row r="770" spans="1:25" x14ac:dyDescent="0.3">
      <c r="A770">
        <v>38450</v>
      </c>
      <c r="B770" t="s">
        <v>12053</v>
      </c>
      <c r="C770" t="s">
        <v>12054</v>
      </c>
      <c r="D770" t="s">
        <v>12055</v>
      </c>
      <c r="E770" t="s">
        <v>12056</v>
      </c>
      <c r="F770" t="s">
        <v>12057</v>
      </c>
      <c r="G770" t="s">
        <v>12058</v>
      </c>
      <c r="H770" t="s">
        <v>12059</v>
      </c>
      <c r="I770" t="s">
        <v>12060</v>
      </c>
      <c r="J770" t="s">
        <v>12061</v>
      </c>
      <c r="K770" t="s">
        <v>12062</v>
      </c>
      <c r="L770" t="s">
        <v>12063</v>
      </c>
      <c r="M770" t="s">
        <v>12064</v>
      </c>
      <c r="N770" t="s">
        <v>12065</v>
      </c>
      <c r="O770" t="s">
        <v>12066</v>
      </c>
      <c r="P770" t="s">
        <v>12067</v>
      </c>
      <c r="Q770" t="s">
        <v>12068</v>
      </c>
      <c r="R770" t="s">
        <v>12069</v>
      </c>
      <c r="S770" t="s">
        <v>12070</v>
      </c>
      <c r="T770" t="s">
        <v>12071</v>
      </c>
      <c r="U770" t="s">
        <v>12072</v>
      </c>
      <c r="V770" t="s">
        <v>12073</v>
      </c>
      <c r="W770" t="s">
        <v>12074</v>
      </c>
      <c r="X770" t="s">
        <v>12075</v>
      </c>
      <c r="Y770" t="s">
        <v>12076</v>
      </c>
    </row>
    <row r="771" spans="1:25" x14ac:dyDescent="0.3">
      <c r="A771">
        <v>38500</v>
      </c>
      <c r="B771" t="s">
        <v>12077</v>
      </c>
      <c r="C771" t="s">
        <v>12078</v>
      </c>
      <c r="D771" t="s">
        <v>12079</v>
      </c>
      <c r="E771" t="s">
        <v>12080</v>
      </c>
      <c r="F771" t="s">
        <v>12081</v>
      </c>
      <c r="G771" t="s">
        <v>12082</v>
      </c>
      <c r="H771" t="s">
        <v>12083</v>
      </c>
      <c r="I771" t="s">
        <v>12084</v>
      </c>
      <c r="J771" t="s">
        <v>12085</v>
      </c>
      <c r="K771" t="s">
        <v>12086</v>
      </c>
      <c r="L771" t="s">
        <v>12087</v>
      </c>
      <c r="M771" t="s">
        <v>12088</v>
      </c>
      <c r="N771" t="s">
        <v>12089</v>
      </c>
      <c r="O771" t="s">
        <v>12090</v>
      </c>
      <c r="P771" t="s">
        <v>12091</v>
      </c>
      <c r="Q771" t="s">
        <v>12092</v>
      </c>
      <c r="R771" t="s">
        <v>12093</v>
      </c>
      <c r="S771" t="s">
        <v>12094</v>
      </c>
      <c r="T771" t="s">
        <v>12095</v>
      </c>
      <c r="U771" t="s">
        <v>12096</v>
      </c>
      <c r="V771" t="s">
        <v>12097</v>
      </c>
      <c r="W771" t="s">
        <v>12098</v>
      </c>
      <c r="X771" t="s">
        <v>12099</v>
      </c>
      <c r="Y771" t="s">
        <v>12100</v>
      </c>
    </row>
    <row r="772" spans="1:25" x14ac:dyDescent="0.3">
      <c r="A772">
        <v>38550</v>
      </c>
      <c r="B772" t="s">
        <v>12101</v>
      </c>
      <c r="C772" t="s">
        <v>12102</v>
      </c>
      <c r="D772" t="s">
        <v>12103</v>
      </c>
      <c r="E772" t="s">
        <v>12104</v>
      </c>
      <c r="F772" t="s">
        <v>12105</v>
      </c>
      <c r="G772" t="s">
        <v>12106</v>
      </c>
      <c r="H772" t="s">
        <v>12107</v>
      </c>
      <c r="I772" t="s">
        <v>12108</v>
      </c>
      <c r="J772" t="s">
        <v>12109</v>
      </c>
      <c r="K772" t="s">
        <v>12110</v>
      </c>
      <c r="L772" t="s">
        <v>12111</v>
      </c>
      <c r="M772" t="s">
        <v>12112</v>
      </c>
      <c r="N772" t="s">
        <v>12113</v>
      </c>
      <c r="O772" t="s">
        <v>12114</v>
      </c>
      <c r="P772" t="s">
        <v>12115</v>
      </c>
      <c r="Q772" t="s">
        <v>12116</v>
      </c>
      <c r="R772" t="s">
        <v>12117</v>
      </c>
      <c r="S772" t="s">
        <v>12118</v>
      </c>
      <c r="T772" t="s">
        <v>12119</v>
      </c>
      <c r="U772" t="s">
        <v>12120</v>
      </c>
      <c r="V772" t="s">
        <v>12121</v>
      </c>
      <c r="W772" t="s">
        <v>12122</v>
      </c>
      <c r="X772" t="s">
        <v>12123</v>
      </c>
      <c r="Y772" t="s">
        <v>12124</v>
      </c>
    </row>
    <row r="773" spans="1:25" x14ac:dyDescent="0.3">
      <c r="A773">
        <v>38600</v>
      </c>
      <c r="B773" t="s">
        <v>12125</v>
      </c>
      <c r="C773" t="s">
        <v>12126</v>
      </c>
      <c r="D773" t="s">
        <v>12127</v>
      </c>
      <c r="E773" t="s">
        <v>12128</v>
      </c>
      <c r="F773" t="s">
        <v>12129</v>
      </c>
      <c r="G773" t="s">
        <v>12130</v>
      </c>
      <c r="H773" t="s">
        <v>12131</v>
      </c>
      <c r="I773" t="s">
        <v>12132</v>
      </c>
      <c r="J773" t="s">
        <v>12133</v>
      </c>
      <c r="K773" t="s">
        <v>12134</v>
      </c>
      <c r="L773" t="s">
        <v>12135</v>
      </c>
      <c r="M773" t="s">
        <v>12136</v>
      </c>
      <c r="N773" t="s">
        <v>12137</v>
      </c>
      <c r="O773" t="s">
        <v>12138</v>
      </c>
      <c r="P773" t="s">
        <v>12139</v>
      </c>
      <c r="Q773" t="s">
        <v>12140</v>
      </c>
      <c r="R773" t="s">
        <v>12141</v>
      </c>
      <c r="S773" t="s">
        <v>12142</v>
      </c>
      <c r="T773" t="s">
        <v>12143</v>
      </c>
      <c r="U773" t="s">
        <v>12144</v>
      </c>
      <c r="V773" t="s">
        <v>12145</v>
      </c>
      <c r="W773" t="s">
        <v>12146</v>
      </c>
      <c r="X773" t="s">
        <v>12147</v>
      </c>
      <c r="Y773" t="s">
        <v>12148</v>
      </c>
    </row>
    <row r="774" spans="1:25" x14ac:dyDescent="0.3">
      <c r="A774">
        <v>38650</v>
      </c>
      <c r="B774" t="s">
        <v>12149</v>
      </c>
      <c r="C774" t="s">
        <v>12150</v>
      </c>
      <c r="D774" t="s">
        <v>12151</v>
      </c>
      <c r="E774" t="s">
        <v>12152</v>
      </c>
      <c r="F774" t="s">
        <v>12153</v>
      </c>
      <c r="G774" t="s">
        <v>12154</v>
      </c>
      <c r="H774" t="s">
        <v>12155</v>
      </c>
      <c r="I774" t="s">
        <v>12156</v>
      </c>
      <c r="J774" t="s">
        <v>12157</v>
      </c>
      <c r="K774" t="s">
        <v>12158</v>
      </c>
      <c r="L774" t="s">
        <v>12159</v>
      </c>
      <c r="M774" t="s">
        <v>12160</v>
      </c>
      <c r="N774" t="s">
        <v>12161</v>
      </c>
      <c r="O774" t="s">
        <v>12162</v>
      </c>
      <c r="P774" t="s">
        <v>12163</v>
      </c>
      <c r="Q774" t="s">
        <v>12164</v>
      </c>
      <c r="R774" t="s">
        <v>12165</v>
      </c>
      <c r="S774" t="s">
        <v>12166</v>
      </c>
      <c r="T774" t="s">
        <v>12167</v>
      </c>
      <c r="U774" t="s">
        <v>12168</v>
      </c>
      <c r="V774" t="s">
        <v>12169</v>
      </c>
      <c r="W774" t="s">
        <v>12170</v>
      </c>
      <c r="X774" t="s">
        <v>12171</v>
      </c>
      <c r="Y774" t="s">
        <v>12172</v>
      </c>
    </row>
    <row r="775" spans="1:25" x14ac:dyDescent="0.3">
      <c r="A775">
        <v>38700</v>
      </c>
      <c r="B775" t="s">
        <v>12173</v>
      </c>
      <c r="C775" t="s">
        <v>12174</v>
      </c>
      <c r="D775" t="s">
        <v>12175</v>
      </c>
      <c r="E775" t="s">
        <v>12176</v>
      </c>
      <c r="F775" t="s">
        <v>12177</v>
      </c>
      <c r="G775" t="s">
        <v>12178</v>
      </c>
      <c r="H775" t="s">
        <v>12179</v>
      </c>
      <c r="I775" t="s">
        <v>12180</v>
      </c>
      <c r="J775" t="s">
        <v>12181</v>
      </c>
      <c r="K775" t="s">
        <v>12182</v>
      </c>
      <c r="L775" t="s">
        <v>12183</v>
      </c>
      <c r="M775" t="s">
        <v>12184</v>
      </c>
      <c r="N775" t="s">
        <v>12185</v>
      </c>
      <c r="O775" t="s">
        <v>12186</v>
      </c>
      <c r="P775" t="s">
        <v>12187</v>
      </c>
      <c r="Q775" t="s">
        <v>12188</v>
      </c>
      <c r="R775" t="s">
        <v>12189</v>
      </c>
      <c r="S775" t="s">
        <v>12190</v>
      </c>
      <c r="T775" t="s">
        <v>12191</v>
      </c>
      <c r="U775" t="s">
        <v>12192</v>
      </c>
      <c r="V775" t="s">
        <v>12193</v>
      </c>
      <c r="W775" t="s">
        <v>12194</v>
      </c>
      <c r="X775" t="s">
        <v>12195</v>
      </c>
      <c r="Y775" t="s">
        <v>12196</v>
      </c>
    </row>
    <row r="776" spans="1:25" x14ac:dyDescent="0.3">
      <c r="A776">
        <v>38750</v>
      </c>
      <c r="B776" t="s">
        <v>12197</v>
      </c>
      <c r="C776" t="s">
        <v>12198</v>
      </c>
      <c r="D776" t="s">
        <v>12199</v>
      </c>
      <c r="E776" t="s">
        <v>12200</v>
      </c>
      <c r="F776" t="s">
        <v>12201</v>
      </c>
      <c r="G776" t="s">
        <v>12202</v>
      </c>
      <c r="H776" t="s">
        <v>12203</v>
      </c>
      <c r="I776" t="s">
        <v>12204</v>
      </c>
      <c r="J776" t="s">
        <v>12205</v>
      </c>
      <c r="K776" t="s">
        <v>12206</v>
      </c>
      <c r="L776" t="s">
        <v>12207</v>
      </c>
      <c r="M776" t="s">
        <v>12208</v>
      </c>
      <c r="N776" t="s">
        <v>12209</v>
      </c>
      <c r="O776" t="s">
        <v>12210</v>
      </c>
      <c r="P776" t="s">
        <v>12211</v>
      </c>
      <c r="Q776" t="s">
        <v>12212</v>
      </c>
      <c r="R776" t="s">
        <v>12213</v>
      </c>
      <c r="S776" t="s">
        <v>12214</v>
      </c>
      <c r="T776" t="s">
        <v>12215</v>
      </c>
      <c r="U776" t="s">
        <v>12216</v>
      </c>
      <c r="V776" t="s">
        <v>12217</v>
      </c>
      <c r="W776" t="s">
        <v>12218</v>
      </c>
      <c r="X776" t="s">
        <v>12219</v>
      </c>
      <c r="Y776" t="s">
        <v>12220</v>
      </c>
    </row>
    <row r="777" spans="1:25" x14ac:dyDescent="0.3">
      <c r="A777">
        <v>38800</v>
      </c>
      <c r="B777" t="s">
        <v>12221</v>
      </c>
      <c r="C777" t="s">
        <v>12222</v>
      </c>
      <c r="D777" t="s">
        <v>12223</v>
      </c>
      <c r="E777" t="s">
        <v>12224</v>
      </c>
      <c r="F777" t="s">
        <v>12225</v>
      </c>
      <c r="G777" t="s">
        <v>12226</v>
      </c>
      <c r="H777" t="s">
        <v>12227</v>
      </c>
      <c r="I777" t="s">
        <v>12228</v>
      </c>
      <c r="J777" t="s">
        <v>12229</v>
      </c>
      <c r="K777" t="s">
        <v>12230</v>
      </c>
      <c r="L777" t="s">
        <v>12231</v>
      </c>
      <c r="M777" t="s">
        <v>12232</v>
      </c>
      <c r="N777" t="s">
        <v>12233</v>
      </c>
      <c r="O777" t="s">
        <v>12234</v>
      </c>
      <c r="P777" t="s">
        <v>12235</v>
      </c>
      <c r="Q777" t="s">
        <v>12236</v>
      </c>
      <c r="R777" t="s">
        <v>12237</v>
      </c>
      <c r="S777" t="s">
        <v>12238</v>
      </c>
      <c r="T777" t="s">
        <v>12239</v>
      </c>
      <c r="U777" t="s">
        <v>12240</v>
      </c>
      <c r="V777" t="s">
        <v>12241</v>
      </c>
      <c r="W777" t="s">
        <v>12242</v>
      </c>
      <c r="X777" t="s">
        <v>12243</v>
      </c>
      <c r="Y777" t="s">
        <v>12244</v>
      </c>
    </row>
    <row r="778" spans="1:25" x14ac:dyDescent="0.3">
      <c r="A778">
        <v>38850</v>
      </c>
      <c r="B778" t="s">
        <v>12245</v>
      </c>
      <c r="C778" t="s">
        <v>12246</v>
      </c>
      <c r="D778" t="s">
        <v>12247</v>
      </c>
      <c r="E778" t="s">
        <v>12248</v>
      </c>
      <c r="F778" t="s">
        <v>12249</v>
      </c>
      <c r="G778" t="s">
        <v>12250</v>
      </c>
      <c r="H778" t="s">
        <v>12251</v>
      </c>
      <c r="I778" t="s">
        <v>12252</v>
      </c>
      <c r="J778" t="s">
        <v>12253</v>
      </c>
      <c r="K778" t="s">
        <v>12254</v>
      </c>
      <c r="L778" t="s">
        <v>12255</v>
      </c>
      <c r="M778" t="s">
        <v>12256</v>
      </c>
      <c r="N778" t="s">
        <v>12257</v>
      </c>
      <c r="O778" t="s">
        <v>12258</v>
      </c>
      <c r="P778" t="s">
        <v>12259</v>
      </c>
      <c r="Q778" t="s">
        <v>12260</v>
      </c>
      <c r="R778" t="s">
        <v>12261</v>
      </c>
      <c r="S778" t="s">
        <v>12262</v>
      </c>
      <c r="T778" t="s">
        <v>12263</v>
      </c>
      <c r="U778" t="s">
        <v>12264</v>
      </c>
      <c r="V778" t="s">
        <v>12265</v>
      </c>
      <c r="W778" t="s">
        <v>12266</v>
      </c>
      <c r="X778" t="s">
        <v>12267</v>
      </c>
      <c r="Y778" t="s">
        <v>12268</v>
      </c>
    </row>
    <row r="779" spans="1:25" x14ac:dyDescent="0.3">
      <c r="A779">
        <v>38900</v>
      </c>
      <c r="B779" t="s">
        <v>12269</v>
      </c>
      <c r="C779" t="s">
        <v>12270</v>
      </c>
      <c r="D779" t="s">
        <v>12271</v>
      </c>
      <c r="E779" t="s">
        <v>12272</v>
      </c>
      <c r="F779" t="s">
        <v>12273</v>
      </c>
      <c r="G779" t="s">
        <v>12274</v>
      </c>
      <c r="H779" t="s">
        <v>12275</v>
      </c>
      <c r="I779" t="s">
        <v>12276</v>
      </c>
      <c r="J779" t="s">
        <v>12277</v>
      </c>
      <c r="K779" t="s">
        <v>12278</v>
      </c>
      <c r="L779" t="s">
        <v>12279</v>
      </c>
      <c r="M779" t="s">
        <v>12280</v>
      </c>
      <c r="N779" t="s">
        <v>12281</v>
      </c>
      <c r="O779" t="s">
        <v>12282</v>
      </c>
      <c r="P779" t="s">
        <v>12283</v>
      </c>
      <c r="Q779" t="s">
        <v>12284</v>
      </c>
      <c r="R779" t="s">
        <v>12285</v>
      </c>
      <c r="S779" t="s">
        <v>12286</v>
      </c>
      <c r="T779" t="s">
        <v>12287</v>
      </c>
      <c r="U779" t="s">
        <v>12288</v>
      </c>
      <c r="V779" t="s">
        <v>12289</v>
      </c>
      <c r="W779" t="s">
        <v>12290</v>
      </c>
      <c r="X779" t="s">
        <v>12291</v>
      </c>
      <c r="Y779" t="s">
        <v>12292</v>
      </c>
    </row>
    <row r="780" spans="1:25" x14ac:dyDescent="0.3">
      <c r="A780">
        <v>38950</v>
      </c>
      <c r="B780" t="s">
        <v>12293</v>
      </c>
      <c r="C780" t="s">
        <v>12294</v>
      </c>
      <c r="D780" t="s">
        <v>12295</v>
      </c>
      <c r="E780" t="s">
        <v>12296</v>
      </c>
      <c r="F780" t="s">
        <v>12297</v>
      </c>
      <c r="G780" t="s">
        <v>12298</v>
      </c>
      <c r="H780" t="s">
        <v>12299</v>
      </c>
      <c r="I780" t="s">
        <v>12300</v>
      </c>
      <c r="J780" t="s">
        <v>12301</v>
      </c>
      <c r="K780" t="s">
        <v>12302</v>
      </c>
      <c r="L780" t="s">
        <v>12303</v>
      </c>
      <c r="M780" t="s">
        <v>12304</v>
      </c>
      <c r="N780" t="s">
        <v>12305</v>
      </c>
      <c r="O780" t="s">
        <v>12306</v>
      </c>
      <c r="P780" t="s">
        <v>12307</v>
      </c>
      <c r="Q780" t="s">
        <v>12308</v>
      </c>
      <c r="R780" t="s">
        <v>12309</v>
      </c>
      <c r="S780" t="s">
        <v>12310</v>
      </c>
      <c r="T780" t="s">
        <v>12311</v>
      </c>
      <c r="U780" t="s">
        <v>12312</v>
      </c>
      <c r="V780" t="s">
        <v>12313</v>
      </c>
      <c r="W780" t="s">
        <v>12314</v>
      </c>
      <c r="X780" t="s">
        <v>12315</v>
      </c>
      <c r="Y780" t="s">
        <v>12316</v>
      </c>
    </row>
    <row r="781" spans="1:25" x14ac:dyDescent="0.3">
      <c r="A781">
        <v>39000</v>
      </c>
      <c r="B781" t="s">
        <v>12317</v>
      </c>
      <c r="C781" t="s">
        <v>12318</v>
      </c>
      <c r="D781" t="s">
        <v>12319</v>
      </c>
      <c r="E781" t="s">
        <v>12320</v>
      </c>
      <c r="F781" t="s">
        <v>12321</v>
      </c>
      <c r="G781" t="s">
        <v>12322</v>
      </c>
      <c r="H781" t="s">
        <v>12323</v>
      </c>
      <c r="I781" t="s">
        <v>12324</v>
      </c>
      <c r="J781" t="s">
        <v>12325</v>
      </c>
      <c r="K781" t="s">
        <v>12326</v>
      </c>
      <c r="L781" t="s">
        <v>12327</v>
      </c>
      <c r="M781" t="s">
        <v>12328</v>
      </c>
      <c r="N781" t="s">
        <v>12329</v>
      </c>
      <c r="O781" t="s">
        <v>12330</v>
      </c>
      <c r="P781" t="s">
        <v>12331</v>
      </c>
      <c r="Q781" t="s">
        <v>12332</v>
      </c>
      <c r="R781" t="s">
        <v>12333</v>
      </c>
      <c r="S781" t="s">
        <v>12334</v>
      </c>
      <c r="T781" t="s">
        <v>12335</v>
      </c>
      <c r="U781" t="s">
        <v>12336</v>
      </c>
      <c r="V781" t="s">
        <v>12337</v>
      </c>
      <c r="W781" t="s">
        <v>12338</v>
      </c>
      <c r="X781" t="s">
        <v>12339</v>
      </c>
      <c r="Y781" t="s">
        <v>12340</v>
      </c>
    </row>
    <row r="782" spans="1:25" x14ac:dyDescent="0.3">
      <c r="A782">
        <v>39050</v>
      </c>
      <c r="B782" t="s">
        <v>12341</v>
      </c>
      <c r="C782" t="s">
        <v>12342</v>
      </c>
      <c r="D782" t="s">
        <v>12343</v>
      </c>
      <c r="E782" t="s">
        <v>12344</v>
      </c>
      <c r="F782" t="s">
        <v>12345</v>
      </c>
      <c r="G782" t="s">
        <v>12346</v>
      </c>
      <c r="H782" t="s">
        <v>12347</v>
      </c>
      <c r="I782" t="s">
        <v>12348</v>
      </c>
      <c r="J782" t="s">
        <v>12349</v>
      </c>
      <c r="K782" t="s">
        <v>12350</v>
      </c>
      <c r="L782" t="s">
        <v>12351</v>
      </c>
      <c r="M782" t="s">
        <v>12352</v>
      </c>
      <c r="N782" t="s">
        <v>12353</v>
      </c>
      <c r="O782" t="s">
        <v>12354</v>
      </c>
      <c r="P782" t="s">
        <v>12355</v>
      </c>
      <c r="Q782" t="s">
        <v>12356</v>
      </c>
      <c r="R782" t="s">
        <v>12357</v>
      </c>
      <c r="S782" t="s">
        <v>12358</v>
      </c>
      <c r="T782" t="s">
        <v>12359</v>
      </c>
      <c r="U782" t="s">
        <v>12360</v>
      </c>
      <c r="V782" t="s">
        <v>12361</v>
      </c>
      <c r="W782" t="s">
        <v>12362</v>
      </c>
      <c r="X782" t="s">
        <v>12363</v>
      </c>
      <c r="Y782" t="s">
        <v>12364</v>
      </c>
    </row>
    <row r="783" spans="1:25" x14ac:dyDescent="0.3">
      <c r="A783">
        <v>39100</v>
      </c>
      <c r="B783" t="s">
        <v>12365</v>
      </c>
      <c r="C783" t="s">
        <v>12366</v>
      </c>
      <c r="D783" t="s">
        <v>12367</v>
      </c>
      <c r="E783" t="s">
        <v>12368</v>
      </c>
      <c r="F783" t="s">
        <v>12369</v>
      </c>
      <c r="G783" t="s">
        <v>12370</v>
      </c>
      <c r="H783" t="s">
        <v>12371</v>
      </c>
      <c r="I783" t="s">
        <v>12372</v>
      </c>
      <c r="J783" t="s">
        <v>12373</v>
      </c>
      <c r="K783" t="s">
        <v>12374</v>
      </c>
      <c r="L783" t="s">
        <v>12375</v>
      </c>
      <c r="M783" t="s">
        <v>12376</v>
      </c>
      <c r="N783" t="s">
        <v>12377</v>
      </c>
      <c r="O783" t="s">
        <v>12378</v>
      </c>
      <c r="P783" t="s">
        <v>12379</v>
      </c>
      <c r="Q783" t="s">
        <v>12380</v>
      </c>
      <c r="R783" t="s">
        <v>12381</v>
      </c>
      <c r="S783" t="s">
        <v>12382</v>
      </c>
      <c r="T783" t="s">
        <v>12383</v>
      </c>
      <c r="U783" t="s">
        <v>12384</v>
      </c>
      <c r="V783" t="s">
        <v>12385</v>
      </c>
      <c r="W783" t="s">
        <v>12386</v>
      </c>
      <c r="X783" t="s">
        <v>12387</v>
      </c>
      <c r="Y783" t="s">
        <v>12388</v>
      </c>
    </row>
    <row r="784" spans="1:25" x14ac:dyDescent="0.3">
      <c r="A784">
        <v>39150</v>
      </c>
      <c r="B784" t="s">
        <v>12389</v>
      </c>
      <c r="C784" t="s">
        <v>12390</v>
      </c>
      <c r="D784" t="s">
        <v>12391</v>
      </c>
      <c r="E784" t="s">
        <v>12392</v>
      </c>
      <c r="F784" t="s">
        <v>12393</v>
      </c>
      <c r="G784" t="s">
        <v>12394</v>
      </c>
      <c r="H784" t="s">
        <v>12395</v>
      </c>
      <c r="I784" t="s">
        <v>12396</v>
      </c>
      <c r="J784" t="s">
        <v>12397</v>
      </c>
      <c r="K784" t="s">
        <v>12398</v>
      </c>
      <c r="L784" t="s">
        <v>12399</v>
      </c>
      <c r="M784" t="s">
        <v>12400</v>
      </c>
      <c r="N784" t="s">
        <v>12401</v>
      </c>
      <c r="O784" t="s">
        <v>12402</v>
      </c>
      <c r="P784" t="s">
        <v>12403</v>
      </c>
      <c r="Q784" t="s">
        <v>12404</v>
      </c>
      <c r="R784" t="s">
        <v>12405</v>
      </c>
      <c r="S784" t="s">
        <v>12406</v>
      </c>
      <c r="T784" t="s">
        <v>12407</v>
      </c>
      <c r="U784" t="s">
        <v>12408</v>
      </c>
      <c r="V784" t="s">
        <v>12409</v>
      </c>
      <c r="W784" t="s">
        <v>12410</v>
      </c>
      <c r="X784" t="s">
        <v>12411</v>
      </c>
      <c r="Y784" t="s">
        <v>12412</v>
      </c>
    </row>
    <row r="785" spans="1:25" x14ac:dyDescent="0.3">
      <c r="A785">
        <v>39200</v>
      </c>
      <c r="B785" t="s">
        <v>12413</v>
      </c>
      <c r="C785" t="s">
        <v>12414</v>
      </c>
      <c r="D785" t="s">
        <v>12415</v>
      </c>
      <c r="E785" t="s">
        <v>12416</v>
      </c>
      <c r="F785" t="s">
        <v>12417</v>
      </c>
      <c r="G785" t="s">
        <v>12418</v>
      </c>
      <c r="H785" t="s">
        <v>12419</v>
      </c>
      <c r="I785" t="s">
        <v>12420</v>
      </c>
      <c r="J785" t="s">
        <v>12421</v>
      </c>
      <c r="K785" t="s">
        <v>12422</v>
      </c>
      <c r="L785" t="s">
        <v>12423</v>
      </c>
      <c r="M785" t="s">
        <v>12424</v>
      </c>
      <c r="N785" t="s">
        <v>12425</v>
      </c>
      <c r="O785" t="s">
        <v>12426</v>
      </c>
      <c r="P785" t="s">
        <v>12427</v>
      </c>
      <c r="Q785" t="s">
        <v>12428</v>
      </c>
      <c r="R785" t="s">
        <v>12429</v>
      </c>
      <c r="S785" t="s">
        <v>12430</v>
      </c>
      <c r="T785" t="s">
        <v>12431</v>
      </c>
      <c r="U785" t="s">
        <v>12432</v>
      </c>
      <c r="V785" t="s">
        <v>12433</v>
      </c>
      <c r="W785" t="s">
        <v>12434</v>
      </c>
      <c r="X785" t="s">
        <v>12435</v>
      </c>
      <c r="Y785" t="s">
        <v>12436</v>
      </c>
    </row>
    <row r="786" spans="1:25" x14ac:dyDescent="0.3">
      <c r="A786">
        <v>39250</v>
      </c>
      <c r="B786" t="s">
        <v>12437</v>
      </c>
      <c r="C786" t="s">
        <v>12438</v>
      </c>
      <c r="D786" t="s">
        <v>12439</v>
      </c>
      <c r="E786" t="s">
        <v>12440</v>
      </c>
      <c r="F786" t="s">
        <v>12441</v>
      </c>
      <c r="G786" t="s">
        <v>12442</v>
      </c>
      <c r="H786" t="s">
        <v>12443</v>
      </c>
      <c r="I786" t="s">
        <v>12444</v>
      </c>
      <c r="J786" t="s">
        <v>12445</v>
      </c>
      <c r="K786" t="s">
        <v>12446</v>
      </c>
      <c r="L786" t="s">
        <v>12447</v>
      </c>
      <c r="M786" t="s">
        <v>12448</v>
      </c>
      <c r="N786" t="s">
        <v>12449</v>
      </c>
      <c r="O786" t="s">
        <v>12450</v>
      </c>
      <c r="P786" t="s">
        <v>12451</v>
      </c>
      <c r="Q786" t="s">
        <v>12452</v>
      </c>
      <c r="R786" t="s">
        <v>12453</v>
      </c>
      <c r="S786" t="s">
        <v>12454</v>
      </c>
      <c r="T786" t="s">
        <v>12455</v>
      </c>
      <c r="U786" t="s">
        <v>12456</v>
      </c>
      <c r="V786" t="s">
        <v>12457</v>
      </c>
      <c r="W786" t="s">
        <v>12458</v>
      </c>
      <c r="X786" t="s">
        <v>12459</v>
      </c>
      <c r="Y786" t="s">
        <v>12460</v>
      </c>
    </row>
    <row r="787" spans="1:25" x14ac:dyDescent="0.3">
      <c r="A787">
        <v>39300</v>
      </c>
      <c r="B787" t="s">
        <v>12461</v>
      </c>
      <c r="C787" t="s">
        <v>12462</v>
      </c>
      <c r="D787" t="s">
        <v>12463</v>
      </c>
      <c r="E787" t="s">
        <v>12464</v>
      </c>
      <c r="F787" t="s">
        <v>12465</v>
      </c>
      <c r="G787" t="s">
        <v>12466</v>
      </c>
      <c r="H787" t="s">
        <v>12467</v>
      </c>
      <c r="I787" t="s">
        <v>12468</v>
      </c>
      <c r="J787" t="s">
        <v>12469</v>
      </c>
      <c r="K787" t="s">
        <v>12470</v>
      </c>
      <c r="L787" t="s">
        <v>12471</v>
      </c>
      <c r="M787" t="s">
        <v>12472</v>
      </c>
      <c r="N787" t="s">
        <v>12473</v>
      </c>
      <c r="O787" t="s">
        <v>12474</v>
      </c>
      <c r="P787" t="s">
        <v>12475</v>
      </c>
      <c r="Q787" t="s">
        <v>12476</v>
      </c>
      <c r="R787" t="s">
        <v>12477</v>
      </c>
      <c r="S787" t="s">
        <v>12478</v>
      </c>
      <c r="T787" t="s">
        <v>12479</v>
      </c>
      <c r="U787" t="s">
        <v>12480</v>
      </c>
      <c r="V787" t="s">
        <v>12481</v>
      </c>
      <c r="W787" t="s">
        <v>12482</v>
      </c>
      <c r="X787" t="s">
        <v>12483</v>
      </c>
      <c r="Y787" t="s">
        <v>12484</v>
      </c>
    </row>
    <row r="788" spans="1:25" x14ac:dyDescent="0.3">
      <c r="A788">
        <v>39350</v>
      </c>
      <c r="B788" t="s">
        <v>12485</v>
      </c>
      <c r="C788" t="s">
        <v>12486</v>
      </c>
      <c r="D788" t="s">
        <v>12487</v>
      </c>
      <c r="E788" t="s">
        <v>12488</v>
      </c>
      <c r="F788" t="s">
        <v>12489</v>
      </c>
      <c r="G788" t="s">
        <v>12490</v>
      </c>
      <c r="H788" t="s">
        <v>12491</v>
      </c>
      <c r="I788" t="s">
        <v>12492</v>
      </c>
      <c r="J788" t="s">
        <v>12493</v>
      </c>
      <c r="K788" t="s">
        <v>12494</v>
      </c>
      <c r="L788" t="s">
        <v>12495</v>
      </c>
      <c r="M788" t="s">
        <v>12496</v>
      </c>
      <c r="N788" t="s">
        <v>12497</v>
      </c>
      <c r="O788" t="s">
        <v>12498</v>
      </c>
      <c r="P788" t="s">
        <v>12499</v>
      </c>
      <c r="Q788" t="s">
        <v>12500</v>
      </c>
      <c r="R788" t="s">
        <v>12501</v>
      </c>
      <c r="S788" t="s">
        <v>12502</v>
      </c>
      <c r="T788" t="s">
        <v>12503</v>
      </c>
      <c r="U788" t="s">
        <v>12504</v>
      </c>
      <c r="V788" t="s">
        <v>12505</v>
      </c>
      <c r="W788" t="s">
        <v>12506</v>
      </c>
      <c r="X788" t="s">
        <v>12507</v>
      </c>
      <c r="Y788" t="s">
        <v>12508</v>
      </c>
    </row>
    <row r="789" spans="1:25" x14ac:dyDescent="0.3">
      <c r="A789">
        <v>39400</v>
      </c>
      <c r="B789" t="s">
        <v>12509</v>
      </c>
      <c r="C789" t="s">
        <v>12510</v>
      </c>
      <c r="D789" t="s">
        <v>12511</v>
      </c>
      <c r="E789" t="s">
        <v>12512</v>
      </c>
      <c r="F789" t="s">
        <v>12513</v>
      </c>
      <c r="G789" t="s">
        <v>12514</v>
      </c>
      <c r="H789" t="s">
        <v>12515</v>
      </c>
      <c r="I789" t="s">
        <v>12516</v>
      </c>
      <c r="J789" t="s">
        <v>12517</v>
      </c>
      <c r="K789" t="s">
        <v>12518</v>
      </c>
      <c r="L789" t="s">
        <v>12519</v>
      </c>
      <c r="M789" t="s">
        <v>12520</v>
      </c>
      <c r="N789" t="s">
        <v>12521</v>
      </c>
      <c r="O789" t="s">
        <v>12522</v>
      </c>
      <c r="P789" t="s">
        <v>12523</v>
      </c>
      <c r="Q789" t="s">
        <v>12524</v>
      </c>
      <c r="R789" t="s">
        <v>12525</v>
      </c>
      <c r="S789" t="s">
        <v>12526</v>
      </c>
      <c r="T789" t="s">
        <v>12527</v>
      </c>
      <c r="U789" t="s">
        <v>12528</v>
      </c>
      <c r="V789" t="s">
        <v>12529</v>
      </c>
      <c r="W789" t="s">
        <v>12530</v>
      </c>
      <c r="X789" t="s">
        <v>12531</v>
      </c>
      <c r="Y789" t="s">
        <v>12532</v>
      </c>
    </row>
    <row r="790" spans="1:25" x14ac:dyDescent="0.3">
      <c r="A790">
        <v>39450</v>
      </c>
      <c r="B790" t="s">
        <v>12533</v>
      </c>
      <c r="C790" t="s">
        <v>12534</v>
      </c>
      <c r="D790" t="s">
        <v>12535</v>
      </c>
      <c r="E790" t="s">
        <v>12536</v>
      </c>
      <c r="F790" t="s">
        <v>12537</v>
      </c>
      <c r="G790" t="s">
        <v>12538</v>
      </c>
      <c r="H790" t="s">
        <v>12539</v>
      </c>
      <c r="I790" t="s">
        <v>12540</v>
      </c>
      <c r="J790" t="s">
        <v>12541</v>
      </c>
      <c r="K790" t="s">
        <v>12542</v>
      </c>
      <c r="L790" t="s">
        <v>12543</v>
      </c>
      <c r="M790" t="s">
        <v>12544</v>
      </c>
      <c r="N790" t="s">
        <v>12545</v>
      </c>
      <c r="O790" t="s">
        <v>12546</v>
      </c>
      <c r="P790" t="s">
        <v>12547</v>
      </c>
      <c r="Q790" t="s">
        <v>12548</v>
      </c>
      <c r="R790" t="s">
        <v>12549</v>
      </c>
      <c r="S790" t="s">
        <v>12550</v>
      </c>
      <c r="T790" t="s">
        <v>12551</v>
      </c>
      <c r="U790" t="s">
        <v>12552</v>
      </c>
      <c r="V790" t="s">
        <v>12553</v>
      </c>
      <c r="W790" t="s">
        <v>12554</v>
      </c>
      <c r="X790" t="s">
        <v>12555</v>
      </c>
      <c r="Y790" t="s">
        <v>12556</v>
      </c>
    </row>
    <row r="791" spans="1:25" x14ac:dyDescent="0.3">
      <c r="A791">
        <v>39500</v>
      </c>
      <c r="B791" t="s">
        <v>12557</v>
      </c>
      <c r="C791" t="s">
        <v>12558</v>
      </c>
      <c r="D791" t="s">
        <v>12559</v>
      </c>
      <c r="E791" t="s">
        <v>12560</v>
      </c>
      <c r="F791" t="s">
        <v>12561</v>
      </c>
      <c r="G791" t="s">
        <v>12562</v>
      </c>
      <c r="H791" t="s">
        <v>12563</v>
      </c>
      <c r="I791" t="s">
        <v>12564</v>
      </c>
      <c r="J791" t="s">
        <v>12565</v>
      </c>
      <c r="K791" t="s">
        <v>12566</v>
      </c>
      <c r="L791" t="s">
        <v>12567</v>
      </c>
      <c r="M791" t="s">
        <v>12568</v>
      </c>
      <c r="N791" t="s">
        <v>12569</v>
      </c>
      <c r="O791" t="s">
        <v>12570</v>
      </c>
      <c r="P791" t="s">
        <v>12571</v>
      </c>
      <c r="Q791" t="s">
        <v>12572</v>
      </c>
      <c r="R791" t="s">
        <v>12573</v>
      </c>
      <c r="S791" t="s">
        <v>12574</v>
      </c>
      <c r="T791" t="s">
        <v>12575</v>
      </c>
      <c r="U791" t="s">
        <v>12576</v>
      </c>
      <c r="V791" t="s">
        <v>12577</v>
      </c>
      <c r="W791" t="s">
        <v>12578</v>
      </c>
      <c r="X791" t="s">
        <v>12579</v>
      </c>
      <c r="Y791" t="s">
        <v>12580</v>
      </c>
    </row>
    <row r="792" spans="1:25" x14ac:dyDescent="0.3">
      <c r="A792">
        <v>39550</v>
      </c>
      <c r="B792" t="s">
        <v>12581</v>
      </c>
      <c r="C792" t="s">
        <v>12582</v>
      </c>
      <c r="D792" t="s">
        <v>12583</v>
      </c>
      <c r="E792" t="s">
        <v>12584</v>
      </c>
      <c r="F792" t="s">
        <v>12585</v>
      </c>
      <c r="G792" t="s">
        <v>12586</v>
      </c>
      <c r="H792" t="s">
        <v>12587</v>
      </c>
      <c r="I792" t="s">
        <v>12588</v>
      </c>
      <c r="J792" t="s">
        <v>12589</v>
      </c>
      <c r="K792" t="s">
        <v>12590</v>
      </c>
      <c r="L792" t="s">
        <v>12591</v>
      </c>
      <c r="M792" t="s">
        <v>12592</v>
      </c>
      <c r="N792" t="s">
        <v>12593</v>
      </c>
      <c r="O792" t="s">
        <v>12594</v>
      </c>
      <c r="P792" t="s">
        <v>12595</v>
      </c>
      <c r="Q792" t="s">
        <v>12596</v>
      </c>
      <c r="R792" t="s">
        <v>12597</v>
      </c>
      <c r="S792" t="s">
        <v>12598</v>
      </c>
      <c r="T792" t="s">
        <v>12599</v>
      </c>
      <c r="U792" t="s">
        <v>12600</v>
      </c>
      <c r="V792" t="s">
        <v>12601</v>
      </c>
      <c r="W792" t="s">
        <v>12602</v>
      </c>
      <c r="X792" t="s">
        <v>12603</v>
      </c>
      <c r="Y792" t="s">
        <v>12604</v>
      </c>
    </row>
    <row r="793" spans="1:25" x14ac:dyDescent="0.3">
      <c r="A793">
        <v>39600</v>
      </c>
      <c r="B793" t="s">
        <v>12605</v>
      </c>
      <c r="C793" t="s">
        <v>12606</v>
      </c>
      <c r="D793" t="s">
        <v>12607</v>
      </c>
      <c r="E793" t="s">
        <v>12608</v>
      </c>
      <c r="F793" t="s">
        <v>12609</v>
      </c>
      <c r="G793" t="s">
        <v>12610</v>
      </c>
      <c r="H793" t="s">
        <v>12611</v>
      </c>
      <c r="I793" t="s">
        <v>12612</v>
      </c>
      <c r="J793" t="s">
        <v>12613</v>
      </c>
      <c r="K793" t="s">
        <v>12614</v>
      </c>
      <c r="L793" t="s">
        <v>12615</v>
      </c>
      <c r="M793" t="s">
        <v>12616</v>
      </c>
      <c r="N793" t="s">
        <v>12617</v>
      </c>
      <c r="O793" t="s">
        <v>12618</v>
      </c>
      <c r="P793" t="s">
        <v>12619</v>
      </c>
      <c r="Q793" t="s">
        <v>12620</v>
      </c>
      <c r="R793" t="s">
        <v>12621</v>
      </c>
      <c r="S793" t="s">
        <v>12622</v>
      </c>
      <c r="T793" t="s">
        <v>12623</v>
      </c>
      <c r="U793" t="s">
        <v>12624</v>
      </c>
      <c r="V793" t="s">
        <v>12625</v>
      </c>
      <c r="W793" t="s">
        <v>12626</v>
      </c>
      <c r="X793" t="s">
        <v>12627</v>
      </c>
      <c r="Y793" t="s">
        <v>12628</v>
      </c>
    </row>
    <row r="794" spans="1:25" x14ac:dyDescent="0.3">
      <c r="A794">
        <v>39650</v>
      </c>
      <c r="B794" t="s">
        <v>12629</v>
      </c>
      <c r="C794" t="s">
        <v>12630</v>
      </c>
      <c r="D794" t="s">
        <v>12631</v>
      </c>
      <c r="E794" t="s">
        <v>12632</v>
      </c>
      <c r="F794" t="s">
        <v>12633</v>
      </c>
      <c r="G794" t="s">
        <v>12634</v>
      </c>
      <c r="H794" t="s">
        <v>12635</v>
      </c>
      <c r="I794" t="s">
        <v>12636</v>
      </c>
      <c r="J794" t="s">
        <v>12637</v>
      </c>
      <c r="K794" t="s">
        <v>12638</v>
      </c>
      <c r="L794" t="s">
        <v>12639</v>
      </c>
      <c r="M794" t="s">
        <v>12640</v>
      </c>
      <c r="N794" t="s">
        <v>12641</v>
      </c>
      <c r="O794" t="s">
        <v>12642</v>
      </c>
      <c r="P794" t="s">
        <v>12643</v>
      </c>
      <c r="Q794" t="s">
        <v>12644</v>
      </c>
      <c r="R794" t="s">
        <v>12645</v>
      </c>
      <c r="S794" t="s">
        <v>12646</v>
      </c>
      <c r="T794" t="s">
        <v>12647</v>
      </c>
      <c r="U794" t="s">
        <v>12648</v>
      </c>
      <c r="V794" t="s">
        <v>12649</v>
      </c>
      <c r="W794" t="s">
        <v>12650</v>
      </c>
      <c r="X794" t="s">
        <v>12651</v>
      </c>
      <c r="Y794" t="s">
        <v>12652</v>
      </c>
    </row>
    <row r="795" spans="1:25" x14ac:dyDescent="0.3">
      <c r="A795">
        <v>39700</v>
      </c>
      <c r="B795" t="s">
        <v>12653</v>
      </c>
      <c r="C795" t="s">
        <v>12654</v>
      </c>
      <c r="D795" t="s">
        <v>12655</v>
      </c>
      <c r="E795" t="s">
        <v>12656</v>
      </c>
      <c r="F795" t="s">
        <v>12657</v>
      </c>
      <c r="G795" t="s">
        <v>12658</v>
      </c>
      <c r="H795" t="s">
        <v>12659</v>
      </c>
      <c r="I795" t="s">
        <v>12660</v>
      </c>
      <c r="J795" t="s">
        <v>12661</v>
      </c>
      <c r="K795" t="s">
        <v>12662</v>
      </c>
      <c r="L795" t="s">
        <v>12663</v>
      </c>
      <c r="M795" t="s">
        <v>12664</v>
      </c>
      <c r="N795" t="s">
        <v>12665</v>
      </c>
      <c r="O795" t="s">
        <v>12666</v>
      </c>
      <c r="P795" t="s">
        <v>12667</v>
      </c>
      <c r="Q795" t="s">
        <v>12668</v>
      </c>
      <c r="R795" t="s">
        <v>12669</v>
      </c>
      <c r="S795" t="s">
        <v>12670</v>
      </c>
      <c r="T795" t="s">
        <v>12671</v>
      </c>
      <c r="U795" t="s">
        <v>12672</v>
      </c>
      <c r="V795" t="s">
        <v>12673</v>
      </c>
      <c r="W795" t="s">
        <v>12674</v>
      </c>
      <c r="X795" t="s">
        <v>12675</v>
      </c>
      <c r="Y795" t="s">
        <v>12676</v>
      </c>
    </row>
    <row r="796" spans="1:25" x14ac:dyDescent="0.3">
      <c r="A796">
        <v>39750</v>
      </c>
      <c r="B796" t="s">
        <v>12677</v>
      </c>
      <c r="C796" t="s">
        <v>12678</v>
      </c>
      <c r="D796" t="s">
        <v>12679</v>
      </c>
      <c r="E796" t="s">
        <v>12680</v>
      </c>
      <c r="F796" t="s">
        <v>12681</v>
      </c>
      <c r="G796" t="s">
        <v>12682</v>
      </c>
      <c r="H796" t="s">
        <v>12683</v>
      </c>
      <c r="I796" t="s">
        <v>12684</v>
      </c>
      <c r="J796" t="s">
        <v>12685</v>
      </c>
      <c r="K796" t="s">
        <v>12686</v>
      </c>
      <c r="L796" t="s">
        <v>12687</v>
      </c>
      <c r="M796" t="s">
        <v>12688</v>
      </c>
      <c r="N796" t="s">
        <v>12689</v>
      </c>
      <c r="O796" t="s">
        <v>12690</v>
      </c>
      <c r="P796" t="s">
        <v>12691</v>
      </c>
      <c r="Q796" t="s">
        <v>12692</v>
      </c>
      <c r="R796" t="s">
        <v>12693</v>
      </c>
      <c r="S796" t="s">
        <v>12694</v>
      </c>
      <c r="T796" t="s">
        <v>12695</v>
      </c>
      <c r="U796" t="s">
        <v>12696</v>
      </c>
      <c r="V796" t="s">
        <v>12697</v>
      </c>
      <c r="W796" t="s">
        <v>12698</v>
      </c>
      <c r="X796" t="s">
        <v>12699</v>
      </c>
      <c r="Y796" t="s">
        <v>12700</v>
      </c>
    </row>
    <row r="797" spans="1:25" x14ac:dyDescent="0.3">
      <c r="A797">
        <v>39800</v>
      </c>
      <c r="B797" t="s">
        <v>12701</v>
      </c>
      <c r="C797" t="s">
        <v>12702</v>
      </c>
      <c r="D797" t="s">
        <v>12703</v>
      </c>
      <c r="E797" t="s">
        <v>12704</v>
      </c>
      <c r="F797" t="s">
        <v>12705</v>
      </c>
      <c r="G797" t="s">
        <v>12706</v>
      </c>
      <c r="H797" t="s">
        <v>12707</v>
      </c>
      <c r="I797" t="s">
        <v>12708</v>
      </c>
      <c r="J797" t="s">
        <v>12709</v>
      </c>
      <c r="K797" t="s">
        <v>12710</v>
      </c>
      <c r="L797" t="s">
        <v>12711</v>
      </c>
      <c r="M797" t="s">
        <v>12712</v>
      </c>
      <c r="N797" t="s">
        <v>12713</v>
      </c>
      <c r="O797" t="s">
        <v>12714</v>
      </c>
      <c r="P797" t="s">
        <v>12715</v>
      </c>
      <c r="Q797" t="s">
        <v>12716</v>
      </c>
      <c r="R797" t="s">
        <v>12717</v>
      </c>
      <c r="S797" t="s">
        <v>12718</v>
      </c>
      <c r="T797" t="s">
        <v>12719</v>
      </c>
      <c r="U797" t="s">
        <v>12720</v>
      </c>
      <c r="V797" t="s">
        <v>12721</v>
      </c>
      <c r="W797" t="s">
        <v>12722</v>
      </c>
      <c r="X797" t="s">
        <v>12723</v>
      </c>
      <c r="Y797" t="s">
        <v>12724</v>
      </c>
    </row>
    <row r="798" spans="1:25" x14ac:dyDescent="0.3">
      <c r="A798">
        <v>39850</v>
      </c>
      <c r="B798" t="s">
        <v>12725</v>
      </c>
      <c r="C798" t="s">
        <v>12726</v>
      </c>
      <c r="D798" t="s">
        <v>12727</v>
      </c>
      <c r="E798" t="s">
        <v>12728</v>
      </c>
      <c r="F798" t="s">
        <v>12729</v>
      </c>
      <c r="G798" t="s">
        <v>12730</v>
      </c>
      <c r="H798" t="s">
        <v>12731</v>
      </c>
      <c r="I798" t="s">
        <v>12732</v>
      </c>
      <c r="J798" t="s">
        <v>12733</v>
      </c>
      <c r="K798" t="s">
        <v>12734</v>
      </c>
      <c r="L798" t="s">
        <v>12735</v>
      </c>
      <c r="M798" t="s">
        <v>12736</v>
      </c>
      <c r="N798" t="s">
        <v>12737</v>
      </c>
      <c r="O798" t="s">
        <v>12738</v>
      </c>
      <c r="P798" t="s">
        <v>12739</v>
      </c>
      <c r="Q798" t="s">
        <v>12740</v>
      </c>
      <c r="R798" t="s">
        <v>12741</v>
      </c>
      <c r="S798" t="s">
        <v>12742</v>
      </c>
      <c r="T798" t="s">
        <v>12743</v>
      </c>
      <c r="U798" t="s">
        <v>12744</v>
      </c>
      <c r="V798" t="s">
        <v>12745</v>
      </c>
      <c r="W798" t="s">
        <v>12746</v>
      </c>
      <c r="X798" t="s">
        <v>12747</v>
      </c>
      <c r="Y798" t="s">
        <v>12748</v>
      </c>
    </row>
    <row r="799" spans="1:25" x14ac:dyDescent="0.3">
      <c r="A799">
        <v>39900</v>
      </c>
      <c r="B799" t="s">
        <v>12749</v>
      </c>
      <c r="C799" t="s">
        <v>12750</v>
      </c>
      <c r="D799" t="s">
        <v>12751</v>
      </c>
      <c r="E799" t="s">
        <v>12752</v>
      </c>
      <c r="F799" t="s">
        <v>12753</v>
      </c>
      <c r="G799" t="s">
        <v>12754</v>
      </c>
      <c r="H799" t="s">
        <v>12755</v>
      </c>
      <c r="I799" t="s">
        <v>12756</v>
      </c>
      <c r="J799" t="s">
        <v>12757</v>
      </c>
      <c r="K799" t="s">
        <v>12758</v>
      </c>
      <c r="L799" t="s">
        <v>12759</v>
      </c>
      <c r="M799" t="s">
        <v>12760</v>
      </c>
      <c r="N799" t="s">
        <v>12761</v>
      </c>
      <c r="O799" t="s">
        <v>12762</v>
      </c>
      <c r="P799" t="s">
        <v>12763</v>
      </c>
      <c r="Q799" t="s">
        <v>12764</v>
      </c>
      <c r="R799" t="s">
        <v>12765</v>
      </c>
      <c r="S799" t="s">
        <v>12766</v>
      </c>
      <c r="T799" t="s">
        <v>12767</v>
      </c>
      <c r="U799" t="s">
        <v>12768</v>
      </c>
      <c r="V799" t="s">
        <v>12769</v>
      </c>
      <c r="W799" t="s">
        <v>12770</v>
      </c>
      <c r="X799" t="s">
        <v>12771</v>
      </c>
      <c r="Y799" t="s">
        <v>12772</v>
      </c>
    </row>
    <row r="800" spans="1:25" x14ac:dyDescent="0.3">
      <c r="A800">
        <v>39950</v>
      </c>
      <c r="B800" t="s">
        <v>12773</v>
      </c>
      <c r="C800" t="s">
        <v>12774</v>
      </c>
      <c r="D800" t="s">
        <v>12775</v>
      </c>
      <c r="E800" t="s">
        <v>12776</v>
      </c>
      <c r="F800" t="s">
        <v>12777</v>
      </c>
      <c r="G800" t="s">
        <v>12778</v>
      </c>
      <c r="H800" t="s">
        <v>12779</v>
      </c>
      <c r="I800" t="s">
        <v>12780</v>
      </c>
      <c r="J800" t="s">
        <v>12781</v>
      </c>
      <c r="K800" t="s">
        <v>12782</v>
      </c>
      <c r="L800" t="s">
        <v>12783</v>
      </c>
      <c r="M800" t="s">
        <v>12784</v>
      </c>
      <c r="N800" t="s">
        <v>12785</v>
      </c>
      <c r="O800" t="s">
        <v>12786</v>
      </c>
      <c r="P800" t="s">
        <v>12787</v>
      </c>
      <c r="Q800" t="s">
        <v>12788</v>
      </c>
      <c r="R800" t="s">
        <v>12789</v>
      </c>
      <c r="S800" t="s">
        <v>12790</v>
      </c>
      <c r="T800" t="s">
        <v>12791</v>
      </c>
      <c r="U800" t="s">
        <v>12792</v>
      </c>
      <c r="V800" t="s">
        <v>12793</v>
      </c>
      <c r="W800" t="s">
        <v>12794</v>
      </c>
      <c r="X800" t="s">
        <v>12795</v>
      </c>
      <c r="Y800" t="s">
        <v>12796</v>
      </c>
    </row>
    <row r="801" spans="1:25" x14ac:dyDescent="0.3">
      <c r="A801">
        <v>40000</v>
      </c>
      <c r="B801" t="s">
        <v>12797</v>
      </c>
      <c r="C801" t="s">
        <v>12798</v>
      </c>
      <c r="D801" t="s">
        <v>12799</v>
      </c>
      <c r="E801" t="s">
        <v>12800</v>
      </c>
      <c r="F801" t="s">
        <v>12801</v>
      </c>
      <c r="G801" t="s">
        <v>12802</v>
      </c>
      <c r="H801" t="s">
        <v>12803</v>
      </c>
      <c r="I801" t="s">
        <v>12804</v>
      </c>
      <c r="J801" t="s">
        <v>12805</v>
      </c>
      <c r="K801" t="s">
        <v>12806</v>
      </c>
      <c r="L801" t="s">
        <v>12807</v>
      </c>
      <c r="M801" t="s">
        <v>12808</v>
      </c>
      <c r="N801" t="s">
        <v>12809</v>
      </c>
      <c r="O801" t="s">
        <v>12810</v>
      </c>
      <c r="P801" t="s">
        <v>12811</v>
      </c>
      <c r="Q801" t="s">
        <v>12812</v>
      </c>
      <c r="R801" t="s">
        <v>12813</v>
      </c>
      <c r="S801" t="s">
        <v>12814</v>
      </c>
      <c r="T801" t="s">
        <v>12815</v>
      </c>
      <c r="U801" t="s">
        <v>12816</v>
      </c>
      <c r="V801" t="s">
        <v>12817</v>
      </c>
      <c r="W801" t="s">
        <v>12818</v>
      </c>
      <c r="X801" t="s">
        <v>12819</v>
      </c>
      <c r="Y801" t="s">
        <v>12820</v>
      </c>
    </row>
    <row r="802" spans="1:25" x14ac:dyDescent="0.3">
      <c r="A802">
        <v>40050</v>
      </c>
      <c r="B802" t="s">
        <v>12821</v>
      </c>
      <c r="C802" t="s">
        <v>12822</v>
      </c>
      <c r="D802" t="s">
        <v>12823</v>
      </c>
      <c r="E802" t="s">
        <v>12824</v>
      </c>
      <c r="F802" t="s">
        <v>12825</v>
      </c>
      <c r="G802" t="s">
        <v>12826</v>
      </c>
      <c r="H802" t="s">
        <v>12827</v>
      </c>
      <c r="I802" t="s">
        <v>12828</v>
      </c>
      <c r="J802" t="s">
        <v>12829</v>
      </c>
      <c r="K802" t="s">
        <v>12830</v>
      </c>
      <c r="L802" t="s">
        <v>12831</v>
      </c>
      <c r="M802" t="s">
        <v>12832</v>
      </c>
      <c r="N802" t="s">
        <v>12833</v>
      </c>
      <c r="O802" t="s">
        <v>12834</v>
      </c>
      <c r="P802" t="s">
        <v>12835</v>
      </c>
      <c r="Q802" t="s">
        <v>12836</v>
      </c>
      <c r="R802" t="s">
        <v>12837</v>
      </c>
      <c r="S802" t="s">
        <v>12838</v>
      </c>
      <c r="T802" t="s">
        <v>12839</v>
      </c>
      <c r="U802" t="s">
        <v>12840</v>
      </c>
      <c r="V802" t="s">
        <v>12841</v>
      </c>
      <c r="W802" t="s">
        <v>12842</v>
      </c>
      <c r="X802" t="s">
        <v>12843</v>
      </c>
      <c r="Y802" t="s">
        <v>12844</v>
      </c>
    </row>
    <row r="803" spans="1:25" x14ac:dyDescent="0.3">
      <c r="A803">
        <v>40100</v>
      </c>
      <c r="B803" t="s">
        <v>12845</v>
      </c>
      <c r="C803" t="s">
        <v>12846</v>
      </c>
      <c r="D803" t="s">
        <v>12847</v>
      </c>
      <c r="E803" t="s">
        <v>12848</v>
      </c>
      <c r="F803" t="s">
        <v>12849</v>
      </c>
      <c r="G803" t="s">
        <v>12850</v>
      </c>
      <c r="H803" t="s">
        <v>12851</v>
      </c>
      <c r="I803" t="s">
        <v>12852</v>
      </c>
      <c r="J803" t="s">
        <v>12853</v>
      </c>
      <c r="K803" t="s">
        <v>12854</v>
      </c>
      <c r="L803" t="s">
        <v>12855</v>
      </c>
      <c r="M803" t="s">
        <v>12856</v>
      </c>
      <c r="N803" t="s">
        <v>12857</v>
      </c>
      <c r="O803" t="s">
        <v>12858</v>
      </c>
      <c r="P803" t="s">
        <v>12859</v>
      </c>
      <c r="Q803" t="s">
        <v>12860</v>
      </c>
      <c r="R803" t="s">
        <v>12861</v>
      </c>
      <c r="S803" t="s">
        <v>12862</v>
      </c>
      <c r="T803" t="s">
        <v>12863</v>
      </c>
      <c r="U803" t="s">
        <v>12864</v>
      </c>
      <c r="V803" t="s">
        <v>12865</v>
      </c>
      <c r="W803" t="s">
        <v>12866</v>
      </c>
      <c r="X803" t="s">
        <v>12867</v>
      </c>
      <c r="Y803" t="s">
        <v>12868</v>
      </c>
    </row>
    <row r="804" spans="1:25" x14ac:dyDescent="0.3">
      <c r="A804">
        <v>40150</v>
      </c>
      <c r="B804" t="s">
        <v>12869</v>
      </c>
      <c r="C804" t="s">
        <v>12870</v>
      </c>
      <c r="D804" t="s">
        <v>12871</v>
      </c>
      <c r="E804" t="s">
        <v>12872</v>
      </c>
      <c r="F804" t="s">
        <v>12873</v>
      </c>
      <c r="G804" t="s">
        <v>12874</v>
      </c>
      <c r="H804" t="s">
        <v>12875</v>
      </c>
      <c r="I804" t="s">
        <v>12876</v>
      </c>
      <c r="J804" t="s">
        <v>12877</v>
      </c>
      <c r="K804" t="s">
        <v>12878</v>
      </c>
      <c r="L804" t="s">
        <v>12879</v>
      </c>
      <c r="M804" t="s">
        <v>12880</v>
      </c>
      <c r="N804" t="s">
        <v>12881</v>
      </c>
      <c r="O804" t="s">
        <v>12882</v>
      </c>
      <c r="P804" t="s">
        <v>12883</v>
      </c>
      <c r="Q804" t="s">
        <v>12884</v>
      </c>
      <c r="R804" t="s">
        <v>12885</v>
      </c>
      <c r="S804" t="s">
        <v>12886</v>
      </c>
      <c r="T804" t="s">
        <v>12887</v>
      </c>
      <c r="U804" t="s">
        <v>12888</v>
      </c>
      <c r="V804" t="s">
        <v>12889</v>
      </c>
      <c r="W804" t="s">
        <v>12890</v>
      </c>
      <c r="X804" t="s">
        <v>12891</v>
      </c>
      <c r="Y804" t="s">
        <v>12892</v>
      </c>
    </row>
    <row r="805" spans="1:25" x14ac:dyDescent="0.3">
      <c r="A805">
        <v>40200</v>
      </c>
      <c r="B805" t="s">
        <v>12893</v>
      </c>
      <c r="C805" t="s">
        <v>12894</v>
      </c>
      <c r="D805" t="s">
        <v>12895</v>
      </c>
      <c r="E805" t="s">
        <v>12896</v>
      </c>
      <c r="F805" t="s">
        <v>12897</v>
      </c>
      <c r="G805" t="s">
        <v>12898</v>
      </c>
      <c r="H805" t="s">
        <v>12899</v>
      </c>
      <c r="I805" t="s">
        <v>12900</v>
      </c>
      <c r="J805" t="s">
        <v>12901</v>
      </c>
      <c r="K805" t="s">
        <v>12902</v>
      </c>
      <c r="L805" t="s">
        <v>12903</v>
      </c>
      <c r="M805" t="s">
        <v>12904</v>
      </c>
      <c r="N805" t="s">
        <v>12905</v>
      </c>
      <c r="O805" t="s">
        <v>12906</v>
      </c>
      <c r="P805" t="s">
        <v>12907</v>
      </c>
      <c r="Q805" t="s">
        <v>12908</v>
      </c>
      <c r="R805" t="s">
        <v>12909</v>
      </c>
      <c r="S805" t="s">
        <v>12910</v>
      </c>
      <c r="T805" t="s">
        <v>12911</v>
      </c>
      <c r="U805" t="s">
        <v>12912</v>
      </c>
      <c r="V805" t="s">
        <v>12913</v>
      </c>
      <c r="W805" t="s">
        <v>12914</v>
      </c>
      <c r="X805" t="s">
        <v>12915</v>
      </c>
      <c r="Y805" t="s">
        <v>12916</v>
      </c>
    </row>
    <row r="806" spans="1:25" x14ac:dyDescent="0.3">
      <c r="A806">
        <v>40250</v>
      </c>
      <c r="B806" t="s">
        <v>12917</v>
      </c>
      <c r="C806" t="s">
        <v>12918</v>
      </c>
      <c r="D806" t="s">
        <v>12919</v>
      </c>
      <c r="E806" t="s">
        <v>12920</v>
      </c>
      <c r="F806" t="s">
        <v>12921</v>
      </c>
      <c r="G806" t="s">
        <v>12922</v>
      </c>
      <c r="H806" t="s">
        <v>12923</v>
      </c>
      <c r="I806" t="s">
        <v>12924</v>
      </c>
      <c r="J806" t="s">
        <v>12925</v>
      </c>
      <c r="K806" t="s">
        <v>12926</v>
      </c>
      <c r="L806" t="s">
        <v>12927</v>
      </c>
      <c r="M806" t="s">
        <v>12928</v>
      </c>
      <c r="N806" t="s">
        <v>12929</v>
      </c>
      <c r="O806" t="s">
        <v>12930</v>
      </c>
      <c r="P806" t="s">
        <v>12931</v>
      </c>
      <c r="Q806" t="s">
        <v>12932</v>
      </c>
      <c r="R806" t="s">
        <v>12933</v>
      </c>
      <c r="S806" t="s">
        <v>12934</v>
      </c>
      <c r="T806" t="s">
        <v>12935</v>
      </c>
      <c r="U806" t="s">
        <v>12936</v>
      </c>
      <c r="V806" t="s">
        <v>12937</v>
      </c>
      <c r="W806" t="s">
        <v>12938</v>
      </c>
      <c r="X806" t="s">
        <v>12939</v>
      </c>
      <c r="Y806" t="s">
        <v>12940</v>
      </c>
    </row>
    <row r="807" spans="1:25" x14ac:dyDescent="0.3">
      <c r="A807">
        <v>40300</v>
      </c>
      <c r="B807" t="s">
        <v>12941</v>
      </c>
      <c r="C807" t="s">
        <v>12942</v>
      </c>
      <c r="D807" t="s">
        <v>12943</v>
      </c>
      <c r="E807" t="s">
        <v>12944</v>
      </c>
      <c r="F807" t="s">
        <v>12945</v>
      </c>
      <c r="G807" t="s">
        <v>12946</v>
      </c>
      <c r="H807" t="s">
        <v>12947</v>
      </c>
      <c r="I807" t="s">
        <v>12948</v>
      </c>
      <c r="J807" t="s">
        <v>12949</v>
      </c>
      <c r="K807" t="s">
        <v>12950</v>
      </c>
      <c r="L807" t="s">
        <v>12951</v>
      </c>
      <c r="M807" t="s">
        <v>12952</v>
      </c>
      <c r="N807" t="s">
        <v>12953</v>
      </c>
      <c r="O807" t="s">
        <v>12954</v>
      </c>
      <c r="P807" t="s">
        <v>12955</v>
      </c>
      <c r="Q807" t="s">
        <v>12956</v>
      </c>
      <c r="R807" t="s">
        <v>12957</v>
      </c>
      <c r="S807" t="s">
        <v>12958</v>
      </c>
      <c r="T807" t="s">
        <v>12959</v>
      </c>
      <c r="U807" t="s">
        <v>12960</v>
      </c>
      <c r="V807" t="s">
        <v>12961</v>
      </c>
      <c r="W807" t="s">
        <v>12962</v>
      </c>
      <c r="X807" t="s">
        <v>12963</v>
      </c>
      <c r="Y807" t="s">
        <v>12964</v>
      </c>
    </row>
    <row r="808" spans="1:25" x14ac:dyDescent="0.3">
      <c r="A808">
        <v>40350</v>
      </c>
      <c r="B808" t="s">
        <v>12965</v>
      </c>
      <c r="C808" t="s">
        <v>12966</v>
      </c>
      <c r="D808" t="s">
        <v>12967</v>
      </c>
      <c r="E808" t="s">
        <v>12968</v>
      </c>
      <c r="F808" t="s">
        <v>12969</v>
      </c>
      <c r="G808" t="s">
        <v>12970</v>
      </c>
      <c r="H808" t="s">
        <v>12971</v>
      </c>
      <c r="I808" t="s">
        <v>12972</v>
      </c>
      <c r="J808" t="s">
        <v>12973</v>
      </c>
      <c r="K808" t="s">
        <v>12974</v>
      </c>
      <c r="L808" t="s">
        <v>12975</v>
      </c>
      <c r="M808" t="s">
        <v>12976</v>
      </c>
      <c r="N808" t="s">
        <v>12977</v>
      </c>
      <c r="O808" t="s">
        <v>12978</v>
      </c>
      <c r="P808" t="s">
        <v>12979</v>
      </c>
      <c r="Q808" t="s">
        <v>12980</v>
      </c>
      <c r="R808" t="s">
        <v>12981</v>
      </c>
      <c r="S808" t="s">
        <v>12982</v>
      </c>
      <c r="T808" t="s">
        <v>12983</v>
      </c>
      <c r="U808" t="s">
        <v>12984</v>
      </c>
      <c r="V808" t="s">
        <v>12985</v>
      </c>
      <c r="W808" t="s">
        <v>12986</v>
      </c>
      <c r="X808" t="s">
        <v>12987</v>
      </c>
      <c r="Y808" t="s">
        <v>12988</v>
      </c>
    </row>
    <row r="809" spans="1:25" x14ac:dyDescent="0.3">
      <c r="A809">
        <v>40400</v>
      </c>
      <c r="B809" t="s">
        <v>12989</v>
      </c>
      <c r="C809" t="s">
        <v>12990</v>
      </c>
      <c r="D809" t="s">
        <v>12991</v>
      </c>
      <c r="E809" t="s">
        <v>12992</v>
      </c>
      <c r="F809" t="s">
        <v>12993</v>
      </c>
      <c r="G809" t="s">
        <v>12994</v>
      </c>
      <c r="H809" t="s">
        <v>12995</v>
      </c>
      <c r="I809" t="s">
        <v>12996</v>
      </c>
      <c r="J809" t="s">
        <v>12997</v>
      </c>
      <c r="K809" t="s">
        <v>12998</v>
      </c>
      <c r="L809" t="s">
        <v>12999</v>
      </c>
      <c r="M809" t="s">
        <v>13000</v>
      </c>
      <c r="N809" t="s">
        <v>13001</v>
      </c>
      <c r="O809" t="s">
        <v>13002</v>
      </c>
      <c r="P809" t="s">
        <v>13003</v>
      </c>
      <c r="Q809" t="s">
        <v>13004</v>
      </c>
      <c r="R809" t="s">
        <v>13005</v>
      </c>
      <c r="S809" t="s">
        <v>13006</v>
      </c>
      <c r="T809" t="s">
        <v>13007</v>
      </c>
      <c r="U809" t="s">
        <v>13008</v>
      </c>
      <c r="V809" t="s">
        <v>13009</v>
      </c>
      <c r="W809" t="s">
        <v>13010</v>
      </c>
      <c r="X809" t="s">
        <v>13011</v>
      </c>
      <c r="Y809" t="s">
        <v>13012</v>
      </c>
    </row>
    <row r="810" spans="1:25" x14ac:dyDescent="0.3">
      <c r="A810">
        <v>40450</v>
      </c>
      <c r="B810" t="s">
        <v>13013</v>
      </c>
      <c r="C810" t="s">
        <v>13014</v>
      </c>
      <c r="D810" t="s">
        <v>13015</v>
      </c>
      <c r="E810" t="s">
        <v>13016</v>
      </c>
      <c r="F810" t="s">
        <v>13017</v>
      </c>
      <c r="G810" t="s">
        <v>13018</v>
      </c>
      <c r="H810" t="s">
        <v>13019</v>
      </c>
      <c r="I810" t="s">
        <v>13020</v>
      </c>
      <c r="J810" t="s">
        <v>13021</v>
      </c>
      <c r="K810" t="s">
        <v>13022</v>
      </c>
      <c r="L810" t="s">
        <v>13023</v>
      </c>
      <c r="M810" t="s">
        <v>13024</v>
      </c>
      <c r="N810" t="s">
        <v>13025</v>
      </c>
      <c r="O810" t="s">
        <v>13026</v>
      </c>
      <c r="P810" t="s">
        <v>13027</v>
      </c>
      <c r="Q810" t="s">
        <v>13028</v>
      </c>
      <c r="R810" t="s">
        <v>13029</v>
      </c>
      <c r="S810" t="s">
        <v>13030</v>
      </c>
      <c r="T810" t="s">
        <v>13031</v>
      </c>
      <c r="U810" t="s">
        <v>13032</v>
      </c>
      <c r="V810" t="s">
        <v>13033</v>
      </c>
      <c r="W810" t="s">
        <v>13034</v>
      </c>
      <c r="X810" t="s">
        <v>13035</v>
      </c>
      <c r="Y810" t="s">
        <v>13036</v>
      </c>
    </row>
    <row r="811" spans="1:25" x14ac:dyDescent="0.3">
      <c r="A811">
        <v>40500</v>
      </c>
      <c r="B811" t="s">
        <v>13037</v>
      </c>
      <c r="C811" t="s">
        <v>13038</v>
      </c>
      <c r="D811" t="s">
        <v>13039</v>
      </c>
      <c r="E811" t="s">
        <v>13040</v>
      </c>
      <c r="F811" t="s">
        <v>13041</v>
      </c>
      <c r="G811" t="s">
        <v>13042</v>
      </c>
      <c r="H811" t="s">
        <v>13043</v>
      </c>
      <c r="I811" t="s">
        <v>13044</v>
      </c>
      <c r="J811" t="s">
        <v>13045</v>
      </c>
      <c r="K811" t="s">
        <v>13046</v>
      </c>
      <c r="L811" t="s">
        <v>13047</v>
      </c>
      <c r="M811" t="s">
        <v>13048</v>
      </c>
      <c r="N811" t="s">
        <v>13049</v>
      </c>
      <c r="O811" t="s">
        <v>13050</v>
      </c>
      <c r="P811" t="s">
        <v>13051</v>
      </c>
      <c r="Q811" t="s">
        <v>13052</v>
      </c>
      <c r="R811" t="s">
        <v>13053</v>
      </c>
      <c r="S811" t="s">
        <v>13054</v>
      </c>
      <c r="T811" t="s">
        <v>13055</v>
      </c>
      <c r="U811" t="s">
        <v>13056</v>
      </c>
      <c r="V811" t="s">
        <v>13057</v>
      </c>
      <c r="W811" t="s">
        <v>13058</v>
      </c>
      <c r="X811" t="s">
        <v>13059</v>
      </c>
      <c r="Y811" t="s">
        <v>13060</v>
      </c>
    </row>
    <row r="812" spans="1:25" x14ac:dyDescent="0.3">
      <c r="A812">
        <v>40550</v>
      </c>
      <c r="B812" t="s">
        <v>13061</v>
      </c>
      <c r="C812" t="s">
        <v>13062</v>
      </c>
      <c r="D812" t="s">
        <v>13063</v>
      </c>
      <c r="E812" t="s">
        <v>13064</v>
      </c>
      <c r="F812" t="s">
        <v>13065</v>
      </c>
      <c r="G812" t="s">
        <v>13066</v>
      </c>
      <c r="H812" t="s">
        <v>13067</v>
      </c>
      <c r="I812" t="s">
        <v>13068</v>
      </c>
      <c r="J812" t="s">
        <v>13069</v>
      </c>
      <c r="K812" t="s">
        <v>13070</v>
      </c>
      <c r="L812" t="s">
        <v>13071</v>
      </c>
      <c r="M812" t="s">
        <v>13072</v>
      </c>
      <c r="N812" t="s">
        <v>13073</v>
      </c>
      <c r="O812" t="s">
        <v>13074</v>
      </c>
      <c r="P812" t="s">
        <v>13075</v>
      </c>
      <c r="Q812" t="s">
        <v>13076</v>
      </c>
      <c r="R812" t="s">
        <v>13077</v>
      </c>
      <c r="S812" t="s">
        <v>13078</v>
      </c>
      <c r="T812" t="s">
        <v>13079</v>
      </c>
      <c r="U812" t="s">
        <v>13080</v>
      </c>
      <c r="V812" t="s">
        <v>13081</v>
      </c>
      <c r="W812" t="s">
        <v>13082</v>
      </c>
      <c r="X812" t="s">
        <v>13083</v>
      </c>
      <c r="Y812" t="s">
        <v>13084</v>
      </c>
    </row>
    <row r="813" spans="1:25" x14ac:dyDescent="0.3">
      <c r="A813">
        <v>40600</v>
      </c>
      <c r="B813" t="s">
        <v>13085</v>
      </c>
      <c r="C813" t="s">
        <v>13086</v>
      </c>
      <c r="D813" t="s">
        <v>13087</v>
      </c>
      <c r="E813" t="s">
        <v>13088</v>
      </c>
      <c r="F813" t="s">
        <v>13089</v>
      </c>
      <c r="G813" t="s">
        <v>13090</v>
      </c>
      <c r="H813" t="s">
        <v>13091</v>
      </c>
      <c r="I813" t="s">
        <v>13092</v>
      </c>
      <c r="J813" t="s">
        <v>13093</v>
      </c>
      <c r="K813" t="s">
        <v>13094</v>
      </c>
      <c r="L813" t="s">
        <v>13095</v>
      </c>
      <c r="M813" t="s">
        <v>13096</v>
      </c>
      <c r="N813" t="s">
        <v>13097</v>
      </c>
      <c r="O813" t="s">
        <v>13098</v>
      </c>
      <c r="P813" t="s">
        <v>13099</v>
      </c>
      <c r="Q813" t="s">
        <v>13100</v>
      </c>
      <c r="R813" t="s">
        <v>13101</v>
      </c>
      <c r="S813" t="s">
        <v>13102</v>
      </c>
      <c r="T813" t="s">
        <v>13103</v>
      </c>
      <c r="U813" t="s">
        <v>13104</v>
      </c>
      <c r="V813" t="s">
        <v>13105</v>
      </c>
      <c r="W813" t="s">
        <v>13106</v>
      </c>
      <c r="X813" t="s">
        <v>13107</v>
      </c>
      <c r="Y813" t="s">
        <v>13108</v>
      </c>
    </row>
    <row r="814" spans="1:25" x14ac:dyDescent="0.3">
      <c r="A814">
        <v>40650</v>
      </c>
      <c r="B814" t="s">
        <v>13109</v>
      </c>
      <c r="C814" t="s">
        <v>13110</v>
      </c>
      <c r="D814" t="s">
        <v>13111</v>
      </c>
      <c r="E814" t="s">
        <v>13112</v>
      </c>
      <c r="F814" t="s">
        <v>13113</v>
      </c>
      <c r="G814" t="s">
        <v>13114</v>
      </c>
      <c r="H814" t="s">
        <v>13115</v>
      </c>
      <c r="I814" t="s">
        <v>13116</v>
      </c>
      <c r="J814" t="s">
        <v>13117</v>
      </c>
      <c r="K814" t="s">
        <v>13118</v>
      </c>
      <c r="L814" t="s">
        <v>13119</v>
      </c>
      <c r="M814" t="s">
        <v>13120</v>
      </c>
      <c r="N814" t="s">
        <v>13121</v>
      </c>
      <c r="O814" t="s">
        <v>13122</v>
      </c>
      <c r="P814" t="s">
        <v>13123</v>
      </c>
      <c r="Q814" t="s">
        <v>13124</v>
      </c>
      <c r="R814" t="s">
        <v>13125</v>
      </c>
      <c r="S814" t="s">
        <v>13126</v>
      </c>
      <c r="T814" t="s">
        <v>13127</v>
      </c>
      <c r="U814" t="s">
        <v>13128</v>
      </c>
      <c r="V814" t="s">
        <v>13129</v>
      </c>
      <c r="W814" t="s">
        <v>13130</v>
      </c>
      <c r="X814" t="s">
        <v>13131</v>
      </c>
      <c r="Y814" t="s">
        <v>13132</v>
      </c>
    </row>
    <row r="815" spans="1:25" x14ac:dyDescent="0.3">
      <c r="A815">
        <v>40700</v>
      </c>
      <c r="B815" t="s">
        <v>13133</v>
      </c>
      <c r="C815" t="s">
        <v>13134</v>
      </c>
      <c r="D815" t="s">
        <v>13135</v>
      </c>
      <c r="E815" t="s">
        <v>13136</v>
      </c>
      <c r="F815" t="s">
        <v>13137</v>
      </c>
      <c r="G815" t="s">
        <v>13138</v>
      </c>
      <c r="H815" t="s">
        <v>13139</v>
      </c>
      <c r="I815" t="s">
        <v>13140</v>
      </c>
      <c r="J815" t="s">
        <v>13141</v>
      </c>
      <c r="K815" t="s">
        <v>13142</v>
      </c>
      <c r="L815" t="s">
        <v>13143</v>
      </c>
      <c r="M815" t="s">
        <v>13144</v>
      </c>
      <c r="N815" t="s">
        <v>13145</v>
      </c>
      <c r="O815" t="s">
        <v>13146</v>
      </c>
      <c r="P815" t="s">
        <v>13147</v>
      </c>
      <c r="Q815" t="s">
        <v>13148</v>
      </c>
      <c r="R815" t="s">
        <v>13149</v>
      </c>
      <c r="S815" t="s">
        <v>13150</v>
      </c>
      <c r="T815" t="s">
        <v>13151</v>
      </c>
      <c r="U815" t="s">
        <v>13152</v>
      </c>
      <c r="V815" t="s">
        <v>13153</v>
      </c>
      <c r="W815" t="s">
        <v>13154</v>
      </c>
      <c r="X815" t="s">
        <v>13155</v>
      </c>
      <c r="Y815" t="s">
        <v>13156</v>
      </c>
    </row>
    <row r="816" spans="1:25" x14ac:dyDescent="0.3">
      <c r="A816">
        <v>40750</v>
      </c>
      <c r="B816" t="s">
        <v>13157</v>
      </c>
      <c r="C816" t="s">
        <v>13158</v>
      </c>
      <c r="D816" t="s">
        <v>13159</v>
      </c>
      <c r="E816" t="s">
        <v>13160</v>
      </c>
      <c r="F816" t="s">
        <v>13161</v>
      </c>
      <c r="G816" t="s">
        <v>13162</v>
      </c>
      <c r="H816" t="s">
        <v>13163</v>
      </c>
      <c r="I816" t="s">
        <v>13164</v>
      </c>
      <c r="J816" t="s">
        <v>13165</v>
      </c>
      <c r="K816" t="s">
        <v>13166</v>
      </c>
      <c r="L816" t="s">
        <v>13167</v>
      </c>
      <c r="M816" t="s">
        <v>13168</v>
      </c>
      <c r="N816" t="s">
        <v>13169</v>
      </c>
      <c r="O816" t="s">
        <v>13170</v>
      </c>
      <c r="P816" t="s">
        <v>13171</v>
      </c>
      <c r="Q816" t="s">
        <v>13172</v>
      </c>
      <c r="R816" t="s">
        <v>13173</v>
      </c>
      <c r="S816" t="s">
        <v>13174</v>
      </c>
      <c r="T816" t="s">
        <v>13175</v>
      </c>
      <c r="U816" t="s">
        <v>13176</v>
      </c>
      <c r="V816" t="s">
        <v>13177</v>
      </c>
      <c r="W816" t="s">
        <v>13178</v>
      </c>
      <c r="X816" t="s">
        <v>13179</v>
      </c>
      <c r="Y816" t="s">
        <v>13180</v>
      </c>
    </row>
    <row r="817" spans="1:25" x14ac:dyDescent="0.3">
      <c r="A817">
        <v>40800</v>
      </c>
      <c r="B817" t="s">
        <v>13181</v>
      </c>
      <c r="C817" t="s">
        <v>13182</v>
      </c>
      <c r="D817" t="s">
        <v>13183</v>
      </c>
      <c r="E817" t="s">
        <v>13184</v>
      </c>
      <c r="F817" t="s">
        <v>13185</v>
      </c>
      <c r="G817" t="s">
        <v>13186</v>
      </c>
      <c r="H817" t="s">
        <v>13187</v>
      </c>
      <c r="I817" t="s">
        <v>13188</v>
      </c>
      <c r="J817" t="s">
        <v>13189</v>
      </c>
      <c r="K817" t="s">
        <v>13190</v>
      </c>
      <c r="L817" t="s">
        <v>13191</v>
      </c>
      <c r="M817" t="s">
        <v>13192</v>
      </c>
      <c r="N817" t="s">
        <v>13193</v>
      </c>
      <c r="O817" t="s">
        <v>13194</v>
      </c>
      <c r="P817" t="s">
        <v>13195</v>
      </c>
      <c r="Q817" t="s">
        <v>13196</v>
      </c>
      <c r="R817" t="s">
        <v>13197</v>
      </c>
      <c r="S817" t="s">
        <v>13198</v>
      </c>
      <c r="T817" t="s">
        <v>13199</v>
      </c>
      <c r="U817" t="s">
        <v>13200</v>
      </c>
      <c r="V817" t="s">
        <v>13201</v>
      </c>
      <c r="W817" t="s">
        <v>13202</v>
      </c>
      <c r="X817" t="s">
        <v>13203</v>
      </c>
      <c r="Y817" t="s">
        <v>13204</v>
      </c>
    </row>
    <row r="818" spans="1:25" x14ac:dyDescent="0.3">
      <c r="A818">
        <v>40850</v>
      </c>
      <c r="B818" t="s">
        <v>13205</v>
      </c>
      <c r="C818" t="s">
        <v>13206</v>
      </c>
      <c r="D818" t="s">
        <v>13207</v>
      </c>
      <c r="E818" t="s">
        <v>13208</v>
      </c>
      <c r="F818" t="s">
        <v>13209</v>
      </c>
      <c r="G818" t="s">
        <v>13210</v>
      </c>
      <c r="H818" t="s">
        <v>13211</v>
      </c>
      <c r="I818" t="s">
        <v>13212</v>
      </c>
      <c r="J818" t="s">
        <v>13213</v>
      </c>
      <c r="K818" t="s">
        <v>13214</v>
      </c>
      <c r="L818" t="s">
        <v>13215</v>
      </c>
      <c r="M818" t="s">
        <v>13216</v>
      </c>
      <c r="N818" t="s">
        <v>13217</v>
      </c>
      <c r="O818" t="s">
        <v>13218</v>
      </c>
      <c r="P818" t="s">
        <v>13219</v>
      </c>
      <c r="Q818" t="s">
        <v>13220</v>
      </c>
      <c r="R818" t="s">
        <v>13221</v>
      </c>
      <c r="S818" t="s">
        <v>13222</v>
      </c>
      <c r="T818" t="s">
        <v>13223</v>
      </c>
      <c r="U818" t="s">
        <v>13224</v>
      </c>
      <c r="V818" t="s">
        <v>13225</v>
      </c>
      <c r="W818" t="s">
        <v>13226</v>
      </c>
      <c r="X818" t="s">
        <v>13227</v>
      </c>
      <c r="Y818" t="s">
        <v>13228</v>
      </c>
    </row>
    <row r="819" spans="1:25" x14ac:dyDescent="0.3">
      <c r="A819">
        <v>40900</v>
      </c>
      <c r="B819" t="s">
        <v>13229</v>
      </c>
      <c r="C819" t="s">
        <v>13230</v>
      </c>
      <c r="D819" t="s">
        <v>13231</v>
      </c>
      <c r="E819" t="s">
        <v>13232</v>
      </c>
      <c r="F819" t="s">
        <v>13233</v>
      </c>
      <c r="G819" t="s">
        <v>13234</v>
      </c>
      <c r="H819" t="s">
        <v>13235</v>
      </c>
      <c r="I819" t="s">
        <v>13236</v>
      </c>
      <c r="J819" t="s">
        <v>13237</v>
      </c>
      <c r="K819" t="s">
        <v>13238</v>
      </c>
      <c r="L819" t="s">
        <v>13239</v>
      </c>
      <c r="M819" t="s">
        <v>13240</v>
      </c>
      <c r="N819" t="s">
        <v>13241</v>
      </c>
      <c r="O819" t="s">
        <v>13242</v>
      </c>
      <c r="P819" t="s">
        <v>13243</v>
      </c>
      <c r="Q819" t="s">
        <v>13244</v>
      </c>
      <c r="R819" t="s">
        <v>13245</v>
      </c>
      <c r="S819" t="s">
        <v>13246</v>
      </c>
      <c r="T819" t="s">
        <v>13247</v>
      </c>
      <c r="U819" t="s">
        <v>13248</v>
      </c>
      <c r="V819" t="s">
        <v>13249</v>
      </c>
      <c r="W819" t="s">
        <v>13250</v>
      </c>
      <c r="X819" t="s">
        <v>13251</v>
      </c>
      <c r="Y819" t="s">
        <v>13252</v>
      </c>
    </row>
    <row r="820" spans="1:25" x14ac:dyDescent="0.3">
      <c r="A820">
        <v>40950</v>
      </c>
      <c r="B820" t="s">
        <v>13253</v>
      </c>
      <c r="C820" t="s">
        <v>13254</v>
      </c>
      <c r="D820" t="s">
        <v>13255</v>
      </c>
      <c r="E820" t="s">
        <v>13256</v>
      </c>
      <c r="F820" t="s">
        <v>13257</v>
      </c>
      <c r="G820" t="s">
        <v>13258</v>
      </c>
      <c r="H820" t="s">
        <v>13259</v>
      </c>
      <c r="I820" t="s">
        <v>13260</v>
      </c>
      <c r="J820" t="s">
        <v>13261</v>
      </c>
      <c r="K820" t="s">
        <v>13262</v>
      </c>
      <c r="L820" t="s">
        <v>13263</v>
      </c>
      <c r="M820" t="s">
        <v>13264</v>
      </c>
      <c r="N820" t="s">
        <v>13265</v>
      </c>
      <c r="O820" t="s">
        <v>13266</v>
      </c>
      <c r="P820" t="s">
        <v>13267</v>
      </c>
      <c r="Q820" t="s">
        <v>13268</v>
      </c>
      <c r="R820" t="s">
        <v>13269</v>
      </c>
      <c r="S820" t="s">
        <v>13270</v>
      </c>
      <c r="T820" t="s">
        <v>13271</v>
      </c>
      <c r="U820" t="s">
        <v>13272</v>
      </c>
      <c r="V820" t="s">
        <v>13273</v>
      </c>
      <c r="W820" t="s">
        <v>13274</v>
      </c>
      <c r="X820" t="s">
        <v>13275</v>
      </c>
      <c r="Y820" t="s">
        <v>13276</v>
      </c>
    </row>
    <row r="821" spans="1:25" x14ac:dyDescent="0.3">
      <c r="A821">
        <v>41000</v>
      </c>
      <c r="B821" t="s">
        <v>13277</v>
      </c>
      <c r="C821" t="s">
        <v>13278</v>
      </c>
      <c r="D821" t="s">
        <v>13279</v>
      </c>
      <c r="E821" t="s">
        <v>13280</v>
      </c>
      <c r="F821" t="s">
        <v>13281</v>
      </c>
      <c r="G821" t="s">
        <v>13282</v>
      </c>
      <c r="H821" t="s">
        <v>13283</v>
      </c>
      <c r="I821" t="s">
        <v>13284</v>
      </c>
      <c r="J821" t="s">
        <v>13285</v>
      </c>
      <c r="K821" t="s">
        <v>13286</v>
      </c>
      <c r="L821" t="s">
        <v>13287</v>
      </c>
      <c r="M821" t="s">
        <v>13288</v>
      </c>
      <c r="N821" t="s">
        <v>13289</v>
      </c>
      <c r="O821" t="s">
        <v>13290</v>
      </c>
      <c r="P821" t="s">
        <v>13291</v>
      </c>
      <c r="Q821" t="s">
        <v>13292</v>
      </c>
      <c r="R821" t="s">
        <v>13293</v>
      </c>
      <c r="S821" t="s">
        <v>13294</v>
      </c>
      <c r="T821" t="s">
        <v>13295</v>
      </c>
      <c r="U821" t="s">
        <v>13296</v>
      </c>
      <c r="V821" t="s">
        <v>13297</v>
      </c>
      <c r="W821" t="s">
        <v>13298</v>
      </c>
      <c r="X821" t="s">
        <v>13299</v>
      </c>
      <c r="Y821" t="s">
        <v>13300</v>
      </c>
    </row>
    <row r="822" spans="1:25" x14ac:dyDescent="0.3">
      <c r="A822">
        <v>41050</v>
      </c>
      <c r="B822" t="s">
        <v>13301</v>
      </c>
      <c r="C822" t="s">
        <v>13302</v>
      </c>
      <c r="D822" t="s">
        <v>13303</v>
      </c>
      <c r="E822" t="s">
        <v>13304</v>
      </c>
      <c r="F822" t="s">
        <v>13305</v>
      </c>
      <c r="G822" t="s">
        <v>13306</v>
      </c>
      <c r="H822" t="s">
        <v>13307</v>
      </c>
      <c r="I822" t="s">
        <v>13308</v>
      </c>
      <c r="J822" t="s">
        <v>13309</v>
      </c>
      <c r="K822" t="s">
        <v>13310</v>
      </c>
      <c r="L822" t="s">
        <v>13311</v>
      </c>
      <c r="M822" t="s">
        <v>13312</v>
      </c>
      <c r="N822" t="s">
        <v>13313</v>
      </c>
      <c r="O822" t="s">
        <v>13314</v>
      </c>
      <c r="P822" t="s">
        <v>13315</v>
      </c>
      <c r="Q822" t="s">
        <v>13316</v>
      </c>
      <c r="R822" t="s">
        <v>13317</v>
      </c>
      <c r="S822" t="s">
        <v>13318</v>
      </c>
      <c r="T822" t="s">
        <v>13319</v>
      </c>
      <c r="U822" t="s">
        <v>13320</v>
      </c>
      <c r="V822" t="s">
        <v>13321</v>
      </c>
      <c r="W822" t="s">
        <v>13322</v>
      </c>
      <c r="X822" t="s">
        <v>13323</v>
      </c>
      <c r="Y822" t="s">
        <v>13324</v>
      </c>
    </row>
    <row r="823" spans="1:25" x14ac:dyDescent="0.3">
      <c r="A823">
        <v>41100</v>
      </c>
      <c r="B823" t="s">
        <v>13325</v>
      </c>
      <c r="C823" t="s">
        <v>13326</v>
      </c>
      <c r="D823" t="s">
        <v>13327</v>
      </c>
      <c r="E823" t="s">
        <v>13328</v>
      </c>
      <c r="F823" t="s">
        <v>13329</v>
      </c>
      <c r="G823" t="s">
        <v>13330</v>
      </c>
      <c r="H823" t="s">
        <v>13331</v>
      </c>
      <c r="I823" t="s">
        <v>13332</v>
      </c>
      <c r="J823" t="s">
        <v>13333</v>
      </c>
      <c r="K823" t="s">
        <v>13334</v>
      </c>
      <c r="L823" t="s">
        <v>13335</v>
      </c>
      <c r="M823" t="s">
        <v>13336</v>
      </c>
      <c r="N823" t="s">
        <v>13337</v>
      </c>
      <c r="O823" t="s">
        <v>13338</v>
      </c>
      <c r="P823" t="s">
        <v>13339</v>
      </c>
      <c r="Q823" t="s">
        <v>13340</v>
      </c>
      <c r="R823" t="s">
        <v>13341</v>
      </c>
      <c r="S823" t="s">
        <v>13342</v>
      </c>
      <c r="T823" t="s">
        <v>13343</v>
      </c>
      <c r="U823" t="s">
        <v>13344</v>
      </c>
      <c r="V823" t="s">
        <v>13345</v>
      </c>
      <c r="W823" t="s">
        <v>13346</v>
      </c>
      <c r="X823" t="s">
        <v>13347</v>
      </c>
      <c r="Y823" t="s">
        <v>13348</v>
      </c>
    </row>
    <row r="824" spans="1:25" x14ac:dyDescent="0.3">
      <c r="A824">
        <v>41150</v>
      </c>
      <c r="B824" t="s">
        <v>13349</v>
      </c>
      <c r="C824" t="s">
        <v>13350</v>
      </c>
      <c r="D824" t="s">
        <v>13351</v>
      </c>
      <c r="E824" t="s">
        <v>13352</v>
      </c>
      <c r="F824" t="s">
        <v>13353</v>
      </c>
      <c r="G824" t="s">
        <v>13354</v>
      </c>
      <c r="H824" t="s">
        <v>13355</v>
      </c>
      <c r="I824" t="s">
        <v>13356</v>
      </c>
      <c r="J824" t="s">
        <v>13357</v>
      </c>
      <c r="K824" t="s">
        <v>13358</v>
      </c>
      <c r="L824" t="s">
        <v>13359</v>
      </c>
      <c r="M824" t="s">
        <v>13360</v>
      </c>
      <c r="N824" t="s">
        <v>13361</v>
      </c>
      <c r="O824" t="s">
        <v>13362</v>
      </c>
      <c r="P824" t="s">
        <v>13363</v>
      </c>
      <c r="Q824" t="s">
        <v>13364</v>
      </c>
      <c r="R824" t="s">
        <v>13365</v>
      </c>
      <c r="S824" t="s">
        <v>13366</v>
      </c>
      <c r="T824" t="s">
        <v>13367</v>
      </c>
      <c r="U824" t="s">
        <v>13368</v>
      </c>
      <c r="V824" t="s">
        <v>13369</v>
      </c>
      <c r="W824" t="s">
        <v>13370</v>
      </c>
      <c r="X824" t="s">
        <v>13371</v>
      </c>
      <c r="Y824" t="s">
        <v>13372</v>
      </c>
    </row>
    <row r="825" spans="1:25" x14ac:dyDescent="0.3">
      <c r="A825">
        <v>41200</v>
      </c>
      <c r="B825" t="s">
        <v>13373</v>
      </c>
      <c r="C825" t="s">
        <v>13374</v>
      </c>
      <c r="D825" t="s">
        <v>13375</v>
      </c>
      <c r="E825" t="s">
        <v>13376</v>
      </c>
      <c r="F825" t="s">
        <v>13377</v>
      </c>
      <c r="G825" t="s">
        <v>13378</v>
      </c>
      <c r="H825" t="s">
        <v>13379</v>
      </c>
      <c r="I825" t="s">
        <v>13380</v>
      </c>
      <c r="J825" t="s">
        <v>13381</v>
      </c>
      <c r="K825" t="s">
        <v>13382</v>
      </c>
      <c r="L825" t="s">
        <v>13383</v>
      </c>
      <c r="M825" t="s">
        <v>13384</v>
      </c>
      <c r="N825" t="s">
        <v>13385</v>
      </c>
      <c r="O825" t="s">
        <v>13386</v>
      </c>
      <c r="P825" t="s">
        <v>13387</v>
      </c>
      <c r="Q825" t="s">
        <v>13388</v>
      </c>
      <c r="R825" t="s">
        <v>13389</v>
      </c>
      <c r="S825" t="s">
        <v>13390</v>
      </c>
      <c r="T825" t="s">
        <v>13391</v>
      </c>
      <c r="U825" t="s">
        <v>13392</v>
      </c>
      <c r="V825" t="s">
        <v>13393</v>
      </c>
      <c r="W825" t="s">
        <v>13394</v>
      </c>
      <c r="X825" t="s">
        <v>13395</v>
      </c>
      <c r="Y825" t="s">
        <v>13396</v>
      </c>
    </row>
    <row r="826" spans="1:25" x14ac:dyDescent="0.3">
      <c r="A826">
        <v>41250</v>
      </c>
      <c r="B826" t="s">
        <v>13397</v>
      </c>
      <c r="C826" t="s">
        <v>13398</v>
      </c>
      <c r="D826" t="s">
        <v>13399</v>
      </c>
      <c r="E826" t="s">
        <v>13400</v>
      </c>
      <c r="F826" t="s">
        <v>13401</v>
      </c>
      <c r="G826" t="s">
        <v>13402</v>
      </c>
      <c r="H826" t="s">
        <v>13403</v>
      </c>
      <c r="I826" t="s">
        <v>13404</v>
      </c>
      <c r="J826" t="s">
        <v>13405</v>
      </c>
      <c r="K826" t="s">
        <v>13406</v>
      </c>
      <c r="L826" t="s">
        <v>13407</v>
      </c>
      <c r="M826" t="s">
        <v>13408</v>
      </c>
      <c r="N826" t="s">
        <v>13409</v>
      </c>
      <c r="O826" t="s">
        <v>13410</v>
      </c>
      <c r="P826" t="s">
        <v>13411</v>
      </c>
      <c r="Q826" t="s">
        <v>13412</v>
      </c>
      <c r="R826" t="s">
        <v>13413</v>
      </c>
      <c r="S826" t="s">
        <v>13414</v>
      </c>
      <c r="T826" t="s">
        <v>13415</v>
      </c>
      <c r="U826" t="s">
        <v>13416</v>
      </c>
      <c r="V826" t="s">
        <v>13417</v>
      </c>
      <c r="W826" t="s">
        <v>13418</v>
      </c>
      <c r="X826" t="s">
        <v>13419</v>
      </c>
      <c r="Y826" t="s">
        <v>13420</v>
      </c>
    </row>
    <row r="827" spans="1:25" x14ac:dyDescent="0.3">
      <c r="A827">
        <v>41300</v>
      </c>
      <c r="B827" t="s">
        <v>13421</v>
      </c>
      <c r="C827" t="s">
        <v>13422</v>
      </c>
      <c r="D827" t="s">
        <v>13423</v>
      </c>
      <c r="E827" t="s">
        <v>13424</v>
      </c>
      <c r="F827" t="s">
        <v>13425</v>
      </c>
      <c r="G827" t="s">
        <v>13426</v>
      </c>
      <c r="H827" t="s">
        <v>13427</v>
      </c>
      <c r="I827" t="s">
        <v>13428</v>
      </c>
      <c r="J827" t="s">
        <v>13429</v>
      </c>
      <c r="K827" t="s">
        <v>13430</v>
      </c>
      <c r="L827" t="s">
        <v>13431</v>
      </c>
      <c r="M827" t="s">
        <v>13432</v>
      </c>
      <c r="N827" t="s">
        <v>13433</v>
      </c>
      <c r="O827" t="s">
        <v>13434</v>
      </c>
      <c r="P827" t="s">
        <v>13435</v>
      </c>
      <c r="Q827" t="s">
        <v>13436</v>
      </c>
      <c r="R827" t="s">
        <v>13437</v>
      </c>
      <c r="S827" t="s">
        <v>13438</v>
      </c>
      <c r="T827" t="s">
        <v>13439</v>
      </c>
      <c r="U827" t="s">
        <v>13440</v>
      </c>
      <c r="V827" t="s">
        <v>13441</v>
      </c>
      <c r="W827" t="s">
        <v>13442</v>
      </c>
      <c r="X827" t="s">
        <v>13443</v>
      </c>
      <c r="Y827" t="s">
        <v>13444</v>
      </c>
    </row>
    <row r="828" spans="1:25" x14ac:dyDescent="0.3">
      <c r="A828">
        <v>41350</v>
      </c>
      <c r="B828" t="s">
        <v>13445</v>
      </c>
      <c r="C828" t="s">
        <v>13446</v>
      </c>
      <c r="D828" t="s">
        <v>13447</v>
      </c>
      <c r="E828" t="s">
        <v>13448</v>
      </c>
      <c r="F828" t="s">
        <v>13449</v>
      </c>
      <c r="G828" t="s">
        <v>13450</v>
      </c>
      <c r="H828" t="s">
        <v>13451</v>
      </c>
      <c r="I828" t="s">
        <v>13452</v>
      </c>
      <c r="J828" t="s">
        <v>13453</v>
      </c>
      <c r="K828" t="s">
        <v>13454</v>
      </c>
      <c r="L828" t="s">
        <v>13455</v>
      </c>
      <c r="M828" t="s">
        <v>13456</v>
      </c>
      <c r="N828" t="s">
        <v>13457</v>
      </c>
      <c r="O828" t="s">
        <v>13458</v>
      </c>
      <c r="P828" t="s">
        <v>13459</v>
      </c>
      <c r="Q828" t="s">
        <v>13460</v>
      </c>
      <c r="R828" t="s">
        <v>13461</v>
      </c>
      <c r="S828" t="s">
        <v>13462</v>
      </c>
      <c r="T828" t="s">
        <v>13463</v>
      </c>
      <c r="U828" t="s">
        <v>13464</v>
      </c>
      <c r="V828" t="s">
        <v>13465</v>
      </c>
      <c r="W828" t="s">
        <v>13466</v>
      </c>
      <c r="X828" t="s">
        <v>13467</v>
      </c>
      <c r="Y828" t="s">
        <v>13468</v>
      </c>
    </row>
    <row r="829" spans="1:25" x14ac:dyDescent="0.3">
      <c r="A829">
        <v>41400</v>
      </c>
      <c r="B829" t="s">
        <v>13469</v>
      </c>
      <c r="C829" t="s">
        <v>13470</v>
      </c>
      <c r="D829" t="s">
        <v>13471</v>
      </c>
      <c r="E829" t="s">
        <v>13472</v>
      </c>
      <c r="F829" t="s">
        <v>13473</v>
      </c>
      <c r="G829" t="s">
        <v>13474</v>
      </c>
      <c r="H829" t="s">
        <v>13475</v>
      </c>
      <c r="I829" t="s">
        <v>13476</v>
      </c>
      <c r="J829" t="s">
        <v>13477</v>
      </c>
      <c r="K829" t="s">
        <v>13478</v>
      </c>
      <c r="L829" t="s">
        <v>13479</v>
      </c>
      <c r="M829" t="s">
        <v>13480</v>
      </c>
      <c r="N829" t="s">
        <v>13481</v>
      </c>
      <c r="O829" t="s">
        <v>13482</v>
      </c>
      <c r="P829" t="s">
        <v>13483</v>
      </c>
      <c r="Q829" t="s">
        <v>13484</v>
      </c>
      <c r="R829" t="s">
        <v>13485</v>
      </c>
      <c r="S829" t="s">
        <v>13486</v>
      </c>
      <c r="T829" t="s">
        <v>13487</v>
      </c>
      <c r="U829" t="s">
        <v>13488</v>
      </c>
      <c r="V829" t="s">
        <v>13489</v>
      </c>
      <c r="W829" t="s">
        <v>13490</v>
      </c>
      <c r="X829" t="s">
        <v>13491</v>
      </c>
      <c r="Y829" t="s">
        <v>13492</v>
      </c>
    </row>
    <row r="830" spans="1:25" x14ac:dyDescent="0.3">
      <c r="A830">
        <v>41450</v>
      </c>
      <c r="B830" t="s">
        <v>13493</v>
      </c>
      <c r="C830" t="s">
        <v>13494</v>
      </c>
      <c r="D830" t="s">
        <v>13495</v>
      </c>
      <c r="E830" t="s">
        <v>13496</v>
      </c>
      <c r="F830" t="s">
        <v>13497</v>
      </c>
      <c r="G830" t="s">
        <v>13498</v>
      </c>
      <c r="H830" t="s">
        <v>13499</v>
      </c>
      <c r="I830" t="s">
        <v>13500</v>
      </c>
      <c r="J830" t="s">
        <v>13501</v>
      </c>
      <c r="K830" t="s">
        <v>13502</v>
      </c>
      <c r="L830" t="s">
        <v>13503</v>
      </c>
      <c r="M830" t="s">
        <v>13504</v>
      </c>
      <c r="N830" t="s">
        <v>13505</v>
      </c>
      <c r="O830" t="s">
        <v>13506</v>
      </c>
      <c r="P830" t="s">
        <v>13507</v>
      </c>
      <c r="Q830" t="s">
        <v>13508</v>
      </c>
      <c r="R830" t="s">
        <v>13509</v>
      </c>
      <c r="S830" t="s">
        <v>13510</v>
      </c>
      <c r="T830" t="s">
        <v>13511</v>
      </c>
      <c r="U830" t="s">
        <v>13512</v>
      </c>
      <c r="V830" t="s">
        <v>13513</v>
      </c>
      <c r="W830" t="s">
        <v>13514</v>
      </c>
      <c r="X830" t="s">
        <v>13515</v>
      </c>
      <c r="Y830" t="s">
        <v>13516</v>
      </c>
    </row>
    <row r="831" spans="1:25" x14ac:dyDescent="0.3">
      <c r="A831">
        <v>41500</v>
      </c>
      <c r="B831" t="s">
        <v>13517</v>
      </c>
      <c r="C831" t="s">
        <v>13518</v>
      </c>
      <c r="D831" t="s">
        <v>13519</v>
      </c>
      <c r="E831" t="s">
        <v>13520</v>
      </c>
      <c r="F831" t="s">
        <v>13521</v>
      </c>
      <c r="G831" t="s">
        <v>13522</v>
      </c>
      <c r="H831" t="s">
        <v>13523</v>
      </c>
      <c r="I831" t="s">
        <v>13524</v>
      </c>
      <c r="J831" t="s">
        <v>13525</v>
      </c>
      <c r="K831" t="s">
        <v>13526</v>
      </c>
      <c r="L831" t="s">
        <v>13527</v>
      </c>
      <c r="M831" t="s">
        <v>13528</v>
      </c>
      <c r="N831" t="s">
        <v>13529</v>
      </c>
      <c r="O831" t="s">
        <v>13530</v>
      </c>
      <c r="P831" t="s">
        <v>13531</v>
      </c>
      <c r="Q831" t="s">
        <v>13532</v>
      </c>
      <c r="R831" t="s">
        <v>13533</v>
      </c>
      <c r="S831" t="s">
        <v>13534</v>
      </c>
      <c r="T831" t="s">
        <v>13535</v>
      </c>
      <c r="U831" t="s">
        <v>13536</v>
      </c>
      <c r="V831" t="s">
        <v>13537</v>
      </c>
      <c r="W831" t="s">
        <v>13538</v>
      </c>
      <c r="X831" t="s">
        <v>13539</v>
      </c>
      <c r="Y831" t="s">
        <v>13540</v>
      </c>
    </row>
    <row r="832" spans="1:25" x14ac:dyDescent="0.3">
      <c r="A832">
        <v>41550</v>
      </c>
      <c r="B832" t="s">
        <v>13541</v>
      </c>
      <c r="C832" t="s">
        <v>13542</v>
      </c>
      <c r="D832" t="s">
        <v>13543</v>
      </c>
      <c r="E832" t="s">
        <v>13544</v>
      </c>
      <c r="F832" t="s">
        <v>13545</v>
      </c>
      <c r="G832" t="s">
        <v>13546</v>
      </c>
      <c r="H832" t="s">
        <v>13547</v>
      </c>
      <c r="I832" t="s">
        <v>13548</v>
      </c>
      <c r="J832" t="s">
        <v>13549</v>
      </c>
      <c r="K832" t="s">
        <v>13550</v>
      </c>
      <c r="L832" t="s">
        <v>13551</v>
      </c>
      <c r="M832" t="s">
        <v>13552</v>
      </c>
      <c r="N832" t="s">
        <v>13553</v>
      </c>
      <c r="O832" t="s">
        <v>13554</v>
      </c>
      <c r="P832" t="s">
        <v>13555</v>
      </c>
      <c r="Q832" t="s">
        <v>13556</v>
      </c>
      <c r="R832" t="s">
        <v>13557</v>
      </c>
      <c r="S832" t="s">
        <v>13558</v>
      </c>
      <c r="T832" t="s">
        <v>13559</v>
      </c>
      <c r="U832" t="s">
        <v>13560</v>
      </c>
      <c r="V832" t="s">
        <v>13561</v>
      </c>
      <c r="W832" t="s">
        <v>13562</v>
      </c>
      <c r="X832" t="s">
        <v>13563</v>
      </c>
      <c r="Y832" t="s">
        <v>13564</v>
      </c>
    </row>
    <row r="833" spans="1:25" x14ac:dyDescent="0.3">
      <c r="A833">
        <v>41600</v>
      </c>
      <c r="B833" t="s">
        <v>13565</v>
      </c>
      <c r="C833" t="s">
        <v>13566</v>
      </c>
      <c r="D833" t="s">
        <v>13567</v>
      </c>
      <c r="E833" t="s">
        <v>13568</v>
      </c>
      <c r="F833" t="s">
        <v>13569</v>
      </c>
      <c r="G833" t="s">
        <v>13570</v>
      </c>
      <c r="H833" t="s">
        <v>13571</v>
      </c>
      <c r="I833" t="s">
        <v>13572</v>
      </c>
      <c r="J833" t="s">
        <v>13573</v>
      </c>
      <c r="K833" t="s">
        <v>13574</v>
      </c>
      <c r="L833" t="s">
        <v>13575</v>
      </c>
      <c r="M833" t="s">
        <v>13576</v>
      </c>
      <c r="N833" t="s">
        <v>13577</v>
      </c>
      <c r="O833" t="s">
        <v>13578</v>
      </c>
      <c r="P833" t="s">
        <v>13579</v>
      </c>
      <c r="Q833" t="s">
        <v>13580</v>
      </c>
      <c r="R833" t="s">
        <v>13581</v>
      </c>
      <c r="S833" t="s">
        <v>13582</v>
      </c>
      <c r="T833" t="s">
        <v>13583</v>
      </c>
      <c r="U833" t="s">
        <v>13584</v>
      </c>
      <c r="V833" t="s">
        <v>13585</v>
      </c>
      <c r="W833" t="s">
        <v>13586</v>
      </c>
      <c r="X833" t="s">
        <v>13587</v>
      </c>
      <c r="Y833" t="s">
        <v>13588</v>
      </c>
    </row>
    <row r="834" spans="1:25" x14ac:dyDescent="0.3">
      <c r="A834">
        <v>41650</v>
      </c>
      <c r="B834" t="s">
        <v>13589</v>
      </c>
      <c r="C834" t="s">
        <v>13590</v>
      </c>
      <c r="D834" t="s">
        <v>13591</v>
      </c>
      <c r="E834" t="s">
        <v>13592</v>
      </c>
      <c r="F834" t="s">
        <v>13593</v>
      </c>
      <c r="G834" t="s">
        <v>13594</v>
      </c>
      <c r="H834" t="s">
        <v>13595</v>
      </c>
      <c r="I834" t="s">
        <v>13596</v>
      </c>
      <c r="J834" t="s">
        <v>13597</v>
      </c>
      <c r="K834" t="s">
        <v>13598</v>
      </c>
      <c r="L834" t="s">
        <v>13599</v>
      </c>
      <c r="M834" t="s">
        <v>13600</v>
      </c>
      <c r="N834" t="s">
        <v>13601</v>
      </c>
      <c r="O834" t="s">
        <v>13602</v>
      </c>
      <c r="P834" t="s">
        <v>13603</v>
      </c>
      <c r="Q834" t="s">
        <v>13604</v>
      </c>
      <c r="R834" t="s">
        <v>13605</v>
      </c>
      <c r="S834" t="s">
        <v>13606</v>
      </c>
      <c r="T834" t="s">
        <v>13607</v>
      </c>
      <c r="U834" t="s">
        <v>13608</v>
      </c>
      <c r="V834" t="s">
        <v>13609</v>
      </c>
      <c r="W834" t="s">
        <v>13610</v>
      </c>
      <c r="X834" t="s">
        <v>13611</v>
      </c>
      <c r="Y834" t="s">
        <v>13612</v>
      </c>
    </row>
    <row r="835" spans="1:25" x14ac:dyDescent="0.3">
      <c r="A835">
        <v>41700</v>
      </c>
      <c r="B835" t="s">
        <v>13613</v>
      </c>
      <c r="C835" t="s">
        <v>13614</v>
      </c>
      <c r="D835" t="s">
        <v>13615</v>
      </c>
      <c r="E835" t="s">
        <v>13616</v>
      </c>
      <c r="F835" t="s">
        <v>13617</v>
      </c>
      <c r="G835" t="s">
        <v>13618</v>
      </c>
      <c r="H835" t="s">
        <v>13619</v>
      </c>
      <c r="I835" t="s">
        <v>13620</v>
      </c>
      <c r="J835" t="s">
        <v>13621</v>
      </c>
      <c r="K835" t="s">
        <v>13622</v>
      </c>
      <c r="L835" t="s">
        <v>13623</v>
      </c>
      <c r="M835" t="s">
        <v>13624</v>
      </c>
      <c r="N835" t="s">
        <v>13625</v>
      </c>
      <c r="O835" t="s">
        <v>13626</v>
      </c>
      <c r="P835" t="s">
        <v>13627</v>
      </c>
      <c r="Q835" t="s">
        <v>13628</v>
      </c>
      <c r="R835" t="s">
        <v>13629</v>
      </c>
      <c r="S835" t="s">
        <v>13630</v>
      </c>
      <c r="T835" t="s">
        <v>13631</v>
      </c>
      <c r="U835" t="s">
        <v>13632</v>
      </c>
      <c r="V835" t="s">
        <v>13633</v>
      </c>
      <c r="W835" t="s">
        <v>13634</v>
      </c>
      <c r="X835" t="s">
        <v>13635</v>
      </c>
      <c r="Y835" t="s">
        <v>13636</v>
      </c>
    </row>
    <row r="836" spans="1:25" x14ac:dyDescent="0.3">
      <c r="A836">
        <v>41750</v>
      </c>
      <c r="B836" t="s">
        <v>13637</v>
      </c>
      <c r="C836" t="s">
        <v>13638</v>
      </c>
      <c r="D836" t="s">
        <v>13639</v>
      </c>
      <c r="E836" t="s">
        <v>13640</v>
      </c>
      <c r="F836" t="s">
        <v>13641</v>
      </c>
      <c r="G836" t="s">
        <v>13642</v>
      </c>
      <c r="H836" t="s">
        <v>13643</v>
      </c>
      <c r="I836" t="s">
        <v>13644</v>
      </c>
      <c r="J836" t="s">
        <v>13645</v>
      </c>
      <c r="K836" t="s">
        <v>13646</v>
      </c>
      <c r="L836" t="s">
        <v>13647</v>
      </c>
      <c r="M836" t="s">
        <v>13648</v>
      </c>
      <c r="N836" t="s">
        <v>13649</v>
      </c>
      <c r="O836" t="s">
        <v>13650</v>
      </c>
      <c r="P836" t="s">
        <v>13651</v>
      </c>
      <c r="Q836" t="s">
        <v>13652</v>
      </c>
      <c r="R836" t="s">
        <v>13653</v>
      </c>
      <c r="S836" t="s">
        <v>13654</v>
      </c>
      <c r="T836" t="s">
        <v>13655</v>
      </c>
      <c r="U836" t="s">
        <v>13656</v>
      </c>
      <c r="V836" t="s">
        <v>13657</v>
      </c>
      <c r="W836" t="s">
        <v>13658</v>
      </c>
      <c r="X836" t="s">
        <v>13659</v>
      </c>
      <c r="Y836" t="s">
        <v>13660</v>
      </c>
    </row>
    <row r="837" spans="1:25" x14ac:dyDescent="0.3">
      <c r="A837">
        <v>41800</v>
      </c>
      <c r="B837" t="s">
        <v>13661</v>
      </c>
      <c r="C837" t="s">
        <v>13662</v>
      </c>
      <c r="D837" t="s">
        <v>13663</v>
      </c>
      <c r="E837" t="s">
        <v>13664</v>
      </c>
      <c r="F837" t="s">
        <v>13665</v>
      </c>
      <c r="G837" t="s">
        <v>13666</v>
      </c>
      <c r="H837" t="s">
        <v>13667</v>
      </c>
      <c r="I837" t="s">
        <v>13668</v>
      </c>
      <c r="J837" t="s">
        <v>13669</v>
      </c>
      <c r="K837" t="s">
        <v>13670</v>
      </c>
      <c r="L837" t="s">
        <v>13671</v>
      </c>
      <c r="M837" t="s">
        <v>13672</v>
      </c>
      <c r="N837" t="s">
        <v>13673</v>
      </c>
      <c r="O837" t="s">
        <v>13674</v>
      </c>
      <c r="P837" t="s">
        <v>13675</v>
      </c>
      <c r="Q837" t="s">
        <v>13676</v>
      </c>
      <c r="R837" t="s">
        <v>13677</v>
      </c>
      <c r="S837" t="s">
        <v>13678</v>
      </c>
      <c r="T837" t="s">
        <v>13679</v>
      </c>
      <c r="U837" t="s">
        <v>13680</v>
      </c>
      <c r="V837" t="s">
        <v>13681</v>
      </c>
      <c r="W837" t="s">
        <v>13682</v>
      </c>
      <c r="X837" t="s">
        <v>13683</v>
      </c>
      <c r="Y837" t="s">
        <v>13684</v>
      </c>
    </row>
    <row r="838" spans="1:25" x14ac:dyDescent="0.3">
      <c r="A838">
        <v>41850</v>
      </c>
      <c r="B838" t="s">
        <v>13685</v>
      </c>
      <c r="C838" t="s">
        <v>13686</v>
      </c>
      <c r="D838" t="s">
        <v>13687</v>
      </c>
      <c r="E838" t="s">
        <v>13688</v>
      </c>
      <c r="F838" t="s">
        <v>13689</v>
      </c>
      <c r="G838" t="s">
        <v>13690</v>
      </c>
      <c r="H838" t="s">
        <v>13691</v>
      </c>
      <c r="I838" t="s">
        <v>13692</v>
      </c>
      <c r="J838" t="s">
        <v>13693</v>
      </c>
      <c r="K838" t="s">
        <v>13694</v>
      </c>
      <c r="L838" t="s">
        <v>13695</v>
      </c>
      <c r="M838" t="s">
        <v>13696</v>
      </c>
      <c r="N838" t="s">
        <v>13697</v>
      </c>
      <c r="O838" t="s">
        <v>13698</v>
      </c>
      <c r="P838" t="s">
        <v>13699</v>
      </c>
      <c r="Q838" t="s">
        <v>13700</v>
      </c>
      <c r="R838" t="s">
        <v>13701</v>
      </c>
      <c r="S838" t="s">
        <v>13702</v>
      </c>
      <c r="T838" t="s">
        <v>13703</v>
      </c>
      <c r="U838" t="s">
        <v>13704</v>
      </c>
      <c r="V838" t="s">
        <v>13705</v>
      </c>
      <c r="W838" t="s">
        <v>13706</v>
      </c>
      <c r="X838" t="s">
        <v>13707</v>
      </c>
      <c r="Y838" t="s">
        <v>13708</v>
      </c>
    </row>
    <row r="839" spans="1:25" x14ac:dyDescent="0.3">
      <c r="A839">
        <v>41900</v>
      </c>
      <c r="B839" t="s">
        <v>13709</v>
      </c>
      <c r="C839" t="s">
        <v>13710</v>
      </c>
      <c r="D839" t="s">
        <v>13711</v>
      </c>
      <c r="E839" t="s">
        <v>13712</v>
      </c>
      <c r="F839" t="s">
        <v>13713</v>
      </c>
      <c r="G839" t="s">
        <v>13714</v>
      </c>
      <c r="H839" t="s">
        <v>13715</v>
      </c>
      <c r="I839" t="s">
        <v>13716</v>
      </c>
      <c r="J839" t="s">
        <v>13717</v>
      </c>
      <c r="K839" t="s">
        <v>13718</v>
      </c>
      <c r="L839" t="s">
        <v>13719</v>
      </c>
      <c r="M839" t="s">
        <v>13720</v>
      </c>
      <c r="N839" t="s">
        <v>13721</v>
      </c>
      <c r="O839" t="s">
        <v>13722</v>
      </c>
      <c r="P839" t="s">
        <v>13723</v>
      </c>
      <c r="Q839" t="s">
        <v>13724</v>
      </c>
      <c r="R839" t="s">
        <v>13725</v>
      </c>
      <c r="S839" t="s">
        <v>13726</v>
      </c>
      <c r="T839" t="s">
        <v>13727</v>
      </c>
      <c r="U839" t="s">
        <v>13728</v>
      </c>
      <c r="V839" t="s">
        <v>13729</v>
      </c>
      <c r="W839" t="s">
        <v>13730</v>
      </c>
      <c r="X839" t="s">
        <v>13731</v>
      </c>
      <c r="Y839" t="s">
        <v>13732</v>
      </c>
    </row>
    <row r="840" spans="1:25" x14ac:dyDescent="0.3">
      <c r="A840">
        <v>41950</v>
      </c>
      <c r="B840" t="s">
        <v>13733</v>
      </c>
      <c r="C840" t="s">
        <v>13734</v>
      </c>
      <c r="D840" t="s">
        <v>13735</v>
      </c>
      <c r="E840" t="s">
        <v>13736</v>
      </c>
      <c r="F840" t="s">
        <v>13737</v>
      </c>
      <c r="G840" t="s">
        <v>13738</v>
      </c>
      <c r="H840" t="s">
        <v>13739</v>
      </c>
      <c r="I840" t="s">
        <v>13740</v>
      </c>
      <c r="J840" t="s">
        <v>13741</v>
      </c>
      <c r="K840" t="s">
        <v>13742</v>
      </c>
      <c r="L840" t="s">
        <v>13743</v>
      </c>
      <c r="M840" t="s">
        <v>13744</v>
      </c>
      <c r="N840" t="s">
        <v>13745</v>
      </c>
      <c r="O840" t="s">
        <v>13746</v>
      </c>
      <c r="P840" t="s">
        <v>13747</v>
      </c>
      <c r="Q840" t="s">
        <v>13748</v>
      </c>
      <c r="R840" t="s">
        <v>13749</v>
      </c>
      <c r="S840" t="s">
        <v>13750</v>
      </c>
      <c r="T840" t="s">
        <v>13751</v>
      </c>
      <c r="U840" t="s">
        <v>13752</v>
      </c>
      <c r="V840" t="s">
        <v>13753</v>
      </c>
      <c r="W840" t="s">
        <v>13754</v>
      </c>
      <c r="X840" t="s">
        <v>13755</v>
      </c>
      <c r="Y840" t="s">
        <v>13756</v>
      </c>
    </row>
    <row r="841" spans="1:25" x14ac:dyDescent="0.3">
      <c r="A841">
        <v>42000</v>
      </c>
      <c r="B841" t="s">
        <v>13757</v>
      </c>
      <c r="C841" t="s">
        <v>13758</v>
      </c>
      <c r="D841" t="s">
        <v>13759</v>
      </c>
      <c r="E841" t="s">
        <v>13760</v>
      </c>
      <c r="F841" t="s">
        <v>13761</v>
      </c>
      <c r="G841" t="s">
        <v>13762</v>
      </c>
      <c r="H841" t="s">
        <v>13763</v>
      </c>
      <c r="I841" t="s">
        <v>13764</v>
      </c>
      <c r="J841" t="s">
        <v>13765</v>
      </c>
      <c r="K841" t="s">
        <v>13766</v>
      </c>
      <c r="L841" t="s">
        <v>13767</v>
      </c>
      <c r="M841" t="s">
        <v>13768</v>
      </c>
      <c r="N841" t="s">
        <v>13769</v>
      </c>
      <c r="O841" t="s">
        <v>13770</v>
      </c>
      <c r="P841" t="s">
        <v>13771</v>
      </c>
      <c r="Q841" t="s">
        <v>13772</v>
      </c>
      <c r="R841" t="s">
        <v>13773</v>
      </c>
      <c r="S841" t="s">
        <v>13774</v>
      </c>
      <c r="T841" t="s">
        <v>13775</v>
      </c>
      <c r="U841" t="s">
        <v>13776</v>
      </c>
      <c r="V841" t="s">
        <v>13777</v>
      </c>
      <c r="W841" t="s">
        <v>13778</v>
      </c>
      <c r="X841" t="s">
        <v>13779</v>
      </c>
      <c r="Y841" t="s">
        <v>13780</v>
      </c>
    </row>
    <row r="842" spans="1:25" x14ac:dyDescent="0.3">
      <c r="A842">
        <v>42050</v>
      </c>
      <c r="B842" t="s">
        <v>13781</v>
      </c>
      <c r="C842" t="s">
        <v>13782</v>
      </c>
      <c r="D842" t="s">
        <v>13783</v>
      </c>
      <c r="E842" t="s">
        <v>13784</v>
      </c>
      <c r="F842" t="s">
        <v>13785</v>
      </c>
      <c r="G842" t="s">
        <v>13786</v>
      </c>
      <c r="H842" t="s">
        <v>13787</v>
      </c>
      <c r="I842" t="s">
        <v>13788</v>
      </c>
      <c r="J842" t="s">
        <v>13789</v>
      </c>
      <c r="K842" t="s">
        <v>13790</v>
      </c>
      <c r="L842" t="s">
        <v>13791</v>
      </c>
      <c r="M842" t="s">
        <v>13792</v>
      </c>
      <c r="N842" t="s">
        <v>13793</v>
      </c>
      <c r="O842" t="s">
        <v>13794</v>
      </c>
      <c r="P842" t="s">
        <v>13795</v>
      </c>
      <c r="Q842" t="s">
        <v>13796</v>
      </c>
      <c r="R842" t="s">
        <v>13797</v>
      </c>
      <c r="S842" t="s">
        <v>13798</v>
      </c>
      <c r="T842" t="s">
        <v>13799</v>
      </c>
      <c r="U842" t="s">
        <v>13800</v>
      </c>
      <c r="V842" t="s">
        <v>13801</v>
      </c>
      <c r="W842" t="s">
        <v>13802</v>
      </c>
      <c r="X842" t="s">
        <v>13803</v>
      </c>
      <c r="Y842" t="s">
        <v>13804</v>
      </c>
    </row>
    <row r="843" spans="1:25" x14ac:dyDescent="0.3">
      <c r="A843">
        <v>42100</v>
      </c>
      <c r="B843" t="s">
        <v>13805</v>
      </c>
      <c r="C843" t="s">
        <v>13806</v>
      </c>
      <c r="D843" t="s">
        <v>13807</v>
      </c>
      <c r="E843" t="s">
        <v>13808</v>
      </c>
      <c r="F843" t="s">
        <v>13809</v>
      </c>
      <c r="G843" t="s">
        <v>13810</v>
      </c>
      <c r="H843" t="s">
        <v>13811</v>
      </c>
      <c r="I843" t="s">
        <v>13812</v>
      </c>
      <c r="J843" t="s">
        <v>13813</v>
      </c>
      <c r="K843" t="s">
        <v>13814</v>
      </c>
      <c r="L843" t="s">
        <v>13815</v>
      </c>
      <c r="M843" t="s">
        <v>13816</v>
      </c>
      <c r="N843" t="s">
        <v>13817</v>
      </c>
      <c r="O843" t="s">
        <v>13818</v>
      </c>
      <c r="P843" t="s">
        <v>13819</v>
      </c>
      <c r="Q843" t="s">
        <v>13820</v>
      </c>
      <c r="R843" t="s">
        <v>13821</v>
      </c>
      <c r="S843" t="s">
        <v>13822</v>
      </c>
      <c r="T843" t="s">
        <v>13823</v>
      </c>
      <c r="U843" t="s">
        <v>13824</v>
      </c>
      <c r="V843" t="s">
        <v>13825</v>
      </c>
      <c r="W843" t="s">
        <v>13826</v>
      </c>
      <c r="X843" t="s">
        <v>13827</v>
      </c>
      <c r="Y843" t="s">
        <v>13828</v>
      </c>
    </row>
    <row r="844" spans="1:25" x14ac:dyDescent="0.3">
      <c r="A844">
        <v>42150</v>
      </c>
      <c r="B844" t="s">
        <v>13829</v>
      </c>
      <c r="C844" t="s">
        <v>13830</v>
      </c>
      <c r="D844" t="s">
        <v>13831</v>
      </c>
      <c r="E844" t="s">
        <v>13832</v>
      </c>
      <c r="F844" t="s">
        <v>13833</v>
      </c>
      <c r="G844" t="s">
        <v>13834</v>
      </c>
      <c r="H844" t="s">
        <v>13835</v>
      </c>
      <c r="I844" t="s">
        <v>13836</v>
      </c>
      <c r="J844" t="s">
        <v>13837</v>
      </c>
      <c r="K844" t="s">
        <v>13838</v>
      </c>
      <c r="L844" t="s">
        <v>13839</v>
      </c>
      <c r="M844" t="s">
        <v>13840</v>
      </c>
      <c r="N844" t="s">
        <v>13841</v>
      </c>
      <c r="O844" t="s">
        <v>13842</v>
      </c>
      <c r="P844" t="s">
        <v>13843</v>
      </c>
      <c r="Q844" t="s">
        <v>13844</v>
      </c>
      <c r="R844" t="s">
        <v>13845</v>
      </c>
      <c r="S844" t="s">
        <v>13846</v>
      </c>
      <c r="T844" t="s">
        <v>13847</v>
      </c>
      <c r="U844" t="s">
        <v>13848</v>
      </c>
      <c r="V844" t="s">
        <v>13849</v>
      </c>
      <c r="W844" t="s">
        <v>13850</v>
      </c>
      <c r="X844" t="s">
        <v>13851</v>
      </c>
      <c r="Y844" t="s">
        <v>13852</v>
      </c>
    </row>
    <row r="845" spans="1:25" x14ac:dyDescent="0.3">
      <c r="A845">
        <v>42200</v>
      </c>
      <c r="B845" t="s">
        <v>13853</v>
      </c>
      <c r="C845" t="s">
        <v>13854</v>
      </c>
      <c r="D845" t="s">
        <v>13855</v>
      </c>
      <c r="E845" t="s">
        <v>13856</v>
      </c>
      <c r="F845" t="s">
        <v>13857</v>
      </c>
      <c r="G845" t="s">
        <v>13858</v>
      </c>
      <c r="H845" t="s">
        <v>13859</v>
      </c>
      <c r="I845" t="s">
        <v>13860</v>
      </c>
      <c r="J845" t="s">
        <v>13861</v>
      </c>
      <c r="K845" t="s">
        <v>13862</v>
      </c>
      <c r="L845" t="s">
        <v>13863</v>
      </c>
      <c r="M845" t="s">
        <v>13864</v>
      </c>
      <c r="N845" t="s">
        <v>13865</v>
      </c>
      <c r="O845" t="s">
        <v>13866</v>
      </c>
      <c r="P845" t="s">
        <v>13867</v>
      </c>
      <c r="Q845" t="s">
        <v>13868</v>
      </c>
      <c r="R845" t="s">
        <v>13869</v>
      </c>
      <c r="S845" t="s">
        <v>13870</v>
      </c>
      <c r="T845" t="s">
        <v>13871</v>
      </c>
      <c r="U845" t="s">
        <v>13872</v>
      </c>
      <c r="V845" t="s">
        <v>13873</v>
      </c>
      <c r="W845" t="s">
        <v>13874</v>
      </c>
      <c r="X845" t="s">
        <v>13875</v>
      </c>
      <c r="Y845" t="s">
        <v>13876</v>
      </c>
    </row>
    <row r="846" spans="1:25" x14ac:dyDescent="0.3">
      <c r="A846">
        <v>42250</v>
      </c>
      <c r="B846" t="s">
        <v>13877</v>
      </c>
      <c r="C846" t="s">
        <v>13878</v>
      </c>
      <c r="D846" t="s">
        <v>13879</v>
      </c>
      <c r="E846" t="s">
        <v>13880</v>
      </c>
      <c r="F846" t="s">
        <v>13881</v>
      </c>
      <c r="G846" t="s">
        <v>13882</v>
      </c>
      <c r="H846" t="s">
        <v>13883</v>
      </c>
      <c r="I846" t="s">
        <v>13884</v>
      </c>
      <c r="J846" t="s">
        <v>13885</v>
      </c>
      <c r="K846" t="s">
        <v>13886</v>
      </c>
      <c r="L846" t="s">
        <v>13887</v>
      </c>
      <c r="M846" t="s">
        <v>13888</v>
      </c>
      <c r="N846" t="s">
        <v>13889</v>
      </c>
      <c r="O846" t="s">
        <v>13890</v>
      </c>
      <c r="P846" t="s">
        <v>13891</v>
      </c>
      <c r="Q846">
        <f>-674.44059645791 -10.2576856770397 -471.841497464927</f>
        <v>-1156.5397795998767</v>
      </c>
      <c r="R846" t="s">
        <v>13892</v>
      </c>
      <c r="S846" t="s">
        <v>13893</v>
      </c>
      <c r="T846" t="s">
        <v>13894</v>
      </c>
      <c r="U846" t="s">
        <v>13895</v>
      </c>
      <c r="V846" t="s">
        <v>13896</v>
      </c>
      <c r="W846" t="s">
        <v>13897</v>
      </c>
      <c r="X846" t="s">
        <v>13898</v>
      </c>
      <c r="Y846" t="s">
        <v>13899</v>
      </c>
    </row>
    <row r="847" spans="1:25" x14ac:dyDescent="0.3">
      <c r="A847">
        <v>42300</v>
      </c>
      <c r="B847" t="s">
        <v>13900</v>
      </c>
      <c r="C847" t="s">
        <v>13901</v>
      </c>
      <c r="D847" t="s">
        <v>13902</v>
      </c>
      <c r="E847" t="s">
        <v>13903</v>
      </c>
      <c r="F847" t="s">
        <v>13904</v>
      </c>
      <c r="G847" t="s">
        <v>13905</v>
      </c>
      <c r="H847" t="s">
        <v>13906</v>
      </c>
      <c r="I847" t="s">
        <v>13907</v>
      </c>
      <c r="J847" t="s">
        <v>13908</v>
      </c>
      <c r="K847" t="s">
        <v>13909</v>
      </c>
      <c r="L847" t="s">
        <v>13910</v>
      </c>
      <c r="M847" t="s">
        <v>13911</v>
      </c>
      <c r="N847" t="s">
        <v>13912</v>
      </c>
      <c r="O847">
        <f>-1074.62801392836 -9.91363178229562 -617.128886269535</f>
        <v>-1701.6705319801904</v>
      </c>
      <c r="P847" t="s">
        <v>13913</v>
      </c>
      <c r="Q847">
        <f>-678.80722755642 -23.9229472310531 -463.824559466527</f>
        <v>-1166.5547342540001</v>
      </c>
      <c r="R847" t="s">
        <v>13914</v>
      </c>
      <c r="S847" t="s">
        <v>13915</v>
      </c>
      <c r="T847" t="s">
        <v>13916</v>
      </c>
      <c r="U847" t="s">
        <v>13917</v>
      </c>
      <c r="V847" t="s">
        <v>13918</v>
      </c>
      <c r="W847" t="s">
        <v>13919</v>
      </c>
      <c r="X847" t="s">
        <v>13920</v>
      </c>
      <c r="Y847" t="s">
        <v>13921</v>
      </c>
    </row>
    <row r="848" spans="1:25" x14ac:dyDescent="0.3">
      <c r="A848">
        <v>42350</v>
      </c>
      <c r="B848" t="s">
        <v>13922</v>
      </c>
      <c r="C848" t="s">
        <v>13923</v>
      </c>
      <c r="D848" t="s">
        <v>13924</v>
      </c>
      <c r="E848" t="s">
        <v>13925</v>
      </c>
      <c r="F848" t="s">
        <v>13926</v>
      </c>
      <c r="G848" t="s">
        <v>13927</v>
      </c>
      <c r="H848" t="s">
        <v>13928</v>
      </c>
      <c r="I848" t="s">
        <v>13929</v>
      </c>
      <c r="J848" t="s">
        <v>13930</v>
      </c>
      <c r="K848" t="s">
        <v>13931</v>
      </c>
      <c r="L848" t="s">
        <v>13932</v>
      </c>
      <c r="M848" t="s">
        <v>13933</v>
      </c>
      <c r="N848" t="s">
        <v>13934</v>
      </c>
      <c r="O848">
        <f>-1097.1610837289 -60.0636461347992 -602.559472994472</f>
        <v>-1759.7842028581713</v>
      </c>
      <c r="P848">
        <f>-923.642429912276 -16.4193336035778 -341.460623767704</f>
        <v>-1281.5223872835579</v>
      </c>
      <c r="Q848">
        <f>-688.414968459465 -44.1884671216974 -448.880236396509</f>
        <v>-1181.4836719776713</v>
      </c>
      <c r="R848" t="s">
        <v>13935</v>
      </c>
      <c r="S848" t="s">
        <v>13936</v>
      </c>
      <c r="T848" t="s">
        <v>13937</v>
      </c>
      <c r="U848" t="s">
        <v>13938</v>
      </c>
      <c r="V848" t="s">
        <v>13939</v>
      </c>
      <c r="W848" t="s">
        <v>13940</v>
      </c>
      <c r="X848" t="s">
        <v>13941</v>
      </c>
      <c r="Y848" t="s">
        <v>13942</v>
      </c>
    </row>
    <row r="849" spans="1:25" x14ac:dyDescent="0.3">
      <c r="A849">
        <v>42400</v>
      </c>
      <c r="B849" t="s">
        <v>13943</v>
      </c>
      <c r="C849" t="s">
        <v>13944</v>
      </c>
      <c r="D849" t="s">
        <v>13945</v>
      </c>
      <c r="E849" t="s">
        <v>13946</v>
      </c>
      <c r="F849" t="s">
        <v>13947</v>
      </c>
      <c r="G849" t="s">
        <v>13948</v>
      </c>
      <c r="H849" t="s">
        <v>13949</v>
      </c>
      <c r="I849" t="s">
        <v>13950</v>
      </c>
      <c r="J849" t="s">
        <v>13951</v>
      </c>
      <c r="K849" t="s">
        <v>13952</v>
      </c>
      <c r="L849" t="s">
        <v>13953</v>
      </c>
      <c r="M849" t="s">
        <v>13954</v>
      </c>
      <c r="N849" t="s">
        <v>13955</v>
      </c>
      <c r="O849">
        <f>-1101.84743947512 -84.9050565047871 -592.719901247351</f>
        <v>-1779.4723972272582</v>
      </c>
      <c r="P849">
        <f>-928.533877947806 -32.6590397417542 -333.06828726375</f>
        <v>-1294.2612049533102</v>
      </c>
      <c r="Q849">
        <f>-691.899769919573 -54.007993969228 -438.853856274172</f>
        <v>-1184.761620162973</v>
      </c>
      <c r="R849" t="s">
        <v>13956</v>
      </c>
      <c r="S849" t="s">
        <v>13957</v>
      </c>
      <c r="T849" t="s">
        <v>13958</v>
      </c>
      <c r="U849" t="s">
        <v>13959</v>
      </c>
      <c r="V849" t="s">
        <v>13960</v>
      </c>
      <c r="W849" t="s">
        <v>13961</v>
      </c>
      <c r="X849" t="s">
        <v>13962</v>
      </c>
      <c r="Y849" t="s">
        <v>13963</v>
      </c>
    </row>
    <row r="850" spans="1:25" x14ac:dyDescent="0.3">
      <c r="A850">
        <v>42450</v>
      </c>
      <c r="B850" t="s">
        <v>13964</v>
      </c>
      <c r="C850" t="s">
        <v>13965</v>
      </c>
      <c r="D850" t="s">
        <v>13966</v>
      </c>
      <c r="E850" t="s">
        <v>13967</v>
      </c>
      <c r="F850" t="s">
        <v>13968</v>
      </c>
      <c r="G850" t="s">
        <v>13969</v>
      </c>
      <c r="H850">
        <f>-1104.63932601112 -5.09580524462558 -722.301781562777</f>
        <v>-1832.0369128185225</v>
      </c>
      <c r="I850">
        <f>-1110.1261134312 -35.4593535557478 -819.414799953149</f>
        <v>-1965.0002669400969</v>
      </c>
      <c r="J850" t="s">
        <v>13970</v>
      </c>
      <c r="K850" t="s">
        <v>13971</v>
      </c>
      <c r="L850" t="s">
        <v>13972</v>
      </c>
      <c r="M850" t="s">
        <v>13973</v>
      </c>
      <c r="N850">
        <f>-1088.88097187967 -10.3358805452237 -649.657963407298</f>
        <v>-1748.8748158321916</v>
      </c>
      <c r="O850">
        <f>-1100.36660574997 -136.227036408661 -574.584209531273</f>
        <v>-1811.1778516899039</v>
      </c>
      <c r="P850">
        <f>-931.097748977332 -63.251240180643 -317.273481243323</f>
        <v>-1311.622470401298</v>
      </c>
      <c r="Q850">
        <f>-693.120244173989 -81.2127845257271 -420.64744008797</f>
        <v>-1194.980468787686</v>
      </c>
      <c r="R850" t="s">
        <v>13974</v>
      </c>
      <c r="S850" t="s">
        <v>13975</v>
      </c>
      <c r="T850" t="s">
        <v>13976</v>
      </c>
      <c r="U850" t="s">
        <v>13977</v>
      </c>
      <c r="V850" t="s">
        <v>13978</v>
      </c>
      <c r="W850" t="s">
        <v>13979</v>
      </c>
      <c r="X850" t="s">
        <v>13980</v>
      </c>
      <c r="Y850" t="s">
        <v>13981</v>
      </c>
    </row>
    <row r="851" spans="1:25" x14ac:dyDescent="0.3">
      <c r="A851">
        <v>42500</v>
      </c>
      <c r="B851" t="s">
        <v>13982</v>
      </c>
      <c r="C851" t="s">
        <v>13983</v>
      </c>
      <c r="D851" t="s">
        <v>13984</v>
      </c>
      <c r="E851" t="s">
        <v>13985</v>
      </c>
      <c r="F851" t="s">
        <v>13986</v>
      </c>
      <c r="G851" t="s">
        <v>13987</v>
      </c>
      <c r="H851">
        <f>-1102.59405585351 -32.7433010941011 -718.726010963998</f>
        <v>-1854.063367911609</v>
      </c>
      <c r="I851">
        <f>-1106.5593589028 -65.6613119391541 -815.077808690867</f>
        <v>-1987.2984795328211</v>
      </c>
      <c r="J851" t="s">
        <v>13988</v>
      </c>
      <c r="K851" t="s">
        <v>13989</v>
      </c>
      <c r="L851" t="s">
        <v>13990</v>
      </c>
      <c r="M851" t="s">
        <v>13991</v>
      </c>
      <c r="N851">
        <f>-1087.52524189443 -35.6676116501712 -645.806124064897</f>
        <v>-1768.9989776094983</v>
      </c>
      <c r="O851">
        <f>-1096.23247185156 -159.699016948336 -567.378274713555</f>
        <v>-1823.3097635134509</v>
      </c>
      <c r="P851">
        <f>-930.493108910368 -75.8056913591383 -311.100094791978</f>
        <v>-1317.3988950614844</v>
      </c>
      <c r="Q851">
        <f>-692.793210463514 -95.4633853453311 -414.803418757741</f>
        <v>-1203.060014566586</v>
      </c>
      <c r="R851" t="s">
        <v>13992</v>
      </c>
      <c r="S851" t="s">
        <v>13993</v>
      </c>
      <c r="T851" t="s">
        <v>13994</v>
      </c>
      <c r="U851" t="s">
        <v>13995</v>
      </c>
      <c r="V851" t="s">
        <v>13996</v>
      </c>
      <c r="W851" t="s">
        <v>13997</v>
      </c>
      <c r="X851" t="s">
        <v>13998</v>
      </c>
      <c r="Y851" t="s">
        <v>13999</v>
      </c>
    </row>
    <row r="852" spans="1:25" x14ac:dyDescent="0.3">
      <c r="A852">
        <v>42550</v>
      </c>
      <c r="B852" t="s">
        <v>14000</v>
      </c>
      <c r="C852" t="s">
        <v>14001</v>
      </c>
      <c r="D852" t="s">
        <v>14002</v>
      </c>
      <c r="E852" t="s">
        <v>14003</v>
      </c>
      <c r="F852" t="s">
        <v>14004</v>
      </c>
      <c r="G852">
        <f>-1050.73923455952 -14.1659184017981 -584.195725727726</f>
        <v>-1649.1008786890438</v>
      </c>
      <c r="H852">
        <f>-1083.90409528048 -82.2936754071966 -716.327080881257</f>
        <v>-1882.5248515689336</v>
      </c>
      <c r="I852">
        <f>-1082.06312002546 -120.882693389201 -810.616392953746</f>
        <v>-2013.5622063684068</v>
      </c>
      <c r="J852">
        <f>-1066.17131751711 -24.3408909914779 -672.96884138204</f>
        <v>-1763.4810498906279</v>
      </c>
      <c r="K852" t="s">
        <v>14005</v>
      </c>
      <c r="L852" t="s">
        <v>14006</v>
      </c>
      <c r="M852" t="s">
        <v>14007</v>
      </c>
      <c r="N852">
        <f>-1072.28805614371 -79.9577417883847 -642.757136276106</f>
        <v>-1795.0029342082007</v>
      </c>
      <c r="O852">
        <f>-1078.08338312255 -198.756698283979 -556.566413316227</f>
        <v>-1833.406494722756</v>
      </c>
      <c r="P852">
        <f>-918.85140370701 -99.3754713662993 -301.704129020588</f>
        <v>-1319.9310040938974</v>
      </c>
      <c r="Q852">
        <f>-682.689597474813 -123.969098878434 -407.839946234615</f>
        <v>-1214.4986425878619</v>
      </c>
      <c r="R852" t="s">
        <v>14008</v>
      </c>
      <c r="S852" t="s">
        <v>14009</v>
      </c>
      <c r="T852" t="s">
        <v>14010</v>
      </c>
      <c r="U852" t="s">
        <v>14011</v>
      </c>
      <c r="V852">
        <f>-963.616193374313 -11.5695938348672 -147.312371642215</f>
        <v>-1122.4981588513951</v>
      </c>
      <c r="W852" t="s">
        <v>14012</v>
      </c>
      <c r="X852" t="s">
        <v>14013</v>
      </c>
      <c r="Y852" t="s">
        <v>14014</v>
      </c>
    </row>
    <row r="853" spans="1:25" x14ac:dyDescent="0.3">
      <c r="A853">
        <v>42600</v>
      </c>
      <c r="B853" t="s">
        <v>14015</v>
      </c>
      <c r="C853" t="s">
        <v>14016</v>
      </c>
      <c r="D853" t="s">
        <v>14017</v>
      </c>
      <c r="E853" t="s">
        <v>14018</v>
      </c>
      <c r="F853" t="s">
        <v>14019</v>
      </c>
      <c r="G853">
        <f>-1042.7781301508 -32.0632341450903 -584.046523623023</f>
        <v>-1658.8878879189133</v>
      </c>
      <c r="H853">
        <f>-1069.54123895034 -105.419175116303 -714.823527813332</f>
        <v>-1889.7839418799749</v>
      </c>
      <c r="I853">
        <f>-1063.85932766653 -146.835221340638 -807.750473053245</f>
        <v>-2018.4450220604131</v>
      </c>
      <c r="J853">
        <f>-1054.91729377226 -45.5847065353705 -672.884284974675</f>
        <v>-1773.3862852823056</v>
      </c>
      <c r="K853" t="s">
        <v>14020</v>
      </c>
      <c r="L853" t="s">
        <v>14021</v>
      </c>
      <c r="M853" t="s">
        <v>14022</v>
      </c>
      <c r="N853">
        <f>-1060.4814307689 -100.338009481455 -641.033101492581</f>
        <v>-1801.852541742936</v>
      </c>
      <c r="O853">
        <f>-1065.78369695939 -216.530483788782 -551.222492154594</f>
        <v>-1833.536672902766</v>
      </c>
      <c r="P853">
        <f>-909.999794835654 -111.351792512739 -296.55609362398</f>
        <v>-1317.9076809723729</v>
      </c>
      <c r="Q853">
        <f>-674.42377405165 -138.136587718351 -403.460512078579</f>
        <v>-1216.0208738485799</v>
      </c>
      <c r="R853" t="s">
        <v>14023</v>
      </c>
      <c r="S853" t="s">
        <v>14024</v>
      </c>
      <c r="T853" t="s">
        <v>14025</v>
      </c>
      <c r="U853" t="s">
        <v>14026</v>
      </c>
      <c r="V853">
        <f>-963.270599677237 -19.1363475337685 -147.361240836518</f>
        <v>-1129.7681880475234</v>
      </c>
      <c r="W853" t="s">
        <v>14027</v>
      </c>
      <c r="X853" t="s">
        <v>14028</v>
      </c>
      <c r="Y853" t="s">
        <v>14029</v>
      </c>
    </row>
    <row r="854" spans="1:25" x14ac:dyDescent="0.3">
      <c r="A854">
        <v>42650</v>
      </c>
      <c r="B854" t="s">
        <v>14030</v>
      </c>
      <c r="C854" t="s">
        <v>14031</v>
      </c>
      <c r="D854" t="s">
        <v>14032</v>
      </c>
      <c r="E854" t="s">
        <v>14033</v>
      </c>
      <c r="F854">
        <f>-1011.4149128239 -6.57574775586113 -485.889970986372</f>
        <v>-1503.8806315661332</v>
      </c>
      <c r="G854">
        <f>-1023.99317140585 -56.0361515377876 -582.793607625163</f>
        <v>-1662.8229305688005</v>
      </c>
      <c r="H854">
        <f>-1035.33829994988 -135.578911013293 -712.193169164612</f>
        <v>-1883.110380127785</v>
      </c>
      <c r="I854">
        <f>-1019.892590921 -179.807444322687 -802.68215985074</f>
        <v>-2002.3821950944271</v>
      </c>
      <c r="J854">
        <f>-1027.90136989655 -73.4713926091085 -671.692946092284</f>
        <v>-1773.0657085979426</v>
      </c>
      <c r="K854" t="s">
        <v>14034</v>
      </c>
      <c r="L854" t="s">
        <v>14035</v>
      </c>
      <c r="M854" t="s">
        <v>14036</v>
      </c>
      <c r="N854">
        <f>-1032.73548851633 -127.296026245888 -638.182704793657</f>
        <v>-1798.2142195558749</v>
      </c>
      <c r="O854">
        <f>-1039.54357685305 -240.437511142597 -544.365158144332</f>
        <v>-1824.346246139979</v>
      </c>
      <c r="P854">
        <f>-894.61387866873 -127.411019047856 -286.670357011992</f>
        <v>-1308.695254728578</v>
      </c>
      <c r="Q854">
        <f>-661.191911066392 -154.340921169151 -398.164751575814</f>
        <v>-1213.6975838113569</v>
      </c>
      <c r="R854" t="s">
        <v>14037</v>
      </c>
      <c r="S854" t="s">
        <v>14038</v>
      </c>
      <c r="T854" t="s">
        <v>14039</v>
      </c>
      <c r="U854" t="s">
        <v>14040</v>
      </c>
      <c r="V854">
        <f>-967.848138097324 -31.2566542168227 -145.138178598905</f>
        <v>-1144.2429709130515</v>
      </c>
      <c r="W854" t="s">
        <v>14041</v>
      </c>
      <c r="X854" t="s">
        <v>14042</v>
      </c>
      <c r="Y854" t="s">
        <v>14043</v>
      </c>
    </row>
    <row r="855" spans="1:25" x14ac:dyDescent="0.3">
      <c r="A855">
        <v>42700</v>
      </c>
      <c r="B855" t="s">
        <v>14044</v>
      </c>
      <c r="C855" t="s">
        <v>14045</v>
      </c>
      <c r="D855" t="s">
        <v>14046</v>
      </c>
      <c r="E855" t="s">
        <v>14047</v>
      </c>
      <c r="F855">
        <f>-1004.48704940937 -13.3391479509496 -485.598073267146</f>
        <v>-1503.4242706274656</v>
      </c>
      <c r="G855">
        <f>-1011.75976406337 -63.5166287238985 -582.676068929006</f>
        <v>-1657.9524617162742</v>
      </c>
      <c r="H855">
        <f>-1015.14615282417 -143.940413996182 -711.984126654442</f>
        <v>-1871.0706934747941</v>
      </c>
      <c r="I855">
        <f>-994.415489012024 -187.99307707728 -801.497204968298</f>
        <v>-1983.9057710576021</v>
      </c>
      <c r="J855">
        <f>-1011.43414312029 -81.4490030064746 -671.562028225803</f>
        <v>-1764.4451743525676</v>
      </c>
      <c r="K855" t="s">
        <v>14048</v>
      </c>
      <c r="L855" t="s">
        <v>14049</v>
      </c>
      <c r="M855" t="s">
        <v>14050</v>
      </c>
      <c r="N855">
        <f>-1015.86147747438 -135.261980884904 -637.976726730746</f>
        <v>-1789.1001850900302</v>
      </c>
      <c r="O855">
        <f>-1023.0370273036 -248.164743384956 -543.904750959647</f>
        <v>-1815.1065216482029</v>
      </c>
      <c r="P855">
        <f>-885.33089252512 -132.645754706546 -283.369622615602</f>
        <v>-1301.3462698472681</v>
      </c>
      <c r="Q855">
        <f>-652.92981863569 -155.241901859916 -397.917438498237</f>
        <v>-1206.0891589938431</v>
      </c>
      <c r="R855" t="s">
        <v>14051</v>
      </c>
      <c r="S855" t="s">
        <v>14052</v>
      </c>
      <c r="T855" t="s">
        <v>14053</v>
      </c>
      <c r="U855" t="s">
        <v>14054</v>
      </c>
      <c r="V855">
        <f>-969.258811539088 -37.2637900981786 -144.379227956448</f>
        <v>-1150.9018295937146</v>
      </c>
      <c r="W855" t="s">
        <v>14055</v>
      </c>
      <c r="X855" t="s">
        <v>14056</v>
      </c>
      <c r="Y855" t="s">
        <v>14057</v>
      </c>
    </row>
    <row r="856" spans="1:25" x14ac:dyDescent="0.3">
      <c r="A856">
        <v>42750</v>
      </c>
      <c r="B856" t="s">
        <v>14058</v>
      </c>
      <c r="C856" t="s">
        <v>14059</v>
      </c>
      <c r="D856" t="s">
        <v>14060</v>
      </c>
      <c r="E856" t="s">
        <v>14061</v>
      </c>
      <c r="F856">
        <f>-988.366526248197 -20.0023125323653 -486.763555806093</f>
        <v>-1495.1323945866552</v>
      </c>
      <c r="G856">
        <f>-984.551836937121 -69.3038124622278 -584.48604491837</f>
        <v>-1638.3416943177187</v>
      </c>
      <c r="H856">
        <f>-971.169801326083 -147.857796031371 -714.294456364334</f>
        <v>-1833.3220537217881</v>
      </c>
      <c r="I856">
        <f>-940.020309285366 -189.394553953816 -801.972172984605</f>
        <v>-1931.3870362237872</v>
      </c>
      <c r="J856">
        <f>-975.221718511283 -85.8611301422663 -673.149259280173</f>
        <v>-1734.2321079337223</v>
      </c>
      <c r="K856" t="s">
        <v>14062</v>
      </c>
      <c r="L856" t="s">
        <v>14063</v>
      </c>
      <c r="M856" t="s">
        <v>14064</v>
      </c>
      <c r="N856">
        <f>-978.960114739721 -140.338919133143 -640.567089205617</f>
        <v>-1759.866123078481</v>
      </c>
      <c r="O856">
        <f>-988.400906979334 -254.649502527592 -548.534057715009</f>
        <v>-1791.584467221935</v>
      </c>
      <c r="P856">
        <f>-866.260006065922 -143.048160746209 -278.695414964508</f>
        <v>-1288.0035817766388</v>
      </c>
      <c r="Q856">
        <f>-638.858147824838 -154.881968577539 -404.355317731323</f>
        <v>-1198.0954341337001</v>
      </c>
      <c r="R856" t="s">
        <v>14065</v>
      </c>
      <c r="S856" t="s">
        <v>14066</v>
      </c>
      <c r="T856" t="s">
        <v>14067</v>
      </c>
      <c r="U856" t="s">
        <v>14068</v>
      </c>
      <c r="V856">
        <f>-970.081622987519 -44.4571017267913 -144.351301876481</f>
        <v>-1158.8900265907923</v>
      </c>
      <c r="W856" t="s">
        <v>14069</v>
      </c>
      <c r="X856" t="s">
        <v>14070</v>
      </c>
      <c r="Y856" t="s">
        <v>14071</v>
      </c>
    </row>
    <row r="857" spans="1:25" x14ac:dyDescent="0.3">
      <c r="A857">
        <v>42800</v>
      </c>
      <c r="B857" t="s">
        <v>14072</v>
      </c>
      <c r="C857" t="s">
        <v>14073</v>
      </c>
      <c r="D857" t="s">
        <v>14074</v>
      </c>
      <c r="E857" t="s">
        <v>14075</v>
      </c>
      <c r="F857">
        <f>-979.025658216146 -18.5909528695106 -489.445112217951</f>
        <v>-1487.0617233036076</v>
      </c>
      <c r="G857">
        <f>-970.166640463906 -66.592520804782 -587.487026090451</f>
        <v>-1624.2461873591387</v>
      </c>
      <c r="H857">
        <f>-949.136297772292 -143.003485674097 -717.560511355409</f>
        <v>-1809.700294801798</v>
      </c>
      <c r="I857">
        <f>-912.981198984481 -182.66344095406 -804.179716437817</f>
        <v>-1899.8243563763581</v>
      </c>
      <c r="J857">
        <f>-956.678873276229 -81.698812842573 -675.873862023855</f>
        <v>-1714.2515481426569</v>
      </c>
      <c r="K857" t="s">
        <v>14076</v>
      </c>
      <c r="L857" t="s">
        <v>14077</v>
      </c>
      <c r="M857" t="s">
        <v>14078</v>
      </c>
      <c r="N857">
        <f>-960.204247106167 -136.689120879916 -644.140181335781</f>
        <v>-1741.033549321864</v>
      </c>
      <c r="O857">
        <f>-971.177202738498 -252.431678968783 -554.060301764508</f>
        <v>-1777.669183471789</v>
      </c>
      <c r="P857">
        <f>-856.413220302248 -142.919494308639 -280.157896710834</f>
        <v>-1279.490611321721</v>
      </c>
      <c r="Q857">
        <f>-631.557839305799 -151.954414691309 -410.543884292756</f>
        <v>-1194.0561382898641</v>
      </c>
      <c r="R857" t="s">
        <v>14079</v>
      </c>
      <c r="S857" t="s">
        <v>14080</v>
      </c>
      <c r="T857" t="s">
        <v>14081</v>
      </c>
      <c r="U857" t="s">
        <v>14082</v>
      </c>
      <c r="V857">
        <f>-968.383036283715 -45.4259149563991 -146.184899591184</f>
        <v>-1159.993850831298</v>
      </c>
      <c r="W857" t="s">
        <v>14083</v>
      </c>
      <c r="X857" t="s">
        <v>14084</v>
      </c>
      <c r="Y857" t="s">
        <v>14085</v>
      </c>
    </row>
    <row r="858" spans="1:25" x14ac:dyDescent="0.3">
      <c r="A858">
        <v>42850</v>
      </c>
      <c r="B858" t="s">
        <v>14086</v>
      </c>
      <c r="C858" t="s">
        <v>14087</v>
      </c>
      <c r="D858" t="s">
        <v>14088</v>
      </c>
      <c r="E858" t="s">
        <v>14089</v>
      </c>
      <c r="F858">
        <f>-949.710169767462 -8.91049309566711 -498.899991010943</f>
        <v>-1457.5206538740722</v>
      </c>
      <c r="G858">
        <f>-931.80357772683 -52.3798045610467 -597.817096780075</f>
        <v>-1582.0004790679518</v>
      </c>
      <c r="H858">
        <f>-897.665225139358 -121.580139650035 -729.140795355165</f>
        <v>-1748.3861601445578</v>
      </c>
      <c r="I858">
        <f>-852.796118067662 -155.887387919021 -813.95093733807</f>
        <v>-1822.634443324753</v>
      </c>
      <c r="J858">
        <f>-911.091215221519 -62.6947940083276 -685.492529709247</f>
        <v>-1659.2785389390936</v>
      </c>
      <c r="K858" t="s">
        <v>14090</v>
      </c>
      <c r="L858" t="s">
        <v>14091</v>
      </c>
      <c r="M858" t="s">
        <v>14092</v>
      </c>
      <c r="N858">
        <f>-914.449578610814 -119.227514557621 -656.57592917137</f>
        <v>-1690.2530223398051</v>
      </c>
      <c r="O858">
        <f>-926.954726564073 -239.289958381495 -572.493883844626</f>
        <v>-1738.738568790194</v>
      </c>
      <c r="P858">
        <f>-830.903078885639 -139.162854274475 -288.003419110609</f>
        <v>-1258.0693522707229</v>
      </c>
      <c r="Q858">
        <f>-609.975373971298 -144.592884004883 -425.129407747335</f>
        <v>-1179.6976657235159</v>
      </c>
      <c r="R858" t="s">
        <v>14093</v>
      </c>
      <c r="S858" t="s">
        <v>14094</v>
      </c>
      <c r="T858" t="s">
        <v>14095</v>
      </c>
      <c r="U858" t="s">
        <v>14096</v>
      </c>
      <c r="V858">
        <f>-957.25908395398 -43.2014544745168 -154.404671714297</f>
        <v>-1154.8652101427938</v>
      </c>
      <c r="W858" t="s">
        <v>14097</v>
      </c>
      <c r="X858" t="s">
        <v>14098</v>
      </c>
      <c r="Y858" t="s">
        <v>14099</v>
      </c>
    </row>
    <row r="859" spans="1:25" x14ac:dyDescent="0.3">
      <c r="A859">
        <v>42900</v>
      </c>
      <c r="B859" t="s">
        <v>14100</v>
      </c>
      <c r="C859" t="s">
        <v>14101</v>
      </c>
      <c r="D859" t="s">
        <v>14102</v>
      </c>
      <c r="E859" t="s">
        <v>14103</v>
      </c>
      <c r="F859" t="s">
        <v>14104</v>
      </c>
      <c r="G859">
        <f>-908.611055829791 -39.5669151850857 -603.904023621579</f>
        <v>-1552.0819946364556</v>
      </c>
      <c r="H859">
        <f>-869.534369559844 -103.555495152176 -736.487854160103</f>
        <v>-1709.5777188721231</v>
      </c>
      <c r="I859">
        <f>-821.038255508776 -134.462122966493 -820.606174628935</f>
        <v>-1776.1065531042041</v>
      </c>
      <c r="J859">
        <f>-885.184399132821 -46.4606872618067 -691.231097201826</f>
        <v>-1622.8761835964538</v>
      </c>
      <c r="K859" t="s">
        <v>14105</v>
      </c>
      <c r="L859" t="s">
        <v>14106</v>
      </c>
      <c r="M859" t="s">
        <v>14107</v>
      </c>
      <c r="N859">
        <f>-888.464785496454 -104.024380991799 -664.416172493295</f>
        <v>-1656.9053389815481</v>
      </c>
      <c r="O859">
        <f>-901.168112960346 -227.005840679826 -584.754775121065</f>
        <v>-1712.9287287612369</v>
      </c>
      <c r="P859">
        <f>-816.263131959939 -133.198000246735 -294.62119821722</f>
        <v>-1244.0823304238938</v>
      </c>
      <c r="Q859">
        <f>-595.363431042929 -137.461278477312 -431.83358262099</f>
        <v>-1164.658292141231</v>
      </c>
      <c r="R859" t="s">
        <v>14108</v>
      </c>
      <c r="S859" t="s">
        <v>14109</v>
      </c>
      <c r="T859" t="s">
        <v>14110</v>
      </c>
      <c r="U859" t="s">
        <v>14111</v>
      </c>
      <c r="V859">
        <f>-947.101544201137 -39.5545847610631 -159.615649555071</f>
        <v>-1146.2717785172711</v>
      </c>
      <c r="W859" t="s">
        <v>14112</v>
      </c>
      <c r="X859" t="s">
        <v>14113</v>
      </c>
      <c r="Y859" t="s">
        <v>14114</v>
      </c>
    </row>
    <row r="860" spans="1:25" x14ac:dyDescent="0.3">
      <c r="A860">
        <v>42950</v>
      </c>
      <c r="B860" t="s">
        <v>14115</v>
      </c>
      <c r="C860" t="s">
        <v>14116</v>
      </c>
      <c r="D860" t="s">
        <v>14117</v>
      </c>
      <c r="E860" t="s">
        <v>14118</v>
      </c>
      <c r="F860" t="s">
        <v>14119</v>
      </c>
      <c r="G860">
        <f>-862.441823367827 -8.16676600979667 -614.732909416719</f>
        <v>-1485.3414987943429</v>
      </c>
      <c r="H860">
        <f>-816.221858199397 -58.1194155589367 -750.998953350475</f>
        <v>-1625.3402271088087</v>
      </c>
      <c r="I860">
        <f>-762.151564535037 -80.5153539637588 -834.412364143541</f>
        <v>-1677.0792826423367</v>
      </c>
      <c r="J860">
        <f>-835.394312993918 -6.05199537392832 -701.256453926306</f>
        <v>-1542.7027622941523</v>
      </c>
      <c r="K860" t="s">
        <v>14120</v>
      </c>
      <c r="L860" t="s">
        <v>14121</v>
      </c>
      <c r="M860" t="s">
        <v>14122</v>
      </c>
      <c r="N860">
        <f>-837.951162210461 -65.9816884524557 -680.154498953925</f>
        <v>-1584.0873496168417</v>
      </c>
      <c r="O860">
        <f>-850.777190355099 -195.864090544072 -612.320125053554</f>
        <v>-1658.961405952725</v>
      </c>
      <c r="P860">
        <f>-789.84896618161 -124.469673771261 -310.034242930059</f>
        <v>-1224.3528828829299</v>
      </c>
      <c r="Q860">
        <f>-564.62131115672 -123.96771570509 -440.089359856398</f>
        <v>-1128.678386718208</v>
      </c>
      <c r="R860" t="s">
        <v>14123</v>
      </c>
      <c r="S860" t="s">
        <v>14124</v>
      </c>
      <c r="T860" t="s">
        <v>14125</v>
      </c>
      <c r="U860" t="s">
        <v>14126</v>
      </c>
      <c r="V860">
        <f>-921.08076669494 -29.9588294453126 -166.357535348257</f>
        <v>-1117.3971314885098</v>
      </c>
      <c r="W860" t="s">
        <v>14127</v>
      </c>
      <c r="X860" t="s">
        <v>14128</v>
      </c>
      <c r="Y860" t="s">
        <v>14129</v>
      </c>
    </row>
    <row r="861" spans="1:25" x14ac:dyDescent="0.3">
      <c r="A861">
        <v>43000</v>
      </c>
      <c r="B861" t="s">
        <v>14130</v>
      </c>
      <c r="C861" t="s">
        <v>14131</v>
      </c>
      <c r="D861" t="s">
        <v>14132</v>
      </c>
      <c r="E861" t="s">
        <v>14133</v>
      </c>
      <c r="F861" t="s">
        <v>14134</v>
      </c>
      <c r="G861" t="s">
        <v>14135</v>
      </c>
      <c r="H861">
        <f>-792.334959270715 -31.9153632465407 -757.250602820537</f>
        <v>-1581.5009253377925</v>
      </c>
      <c r="I861">
        <f>-736.148178836977 -49.3252901792346 -840.454780082702</f>
        <v>-1625.9282490989135</v>
      </c>
      <c r="J861" t="s">
        <v>14136</v>
      </c>
      <c r="K861" t="s">
        <v>14137</v>
      </c>
      <c r="L861" t="s">
        <v>14138</v>
      </c>
      <c r="M861" t="s">
        <v>14139</v>
      </c>
      <c r="N861">
        <f>-814.743397985732 -44.2973121823729 -687.268592045932</f>
        <v>-1546.309302214037</v>
      </c>
      <c r="O861">
        <f>-827.130954805256 -178.410840659587 -627.940715374818</f>
        <v>-1633.482510839661</v>
      </c>
      <c r="P861">
        <f>-782.762796651026 -122.545630063266 -319.563151215555</f>
        <v>-1224.871577929847</v>
      </c>
      <c r="Q861">
        <f>-553.126790729265 -118.423187253567 -441.597456904607</f>
        <v>-1113.147434887439</v>
      </c>
      <c r="R861" t="s">
        <v>14140</v>
      </c>
      <c r="S861" t="s">
        <v>14141</v>
      </c>
      <c r="T861" t="s">
        <v>14142</v>
      </c>
      <c r="U861" t="s">
        <v>14143</v>
      </c>
      <c r="V861">
        <f>-905.917636616307 -24.6403849398753 -168.076335026147</f>
        <v>-1098.6343565823292</v>
      </c>
      <c r="W861" t="s">
        <v>14144</v>
      </c>
      <c r="X861" t="s">
        <v>14145</v>
      </c>
      <c r="Y861" t="s">
        <v>14146</v>
      </c>
    </row>
    <row r="862" spans="1:25" x14ac:dyDescent="0.3">
      <c r="A862">
        <v>43050</v>
      </c>
      <c r="B862" t="s">
        <v>14147</v>
      </c>
      <c r="C862" t="s">
        <v>14148</v>
      </c>
      <c r="D862" t="s">
        <v>14149</v>
      </c>
      <c r="E862" t="s">
        <v>14150</v>
      </c>
      <c r="F862" t="s">
        <v>14151</v>
      </c>
      <c r="G862" t="s">
        <v>14152</v>
      </c>
      <c r="H862" t="s">
        <v>14153</v>
      </c>
      <c r="I862" t="s">
        <v>14154</v>
      </c>
      <c r="J862" t="s">
        <v>14155</v>
      </c>
      <c r="K862" t="s">
        <v>14156</v>
      </c>
      <c r="L862" t="s">
        <v>14157</v>
      </c>
      <c r="M862" t="s">
        <v>14158</v>
      </c>
      <c r="N862" t="s">
        <v>14159</v>
      </c>
      <c r="O862">
        <f>-787.081411325049 -139.761074038852 -656.14587981358</f>
        <v>-1582.988365177481</v>
      </c>
      <c r="P862">
        <f>-781.866881225177 -126.298968600141 -339.953267468939</f>
        <v>-1248.119117294257</v>
      </c>
      <c r="Q862">
        <f>-541.033482652738 -113.14337643786 -437.258251454702</f>
        <v>-1091.4351105452999</v>
      </c>
      <c r="R862" t="s">
        <v>14160</v>
      </c>
      <c r="S862" t="s">
        <v>14161</v>
      </c>
      <c r="T862" t="s">
        <v>14162</v>
      </c>
      <c r="U862" t="s">
        <v>14163</v>
      </c>
      <c r="V862">
        <f>-876.967062476025 -18.9455605422725 -171.617865062109</f>
        <v>-1067.5304880804065</v>
      </c>
      <c r="W862" t="s">
        <v>14164</v>
      </c>
      <c r="X862" t="s">
        <v>14165</v>
      </c>
      <c r="Y862" t="s">
        <v>14166</v>
      </c>
    </row>
    <row r="863" spans="1:25" x14ac:dyDescent="0.3">
      <c r="A863">
        <v>43100</v>
      </c>
      <c r="B863" t="s">
        <v>14167</v>
      </c>
      <c r="C863" t="s">
        <v>14168</v>
      </c>
      <c r="D863" t="s">
        <v>14169</v>
      </c>
      <c r="E863" t="s">
        <v>14170</v>
      </c>
      <c r="F863" t="s">
        <v>14171</v>
      </c>
      <c r="G863" t="s">
        <v>14172</v>
      </c>
      <c r="H863" t="s">
        <v>14173</v>
      </c>
      <c r="I863" t="s">
        <v>14174</v>
      </c>
      <c r="J863" t="s">
        <v>14175</v>
      </c>
      <c r="K863" t="s">
        <v>14176</v>
      </c>
      <c r="L863" t="s">
        <v>14177</v>
      </c>
      <c r="M863" t="s">
        <v>14178</v>
      </c>
      <c r="N863" t="s">
        <v>14179</v>
      </c>
      <c r="O863">
        <f>-768.304019740516 -122.885066926925 -681.825184170089</f>
        <v>-1573.0142708375299</v>
      </c>
      <c r="P863">
        <f>-782.02085330735 -135.366250390795 -365.846911837335</f>
        <v>-1283.23401553548</v>
      </c>
      <c r="Q863">
        <f>-534.532491945973 -119.331464881699 -444.16977222945</f>
        <v>-1098.0337290571219</v>
      </c>
      <c r="R863" t="s">
        <v>14180</v>
      </c>
      <c r="S863" t="s">
        <v>14181</v>
      </c>
      <c r="T863" t="s">
        <v>14182</v>
      </c>
      <c r="U863" t="s">
        <v>14183</v>
      </c>
      <c r="V863">
        <f>-865.515374837344 -21.0141800049257 -184.081655570433</f>
        <v>-1070.6112104127028</v>
      </c>
      <c r="W863" t="s">
        <v>14184</v>
      </c>
      <c r="X863" t="s">
        <v>14185</v>
      </c>
      <c r="Y863" t="s">
        <v>14186</v>
      </c>
    </row>
    <row r="864" spans="1:25" x14ac:dyDescent="0.3">
      <c r="A864">
        <v>43150</v>
      </c>
      <c r="B864" t="s">
        <v>14187</v>
      </c>
      <c r="C864" t="s">
        <v>14188</v>
      </c>
      <c r="D864" t="s">
        <v>14189</v>
      </c>
      <c r="E864" t="s">
        <v>14190</v>
      </c>
      <c r="F864" t="s">
        <v>14191</v>
      </c>
      <c r="G864" t="s">
        <v>14192</v>
      </c>
      <c r="H864" t="s">
        <v>14193</v>
      </c>
      <c r="I864" t="s">
        <v>14194</v>
      </c>
      <c r="J864" t="s">
        <v>14195</v>
      </c>
      <c r="K864" t="s">
        <v>14196</v>
      </c>
      <c r="L864" t="s">
        <v>14197</v>
      </c>
      <c r="M864" t="s">
        <v>14198</v>
      </c>
      <c r="N864" t="s">
        <v>14199</v>
      </c>
      <c r="O864">
        <f>-734.627902523762 -94.6087374362783 -719.411005274739</f>
        <v>-1548.6476452347792</v>
      </c>
      <c r="P864">
        <f>-779.657943502291 -153.332961443983 -411.661297961539</f>
        <v>-1344.652202907813</v>
      </c>
      <c r="Q864">
        <f>-523.11604071574 -139.930698481204 -452.265273995801</f>
        <v>-1115.3120131927451</v>
      </c>
      <c r="R864" t="s">
        <v>14200</v>
      </c>
      <c r="S864" t="s">
        <v>14201</v>
      </c>
      <c r="T864" t="s">
        <v>14202</v>
      </c>
      <c r="U864" t="s">
        <v>14203</v>
      </c>
      <c r="V864">
        <f>-833.843418733934 -20.3779684660744 -209.556848857541</f>
        <v>-1063.7782360575493</v>
      </c>
      <c r="W864" t="s">
        <v>14204</v>
      </c>
      <c r="X864" t="s">
        <v>14205</v>
      </c>
      <c r="Y864" t="s">
        <v>14206</v>
      </c>
    </row>
    <row r="865" spans="1:25" x14ac:dyDescent="0.3">
      <c r="A865">
        <v>43200</v>
      </c>
      <c r="B865" t="s">
        <v>14207</v>
      </c>
      <c r="C865" t="s">
        <v>14208</v>
      </c>
      <c r="D865" t="s">
        <v>14209</v>
      </c>
      <c r="E865" t="s">
        <v>14210</v>
      </c>
      <c r="F865" t="s">
        <v>14211</v>
      </c>
      <c r="G865" t="s">
        <v>14212</v>
      </c>
      <c r="H865" t="s">
        <v>14213</v>
      </c>
      <c r="I865" t="s">
        <v>14214</v>
      </c>
      <c r="J865" t="s">
        <v>14215</v>
      </c>
      <c r="K865" t="s">
        <v>14216</v>
      </c>
      <c r="L865" t="s">
        <v>14217</v>
      </c>
      <c r="M865" t="s">
        <v>14218</v>
      </c>
      <c r="N865" t="s">
        <v>14219</v>
      </c>
      <c r="O865">
        <f>-717.663741173387 -76.0341942649511 -735.121036830259</f>
        <v>-1528.818972268597</v>
      </c>
      <c r="P865">
        <f>-774.954836897712 -149.734347159002 -432.677196784739</f>
        <v>-1357.3663808414531</v>
      </c>
      <c r="Q865">
        <f>-515.946550699904 -142.189084769186 -455.033796760551</f>
        <v>-1113.1694322296412</v>
      </c>
      <c r="R865" t="s">
        <v>14220</v>
      </c>
      <c r="S865" t="s">
        <v>14221</v>
      </c>
      <c r="T865" t="s">
        <v>14222</v>
      </c>
      <c r="U865" t="s">
        <v>14223</v>
      </c>
      <c r="V865">
        <f>-814.901966417301 -13.2362733821351 -224.470951073565</f>
        <v>-1052.6091908730011</v>
      </c>
      <c r="W865" t="s">
        <v>14224</v>
      </c>
      <c r="X865" t="s">
        <v>14225</v>
      </c>
      <c r="Y865" t="s">
        <v>14226</v>
      </c>
    </row>
    <row r="866" spans="1:25" x14ac:dyDescent="0.3">
      <c r="A866">
        <v>43250</v>
      </c>
      <c r="B866" t="s">
        <v>14227</v>
      </c>
      <c r="C866" t="s">
        <v>14228</v>
      </c>
      <c r="D866" t="s">
        <v>14229</v>
      </c>
      <c r="E866" t="s">
        <v>14230</v>
      </c>
      <c r="F866" t="s">
        <v>14231</v>
      </c>
      <c r="G866" t="s">
        <v>14232</v>
      </c>
      <c r="H866" t="s">
        <v>14233</v>
      </c>
      <c r="I866" t="s">
        <v>14234</v>
      </c>
      <c r="J866" t="s">
        <v>14235</v>
      </c>
      <c r="K866" t="s">
        <v>14236</v>
      </c>
      <c r="L866" t="s">
        <v>14237</v>
      </c>
      <c r="M866" t="s">
        <v>14238</v>
      </c>
      <c r="N866" t="s">
        <v>14239</v>
      </c>
      <c r="O866">
        <f>-684.084059169887 -48.311720684984 -753.100173468473</f>
        <v>-1485.4959533233441</v>
      </c>
      <c r="P866">
        <f>-757.185276546444 -141.429609964072 -459.550235838776</f>
        <v>-1358.165122349292</v>
      </c>
      <c r="Q866">
        <f>-497.247291717325 -147.392710115241 -453.325103296057</f>
        <v>-1097.965105128623</v>
      </c>
      <c r="R866" t="s">
        <v>14240</v>
      </c>
      <c r="S866" t="s">
        <v>14241</v>
      </c>
      <c r="T866" t="s">
        <v>14242</v>
      </c>
      <c r="U866" t="s">
        <v>14243</v>
      </c>
      <c r="V866">
        <f>-788.104296814334 -9.6791604624359 -243.487112309145</f>
        <v>-1041.2705695859149</v>
      </c>
      <c r="W866" t="s">
        <v>14244</v>
      </c>
      <c r="X866" t="s">
        <v>14245</v>
      </c>
      <c r="Y866" t="s">
        <v>14246</v>
      </c>
    </row>
    <row r="867" spans="1:25" x14ac:dyDescent="0.3">
      <c r="A867">
        <v>43300</v>
      </c>
      <c r="B867" t="s">
        <v>14247</v>
      </c>
      <c r="C867" t="s">
        <v>14248</v>
      </c>
      <c r="D867" t="s">
        <v>14249</v>
      </c>
      <c r="E867" t="s">
        <v>14250</v>
      </c>
      <c r="F867" t="s">
        <v>14251</v>
      </c>
      <c r="G867" t="s">
        <v>14252</v>
      </c>
      <c r="H867" t="s">
        <v>14253</v>
      </c>
      <c r="I867" t="s">
        <v>14254</v>
      </c>
      <c r="J867" t="s">
        <v>14255</v>
      </c>
      <c r="K867" t="s">
        <v>14256</v>
      </c>
      <c r="L867" t="s">
        <v>14257</v>
      </c>
      <c r="M867" t="s">
        <v>14258</v>
      </c>
      <c r="N867" t="s">
        <v>14259</v>
      </c>
      <c r="O867">
        <f>-667.979196755649 -38.8691013413199 -758.000429912202</f>
        <v>-1464.8487280091708</v>
      </c>
      <c r="P867">
        <f>-745.740524124609 -135.769335495609 -466.882451338801</f>
        <v>-1348.3923109590189</v>
      </c>
      <c r="Q867">
        <f>-486.738936513935 -149.611479261747 -447.682649989184</f>
        <v>-1084.033065764866</v>
      </c>
      <c r="R867" t="s">
        <v>14260</v>
      </c>
      <c r="S867" t="s">
        <v>14261</v>
      </c>
      <c r="T867" t="s">
        <v>14262</v>
      </c>
      <c r="U867" t="s">
        <v>14263</v>
      </c>
      <c r="V867">
        <f>-778.651751718147 -10.6077923193293 -248.400356493534</f>
        <v>-1037.6599005310104</v>
      </c>
      <c r="W867" t="s">
        <v>14264</v>
      </c>
      <c r="X867" t="s">
        <v>14265</v>
      </c>
      <c r="Y867" t="s">
        <v>14266</v>
      </c>
    </row>
    <row r="868" spans="1:25" x14ac:dyDescent="0.3">
      <c r="A868">
        <v>43350</v>
      </c>
      <c r="B868" t="s">
        <v>14267</v>
      </c>
      <c r="C868" t="s">
        <v>14268</v>
      </c>
      <c r="D868" t="s">
        <v>14269</v>
      </c>
      <c r="E868" t="s">
        <v>14270</v>
      </c>
      <c r="F868" t="s">
        <v>14271</v>
      </c>
      <c r="G868" t="s">
        <v>14272</v>
      </c>
      <c r="H868" t="s">
        <v>14273</v>
      </c>
      <c r="I868" t="s">
        <v>14274</v>
      </c>
      <c r="J868" t="s">
        <v>14275</v>
      </c>
      <c r="K868" t="s">
        <v>14276</v>
      </c>
      <c r="L868" t="s">
        <v>14277</v>
      </c>
      <c r="M868" t="s">
        <v>14278</v>
      </c>
      <c r="N868" t="s">
        <v>14279</v>
      </c>
      <c r="O868">
        <f>-646.06393946531 -26.0372580074818 -763.449021695154</f>
        <v>-1435.5502191679457</v>
      </c>
      <c r="P868">
        <f>-731.764032063322 -130.807250180257 -477.328520797261</f>
        <v>-1339.89980304084</v>
      </c>
      <c r="Q868">
        <f>-475.979842813956 -156.202451403678 -437.685431410972</f>
        <v>-1069.867725628606</v>
      </c>
      <c r="R868" t="s">
        <v>14280</v>
      </c>
      <c r="S868" t="s">
        <v>14281</v>
      </c>
      <c r="T868" t="s">
        <v>14282</v>
      </c>
      <c r="U868" t="s">
        <v>14283</v>
      </c>
      <c r="V868">
        <f>-761.919947708149 -14.0794454322477 -253.462134410549</f>
        <v>-1029.4615275509457</v>
      </c>
      <c r="W868" t="s">
        <v>14284</v>
      </c>
      <c r="X868" t="s">
        <v>14285</v>
      </c>
      <c r="Y868" t="s">
        <v>14286</v>
      </c>
    </row>
    <row r="869" spans="1:25" x14ac:dyDescent="0.3">
      <c r="A869">
        <v>43400</v>
      </c>
      <c r="B869" t="s">
        <v>14287</v>
      </c>
      <c r="C869" t="s">
        <v>14288</v>
      </c>
      <c r="D869" t="s">
        <v>14289</v>
      </c>
      <c r="E869" t="s">
        <v>14290</v>
      </c>
      <c r="F869" t="s">
        <v>14291</v>
      </c>
      <c r="G869" t="s">
        <v>14292</v>
      </c>
      <c r="H869" t="s">
        <v>14293</v>
      </c>
      <c r="I869" t="s">
        <v>14294</v>
      </c>
      <c r="J869" t="s">
        <v>14295</v>
      </c>
      <c r="K869" t="s">
        <v>14296</v>
      </c>
      <c r="L869" t="s">
        <v>14297</v>
      </c>
      <c r="M869" t="s">
        <v>14298</v>
      </c>
      <c r="N869" t="s">
        <v>14299</v>
      </c>
      <c r="O869">
        <f>-636.517918907348 -23.0084612551923 -763.987867664473</f>
        <v>-1423.5142478270132</v>
      </c>
      <c r="P869">
        <f>-724.438738665595 -132.55554017904 -480.340975437792</f>
        <v>-1337.3352542824271</v>
      </c>
      <c r="Q869">
        <f>-470.35647374647 -161.894047272769 -433.186846036274</f>
        <v>-1065.4373670555128</v>
      </c>
      <c r="R869" t="s">
        <v>14300</v>
      </c>
      <c r="S869" t="s">
        <v>14301</v>
      </c>
      <c r="T869" t="s">
        <v>14302</v>
      </c>
      <c r="U869" t="s">
        <v>14303</v>
      </c>
      <c r="V869">
        <f>-755.058652013729 -15.2982610059453 -253.964754984455</f>
        <v>-1024.3216680041292</v>
      </c>
      <c r="W869" t="s">
        <v>14304</v>
      </c>
      <c r="X869" t="s">
        <v>14305</v>
      </c>
      <c r="Y869" t="s">
        <v>14306</v>
      </c>
    </row>
    <row r="870" spans="1:25" x14ac:dyDescent="0.3">
      <c r="A870">
        <v>43450</v>
      </c>
      <c r="B870" t="s">
        <v>14307</v>
      </c>
      <c r="C870" t="s">
        <v>14308</v>
      </c>
      <c r="D870" t="s">
        <v>14309</v>
      </c>
      <c r="E870" t="s">
        <v>14310</v>
      </c>
      <c r="F870" t="s">
        <v>14311</v>
      </c>
      <c r="G870" t="s">
        <v>14312</v>
      </c>
      <c r="H870" t="s">
        <v>14313</v>
      </c>
      <c r="I870" t="s">
        <v>14314</v>
      </c>
      <c r="J870" t="s">
        <v>14315</v>
      </c>
      <c r="K870" t="s">
        <v>14316</v>
      </c>
      <c r="L870" t="s">
        <v>14317</v>
      </c>
      <c r="M870" t="s">
        <v>14318</v>
      </c>
      <c r="N870" t="s">
        <v>14319</v>
      </c>
      <c r="O870">
        <f>-618.827018652924 -18.9160508414839 -763.74094953058</f>
        <v>-1401.4840190249879</v>
      </c>
      <c r="P870">
        <f>-707.995233896607 -137.572348737963 -484.177254621474</f>
        <v>-1329.7448372560441</v>
      </c>
      <c r="Q870">
        <f>-455.686452950519 -169.774167700112 -429.906036499513</f>
        <v>-1055.366657150144</v>
      </c>
      <c r="R870" t="s">
        <v>14320</v>
      </c>
      <c r="S870" t="s">
        <v>14321</v>
      </c>
      <c r="T870" t="s">
        <v>14322</v>
      </c>
      <c r="U870" t="s">
        <v>14323</v>
      </c>
      <c r="V870">
        <f>-744.257686875143 -16.3957057607554 -252.805339482141</f>
        <v>-1013.4587321180394</v>
      </c>
      <c r="W870" t="s">
        <v>14324</v>
      </c>
      <c r="X870" t="s">
        <v>14325</v>
      </c>
      <c r="Y870" t="s">
        <v>14326</v>
      </c>
    </row>
    <row r="871" spans="1:25" x14ac:dyDescent="0.3">
      <c r="A871">
        <v>43500</v>
      </c>
      <c r="B871" t="s">
        <v>14327</v>
      </c>
      <c r="C871" t="s">
        <v>14328</v>
      </c>
      <c r="D871" t="s">
        <v>14329</v>
      </c>
      <c r="E871" t="s">
        <v>14330</v>
      </c>
      <c r="F871" t="s">
        <v>14331</v>
      </c>
      <c r="G871" t="s">
        <v>14332</v>
      </c>
      <c r="H871" t="s">
        <v>14333</v>
      </c>
      <c r="I871" t="s">
        <v>14334</v>
      </c>
      <c r="J871" t="s">
        <v>14335</v>
      </c>
      <c r="K871" t="s">
        <v>14336</v>
      </c>
      <c r="L871" t="s">
        <v>14337</v>
      </c>
      <c r="M871" t="s">
        <v>14338</v>
      </c>
      <c r="N871" t="s">
        <v>14339</v>
      </c>
      <c r="O871">
        <f>-610.103960541068 -18.2496432105836 -763.367667751608</f>
        <v>-1391.7212715032597</v>
      </c>
      <c r="P871">
        <f>-700.035963396834 -141.130583117618 -485.881231836231</f>
        <v>-1327.0477783506831</v>
      </c>
      <c r="Q871">
        <f>-447.769050303464 -171.257707470631 -430.241164088501</f>
        <v>-1049.267921862596</v>
      </c>
      <c r="R871" t="s">
        <v>14340</v>
      </c>
      <c r="S871" t="s">
        <v>14341</v>
      </c>
      <c r="T871" t="s">
        <v>14342</v>
      </c>
      <c r="U871" t="s">
        <v>14343</v>
      </c>
      <c r="V871">
        <f>-736.775740422196 -15.6110054324065 -252.43764026876</f>
        <v>-1004.8243861233625</v>
      </c>
      <c r="W871" t="s">
        <v>14344</v>
      </c>
      <c r="X871" t="s">
        <v>14345</v>
      </c>
      <c r="Y871" t="s">
        <v>14346</v>
      </c>
    </row>
    <row r="872" spans="1:25" x14ac:dyDescent="0.3">
      <c r="A872">
        <v>43550</v>
      </c>
      <c r="B872" t="s">
        <v>14347</v>
      </c>
      <c r="C872" t="s">
        <v>14348</v>
      </c>
      <c r="D872" t="s">
        <v>14349</v>
      </c>
      <c r="E872" t="s">
        <v>14350</v>
      </c>
      <c r="F872" t="s">
        <v>14351</v>
      </c>
      <c r="G872" t="s">
        <v>14352</v>
      </c>
      <c r="H872" t="s">
        <v>14353</v>
      </c>
      <c r="I872" t="s">
        <v>14354</v>
      </c>
      <c r="J872" t="s">
        <v>14355</v>
      </c>
      <c r="K872" t="s">
        <v>14356</v>
      </c>
      <c r="L872" t="s">
        <v>14357</v>
      </c>
      <c r="M872" t="s">
        <v>14358</v>
      </c>
      <c r="N872" t="s">
        <v>14359</v>
      </c>
      <c r="O872">
        <f>-593.730758217882 -23.8745036479875 -761.736755911829</f>
        <v>-1379.3420177776984</v>
      </c>
      <c r="P872">
        <f>-685.498521193451 -149.776112542632 -486.212360374884</f>
        <v>-1321.4869941109669</v>
      </c>
      <c r="Q872">
        <f>-432.165640720157 -172.273909833318 -431.821499699114</f>
        <v>-1036.261050252589</v>
      </c>
      <c r="R872" t="s">
        <v>14360</v>
      </c>
      <c r="S872" t="s">
        <v>14361</v>
      </c>
      <c r="T872" t="s">
        <v>14362</v>
      </c>
      <c r="U872" t="s">
        <v>14363</v>
      </c>
      <c r="V872">
        <f>-717.446334168866 -16.0242843349081 -250.565876808882</f>
        <v>-984.03649531265603</v>
      </c>
      <c r="W872" t="s">
        <v>14364</v>
      </c>
      <c r="X872" t="s">
        <v>14365</v>
      </c>
      <c r="Y872" t="s">
        <v>14366</v>
      </c>
    </row>
    <row r="873" spans="1:25" x14ac:dyDescent="0.3">
      <c r="A873">
        <v>43600</v>
      </c>
      <c r="B873" t="s">
        <v>14367</v>
      </c>
      <c r="C873" t="s">
        <v>14368</v>
      </c>
      <c r="D873" t="s">
        <v>14369</v>
      </c>
      <c r="E873" t="s">
        <v>14370</v>
      </c>
      <c r="F873" t="s">
        <v>14371</v>
      </c>
      <c r="G873" t="s">
        <v>14372</v>
      </c>
      <c r="H873" t="s">
        <v>14373</v>
      </c>
      <c r="I873" t="s">
        <v>14374</v>
      </c>
      <c r="J873" t="s">
        <v>14375</v>
      </c>
      <c r="K873" t="s">
        <v>14376</v>
      </c>
      <c r="L873" t="s">
        <v>14377</v>
      </c>
      <c r="M873" t="s">
        <v>14378</v>
      </c>
      <c r="N873" t="s">
        <v>14379</v>
      </c>
      <c r="O873">
        <f>-586.195795869079 -30.7896059783716 -760.487362701805</f>
        <v>-1377.4727645492555</v>
      </c>
      <c r="P873">
        <f>-678.070994993617 -154.788219215984 -484.137205723104</f>
        <v>-1316.9964199327051</v>
      </c>
      <c r="Q873">
        <f>-423.904086555522 -171.656418349124 -431.632985314415</f>
        <v>-1027.193490219061</v>
      </c>
      <c r="R873" t="s">
        <v>14380</v>
      </c>
      <c r="S873" t="s">
        <v>14381</v>
      </c>
      <c r="T873" t="s">
        <v>14382</v>
      </c>
      <c r="U873" t="s">
        <v>14383</v>
      </c>
      <c r="V873">
        <f>-706.599448912937 -19.1026215249035 -248.778369961644</f>
        <v>-974.48044039948445</v>
      </c>
      <c r="W873" t="s">
        <v>14384</v>
      </c>
      <c r="X873" t="s">
        <v>14385</v>
      </c>
      <c r="Y873" t="s">
        <v>14386</v>
      </c>
    </row>
    <row r="874" spans="1:25" x14ac:dyDescent="0.3">
      <c r="A874">
        <v>43650</v>
      </c>
      <c r="B874" t="s">
        <v>14387</v>
      </c>
      <c r="C874" t="s">
        <v>14388</v>
      </c>
      <c r="D874" t="s">
        <v>14389</v>
      </c>
      <c r="E874" t="s">
        <v>14390</v>
      </c>
      <c r="F874" t="s">
        <v>14391</v>
      </c>
      <c r="G874" t="s">
        <v>14392</v>
      </c>
      <c r="H874" t="s">
        <v>14393</v>
      </c>
      <c r="I874" t="s">
        <v>14394</v>
      </c>
      <c r="J874" t="s">
        <v>14395</v>
      </c>
      <c r="K874" t="s">
        <v>14396</v>
      </c>
      <c r="L874" t="s">
        <v>14397</v>
      </c>
      <c r="M874" t="s">
        <v>14398</v>
      </c>
      <c r="N874" t="s">
        <v>14399</v>
      </c>
      <c r="O874">
        <f>-573.274805565962 -51.0419344417426 -757.473859599101</f>
        <v>-1381.7905996068057</v>
      </c>
      <c r="P874">
        <f>-663.384952479248 -164.916119178831 -476.228475446291</f>
        <v>-1304.5295471043701</v>
      </c>
      <c r="Q874">
        <f>-407.331589795449 -168.912786378669 -430.810918721733</f>
        <v>-1007.0552948958511</v>
      </c>
      <c r="R874" t="s">
        <v>14400</v>
      </c>
      <c r="S874" t="s">
        <v>14401</v>
      </c>
      <c r="T874" t="s">
        <v>14402</v>
      </c>
      <c r="U874" t="s">
        <v>14403</v>
      </c>
      <c r="V874">
        <f>-684.037814188412 -27.5071071848683 -243.963838117849</f>
        <v>-955.50875949112935</v>
      </c>
      <c r="W874" t="s">
        <v>14404</v>
      </c>
      <c r="X874" t="s">
        <v>14405</v>
      </c>
      <c r="Y874" t="s">
        <v>14406</v>
      </c>
    </row>
    <row r="875" spans="1:25" x14ac:dyDescent="0.3">
      <c r="A875">
        <v>43700</v>
      </c>
      <c r="B875" t="s">
        <v>14407</v>
      </c>
      <c r="C875" t="s">
        <v>14408</v>
      </c>
      <c r="D875" t="s">
        <v>14409</v>
      </c>
      <c r="E875" t="s">
        <v>14410</v>
      </c>
      <c r="F875" t="s">
        <v>14411</v>
      </c>
      <c r="G875" t="s">
        <v>14412</v>
      </c>
      <c r="H875" t="s">
        <v>14413</v>
      </c>
      <c r="I875" t="s">
        <v>14414</v>
      </c>
      <c r="J875" t="s">
        <v>14415</v>
      </c>
      <c r="K875" t="s">
        <v>14416</v>
      </c>
      <c r="L875" t="s">
        <v>14417</v>
      </c>
      <c r="M875" t="s">
        <v>14418</v>
      </c>
      <c r="N875" t="s">
        <v>14419</v>
      </c>
      <c r="O875">
        <f>-567.361636328199 -64.6884687911902 -755.058152189657</f>
        <v>-1387.1082573090462</v>
      </c>
      <c r="P875">
        <f>-655.81222960767 -170.727358829002 -470.245216554549</f>
        <v>-1296.7848049912211</v>
      </c>
      <c r="Q875">
        <f>-398.906994433822 -167.975101587877 -429.82048097059</f>
        <v>-996.70257699228898</v>
      </c>
      <c r="R875" t="s">
        <v>14420</v>
      </c>
      <c r="S875" t="s">
        <v>14421</v>
      </c>
      <c r="T875" t="s">
        <v>14422</v>
      </c>
      <c r="U875" t="s">
        <v>14423</v>
      </c>
      <c r="V875">
        <f>-671.806010283641 -32.6511086880275 -241.329780167707</f>
        <v>-945.78689913937546</v>
      </c>
      <c r="W875" t="s">
        <v>14424</v>
      </c>
      <c r="X875" t="s">
        <v>14425</v>
      </c>
      <c r="Y875" t="s">
        <v>14426</v>
      </c>
    </row>
    <row r="876" spans="1:25" x14ac:dyDescent="0.3">
      <c r="A876">
        <v>43750</v>
      </c>
      <c r="B876" t="s">
        <v>14427</v>
      </c>
      <c r="C876" t="s">
        <v>14428</v>
      </c>
      <c r="D876" t="s">
        <v>14429</v>
      </c>
      <c r="E876" t="s">
        <v>14430</v>
      </c>
      <c r="F876" t="s">
        <v>14431</v>
      </c>
      <c r="G876" t="s">
        <v>14432</v>
      </c>
      <c r="H876" t="s">
        <v>14433</v>
      </c>
      <c r="I876" t="s">
        <v>14434</v>
      </c>
      <c r="J876" t="s">
        <v>14435</v>
      </c>
      <c r="K876" t="s">
        <v>14436</v>
      </c>
      <c r="L876" t="s">
        <v>14437</v>
      </c>
      <c r="M876" t="s">
        <v>14438</v>
      </c>
      <c r="N876" t="s">
        <v>14439</v>
      </c>
      <c r="O876">
        <f>-553.635065668028 -93.0602846062395 -748.941380383769</f>
        <v>-1395.6367306580364</v>
      </c>
      <c r="P876">
        <f>-638.655915295604 -179.454713762297 -456.548435424223</f>
        <v>-1274.659064482124</v>
      </c>
      <c r="Q876">
        <f>-381.011468180394 -163.365900035511 -424.885322390463</f>
        <v>-969.26269060636798</v>
      </c>
      <c r="R876" t="s">
        <v>14440</v>
      </c>
      <c r="S876" t="s">
        <v>14441</v>
      </c>
      <c r="T876" t="s">
        <v>14442</v>
      </c>
      <c r="U876" t="s">
        <v>14443</v>
      </c>
      <c r="V876">
        <f>-648.115884061301 -45.0287886914673 -239.65980998954</f>
        <v>-932.80448274230832</v>
      </c>
      <c r="W876" t="s">
        <v>14444</v>
      </c>
      <c r="X876" t="s">
        <v>14445</v>
      </c>
      <c r="Y876" t="s">
        <v>14446</v>
      </c>
    </row>
    <row r="877" spans="1:25" x14ac:dyDescent="0.3">
      <c r="A877">
        <v>43800</v>
      </c>
      <c r="B877" t="s">
        <v>14447</v>
      </c>
      <c r="C877" t="s">
        <v>14448</v>
      </c>
      <c r="D877" t="s">
        <v>14449</v>
      </c>
      <c r="E877" t="s">
        <v>14450</v>
      </c>
      <c r="F877" t="s">
        <v>14451</v>
      </c>
      <c r="G877" t="s">
        <v>14452</v>
      </c>
      <c r="H877" t="s">
        <v>14453</v>
      </c>
      <c r="I877" t="s">
        <v>14454</v>
      </c>
      <c r="J877" t="s">
        <v>14455</v>
      </c>
      <c r="K877" t="s">
        <v>14456</v>
      </c>
      <c r="L877" t="s">
        <v>14457</v>
      </c>
      <c r="M877" t="s">
        <v>14458</v>
      </c>
      <c r="N877" t="s">
        <v>14459</v>
      </c>
      <c r="O877">
        <f>-548.41743675946 -106.925727695944 -746.169190426268</f>
        <v>-1401.5123548816719</v>
      </c>
      <c r="P877">
        <f>-632.561511087125 -184.014994927815 -450.935160960431</f>
        <v>-1267.5116669753711</v>
      </c>
      <c r="Q877">
        <f>-375.005189024732 -161.957107355559 -422.295352061134</f>
        <v>-959.25764844142509</v>
      </c>
      <c r="R877" t="s">
        <v>14460</v>
      </c>
      <c r="S877" t="s">
        <v>14461</v>
      </c>
      <c r="T877" t="s">
        <v>14462</v>
      </c>
      <c r="U877" t="s">
        <v>14463</v>
      </c>
      <c r="V877">
        <f>-641.325422289007 -51.0654505913503 -239.424715437178</f>
        <v>-931.81558831753523</v>
      </c>
      <c r="W877" t="s">
        <v>14464</v>
      </c>
      <c r="X877" t="s">
        <v>14465</v>
      </c>
      <c r="Y877" t="s">
        <v>14466</v>
      </c>
    </row>
    <row r="878" spans="1:25" x14ac:dyDescent="0.3">
      <c r="A878">
        <v>43850</v>
      </c>
      <c r="B878" t="s">
        <v>14467</v>
      </c>
      <c r="C878" t="s">
        <v>14468</v>
      </c>
      <c r="D878" t="s">
        <v>14469</v>
      </c>
      <c r="E878" t="s">
        <v>14470</v>
      </c>
      <c r="F878" t="s">
        <v>14471</v>
      </c>
      <c r="G878" t="s">
        <v>14472</v>
      </c>
      <c r="H878" t="s">
        <v>14473</v>
      </c>
      <c r="I878" t="s">
        <v>14474</v>
      </c>
      <c r="J878" t="s">
        <v>14475</v>
      </c>
      <c r="K878" t="s">
        <v>14476</v>
      </c>
      <c r="L878" t="s">
        <v>14477</v>
      </c>
      <c r="M878" t="s">
        <v>14478</v>
      </c>
      <c r="N878" t="s">
        <v>14479</v>
      </c>
      <c r="O878">
        <f>-536.444562756046 -133.607903444845 -732.512015440391</f>
        <v>-1402.5644816412819</v>
      </c>
      <c r="P878">
        <f>-621.649686464883 -191.900366600279 -433.299305105347</f>
        <v>-1246.8493581705088</v>
      </c>
      <c r="Q878">
        <f>-364.48772049703 -159.885009505099 -411.282051542576</f>
        <v>-935.65478154470497</v>
      </c>
      <c r="R878" t="s">
        <v>14480</v>
      </c>
      <c r="S878" t="s">
        <v>14481</v>
      </c>
      <c r="T878" t="s">
        <v>14482</v>
      </c>
      <c r="U878" t="s">
        <v>14483</v>
      </c>
      <c r="V878">
        <f>-627.100066988552 -57.0349349255803 -232.856754022263</f>
        <v>-916.99175593639529</v>
      </c>
      <c r="W878" t="s">
        <v>14484</v>
      </c>
      <c r="X878" t="s">
        <v>14485</v>
      </c>
      <c r="Y878" t="s">
        <v>14486</v>
      </c>
    </row>
    <row r="879" spans="1:25" x14ac:dyDescent="0.3">
      <c r="A879">
        <v>43900</v>
      </c>
      <c r="B879" t="s">
        <v>14487</v>
      </c>
      <c r="C879" t="s">
        <v>14488</v>
      </c>
      <c r="D879" t="s">
        <v>14489</v>
      </c>
      <c r="E879" t="s">
        <v>14490</v>
      </c>
      <c r="F879" t="s">
        <v>14491</v>
      </c>
      <c r="G879" t="s">
        <v>14492</v>
      </c>
      <c r="H879" t="s">
        <v>14493</v>
      </c>
      <c r="I879" t="s">
        <v>14494</v>
      </c>
      <c r="J879" t="s">
        <v>14495</v>
      </c>
      <c r="K879" t="s">
        <v>14496</v>
      </c>
      <c r="L879" t="s">
        <v>14497</v>
      </c>
      <c r="M879" t="s">
        <v>14498</v>
      </c>
      <c r="N879" t="s">
        <v>14499</v>
      </c>
      <c r="O879">
        <f>-528.082096131908 -142.167025773092 -724.298928639295</f>
        <v>-1394.5480505442952</v>
      </c>
      <c r="P879">
        <f>-614.864584629593 -190.544628503753 -423.774959509986</f>
        <v>-1229.184172643332</v>
      </c>
      <c r="Q879">
        <f>-357.897317125093 -154.857070000744 -405.437196011783</f>
        <v>-918.19158313762</v>
      </c>
      <c r="R879" t="s">
        <v>14500</v>
      </c>
      <c r="S879" t="s">
        <v>14501</v>
      </c>
      <c r="T879" t="s">
        <v>14502</v>
      </c>
      <c r="U879" t="s">
        <v>14503</v>
      </c>
      <c r="V879">
        <f>-619.614959554024 -56.8322912340836 -230.277161288192</f>
        <v>-906.7244120762997</v>
      </c>
      <c r="W879" t="s">
        <v>14504</v>
      </c>
      <c r="X879" t="s">
        <v>14505</v>
      </c>
      <c r="Y879" t="s">
        <v>14506</v>
      </c>
    </row>
    <row r="880" spans="1:25" x14ac:dyDescent="0.3">
      <c r="A880">
        <v>43950</v>
      </c>
      <c r="B880" t="s">
        <v>14507</v>
      </c>
      <c r="C880" t="s">
        <v>14508</v>
      </c>
      <c r="D880" t="s">
        <v>14509</v>
      </c>
      <c r="E880" t="s">
        <v>14510</v>
      </c>
      <c r="F880" t="s">
        <v>14511</v>
      </c>
      <c r="G880" t="s">
        <v>14512</v>
      </c>
      <c r="H880" t="s">
        <v>14513</v>
      </c>
      <c r="I880" t="s">
        <v>14514</v>
      </c>
      <c r="J880" t="s">
        <v>14515</v>
      </c>
      <c r="K880" t="s">
        <v>14516</v>
      </c>
      <c r="L880" t="s">
        <v>14517</v>
      </c>
      <c r="M880" t="s">
        <v>14518</v>
      </c>
      <c r="N880">
        <f>-532.517928131422 -14.2851968293021 -750.709805773118</f>
        <v>-1297.512930733842</v>
      </c>
      <c r="O880">
        <f>-514.836199935741 -154.576020912577 -710.570265438055</f>
        <v>-1379.9824862863729</v>
      </c>
      <c r="P880">
        <f>-604.26768623335 -184.933124110511 -408.466490480867</f>
        <v>-1197.667300824728</v>
      </c>
      <c r="Q880">
        <f>-347.809491436493 -142.924364581985 -398.143860851439</f>
        <v>-888.87771686991698</v>
      </c>
      <c r="R880" t="s">
        <v>14519</v>
      </c>
      <c r="S880" t="s">
        <v>14520</v>
      </c>
      <c r="T880" t="s">
        <v>14521</v>
      </c>
      <c r="U880" t="s">
        <v>14522</v>
      </c>
      <c r="V880">
        <f>-611.887816543088 -57.1564419660106 -227.829519836549</f>
        <v>-896.87377834564757</v>
      </c>
      <c r="W880" t="s">
        <v>14523</v>
      </c>
      <c r="X880" t="s">
        <v>14524</v>
      </c>
      <c r="Y880" t="s">
        <v>14525</v>
      </c>
    </row>
    <row r="881" spans="1:25" x14ac:dyDescent="0.3">
      <c r="A881">
        <v>44000</v>
      </c>
      <c r="B881" t="s">
        <v>14526</v>
      </c>
      <c r="C881" t="s">
        <v>14527</v>
      </c>
      <c r="D881" t="s">
        <v>14528</v>
      </c>
      <c r="E881" t="s">
        <v>14529</v>
      </c>
      <c r="F881" t="s">
        <v>14530</v>
      </c>
      <c r="G881" t="s">
        <v>14531</v>
      </c>
      <c r="H881" t="s">
        <v>14532</v>
      </c>
      <c r="I881" t="s">
        <v>14533</v>
      </c>
      <c r="J881" t="s">
        <v>14534</v>
      </c>
      <c r="K881" t="s">
        <v>14535</v>
      </c>
      <c r="L881" t="s">
        <v>14536</v>
      </c>
      <c r="M881" t="s">
        <v>14537</v>
      </c>
      <c r="N881">
        <f>-528.24676123719 -22.6934811071924 -748.364477789309</f>
        <v>-1299.3047201336913</v>
      </c>
      <c r="O881">
        <f>-510.428842671093 -162.005640668216 -704.8929948663</f>
        <v>-1377.3274782056089</v>
      </c>
      <c r="P881">
        <f>-599.143329654094 -184.898877225188 -401.921288890369</f>
        <v>-1185.963495769651</v>
      </c>
      <c r="Q881">
        <f>-342.876169540792 -141.108090273423 -394.744509025807</f>
        <v>-878.72876884002198</v>
      </c>
      <c r="R881" t="s">
        <v>14538</v>
      </c>
      <c r="S881" t="s">
        <v>14539</v>
      </c>
      <c r="T881" t="s">
        <v>14540</v>
      </c>
      <c r="U881" t="s">
        <v>14541</v>
      </c>
      <c r="V881">
        <f>-608.554240032012 -58.4309456094372 -227.139222728341</f>
        <v>-894.12440836979022</v>
      </c>
      <c r="W881" t="s">
        <v>14542</v>
      </c>
      <c r="X881" t="s">
        <v>14543</v>
      </c>
      <c r="Y881" t="s">
        <v>14544</v>
      </c>
    </row>
    <row r="882" spans="1:25" x14ac:dyDescent="0.3">
      <c r="A882">
        <v>44050</v>
      </c>
      <c r="B882" t="s">
        <v>14545</v>
      </c>
      <c r="C882" t="s">
        <v>14546</v>
      </c>
      <c r="D882" t="s">
        <v>14547</v>
      </c>
      <c r="E882" t="s">
        <v>14548</v>
      </c>
      <c r="F882" t="s">
        <v>14549</v>
      </c>
      <c r="G882" t="s">
        <v>14550</v>
      </c>
      <c r="H882">
        <f>-505.218080215205 -16.4788028392022 -814.364255297096</f>
        <v>-1336.0611383515031</v>
      </c>
      <c r="I882">
        <f>-434.601779959006 -18.749028814603 -887.788765260168</f>
        <v>-1341.1395740337771</v>
      </c>
      <c r="J882" t="s">
        <v>14551</v>
      </c>
      <c r="K882" t="s">
        <v>14552</v>
      </c>
      <c r="L882" t="s">
        <v>14553</v>
      </c>
      <c r="M882" t="s">
        <v>14554</v>
      </c>
      <c r="N882">
        <f>-524.027228935741 -38.1937528790527 -745.606694335068</f>
        <v>-1307.8276761498619</v>
      </c>
      <c r="O882">
        <f>-507.635618539784 -176.060312650553 -697.197250968862</f>
        <v>-1380.8931821591991</v>
      </c>
      <c r="P882">
        <f>-592.271907753023 -182.633348259441 -392.271642345964</f>
        <v>-1167.1768983584279</v>
      </c>
      <c r="Q882">
        <f>-335.85779645707 -139.142243455825 -390.731708446013</f>
        <v>-865.73174835890791</v>
      </c>
      <c r="R882" t="s">
        <v>14555</v>
      </c>
      <c r="S882" t="s">
        <v>14556</v>
      </c>
      <c r="T882" t="s">
        <v>14557</v>
      </c>
      <c r="U882" t="s">
        <v>14558</v>
      </c>
      <c r="V882">
        <f>-603.737231857565 -59.6986993295711 -226.421690697509</f>
        <v>-889.85762188464514</v>
      </c>
      <c r="W882" t="s">
        <v>14559</v>
      </c>
      <c r="X882" t="s">
        <v>14560</v>
      </c>
      <c r="Y882" t="s">
        <v>14561</v>
      </c>
    </row>
    <row r="883" spans="1:25" x14ac:dyDescent="0.3">
      <c r="A883">
        <v>44100</v>
      </c>
      <c r="B883" t="s">
        <v>14562</v>
      </c>
      <c r="C883" t="s">
        <v>14563</v>
      </c>
      <c r="D883" t="s">
        <v>14564</v>
      </c>
      <c r="E883" t="s">
        <v>14565</v>
      </c>
      <c r="F883" t="s">
        <v>14566</v>
      </c>
      <c r="G883">
        <f>-564.608187152435 -0.635720177640451 -675.527675833966</f>
        <v>-1240.7715831640414</v>
      </c>
      <c r="H883">
        <f>-506.628235500096 -22.4086358663051 -814.68313717908</f>
        <v>-1343.7200085454811</v>
      </c>
      <c r="I883">
        <f>-436.439048960578 -26.298556727997 -888.448682817351</f>
        <v>-1351.1862885059261</v>
      </c>
      <c r="J883" t="s">
        <v>14567</v>
      </c>
      <c r="K883" t="s">
        <v>14568</v>
      </c>
      <c r="L883" t="s">
        <v>14569</v>
      </c>
      <c r="M883" t="s">
        <v>14570</v>
      </c>
      <c r="N883">
        <f>-525.174865806413 -42.8024312941152 -745.45139706831</f>
        <v>-1313.4286941688383</v>
      </c>
      <c r="O883">
        <f>-510.007393785424 -180.161825815396 -695.193260288816</f>
        <v>-1385.362479889636</v>
      </c>
      <c r="P883">
        <f>-591.38570645661 -178.755642426443 -389.31464112749</f>
        <v>-1159.455990010543</v>
      </c>
      <c r="Q883">
        <f>-334.679911469266 -136.994463068198 -389.764277538637</f>
        <v>-861.43865207610099</v>
      </c>
      <c r="R883" t="s">
        <v>14571</v>
      </c>
      <c r="S883" t="s">
        <v>14572</v>
      </c>
      <c r="T883" t="s">
        <v>14573</v>
      </c>
      <c r="U883" t="s">
        <v>14574</v>
      </c>
      <c r="V883">
        <f>-602.38730285595 -57.8726904558421 -226.552901980497</f>
        <v>-886.81289529228911</v>
      </c>
      <c r="W883" t="s">
        <v>14575</v>
      </c>
      <c r="X883" t="s">
        <v>14576</v>
      </c>
      <c r="Y883" t="s">
        <v>14577</v>
      </c>
    </row>
    <row r="884" spans="1:25" x14ac:dyDescent="0.3">
      <c r="A884">
        <v>44150</v>
      </c>
      <c r="B884" t="s">
        <v>14578</v>
      </c>
      <c r="C884" t="s">
        <v>14579</v>
      </c>
      <c r="D884" t="s">
        <v>14580</v>
      </c>
      <c r="E884" t="s">
        <v>14581</v>
      </c>
      <c r="F884" t="s">
        <v>14582</v>
      </c>
      <c r="G884" t="s">
        <v>14583</v>
      </c>
      <c r="H884">
        <f>-517.15426301226 -26.3665355260448 -816.65585821015</f>
        <v>-1360.1766567484547</v>
      </c>
      <c r="I884">
        <f>-448.619467348473 -33.6601224585015 -891.707580271897</f>
        <v>-1373.9871700788715</v>
      </c>
      <c r="J884" t="s">
        <v>14584</v>
      </c>
      <c r="K884" t="s">
        <v>14585</v>
      </c>
      <c r="L884" t="s">
        <v>14586</v>
      </c>
      <c r="M884" t="s">
        <v>14587</v>
      </c>
      <c r="N884">
        <f>-534.625882006711 -44.280222420037 -746.464870828634</f>
        <v>-1325.3709752553821</v>
      </c>
      <c r="O884">
        <f>-522.809690281376 -180.692148066926 -692.930675712407</f>
        <v>-1396.4325140607091</v>
      </c>
      <c r="P884">
        <f>-595.801386400815 -160.928335259356 -385.574568275026</f>
        <v>-1142.3042899351969</v>
      </c>
      <c r="Q884">
        <f>-338.569715379322 -124.793768195326 -398.542908075133</f>
        <v>-861.90639164978097</v>
      </c>
      <c r="R884" t="s">
        <v>14588</v>
      </c>
      <c r="S884" t="s">
        <v>14589</v>
      </c>
      <c r="T884" t="s">
        <v>14590</v>
      </c>
      <c r="U884" t="s">
        <v>14591</v>
      </c>
      <c r="V884">
        <f>-604.010570996538 -50.4321124158137 -227.584039545762</f>
        <v>-882.02672295811374</v>
      </c>
      <c r="W884" t="s">
        <v>14592</v>
      </c>
      <c r="X884" t="s">
        <v>14593</v>
      </c>
      <c r="Y884" t="s">
        <v>14594</v>
      </c>
    </row>
    <row r="885" spans="1:25" x14ac:dyDescent="0.3">
      <c r="A885">
        <v>44200</v>
      </c>
      <c r="B885" t="s">
        <v>14595</v>
      </c>
      <c r="C885" t="s">
        <v>14596</v>
      </c>
      <c r="D885" t="s">
        <v>14597</v>
      </c>
      <c r="E885" t="s">
        <v>14598</v>
      </c>
      <c r="F885" t="s">
        <v>14599</v>
      </c>
      <c r="G885" t="s">
        <v>14600</v>
      </c>
      <c r="H885">
        <f>-525.056618953956 -24.4472633604055 -817.580340661154</f>
        <v>-1367.0842229755153</v>
      </c>
      <c r="I885">
        <f>-457.62734901435 -33.4492835965702 -893.443648749639</f>
        <v>-1384.5202813605592</v>
      </c>
      <c r="J885" t="s">
        <v>14601</v>
      </c>
      <c r="K885" t="s">
        <v>14602</v>
      </c>
      <c r="L885" t="s">
        <v>14603</v>
      </c>
      <c r="M885" t="s">
        <v>14604</v>
      </c>
      <c r="N885">
        <f>-541.863186210672 -41.27728476896 -746.960218538195</f>
        <v>-1330.100689517827</v>
      </c>
      <c r="O885">
        <f>-531.810227792019 -177.277686219195 -691.981959225654</f>
        <v>-1401.069873236868</v>
      </c>
      <c r="P885">
        <f>-600.982870215933 -147.914116566283 -384.509935018061</f>
        <v>-1133.4069218002769</v>
      </c>
      <c r="Q885">
        <f>-343.249244353679 -119.228725863292 -404.323496627432</f>
        <v>-866.80146684440297</v>
      </c>
      <c r="R885" t="s">
        <v>14605</v>
      </c>
      <c r="S885" t="s">
        <v>14606</v>
      </c>
      <c r="T885" t="s">
        <v>14607</v>
      </c>
      <c r="U885" t="s">
        <v>14608</v>
      </c>
      <c r="V885">
        <f>-606.191500158479 -44.5690658126609 -228.26583905773</f>
        <v>-879.02640502886993</v>
      </c>
      <c r="W885" t="s">
        <v>14609</v>
      </c>
      <c r="X885" t="s">
        <v>14610</v>
      </c>
      <c r="Y885" t="s">
        <v>14611</v>
      </c>
    </row>
    <row r="886" spans="1:25" x14ac:dyDescent="0.3">
      <c r="A886">
        <v>44250</v>
      </c>
      <c r="B886" t="s">
        <v>14612</v>
      </c>
      <c r="C886" t="s">
        <v>14613</v>
      </c>
      <c r="D886" t="s">
        <v>14614</v>
      </c>
      <c r="E886" t="s">
        <v>14615</v>
      </c>
      <c r="F886" t="s">
        <v>14616</v>
      </c>
      <c r="G886" t="s">
        <v>14617</v>
      </c>
      <c r="H886">
        <f>-545.931028471383 -14.135948311171 -819.710371481632</f>
        <v>-1379.777348264186</v>
      </c>
      <c r="I886">
        <f>-480.789773290393 -26.1439619903128 -897.140414090013</f>
        <v>-1404.0741493707187</v>
      </c>
      <c r="J886" t="s">
        <v>14618</v>
      </c>
      <c r="K886" t="s">
        <v>14619</v>
      </c>
      <c r="L886" t="s">
        <v>14620</v>
      </c>
      <c r="M886" t="s">
        <v>14621</v>
      </c>
      <c r="N886">
        <f>-561.534752684423 -29.800803343152 -748.548107625646</f>
        <v>-1339.883663653221</v>
      </c>
      <c r="O886">
        <f>-555.753807384482 -165.454882332822 -692.127310016017</f>
        <v>-1413.3359997333209</v>
      </c>
      <c r="P886">
        <f>-615.130057054823 -122.596286083748 -384.192465169813</f>
        <v>-1121.9188083083841</v>
      </c>
      <c r="Q886">
        <f>-356.685125712766 -111.010986215087 -410.913999230778</f>
        <v>-878.61011115863107</v>
      </c>
      <c r="R886" t="s">
        <v>14622</v>
      </c>
      <c r="S886" t="s">
        <v>14623</v>
      </c>
      <c r="T886" t="s">
        <v>14624</v>
      </c>
      <c r="U886" t="s">
        <v>14625</v>
      </c>
      <c r="V886">
        <f>-612.819786754814 -30.4543548420577 -229.216658822043</f>
        <v>-872.49080041891466</v>
      </c>
      <c r="W886" t="s">
        <v>14626</v>
      </c>
      <c r="X886" t="s">
        <v>14627</v>
      </c>
      <c r="Y886" t="s">
        <v>14628</v>
      </c>
    </row>
    <row r="887" spans="1:25" x14ac:dyDescent="0.3">
      <c r="A887">
        <v>44300</v>
      </c>
      <c r="B887" t="s">
        <v>14629</v>
      </c>
      <c r="C887" t="s">
        <v>14630</v>
      </c>
      <c r="D887" t="s">
        <v>14631</v>
      </c>
      <c r="E887" t="s">
        <v>14632</v>
      </c>
      <c r="F887" t="s">
        <v>14633</v>
      </c>
      <c r="G887" t="s">
        <v>14634</v>
      </c>
      <c r="H887">
        <f>-554.859572102825 -5.90937859238829 -821.37621752814</f>
        <v>-1382.1451682233533</v>
      </c>
      <c r="I887">
        <f>-490.890190878221 -18.8212820449621 -899.633335756301</f>
        <v>-1409.3448086794842</v>
      </c>
      <c r="J887" t="s">
        <v>14635</v>
      </c>
      <c r="K887" t="s">
        <v>14636</v>
      </c>
      <c r="L887" t="s">
        <v>14637</v>
      </c>
      <c r="M887" t="s">
        <v>14638</v>
      </c>
      <c r="N887">
        <f>-569.925914646364 -21.6927620832914 -750.124517419268</f>
        <v>-1341.7431941489235</v>
      </c>
      <c r="O887">
        <f>-566.552432666114 -158.019938243987 -694.786245450724</f>
        <v>-1419.358616360825</v>
      </c>
      <c r="P887">
        <f>-621.592552857701 -113.87726237949 -386.227989461696</f>
        <v>-1121.697804698887</v>
      </c>
      <c r="Q887">
        <f>-362.84991071741 -107.299358796625 -411.743430228624</f>
        <v>-881.89269974265903</v>
      </c>
      <c r="R887" t="s">
        <v>14639</v>
      </c>
      <c r="S887" t="s">
        <v>14640</v>
      </c>
      <c r="T887" t="s">
        <v>14641</v>
      </c>
      <c r="U887" t="s">
        <v>14642</v>
      </c>
      <c r="V887">
        <f>-616.337533024666 -23.2380850842007 -229.476635631932</f>
        <v>-869.05225374079873</v>
      </c>
      <c r="W887" t="s">
        <v>14643</v>
      </c>
      <c r="X887" t="s">
        <v>14644</v>
      </c>
      <c r="Y887" t="s">
        <v>14645</v>
      </c>
    </row>
    <row r="888" spans="1:25" x14ac:dyDescent="0.3">
      <c r="A888">
        <v>44350</v>
      </c>
      <c r="B888" t="s">
        <v>14646</v>
      </c>
      <c r="C888" t="s">
        <v>14647</v>
      </c>
      <c r="D888" t="s">
        <v>14648</v>
      </c>
      <c r="E888" t="s">
        <v>14649</v>
      </c>
      <c r="F888" t="s">
        <v>14650</v>
      </c>
      <c r="G888" t="s">
        <v>14651</v>
      </c>
      <c r="H888" t="s">
        <v>14652</v>
      </c>
      <c r="I888" t="s">
        <v>14653</v>
      </c>
      <c r="J888" t="s">
        <v>14654</v>
      </c>
      <c r="K888" t="s">
        <v>14655</v>
      </c>
      <c r="L888" t="s">
        <v>14656</v>
      </c>
      <c r="M888" t="s">
        <v>14657</v>
      </c>
      <c r="N888">
        <f>-579.280475352853 -1.09214841643916 -755.024686813132</f>
        <v>-1335.3973105824243</v>
      </c>
      <c r="O888">
        <f>-579.286420478407 -138.960711646429 -703.870086669607</f>
        <v>-1422.117218794443</v>
      </c>
      <c r="P888">
        <f>-632.985003312302 -104.499362079564 -393.845816043697</f>
        <v>-1131.330181435563</v>
      </c>
      <c r="Q888">
        <f>-373.874866703487 -99.6500562181034 -415.765797609223</f>
        <v>-889.29072053081336</v>
      </c>
      <c r="R888" t="s">
        <v>14658</v>
      </c>
      <c r="S888" t="s">
        <v>14659</v>
      </c>
      <c r="T888" t="s">
        <v>14660</v>
      </c>
      <c r="U888" t="s">
        <v>14661</v>
      </c>
      <c r="V888">
        <f>-623.911788485795 -10.2479395653741 -230.734346521788</f>
        <v>-864.89407457295704</v>
      </c>
      <c r="W888" t="s">
        <v>14662</v>
      </c>
      <c r="X888" t="s">
        <v>14663</v>
      </c>
      <c r="Y888" t="s">
        <v>14664</v>
      </c>
    </row>
    <row r="889" spans="1:25" x14ac:dyDescent="0.3">
      <c r="A889">
        <v>44400</v>
      </c>
      <c r="B889" t="s">
        <v>14665</v>
      </c>
      <c r="C889" t="s">
        <v>14666</v>
      </c>
      <c r="D889" t="s">
        <v>14667</v>
      </c>
      <c r="E889" t="s">
        <v>14668</v>
      </c>
      <c r="F889" t="s">
        <v>14669</v>
      </c>
      <c r="G889" t="s">
        <v>14670</v>
      </c>
      <c r="H889" t="s">
        <v>14671</v>
      </c>
      <c r="I889" t="s">
        <v>14672</v>
      </c>
      <c r="J889" t="s">
        <v>14673</v>
      </c>
      <c r="K889" t="s">
        <v>14674</v>
      </c>
      <c r="L889" t="s">
        <v>14675</v>
      </c>
      <c r="M889" t="s">
        <v>14676</v>
      </c>
      <c r="N889" t="s">
        <v>14677</v>
      </c>
      <c r="O889">
        <f>-586.548736897619 -130.458299634329 -712.024929717293</f>
        <v>-1429.0319662492411</v>
      </c>
      <c r="P889">
        <f>-639.91713942543 -102.429093191918 -401.296072625794</f>
        <v>-1143.6423052431421</v>
      </c>
      <c r="Q889">
        <f>-380.825300437589 -98.0566021264226 -423.5303649641</f>
        <v>-902.41226752811167</v>
      </c>
      <c r="R889" t="s">
        <v>14678</v>
      </c>
      <c r="S889" t="s">
        <v>14679</v>
      </c>
      <c r="T889" t="s">
        <v>14680</v>
      </c>
      <c r="U889" t="s">
        <v>14681</v>
      </c>
      <c r="V889">
        <f>-628.489287660375 -6.01119391442626 -234.090162160309</f>
        <v>-868.59064373511023</v>
      </c>
      <c r="W889" t="s">
        <v>14682</v>
      </c>
      <c r="X889" t="s">
        <v>14683</v>
      </c>
      <c r="Y889" t="s">
        <v>14684</v>
      </c>
    </row>
    <row r="890" spans="1:25" x14ac:dyDescent="0.3">
      <c r="A890">
        <v>44450</v>
      </c>
      <c r="B890" t="s">
        <v>14685</v>
      </c>
      <c r="C890" t="s">
        <v>14686</v>
      </c>
      <c r="D890" t="s">
        <v>14687</v>
      </c>
      <c r="E890" t="s">
        <v>14688</v>
      </c>
      <c r="F890" t="s">
        <v>14689</v>
      </c>
      <c r="G890" t="s">
        <v>14690</v>
      </c>
      <c r="H890" t="s">
        <v>14691</v>
      </c>
      <c r="I890" t="s">
        <v>14692</v>
      </c>
      <c r="J890" t="s">
        <v>14693</v>
      </c>
      <c r="K890" t="s">
        <v>14694</v>
      </c>
      <c r="L890" t="s">
        <v>14695</v>
      </c>
      <c r="M890" t="s">
        <v>14696</v>
      </c>
      <c r="N890" t="s">
        <v>14697</v>
      </c>
      <c r="O890">
        <f>-596.959914719733 -117.027665774237 -724.748142824577</f>
        <v>-1438.7357233185471</v>
      </c>
      <c r="P890">
        <f>-646.933686957527 -100.138226330445 -412.652697337126</f>
        <v>-1159.7246106250982</v>
      </c>
      <c r="Q890">
        <f>-387.421463154752 -99.3542764015115 -429.824440589985</f>
        <v>-916.60018014624848</v>
      </c>
      <c r="R890" t="s">
        <v>14698</v>
      </c>
      <c r="S890" t="s">
        <v>14699</v>
      </c>
      <c r="T890" t="s">
        <v>14700</v>
      </c>
      <c r="U890" t="s">
        <v>14701</v>
      </c>
      <c r="V890">
        <f>-637.088323089427 -1.53793745960093 -238.601156692107</f>
        <v>-877.22741724113496</v>
      </c>
      <c r="W890" t="s">
        <v>14702</v>
      </c>
      <c r="X890" t="s">
        <v>14703</v>
      </c>
      <c r="Y890" t="s">
        <v>14704</v>
      </c>
    </row>
    <row r="891" spans="1:25" x14ac:dyDescent="0.3">
      <c r="A891">
        <v>44500</v>
      </c>
      <c r="B891" t="s">
        <v>14705</v>
      </c>
      <c r="C891" t="s">
        <v>14706</v>
      </c>
      <c r="D891" t="s">
        <v>14707</v>
      </c>
      <c r="E891" t="s">
        <v>14708</v>
      </c>
      <c r="F891" t="s">
        <v>14709</v>
      </c>
      <c r="G891" t="s">
        <v>14710</v>
      </c>
      <c r="H891" t="s">
        <v>14711</v>
      </c>
      <c r="I891" t="s">
        <v>14712</v>
      </c>
      <c r="J891" t="s">
        <v>14713</v>
      </c>
      <c r="K891" t="s">
        <v>14714</v>
      </c>
      <c r="L891" t="s">
        <v>14715</v>
      </c>
      <c r="M891" t="s">
        <v>14716</v>
      </c>
      <c r="N891" t="s">
        <v>14717</v>
      </c>
      <c r="O891">
        <f>-600.854940983647 -111.044390192268 -729.282107680183</f>
        <v>-1441.1814388560979</v>
      </c>
      <c r="P891">
        <f>-651.644107816901 -99.3124816486265 -417.081869130717</f>
        <v>-1168.0384585962447</v>
      </c>
      <c r="Q891">
        <f>-392.073626170821 -100.151022420175 -433.346231809962</f>
        <v>-925.570880400958</v>
      </c>
      <c r="R891" t="s">
        <v>14718</v>
      </c>
      <c r="S891" t="s">
        <v>14719</v>
      </c>
      <c r="T891" t="s">
        <v>14720</v>
      </c>
      <c r="U891" t="s">
        <v>14721</v>
      </c>
      <c r="V891">
        <f>-640.210548625296 -0.0920175449555245 -240.101538540619</f>
        <v>-880.40410471087057</v>
      </c>
      <c r="W891" t="s">
        <v>14722</v>
      </c>
      <c r="X891" t="s">
        <v>14723</v>
      </c>
      <c r="Y891" t="s">
        <v>14724</v>
      </c>
    </row>
    <row r="892" spans="1:25" x14ac:dyDescent="0.3">
      <c r="A892">
        <v>44550</v>
      </c>
      <c r="B892" t="s">
        <v>14725</v>
      </c>
      <c r="C892" t="s">
        <v>14726</v>
      </c>
      <c r="D892" t="s">
        <v>14727</v>
      </c>
      <c r="E892" t="s">
        <v>14728</v>
      </c>
      <c r="F892" t="s">
        <v>14729</v>
      </c>
      <c r="G892" t="s">
        <v>14730</v>
      </c>
      <c r="H892" t="s">
        <v>14731</v>
      </c>
      <c r="I892" t="s">
        <v>14732</v>
      </c>
      <c r="J892" t="s">
        <v>14733</v>
      </c>
      <c r="K892" t="s">
        <v>14734</v>
      </c>
      <c r="L892" t="s">
        <v>14735</v>
      </c>
      <c r="M892" t="s">
        <v>14736</v>
      </c>
      <c r="N892" t="s">
        <v>14737</v>
      </c>
      <c r="O892">
        <f>-609.394414602742 -97.9875716355257 -738.238426470327</f>
        <v>-1445.6204127085948</v>
      </c>
      <c r="P892">
        <f>-660.813660720476 -94.6705474526536 -425.938424813203</f>
        <v>-1181.4226329863327</v>
      </c>
      <c r="Q892">
        <f>-400.996953026383 -98.145402323466 -437.129785888395</f>
        <v>-936.27214123824399</v>
      </c>
      <c r="R892" t="s">
        <v>14738</v>
      </c>
      <c r="S892" t="s">
        <v>14739</v>
      </c>
      <c r="T892" t="s">
        <v>14740</v>
      </c>
      <c r="U892" t="s">
        <v>14741</v>
      </c>
      <c r="V892" t="s">
        <v>14742</v>
      </c>
      <c r="W892" t="s">
        <v>14743</v>
      </c>
      <c r="X892" t="s">
        <v>14744</v>
      </c>
      <c r="Y892" t="s">
        <v>14745</v>
      </c>
    </row>
    <row r="893" spans="1:25" x14ac:dyDescent="0.3">
      <c r="A893">
        <v>44600</v>
      </c>
      <c r="B893" t="s">
        <v>14746</v>
      </c>
      <c r="C893" t="s">
        <v>14747</v>
      </c>
      <c r="D893" t="s">
        <v>14748</v>
      </c>
      <c r="E893" t="s">
        <v>14749</v>
      </c>
      <c r="F893" t="s">
        <v>14750</v>
      </c>
      <c r="G893" t="s">
        <v>14751</v>
      </c>
      <c r="H893" t="s">
        <v>14752</v>
      </c>
      <c r="I893" t="s">
        <v>14753</v>
      </c>
      <c r="J893" t="s">
        <v>14754</v>
      </c>
      <c r="K893" t="s">
        <v>14755</v>
      </c>
      <c r="L893" t="s">
        <v>14756</v>
      </c>
      <c r="M893" t="s">
        <v>14757</v>
      </c>
      <c r="N893" t="s">
        <v>14758</v>
      </c>
      <c r="O893">
        <f>-613.165896714965 -91.7132432730277 -742.246338586912</f>
        <v>-1447.1254785749047</v>
      </c>
      <c r="P893">
        <f>-665.684596893477 -90.7779330804528 -430.113321148538</f>
        <v>-1186.5758511224678</v>
      </c>
      <c r="Q893">
        <f>-405.798091044468 -96.5248347636077 -438.361460155693</f>
        <v>-940.6843859637687</v>
      </c>
      <c r="R893" t="s">
        <v>14759</v>
      </c>
      <c r="S893" t="s">
        <v>14760</v>
      </c>
      <c r="T893" t="s">
        <v>14761</v>
      </c>
      <c r="U893" t="s">
        <v>14762</v>
      </c>
      <c r="V893" t="s">
        <v>14763</v>
      </c>
      <c r="W893" t="s">
        <v>14764</v>
      </c>
      <c r="X893" t="s">
        <v>14765</v>
      </c>
      <c r="Y893" t="s">
        <v>14766</v>
      </c>
    </row>
    <row r="894" spans="1:25" x14ac:dyDescent="0.3">
      <c r="A894">
        <v>44650</v>
      </c>
      <c r="B894" t="s">
        <v>14767</v>
      </c>
      <c r="C894" t="s">
        <v>14768</v>
      </c>
      <c r="D894" t="s">
        <v>14769</v>
      </c>
      <c r="E894" t="s">
        <v>14770</v>
      </c>
      <c r="F894" t="s">
        <v>14771</v>
      </c>
      <c r="G894" t="s">
        <v>14772</v>
      </c>
      <c r="H894" t="s">
        <v>14773</v>
      </c>
      <c r="I894" t="s">
        <v>14774</v>
      </c>
      <c r="J894" t="s">
        <v>14775</v>
      </c>
      <c r="K894" t="s">
        <v>14776</v>
      </c>
      <c r="L894" t="s">
        <v>14777</v>
      </c>
      <c r="M894" t="s">
        <v>14778</v>
      </c>
      <c r="N894" t="s">
        <v>14779</v>
      </c>
      <c r="O894">
        <f>-616.397283881068 -86.7089060036747 -745.731035887825</f>
        <v>-1448.8372257725678</v>
      </c>
      <c r="P894">
        <f>-669.862119342358 -87.4969630159551 -433.758207855617</f>
        <v>-1191.1172902139301</v>
      </c>
      <c r="Q894">
        <f>-409.955401380192 -96.412706587332 -437.084723027972</f>
        <v>-943.45283099549602</v>
      </c>
      <c r="R894" t="s">
        <v>14780</v>
      </c>
      <c r="S894" t="s">
        <v>14781</v>
      </c>
      <c r="T894" t="s">
        <v>14782</v>
      </c>
      <c r="U894" t="s">
        <v>14783</v>
      </c>
      <c r="V894" t="s">
        <v>14784</v>
      </c>
      <c r="W894" t="s">
        <v>14785</v>
      </c>
      <c r="X894" t="s">
        <v>14786</v>
      </c>
      <c r="Y894" t="s">
        <v>14787</v>
      </c>
    </row>
    <row r="895" spans="1:25" x14ac:dyDescent="0.3">
      <c r="A895">
        <v>44700</v>
      </c>
      <c r="B895" t="s">
        <v>14788</v>
      </c>
      <c r="C895" t="s">
        <v>14789</v>
      </c>
      <c r="D895" t="s">
        <v>14790</v>
      </c>
      <c r="E895" t="s">
        <v>14791</v>
      </c>
      <c r="F895" t="s">
        <v>14792</v>
      </c>
      <c r="G895" t="s">
        <v>14793</v>
      </c>
      <c r="H895" t="s">
        <v>14794</v>
      </c>
      <c r="I895" t="s">
        <v>14795</v>
      </c>
      <c r="J895" t="s">
        <v>14796</v>
      </c>
      <c r="K895" t="s">
        <v>14797</v>
      </c>
      <c r="L895" t="s">
        <v>14798</v>
      </c>
      <c r="M895" t="s">
        <v>14799</v>
      </c>
      <c r="N895" t="s">
        <v>14800</v>
      </c>
      <c r="O895">
        <f>-620.30953763021 -79.6319669167938 -752.077508235542</f>
        <v>-1452.0190127825458</v>
      </c>
      <c r="P895">
        <f>-675.956430963741 -80.3706187378441 -440.486352955676</f>
        <v>-1196.8134026572611</v>
      </c>
      <c r="Q895">
        <f>-416.580069787378 -98.2599073291417 -433.709510081086</f>
        <v>-948.5494871976058</v>
      </c>
      <c r="R895" t="s">
        <v>14801</v>
      </c>
      <c r="S895" t="s">
        <v>14802</v>
      </c>
      <c r="T895" t="s">
        <v>14803</v>
      </c>
      <c r="U895" t="s">
        <v>14804</v>
      </c>
      <c r="V895" t="s">
        <v>14805</v>
      </c>
      <c r="W895" t="s">
        <v>14806</v>
      </c>
      <c r="X895" t="s">
        <v>14807</v>
      </c>
      <c r="Y895" t="s">
        <v>14808</v>
      </c>
    </row>
    <row r="896" spans="1:25" x14ac:dyDescent="0.3">
      <c r="A896">
        <v>44750</v>
      </c>
      <c r="B896" t="s">
        <v>14809</v>
      </c>
      <c r="C896" t="s">
        <v>14810</v>
      </c>
      <c r="D896" t="s">
        <v>14811</v>
      </c>
      <c r="E896" t="s">
        <v>14812</v>
      </c>
      <c r="F896" t="s">
        <v>14813</v>
      </c>
      <c r="G896" t="s">
        <v>14814</v>
      </c>
      <c r="H896" t="s">
        <v>14815</v>
      </c>
      <c r="I896" t="s">
        <v>14816</v>
      </c>
      <c r="J896" t="s">
        <v>14817</v>
      </c>
      <c r="K896" t="s">
        <v>14818</v>
      </c>
      <c r="L896" t="s">
        <v>14819</v>
      </c>
      <c r="M896" t="s">
        <v>14820</v>
      </c>
      <c r="N896" t="s">
        <v>14821</v>
      </c>
      <c r="O896">
        <f>-620.627029203467 -74.1537437942538 -757.629880505484</f>
        <v>-1452.4106535032049</v>
      </c>
      <c r="P896">
        <f>-676.880127833962 -70.4357541144982 -446.168858402222</f>
        <v>-1193.4847403506822</v>
      </c>
      <c r="Q896">
        <f>-418.375483346057 -96.0731851092301 -433.515052138749</f>
        <v>-947.9637205940362</v>
      </c>
      <c r="R896" t="s">
        <v>14822</v>
      </c>
      <c r="S896" t="s">
        <v>14823</v>
      </c>
      <c r="T896" t="s">
        <v>14824</v>
      </c>
      <c r="U896" t="s">
        <v>14825</v>
      </c>
      <c r="V896" t="s">
        <v>14826</v>
      </c>
      <c r="W896" t="s">
        <v>14827</v>
      </c>
      <c r="X896" t="s">
        <v>14828</v>
      </c>
      <c r="Y896" t="s">
        <v>14829</v>
      </c>
    </row>
    <row r="897" spans="1:25" x14ac:dyDescent="0.3">
      <c r="A897">
        <v>44800</v>
      </c>
      <c r="B897" t="s">
        <v>14830</v>
      </c>
      <c r="C897" t="s">
        <v>14831</v>
      </c>
      <c r="D897" t="s">
        <v>14832</v>
      </c>
      <c r="E897" t="s">
        <v>14833</v>
      </c>
      <c r="F897" t="s">
        <v>14834</v>
      </c>
      <c r="G897" t="s">
        <v>14835</v>
      </c>
      <c r="H897" t="s">
        <v>14836</v>
      </c>
      <c r="I897" t="s">
        <v>14837</v>
      </c>
      <c r="J897" t="s">
        <v>14838</v>
      </c>
      <c r="K897" t="s">
        <v>14839</v>
      </c>
      <c r="L897" t="s">
        <v>14840</v>
      </c>
      <c r="M897" t="s">
        <v>14841</v>
      </c>
      <c r="N897" t="s">
        <v>14842</v>
      </c>
      <c r="O897">
        <f>-620.733154919733 -72.3203450757562 -759.906478181475</f>
        <v>-1452.9599781769643</v>
      </c>
      <c r="P897">
        <f>-675.522752677438 -67.3870485201446 -448.201505226302</f>
        <v>-1191.1113064238846</v>
      </c>
      <c r="Q897">
        <f>-417.395389795465 -96.1294493091864 -434.556042245348</f>
        <v>-948.08088134999934</v>
      </c>
      <c r="R897" t="s">
        <v>14843</v>
      </c>
      <c r="S897" t="s">
        <v>14844</v>
      </c>
      <c r="T897" t="s">
        <v>14845</v>
      </c>
      <c r="U897" t="s">
        <v>14846</v>
      </c>
      <c r="V897" t="s">
        <v>14847</v>
      </c>
      <c r="W897" t="s">
        <v>14848</v>
      </c>
      <c r="X897" t="s">
        <v>14849</v>
      </c>
      <c r="Y897" t="s">
        <v>14850</v>
      </c>
    </row>
    <row r="898" spans="1:25" x14ac:dyDescent="0.3">
      <c r="A898">
        <v>44850</v>
      </c>
      <c r="B898" t="s">
        <v>14851</v>
      </c>
      <c r="C898" t="s">
        <v>14852</v>
      </c>
      <c r="D898" t="s">
        <v>14853</v>
      </c>
      <c r="E898" t="s">
        <v>14854</v>
      </c>
      <c r="F898" t="s">
        <v>14855</v>
      </c>
      <c r="G898" t="s">
        <v>14856</v>
      </c>
      <c r="H898" t="s">
        <v>14857</v>
      </c>
      <c r="I898" t="s">
        <v>14858</v>
      </c>
      <c r="J898" t="s">
        <v>14859</v>
      </c>
      <c r="K898" t="s">
        <v>14860</v>
      </c>
      <c r="L898" t="s">
        <v>14861</v>
      </c>
      <c r="M898" t="s">
        <v>14862</v>
      </c>
      <c r="N898" t="s">
        <v>14863</v>
      </c>
      <c r="O898">
        <f>-622.196660424069 -71.320762050093 -762.805980455262</f>
        <v>-1456.323402929424</v>
      </c>
      <c r="P898">
        <f>-672.59022556121 -66.1439652783783 -450.364116987951</f>
        <v>-1189.0983078275394</v>
      </c>
      <c r="Q898">
        <f>-414.789471856439 -97.4181259067032 -436.125310437649</f>
        <v>-948.33290820079117</v>
      </c>
      <c r="R898" t="s">
        <v>14864</v>
      </c>
      <c r="S898" t="s">
        <v>14865</v>
      </c>
      <c r="T898" t="s">
        <v>14866</v>
      </c>
      <c r="U898" t="s">
        <v>14867</v>
      </c>
      <c r="V898" t="s">
        <v>14868</v>
      </c>
      <c r="W898" t="s">
        <v>14869</v>
      </c>
      <c r="X898" t="s">
        <v>14870</v>
      </c>
      <c r="Y898" t="s">
        <v>14871</v>
      </c>
    </row>
    <row r="899" spans="1:25" x14ac:dyDescent="0.3">
      <c r="A899">
        <v>44900</v>
      </c>
      <c r="B899" t="s">
        <v>14872</v>
      </c>
      <c r="C899" t="s">
        <v>14873</v>
      </c>
      <c r="D899" t="s">
        <v>14874</v>
      </c>
      <c r="E899" t="s">
        <v>14875</v>
      </c>
      <c r="F899" t="s">
        <v>14876</v>
      </c>
      <c r="G899" t="s">
        <v>14877</v>
      </c>
      <c r="H899" t="s">
        <v>14878</v>
      </c>
      <c r="I899" t="s">
        <v>14879</v>
      </c>
      <c r="J899" t="s">
        <v>14880</v>
      </c>
      <c r="K899" t="s">
        <v>14881</v>
      </c>
      <c r="L899" t="s">
        <v>14882</v>
      </c>
      <c r="M899" t="s">
        <v>14883</v>
      </c>
      <c r="N899" t="s">
        <v>14884</v>
      </c>
      <c r="O899">
        <f>-622.268866686927 -72.6585173894453 -762.872821098823</f>
        <v>-1457.8002051751953</v>
      </c>
      <c r="P899">
        <f>-671.535472572711 -68.7239497691589 -450.23315812496</f>
        <v>-1190.4925804668301</v>
      </c>
      <c r="Q899">
        <f>-413.580521764919 -99.0088872294214 -436.664728901537</f>
        <v>-949.25413789587742</v>
      </c>
      <c r="R899" t="s">
        <v>14885</v>
      </c>
      <c r="S899" t="s">
        <v>14886</v>
      </c>
      <c r="T899" t="s">
        <v>14887</v>
      </c>
      <c r="U899" t="s">
        <v>14888</v>
      </c>
      <c r="V899" t="s">
        <v>14889</v>
      </c>
      <c r="W899" t="s">
        <v>14890</v>
      </c>
      <c r="X899" t="s">
        <v>14891</v>
      </c>
      <c r="Y899" t="s">
        <v>14892</v>
      </c>
    </row>
    <row r="900" spans="1:25" x14ac:dyDescent="0.3">
      <c r="A900">
        <v>44950</v>
      </c>
      <c r="B900" t="s">
        <v>14893</v>
      </c>
      <c r="C900" t="s">
        <v>14894</v>
      </c>
      <c r="D900" t="s">
        <v>14895</v>
      </c>
      <c r="E900" t="s">
        <v>14896</v>
      </c>
      <c r="F900" t="s">
        <v>14897</v>
      </c>
      <c r="G900" t="s">
        <v>14898</v>
      </c>
      <c r="H900" t="s">
        <v>14899</v>
      </c>
      <c r="I900" t="s">
        <v>14900</v>
      </c>
      <c r="J900" t="s">
        <v>14901</v>
      </c>
      <c r="K900" t="s">
        <v>14902</v>
      </c>
      <c r="L900" t="s">
        <v>14903</v>
      </c>
      <c r="M900" t="s">
        <v>14904</v>
      </c>
      <c r="N900" t="s">
        <v>14905</v>
      </c>
      <c r="O900">
        <f>-621.709742585414 -75.9681116499519 -762.59163769887</f>
        <v>-1460.2694919342359</v>
      </c>
      <c r="P900">
        <f>-669.444020467519 -72.9705728196232 -449.70407008089</f>
        <v>-1192.1186633680322</v>
      </c>
      <c r="Q900">
        <f>-411.199011101545 -101.182309123464 -437.228451884701</f>
        <v>-949.60977210970987</v>
      </c>
      <c r="R900" t="s">
        <v>14906</v>
      </c>
      <c r="S900" t="s">
        <v>14907</v>
      </c>
      <c r="T900" t="s">
        <v>14908</v>
      </c>
      <c r="U900" t="s">
        <v>14909</v>
      </c>
      <c r="V900">
        <f>-647.813558404605 -0.879271687256733 -252.236000190128</f>
        <v>-900.9288302819898</v>
      </c>
      <c r="W900" t="s">
        <v>14910</v>
      </c>
      <c r="X900" t="s">
        <v>14911</v>
      </c>
      <c r="Y900" t="s">
        <v>14912</v>
      </c>
    </row>
    <row r="901" spans="1:25" x14ac:dyDescent="0.3">
      <c r="A901">
        <v>45000</v>
      </c>
      <c r="B901" t="s">
        <v>14913</v>
      </c>
      <c r="C901" t="s">
        <v>14914</v>
      </c>
      <c r="D901" t="s">
        <v>14915</v>
      </c>
      <c r="E901" t="s">
        <v>14916</v>
      </c>
      <c r="F901" t="s">
        <v>14917</v>
      </c>
      <c r="G901" t="s">
        <v>14918</v>
      </c>
      <c r="H901" t="s">
        <v>14919</v>
      </c>
      <c r="I901" t="s">
        <v>14920</v>
      </c>
      <c r="J901" t="s">
        <v>14921</v>
      </c>
      <c r="K901" t="s">
        <v>14922</v>
      </c>
      <c r="L901" t="s">
        <v>14923</v>
      </c>
      <c r="M901" t="s">
        <v>14924</v>
      </c>
      <c r="N901" t="s">
        <v>14925</v>
      </c>
      <c r="O901">
        <f>-620.384124070222 -78.1527159101042 -761.80474474898</f>
        <v>-1460.3415847293063</v>
      </c>
      <c r="P901">
        <f>-667.816892225978 -74.5989291045989 -448.877268940667</f>
        <v>-1191.293090271244</v>
      </c>
      <c r="Q901">
        <f>-409.490955799993 -102.524569241847 -437.478837379403</f>
        <v>-949.49436242124295</v>
      </c>
      <c r="R901" t="s">
        <v>14926</v>
      </c>
      <c r="S901" t="s">
        <v>14927</v>
      </c>
      <c r="T901" t="s">
        <v>14928</v>
      </c>
      <c r="U901" t="s">
        <v>14929</v>
      </c>
      <c r="V901">
        <f>-647.012499865504 -2.25521293830047 -252.330956493684</f>
        <v>-901.59866929748841</v>
      </c>
      <c r="W901" t="s">
        <v>14930</v>
      </c>
      <c r="X901" t="s">
        <v>14931</v>
      </c>
      <c r="Y901" t="s">
        <v>14932</v>
      </c>
    </row>
    <row r="902" spans="1:25" x14ac:dyDescent="0.3">
      <c r="A902">
        <v>45050</v>
      </c>
      <c r="B902" t="s">
        <v>14933</v>
      </c>
      <c r="C902" t="s">
        <v>14934</v>
      </c>
      <c r="D902" t="s">
        <v>14935</v>
      </c>
      <c r="E902" t="s">
        <v>14936</v>
      </c>
      <c r="F902" t="s">
        <v>14937</v>
      </c>
      <c r="G902" t="s">
        <v>14938</v>
      </c>
      <c r="H902" t="s">
        <v>14939</v>
      </c>
      <c r="I902" t="s">
        <v>14940</v>
      </c>
      <c r="J902" t="s">
        <v>14941</v>
      </c>
      <c r="K902" t="s">
        <v>14942</v>
      </c>
      <c r="L902" t="s">
        <v>14943</v>
      </c>
      <c r="M902" t="s">
        <v>14944</v>
      </c>
      <c r="N902" t="s">
        <v>14945</v>
      </c>
      <c r="O902">
        <f>-618.874139509111 -83.8779263276422 -759.804141026381</f>
        <v>-1462.5562068631343</v>
      </c>
      <c r="P902">
        <f>-665.819485122575 -79.5953280154713 -446.812033402558</f>
        <v>-1192.2268465406041</v>
      </c>
      <c r="Q902">
        <f>-407.184371484284 -105.392125528576 -437.622609240962</f>
        <v>-950.19910625382204</v>
      </c>
      <c r="R902" t="s">
        <v>14946</v>
      </c>
      <c r="S902" t="s">
        <v>14947</v>
      </c>
      <c r="T902" t="s">
        <v>14948</v>
      </c>
      <c r="U902" t="s">
        <v>14949</v>
      </c>
      <c r="V902">
        <f>-645.530055889054 -5.05822566403754 -251.999468190342</f>
        <v>-902.58774974343351</v>
      </c>
      <c r="W902" t="s">
        <v>14950</v>
      </c>
      <c r="X902" t="s">
        <v>14951</v>
      </c>
      <c r="Y902" t="s">
        <v>14952</v>
      </c>
    </row>
    <row r="903" spans="1:25" x14ac:dyDescent="0.3">
      <c r="A903">
        <v>45100</v>
      </c>
      <c r="B903" t="s">
        <v>14953</v>
      </c>
      <c r="C903" t="s">
        <v>14954</v>
      </c>
      <c r="D903" t="s">
        <v>14955</v>
      </c>
      <c r="E903" t="s">
        <v>14956</v>
      </c>
      <c r="F903" t="s">
        <v>14957</v>
      </c>
      <c r="G903" t="s">
        <v>14958</v>
      </c>
      <c r="H903" t="s">
        <v>14959</v>
      </c>
      <c r="I903" t="s">
        <v>14960</v>
      </c>
      <c r="J903" t="s">
        <v>14961</v>
      </c>
      <c r="K903" t="s">
        <v>14962</v>
      </c>
      <c r="L903" t="s">
        <v>14963</v>
      </c>
      <c r="M903" t="s">
        <v>14964</v>
      </c>
      <c r="N903" t="s">
        <v>14965</v>
      </c>
      <c r="O903">
        <f>-618.428141956948 -86.9150977328109 -758.810162280484</f>
        <v>-1464.1534019702428</v>
      </c>
      <c r="P903">
        <f>-665.072442586287 -81.9300650278365 -445.78353167735</f>
        <v>-1192.7860392914736</v>
      </c>
      <c r="Q903">
        <f>-406.344244244913 -106.977100392491 -437.156803826601</f>
        <v>-950.47814846400502</v>
      </c>
      <c r="R903" t="s">
        <v>14966</v>
      </c>
      <c r="S903" t="s">
        <v>14967</v>
      </c>
      <c r="T903" t="s">
        <v>14968</v>
      </c>
      <c r="U903" t="s">
        <v>14969</v>
      </c>
      <c r="V903">
        <f>-644.724541262216 -6.47329873279477 -251.756282726846</f>
        <v>-902.95412272185672</v>
      </c>
      <c r="W903" t="s">
        <v>14970</v>
      </c>
      <c r="X903" t="s">
        <v>14971</v>
      </c>
      <c r="Y903" t="s">
        <v>14972</v>
      </c>
    </row>
    <row r="904" spans="1:25" x14ac:dyDescent="0.3">
      <c r="A904">
        <v>45150</v>
      </c>
      <c r="B904" t="s">
        <v>14973</v>
      </c>
      <c r="C904" t="s">
        <v>14974</v>
      </c>
      <c r="D904" t="s">
        <v>14975</v>
      </c>
      <c r="E904" t="s">
        <v>14976</v>
      </c>
      <c r="F904" t="s">
        <v>14977</v>
      </c>
      <c r="G904" t="s">
        <v>14978</v>
      </c>
      <c r="H904" t="s">
        <v>14979</v>
      </c>
      <c r="I904" t="s">
        <v>14980</v>
      </c>
      <c r="J904" t="s">
        <v>14981</v>
      </c>
      <c r="K904" t="s">
        <v>14982</v>
      </c>
      <c r="L904" t="s">
        <v>14983</v>
      </c>
      <c r="M904" t="s">
        <v>14984</v>
      </c>
      <c r="N904" t="s">
        <v>14985</v>
      </c>
      <c r="O904">
        <f>-617.007912326756 -91.5132147307447 -756.939746018107</f>
        <v>-1465.4608730756077</v>
      </c>
      <c r="P904">
        <f>-663.87419337055 -86.5203606097507 -443.946480495459</f>
        <v>-1194.3410344757597</v>
      </c>
      <c r="Q904">
        <f>-404.840349654732 -108.614897180931 -436.506905154721</f>
        <v>-949.96215199038397</v>
      </c>
      <c r="R904" t="s">
        <v>14986</v>
      </c>
      <c r="S904" t="s">
        <v>14987</v>
      </c>
      <c r="T904" t="s">
        <v>14988</v>
      </c>
      <c r="U904" t="s">
        <v>14989</v>
      </c>
      <c r="V904">
        <f>-643.305062125907 -8.69525738415291 -251.258761138917</f>
        <v>-903.25908064897703</v>
      </c>
      <c r="W904" t="s">
        <v>14990</v>
      </c>
      <c r="X904" t="s">
        <v>14991</v>
      </c>
      <c r="Y904" t="s">
        <v>14992</v>
      </c>
    </row>
    <row r="905" spans="1:25" x14ac:dyDescent="0.3">
      <c r="A905">
        <v>45200</v>
      </c>
      <c r="B905" t="s">
        <v>14993</v>
      </c>
      <c r="C905" t="s">
        <v>14994</v>
      </c>
      <c r="D905" t="s">
        <v>14995</v>
      </c>
      <c r="E905" t="s">
        <v>14996</v>
      </c>
      <c r="F905" t="s">
        <v>14997</v>
      </c>
      <c r="G905" t="s">
        <v>14998</v>
      </c>
      <c r="H905" t="s">
        <v>14999</v>
      </c>
      <c r="I905" t="s">
        <v>15000</v>
      </c>
      <c r="J905" t="s">
        <v>15001</v>
      </c>
      <c r="K905" t="s">
        <v>15002</v>
      </c>
      <c r="L905" t="s">
        <v>15003</v>
      </c>
      <c r="M905" t="s">
        <v>15004</v>
      </c>
      <c r="N905" t="s">
        <v>15005</v>
      </c>
      <c r="O905">
        <f>-616.570052856848 -93.4086560434996 -756.166279107166</f>
        <v>-1466.1449880075136</v>
      </c>
      <c r="P905">
        <f>-663.776856989869 -87.9686137179394 -443.23153393872</f>
        <v>-1194.9770046465285</v>
      </c>
      <c r="Q905">
        <f>-404.686161029579 -109.425148829076 -435.904821483077</f>
        <v>-950.01613134173203</v>
      </c>
      <c r="R905" t="s">
        <v>15006</v>
      </c>
      <c r="S905" t="s">
        <v>15007</v>
      </c>
      <c r="T905" t="s">
        <v>15008</v>
      </c>
      <c r="U905" t="s">
        <v>15009</v>
      </c>
      <c r="V905">
        <f>-642.776389228944 -9.53020676289611 -250.973513216575</f>
        <v>-903.28010920841507</v>
      </c>
      <c r="W905" t="s">
        <v>15010</v>
      </c>
      <c r="X905" t="s">
        <v>15011</v>
      </c>
      <c r="Y905" t="s">
        <v>15012</v>
      </c>
    </row>
    <row r="906" spans="1:25" x14ac:dyDescent="0.3">
      <c r="A906">
        <v>45250</v>
      </c>
      <c r="B906" t="s">
        <v>15013</v>
      </c>
      <c r="C906" t="s">
        <v>15014</v>
      </c>
      <c r="D906" t="s">
        <v>15015</v>
      </c>
      <c r="E906" t="s">
        <v>15016</v>
      </c>
      <c r="F906" t="s">
        <v>15017</v>
      </c>
      <c r="G906" t="s">
        <v>15018</v>
      </c>
      <c r="H906" t="s">
        <v>15019</v>
      </c>
      <c r="I906" t="s">
        <v>15020</v>
      </c>
      <c r="J906" t="s">
        <v>15021</v>
      </c>
      <c r="K906" t="s">
        <v>15022</v>
      </c>
      <c r="L906" t="s">
        <v>15023</v>
      </c>
      <c r="M906" t="s">
        <v>15024</v>
      </c>
      <c r="N906" t="s">
        <v>15025</v>
      </c>
      <c r="O906">
        <f>-615.724033608772 -96.5232928618657 -754.766405264311</f>
        <v>-1467.0137317349486</v>
      </c>
      <c r="P906">
        <f>-662.941790761934 -90.2429087201679 -441.849226163052</f>
        <v>-1195.0339256451539</v>
      </c>
      <c r="Q906">
        <f>-403.748872837328 -110.595308834152 -435.002177906971</f>
        <v>-949.34635957845103</v>
      </c>
      <c r="R906" t="s">
        <v>15026</v>
      </c>
      <c r="S906" t="s">
        <v>15027</v>
      </c>
      <c r="T906" t="s">
        <v>15028</v>
      </c>
      <c r="U906" t="s">
        <v>15029</v>
      </c>
      <c r="V906">
        <f>-641.812804653968 -10.6381132060776 -250.559222717085</f>
        <v>-903.01014057713064</v>
      </c>
      <c r="W906" t="s">
        <v>15030</v>
      </c>
      <c r="X906" t="s">
        <v>15031</v>
      </c>
      <c r="Y906" t="s">
        <v>15032</v>
      </c>
    </row>
    <row r="907" spans="1:25" x14ac:dyDescent="0.3">
      <c r="A907">
        <v>45300</v>
      </c>
      <c r="B907" t="s">
        <v>15033</v>
      </c>
      <c r="C907" t="s">
        <v>15034</v>
      </c>
      <c r="D907" t="s">
        <v>15035</v>
      </c>
      <c r="E907" t="s">
        <v>15036</v>
      </c>
      <c r="F907" t="s">
        <v>15037</v>
      </c>
      <c r="G907" t="s">
        <v>15038</v>
      </c>
      <c r="H907" t="s">
        <v>15039</v>
      </c>
      <c r="I907" t="s">
        <v>15040</v>
      </c>
      <c r="J907" t="s">
        <v>15041</v>
      </c>
      <c r="K907" t="s">
        <v>15042</v>
      </c>
      <c r="L907" t="s">
        <v>15043</v>
      </c>
      <c r="M907" t="s">
        <v>15044</v>
      </c>
      <c r="N907" t="s">
        <v>15045</v>
      </c>
      <c r="O907">
        <f>-615.093433127823 -97.4768835952777 -754.137760503637</f>
        <v>-1466.7080772267377</v>
      </c>
      <c r="P907">
        <f>-662.336441200256 -90.5720443649113 -441.237387021878</f>
        <v>-1194.1458725870452</v>
      </c>
      <c r="Q907">
        <f>-403.128722244062 -110.825542735594 -434.662679815662</f>
        <v>-948.61694479531798</v>
      </c>
      <c r="R907" t="s">
        <v>15046</v>
      </c>
      <c r="S907" t="s">
        <v>15047</v>
      </c>
      <c r="T907" t="s">
        <v>15048</v>
      </c>
      <c r="U907" t="s">
        <v>15049</v>
      </c>
      <c r="V907">
        <f>-641.439557768602 -10.9028372426958 -250.410387956432</f>
        <v>-902.75278296772979</v>
      </c>
      <c r="W907" t="s">
        <v>15050</v>
      </c>
      <c r="X907" t="s">
        <v>15051</v>
      </c>
      <c r="Y907" t="s">
        <v>15052</v>
      </c>
    </row>
    <row r="908" spans="1:25" x14ac:dyDescent="0.3">
      <c r="A908">
        <v>45350</v>
      </c>
      <c r="B908" t="s">
        <v>15053</v>
      </c>
      <c r="C908" t="s">
        <v>15054</v>
      </c>
      <c r="D908" t="s">
        <v>15055</v>
      </c>
      <c r="E908" t="s">
        <v>15056</v>
      </c>
      <c r="F908" t="s">
        <v>15057</v>
      </c>
      <c r="G908" t="s">
        <v>15058</v>
      </c>
      <c r="H908" t="s">
        <v>15059</v>
      </c>
      <c r="I908" t="s">
        <v>15060</v>
      </c>
      <c r="J908" t="s">
        <v>15061</v>
      </c>
      <c r="K908" t="s">
        <v>15062</v>
      </c>
      <c r="L908" t="s">
        <v>15063</v>
      </c>
      <c r="M908" t="s">
        <v>15064</v>
      </c>
      <c r="N908" t="s">
        <v>15065</v>
      </c>
      <c r="O908">
        <f>-613.581628360468 -99.5748539042827 -753.142005825711</f>
        <v>-1466.2984880904617</v>
      </c>
      <c r="P908">
        <f>-660.579684846509 -92.253779799817 -440.214168292646</f>
        <v>-1193.0476329389721</v>
      </c>
      <c r="Q908">
        <f>-401.311517321166 -111.854613777156 -434.058871393698</f>
        <v>-947.22500249201994</v>
      </c>
      <c r="R908" t="s">
        <v>15066</v>
      </c>
      <c r="S908" t="s">
        <v>15067</v>
      </c>
      <c r="T908" t="s">
        <v>15068</v>
      </c>
      <c r="U908" t="s">
        <v>15069</v>
      </c>
      <c r="V908">
        <f>-640.963292510251 -11.6568040455431 -249.974147651016</f>
        <v>-902.59424420681012</v>
      </c>
      <c r="W908" t="s">
        <v>15070</v>
      </c>
      <c r="X908" t="s">
        <v>15071</v>
      </c>
      <c r="Y908" t="s">
        <v>15072</v>
      </c>
    </row>
    <row r="909" spans="1:25" x14ac:dyDescent="0.3">
      <c r="A909">
        <v>45400</v>
      </c>
      <c r="B909" t="s">
        <v>15073</v>
      </c>
      <c r="C909" t="s">
        <v>15074</v>
      </c>
      <c r="D909" t="s">
        <v>15075</v>
      </c>
      <c r="E909" t="s">
        <v>15076</v>
      </c>
      <c r="F909" t="s">
        <v>15077</v>
      </c>
      <c r="G909" t="s">
        <v>15078</v>
      </c>
      <c r="H909" t="s">
        <v>15079</v>
      </c>
      <c r="I909" t="s">
        <v>15080</v>
      </c>
      <c r="J909" t="s">
        <v>15081</v>
      </c>
      <c r="K909" t="s">
        <v>15082</v>
      </c>
      <c r="L909" t="s">
        <v>15083</v>
      </c>
      <c r="M909" t="s">
        <v>15084</v>
      </c>
      <c r="N909" t="s">
        <v>15085</v>
      </c>
      <c r="O909">
        <f>-612.734216269128 -100.736742074345 -752.692892499435</f>
        <v>-1466.1638508429078</v>
      </c>
      <c r="P909">
        <f>-659.608668808874 -93.2771292252648 -439.749785972996</f>
        <v>-1192.6355840071349</v>
      </c>
      <c r="Q909">
        <f>-400.339382387545 -112.894553259067 -433.696633163524</f>
        <v>-946.93056881013604</v>
      </c>
      <c r="R909" t="s">
        <v>15086</v>
      </c>
      <c r="S909" t="s">
        <v>15087</v>
      </c>
      <c r="T909" t="s">
        <v>15088</v>
      </c>
      <c r="U909" t="s">
        <v>15089</v>
      </c>
      <c r="V909">
        <f>-640.710939330966 -12.1546431678939 -249.730481805822</f>
        <v>-902.59606430468193</v>
      </c>
      <c r="W909" t="s">
        <v>15090</v>
      </c>
      <c r="X909" t="s">
        <v>15091</v>
      </c>
      <c r="Y909" t="s">
        <v>15092</v>
      </c>
    </row>
    <row r="910" spans="1:25" x14ac:dyDescent="0.3">
      <c r="A910">
        <v>45450</v>
      </c>
      <c r="B910" t="s">
        <v>15093</v>
      </c>
      <c r="C910" t="s">
        <v>15094</v>
      </c>
      <c r="D910" t="s">
        <v>15095</v>
      </c>
      <c r="E910" t="s">
        <v>15096</v>
      </c>
      <c r="F910" t="s">
        <v>15097</v>
      </c>
      <c r="G910" t="s">
        <v>15098</v>
      </c>
      <c r="H910" t="s">
        <v>15099</v>
      </c>
      <c r="I910" t="s">
        <v>15100</v>
      </c>
      <c r="J910" t="s">
        <v>15101</v>
      </c>
      <c r="K910" t="s">
        <v>15102</v>
      </c>
      <c r="L910" t="s">
        <v>15103</v>
      </c>
      <c r="M910" t="s">
        <v>15104</v>
      </c>
      <c r="N910" t="s">
        <v>15105</v>
      </c>
      <c r="O910">
        <f>-610.934059450004 -102.316916198868 -751.862317335001</f>
        <v>-1465.1132929838732</v>
      </c>
      <c r="P910">
        <f>-658.162438328464 -95.0917521402262 -438.966975977809</f>
        <v>-1192.2211664464992</v>
      </c>
      <c r="Q910">
        <f>-398.880499321151 -114.735399630316 -433.57682443934</f>
        <v>-947.19272339080703</v>
      </c>
      <c r="R910" t="s">
        <v>15106</v>
      </c>
      <c r="S910" t="s">
        <v>15107</v>
      </c>
      <c r="T910" t="s">
        <v>15108</v>
      </c>
      <c r="U910" t="s">
        <v>15109</v>
      </c>
      <c r="V910">
        <f>-639.855589726502 -13.0518806729367 -249.353106918926</f>
        <v>-902.26057731836465</v>
      </c>
      <c r="W910" t="s">
        <v>15110</v>
      </c>
      <c r="X910" t="s">
        <v>15111</v>
      </c>
      <c r="Y910" t="s">
        <v>15112</v>
      </c>
    </row>
    <row r="911" spans="1:25" x14ac:dyDescent="0.3">
      <c r="A911">
        <v>45500</v>
      </c>
      <c r="B911" t="s">
        <v>15113</v>
      </c>
      <c r="C911" t="s">
        <v>15114</v>
      </c>
      <c r="D911" t="s">
        <v>15115</v>
      </c>
      <c r="E911" t="s">
        <v>15116</v>
      </c>
      <c r="F911" t="s">
        <v>15117</v>
      </c>
      <c r="G911" t="s">
        <v>15118</v>
      </c>
      <c r="H911" t="s">
        <v>15119</v>
      </c>
      <c r="I911" t="s">
        <v>15120</v>
      </c>
      <c r="J911" t="s">
        <v>15121</v>
      </c>
      <c r="K911" t="s">
        <v>15122</v>
      </c>
      <c r="L911" t="s">
        <v>15123</v>
      </c>
      <c r="M911" t="s">
        <v>15124</v>
      </c>
      <c r="N911" t="s">
        <v>15125</v>
      </c>
      <c r="O911">
        <f>-610.187866630801 -102.555230376108 -751.625259865844</f>
        <v>-1464.3683568727529</v>
      </c>
      <c r="P911">
        <f>-657.513226292687 -95.5719481981575 -438.739074244545</f>
        <v>-1191.8242487353896</v>
      </c>
      <c r="Q911">
        <f>-398.230883998965 -115.291949868488 -433.656191156063</f>
        <v>-947.17902502351603</v>
      </c>
      <c r="R911" t="s">
        <v>15126</v>
      </c>
      <c r="S911" t="s">
        <v>15127</v>
      </c>
      <c r="T911" t="s">
        <v>15128</v>
      </c>
      <c r="U911" t="s">
        <v>15129</v>
      </c>
      <c r="V911">
        <f>-639.442281546496 -13.2128967526169 -249.216023333323</f>
        <v>-901.87120163243594</v>
      </c>
      <c r="W911" t="s">
        <v>15130</v>
      </c>
      <c r="X911" t="s">
        <v>15131</v>
      </c>
      <c r="Y911" t="s">
        <v>15132</v>
      </c>
    </row>
    <row r="912" spans="1:25" x14ac:dyDescent="0.3">
      <c r="A912">
        <v>45550</v>
      </c>
      <c r="B912" t="s">
        <v>15133</v>
      </c>
      <c r="C912" t="s">
        <v>15134</v>
      </c>
      <c r="D912" t="s">
        <v>15135</v>
      </c>
      <c r="E912" t="s">
        <v>15136</v>
      </c>
      <c r="F912" t="s">
        <v>15137</v>
      </c>
      <c r="G912" t="s">
        <v>15138</v>
      </c>
      <c r="H912" t="s">
        <v>15139</v>
      </c>
      <c r="I912" t="s">
        <v>15140</v>
      </c>
      <c r="J912" t="s">
        <v>15141</v>
      </c>
      <c r="K912" t="s">
        <v>15142</v>
      </c>
      <c r="L912" t="s">
        <v>15143</v>
      </c>
      <c r="M912" t="s">
        <v>15144</v>
      </c>
      <c r="N912" t="s">
        <v>15145</v>
      </c>
      <c r="O912">
        <f>-607.903506174579 -102.315430546985 -751.178469633181</f>
        <v>-1461.3974063547448</v>
      </c>
      <c r="P912">
        <f>-655.430136797719 -95.6272942321914 -438.316410828135</f>
        <v>-1189.3738418580454</v>
      </c>
      <c r="Q912">
        <f>-396.148336916198 -115.473301688587 -433.718790799534</f>
        <v>-945.34042940431902</v>
      </c>
      <c r="R912" t="s">
        <v>15146</v>
      </c>
      <c r="S912" t="s">
        <v>15147</v>
      </c>
      <c r="T912" t="s">
        <v>15148</v>
      </c>
      <c r="U912" t="s">
        <v>15149</v>
      </c>
      <c r="V912">
        <f>-638.398482742383 -13.0873851760532 -249.147063395469</f>
        <v>-900.63293131390515</v>
      </c>
      <c r="W912" t="s">
        <v>15150</v>
      </c>
      <c r="X912" t="s">
        <v>15151</v>
      </c>
      <c r="Y912" t="s">
        <v>15152</v>
      </c>
    </row>
    <row r="913" spans="1:25" x14ac:dyDescent="0.3">
      <c r="A913">
        <v>45600</v>
      </c>
      <c r="B913" t="s">
        <v>15153</v>
      </c>
      <c r="C913" t="s">
        <v>15154</v>
      </c>
      <c r="D913" t="s">
        <v>15155</v>
      </c>
      <c r="E913" t="s">
        <v>15156</v>
      </c>
      <c r="F913" t="s">
        <v>15157</v>
      </c>
      <c r="G913" t="s">
        <v>15158</v>
      </c>
      <c r="H913" t="s">
        <v>15159</v>
      </c>
      <c r="I913" t="s">
        <v>15160</v>
      </c>
      <c r="J913" t="s">
        <v>15161</v>
      </c>
      <c r="K913" t="s">
        <v>15162</v>
      </c>
      <c r="L913" t="s">
        <v>15163</v>
      </c>
      <c r="M913" t="s">
        <v>15164</v>
      </c>
      <c r="N913" t="s">
        <v>15165</v>
      </c>
      <c r="O913">
        <f>-606.862957193638 -102.123134262687 -750.994587856002</f>
        <v>-1459.9806793123271</v>
      </c>
      <c r="P913">
        <f>-654.111320467828 -95.4150228849555 -438.090813044503</f>
        <v>-1187.6171563972866</v>
      </c>
      <c r="Q913">
        <f>-394.860366394605 -115.679195555126 -433.579163054259</f>
        <v>-944.11872500398999</v>
      </c>
      <c r="R913" t="s">
        <v>15166</v>
      </c>
      <c r="S913" t="s">
        <v>15167</v>
      </c>
      <c r="T913" t="s">
        <v>15168</v>
      </c>
      <c r="U913" t="s">
        <v>15169</v>
      </c>
      <c r="V913">
        <f>-637.706947774561 -12.9225705644465 -249.193455821813</f>
        <v>-899.82297416082042</v>
      </c>
      <c r="W913" t="s">
        <v>15170</v>
      </c>
      <c r="X913" t="s">
        <v>15171</v>
      </c>
      <c r="Y913" t="s">
        <v>15172</v>
      </c>
    </row>
    <row r="914" spans="1:25" x14ac:dyDescent="0.3">
      <c r="A914">
        <v>45650</v>
      </c>
      <c r="B914" t="s">
        <v>15173</v>
      </c>
      <c r="C914" t="s">
        <v>15174</v>
      </c>
      <c r="D914" t="s">
        <v>15175</v>
      </c>
      <c r="E914" t="s">
        <v>15176</v>
      </c>
      <c r="F914" t="s">
        <v>15177</v>
      </c>
      <c r="G914" t="s">
        <v>15178</v>
      </c>
      <c r="H914" t="s">
        <v>15179</v>
      </c>
      <c r="I914" t="s">
        <v>15180</v>
      </c>
      <c r="J914" t="s">
        <v>15181</v>
      </c>
      <c r="K914" t="s">
        <v>15182</v>
      </c>
      <c r="L914" t="s">
        <v>15183</v>
      </c>
      <c r="M914" t="s">
        <v>15184</v>
      </c>
      <c r="N914" t="s">
        <v>15185</v>
      </c>
      <c r="O914">
        <f>-605.85266592179 -101.664206903458 -751.10841518428</f>
        <v>-1458.625288009528</v>
      </c>
      <c r="P914">
        <f>-652.613113657698 -94.6142754910243 -438.138886787199</f>
        <v>-1185.3662759359213</v>
      </c>
      <c r="Q914">
        <f>-393.405240763335 -115.475890133457 -433.882022186903</f>
        <v>-942.76315308369499</v>
      </c>
      <c r="R914" t="s">
        <v>15186</v>
      </c>
      <c r="S914" t="s">
        <v>15187</v>
      </c>
      <c r="T914" t="s">
        <v>15188</v>
      </c>
      <c r="U914" t="s">
        <v>15189</v>
      </c>
      <c r="V914">
        <f>-636.349889609234 -12.4885256253451 -249.389779863262</f>
        <v>-898.22819509784108</v>
      </c>
      <c r="W914" t="s">
        <v>15190</v>
      </c>
      <c r="X914" t="s">
        <v>15191</v>
      </c>
      <c r="Y914" t="s">
        <v>15192</v>
      </c>
    </row>
    <row r="915" spans="1:25" x14ac:dyDescent="0.3">
      <c r="A915">
        <v>45700</v>
      </c>
      <c r="B915" t="s">
        <v>15193</v>
      </c>
      <c r="C915" t="s">
        <v>15194</v>
      </c>
      <c r="D915" t="s">
        <v>15195</v>
      </c>
      <c r="E915" t="s">
        <v>15196</v>
      </c>
      <c r="F915" t="s">
        <v>15197</v>
      </c>
      <c r="G915" t="s">
        <v>15198</v>
      </c>
      <c r="H915" t="s">
        <v>15199</v>
      </c>
      <c r="I915" t="s">
        <v>15200</v>
      </c>
      <c r="J915" t="s">
        <v>15201</v>
      </c>
      <c r="K915" t="s">
        <v>15202</v>
      </c>
      <c r="L915" t="s">
        <v>15203</v>
      </c>
      <c r="M915" t="s">
        <v>15204</v>
      </c>
      <c r="N915" t="s">
        <v>15205</v>
      </c>
      <c r="O915">
        <f>-606.350583090981 -101.293495568628 -751.331111177366</f>
        <v>-1458.975189836975</v>
      </c>
      <c r="P915">
        <f>-652.639630041888 -93.8890655488963 -438.299593618463</f>
        <v>-1184.8282892092473</v>
      </c>
      <c r="Q915">
        <f>-393.455768447031 -115.090016939183 -434.262695718406</f>
        <v>-942.80848110462</v>
      </c>
      <c r="R915" t="s">
        <v>15206</v>
      </c>
      <c r="S915" t="s">
        <v>15207</v>
      </c>
      <c r="T915" t="s">
        <v>15208</v>
      </c>
      <c r="U915" t="s">
        <v>15209</v>
      </c>
      <c r="V915">
        <f>-635.907491405172 -12.1364040696292 -249.514022966968</f>
        <v>-897.55791844176917</v>
      </c>
      <c r="W915" t="s">
        <v>15210</v>
      </c>
      <c r="X915" t="s">
        <v>15211</v>
      </c>
      <c r="Y915" t="s">
        <v>15212</v>
      </c>
    </row>
    <row r="916" spans="1:25" x14ac:dyDescent="0.3">
      <c r="A916">
        <v>45750</v>
      </c>
      <c r="B916" t="s">
        <v>15213</v>
      </c>
      <c r="C916" t="s">
        <v>15214</v>
      </c>
      <c r="D916" t="s">
        <v>15215</v>
      </c>
      <c r="E916" t="s">
        <v>15216</v>
      </c>
      <c r="F916" t="s">
        <v>15217</v>
      </c>
      <c r="G916" t="s">
        <v>15218</v>
      </c>
      <c r="H916" t="s">
        <v>15219</v>
      </c>
      <c r="I916" t="s">
        <v>15220</v>
      </c>
      <c r="J916" t="s">
        <v>15221</v>
      </c>
      <c r="K916" t="s">
        <v>15222</v>
      </c>
      <c r="L916" t="s">
        <v>15223</v>
      </c>
      <c r="M916" t="s">
        <v>15224</v>
      </c>
      <c r="N916" t="s">
        <v>15225</v>
      </c>
      <c r="O916">
        <f>-607.268609327513 -101.004468929185 -751.38232988661</f>
        <v>-1459.655408143308</v>
      </c>
      <c r="P916">
        <f>-652.401231949365 -93.1155461738881 -438.193874051692</f>
        <v>-1183.7106521749452</v>
      </c>
      <c r="Q916">
        <f>-393.2828361257 -115.24810094978 -435.054169509613</f>
        <v>-943.58510658509294</v>
      </c>
      <c r="R916" t="s">
        <v>15226</v>
      </c>
      <c r="S916" t="s">
        <v>15227</v>
      </c>
      <c r="T916" t="s">
        <v>15228</v>
      </c>
      <c r="U916" t="s">
        <v>15229</v>
      </c>
      <c r="V916">
        <f>-635.178589636895 -11.2225332989683 -249.711229759578</f>
        <v>-896.11235269544136</v>
      </c>
      <c r="W916" t="s">
        <v>15230</v>
      </c>
      <c r="X916" t="s">
        <v>15231</v>
      </c>
      <c r="Y916" t="s">
        <v>15232</v>
      </c>
    </row>
    <row r="917" spans="1:25" x14ac:dyDescent="0.3">
      <c r="A917">
        <v>45800</v>
      </c>
      <c r="B917" t="s">
        <v>15233</v>
      </c>
      <c r="C917" t="s">
        <v>15234</v>
      </c>
      <c r="D917" t="s">
        <v>15235</v>
      </c>
      <c r="E917" t="s">
        <v>15236</v>
      </c>
      <c r="F917" t="s">
        <v>15237</v>
      </c>
      <c r="G917" t="s">
        <v>15238</v>
      </c>
      <c r="H917" t="s">
        <v>15239</v>
      </c>
      <c r="I917" t="s">
        <v>15240</v>
      </c>
      <c r="J917" t="s">
        <v>15241</v>
      </c>
      <c r="K917" t="s">
        <v>15242</v>
      </c>
      <c r="L917" t="s">
        <v>15243</v>
      </c>
      <c r="M917" t="s">
        <v>15244</v>
      </c>
      <c r="N917" t="s">
        <v>15245</v>
      </c>
      <c r="O917">
        <f>-607.460760245002 -101.102287469125 -751.175782938233</f>
        <v>-1459.7388306523601</v>
      </c>
      <c r="P917">
        <f>-652.18151709414 -93.0797120278048 -437.931672775553</f>
        <v>-1183.1929018974979</v>
      </c>
      <c r="Q917">
        <f>-393.107693138156 -115.779287536581 -435.181354734804</f>
        <v>-944.06833540954096</v>
      </c>
      <c r="R917" t="s">
        <v>15246</v>
      </c>
      <c r="S917" t="s">
        <v>15247</v>
      </c>
      <c r="T917" t="s">
        <v>15248</v>
      </c>
      <c r="U917" t="s">
        <v>15249</v>
      </c>
      <c r="V917">
        <f>-635.022315152192 -10.8110222031557 -249.783794872041</f>
        <v>-895.61713222738877</v>
      </c>
      <c r="W917" t="s">
        <v>15250</v>
      </c>
      <c r="X917" t="s">
        <v>15251</v>
      </c>
      <c r="Y917" t="s">
        <v>15252</v>
      </c>
    </row>
    <row r="918" spans="1:25" x14ac:dyDescent="0.3">
      <c r="A918">
        <v>45850</v>
      </c>
      <c r="B918" t="s">
        <v>15253</v>
      </c>
      <c r="C918" t="s">
        <v>15254</v>
      </c>
      <c r="D918" t="s">
        <v>15255</v>
      </c>
      <c r="E918" t="s">
        <v>15256</v>
      </c>
      <c r="F918" t="s">
        <v>15257</v>
      </c>
      <c r="G918" t="s">
        <v>15258</v>
      </c>
      <c r="H918" t="s">
        <v>15259</v>
      </c>
      <c r="I918" t="s">
        <v>15260</v>
      </c>
      <c r="J918" t="s">
        <v>15261</v>
      </c>
      <c r="K918" t="s">
        <v>15262</v>
      </c>
      <c r="L918" t="s">
        <v>15263</v>
      </c>
      <c r="M918" t="s">
        <v>15264</v>
      </c>
      <c r="N918" t="s">
        <v>15265</v>
      </c>
      <c r="O918">
        <f>-608.614190656837 -101.251061615425 -750.958227889417</f>
        <v>-1460.8234801616791</v>
      </c>
      <c r="P918">
        <f>-653.160300142479 -93.1298070721207 -437.69171747973</f>
        <v>-1183.9818246943296</v>
      </c>
      <c r="Q918">
        <f>-394.142516721174 -116.48766940036 -435.190336842915</f>
        <v>-945.82052296444897</v>
      </c>
      <c r="R918" t="s">
        <v>15266</v>
      </c>
      <c r="S918" t="s">
        <v>15267</v>
      </c>
      <c r="T918" t="s">
        <v>15268</v>
      </c>
      <c r="U918" t="s">
        <v>15269</v>
      </c>
      <c r="V918">
        <f>-635.223588848722 -10.315591157964 -249.873039253349</f>
        <v>-895.41221926003504</v>
      </c>
      <c r="W918" t="s">
        <v>15270</v>
      </c>
      <c r="X918" t="s">
        <v>15271</v>
      </c>
      <c r="Y918" t="s">
        <v>15272</v>
      </c>
    </row>
    <row r="919" spans="1:25" x14ac:dyDescent="0.3">
      <c r="A919">
        <v>45900</v>
      </c>
      <c r="B919" t="s">
        <v>15273</v>
      </c>
      <c r="C919" t="s">
        <v>15274</v>
      </c>
      <c r="D919" t="s">
        <v>15275</v>
      </c>
      <c r="E919" t="s">
        <v>15276</v>
      </c>
      <c r="F919" t="s">
        <v>15277</v>
      </c>
      <c r="G919" t="s">
        <v>15278</v>
      </c>
      <c r="H919" t="s">
        <v>15279</v>
      </c>
      <c r="I919" t="s">
        <v>15280</v>
      </c>
      <c r="J919" t="s">
        <v>15281</v>
      </c>
      <c r="K919" t="s">
        <v>15282</v>
      </c>
      <c r="L919" t="s">
        <v>15283</v>
      </c>
      <c r="M919" t="s">
        <v>15284</v>
      </c>
      <c r="N919" t="s">
        <v>15285</v>
      </c>
      <c r="O919">
        <f>-609.569814359205 -101.377906653343 -750.934201940179</f>
        <v>-1461.8819229527271</v>
      </c>
      <c r="P919">
        <f>-654.176251625151 -93.2403940004733 -437.676732366647</f>
        <v>-1185.0933779922714</v>
      </c>
      <c r="Q919">
        <f>-395.19253628958 -116.988973055824 -435.333599592225</f>
        <v>-947.51510893762907</v>
      </c>
      <c r="R919" t="s">
        <v>15286</v>
      </c>
      <c r="S919" t="s">
        <v>15287</v>
      </c>
      <c r="T919" t="s">
        <v>15288</v>
      </c>
      <c r="U919" t="s">
        <v>15289</v>
      </c>
      <c r="V919">
        <f>-635.496964689516 -10.1312804906993 -249.945571289843</f>
        <v>-895.5738164700582</v>
      </c>
      <c r="W919" t="s">
        <v>15290</v>
      </c>
      <c r="X919" t="s">
        <v>15291</v>
      </c>
      <c r="Y919" t="s">
        <v>15292</v>
      </c>
    </row>
    <row r="920" spans="1:25" x14ac:dyDescent="0.3">
      <c r="A920">
        <v>45950</v>
      </c>
      <c r="B920" t="s">
        <v>15293</v>
      </c>
      <c r="C920" t="s">
        <v>15294</v>
      </c>
      <c r="D920" t="s">
        <v>15295</v>
      </c>
      <c r="E920" t="s">
        <v>15296</v>
      </c>
      <c r="F920" t="s">
        <v>15297</v>
      </c>
      <c r="G920" t="s">
        <v>15298</v>
      </c>
      <c r="H920" t="s">
        <v>15299</v>
      </c>
      <c r="I920" t="s">
        <v>15300</v>
      </c>
      <c r="J920" t="s">
        <v>15301</v>
      </c>
      <c r="K920" t="s">
        <v>15302</v>
      </c>
      <c r="L920" t="s">
        <v>15303</v>
      </c>
      <c r="M920" t="s">
        <v>15304</v>
      </c>
      <c r="N920" t="s">
        <v>15305</v>
      </c>
      <c r="O920">
        <f>-611.886139682343 -101.701127821872 -750.778906701189</f>
        <v>-1464.3661742054041</v>
      </c>
      <c r="P920">
        <f>-657.007366887564 -93.0238534157309 -437.609727909478</f>
        <v>-1187.6409482127729</v>
      </c>
      <c r="Q920">
        <f>-398.150185678221 -118.083103914464 -434.953803556854</f>
        <v>-951.1870931495389</v>
      </c>
      <c r="R920" t="s">
        <v>15306</v>
      </c>
      <c r="S920" t="s">
        <v>15307</v>
      </c>
      <c r="T920" t="s">
        <v>15308</v>
      </c>
      <c r="U920" t="s">
        <v>15309</v>
      </c>
      <c r="V920">
        <f>-636.27845146115 -9.98195215938404 -250.08318876915</f>
        <v>-896.34359238968409</v>
      </c>
      <c r="W920" t="s">
        <v>15310</v>
      </c>
      <c r="X920" t="s">
        <v>15311</v>
      </c>
      <c r="Y920" t="s">
        <v>15312</v>
      </c>
    </row>
    <row r="921" spans="1:25" x14ac:dyDescent="0.3">
      <c r="A921">
        <v>46000</v>
      </c>
      <c r="B921" t="s">
        <v>15313</v>
      </c>
      <c r="C921" t="s">
        <v>15314</v>
      </c>
      <c r="D921" t="s">
        <v>15315</v>
      </c>
      <c r="E921" t="s">
        <v>15316</v>
      </c>
      <c r="F921" t="s">
        <v>15317</v>
      </c>
      <c r="G921" t="s">
        <v>15318</v>
      </c>
      <c r="H921" t="s">
        <v>15319</v>
      </c>
      <c r="I921" t="s">
        <v>15320</v>
      </c>
      <c r="J921" t="s">
        <v>15321</v>
      </c>
      <c r="K921" t="s">
        <v>15322</v>
      </c>
      <c r="L921" t="s">
        <v>15323</v>
      </c>
      <c r="M921" t="s">
        <v>15324</v>
      </c>
      <c r="N921" t="s">
        <v>15325</v>
      </c>
      <c r="O921">
        <f>-613.057031925177 -101.599852973487 -750.799234304489</f>
        <v>-1465.4561192031529</v>
      </c>
      <c r="P921">
        <f>-658.576129854147 -92.6984522585722 -437.693833406183</f>
        <v>-1188.968415518902</v>
      </c>
      <c r="Q921">
        <f>-399.766677594165 -118.228412607952 -434.872879039582</f>
        <v>-952.86796924169903</v>
      </c>
      <c r="R921" t="s">
        <v>15326</v>
      </c>
      <c r="S921" t="s">
        <v>15327</v>
      </c>
      <c r="T921" t="s">
        <v>15328</v>
      </c>
      <c r="U921" t="s">
        <v>15329</v>
      </c>
      <c r="V921">
        <f>-636.8459384978 -9.84522086830953 -250.165541835761</f>
        <v>-896.85670120187058</v>
      </c>
      <c r="W921" t="s">
        <v>15330</v>
      </c>
      <c r="X921" t="s">
        <v>15331</v>
      </c>
      <c r="Y921" t="s">
        <v>15332</v>
      </c>
    </row>
    <row r="922" spans="1:25" x14ac:dyDescent="0.3">
      <c r="A922">
        <v>46050</v>
      </c>
      <c r="B922" t="s">
        <v>15333</v>
      </c>
      <c r="C922" t="s">
        <v>15334</v>
      </c>
      <c r="D922" t="s">
        <v>15335</v>
      </c>
      <c r="E922" t="s">
        <v>15336</v>
      </c>
      <c r="F922" t="s">
        <v>15337</v>
      </c>
      <c r="G922" t="s">
        <v>15338</v>
      </c>
      <c r="H922" t="s">
        <v>15339</v>
      </c>
      <c r="I922" t="s">
        <v>15340</v>
      </c>
      <c r="J922" t="s">
        <v>15341</v>
      </c>
      <c r="K922" t="s">
        <v>15342</v>
      </c>
      <c r="L922" t="s">
        <v>15343</v>
      </c>
      <c r="M922" t="s">
        <v>15344</v>
      </c>
      <c r="N922" t="s">
        <v>15345</v>
      </c>
      <c r="O922">
        <f>-614.782880500823 -101.347841748899 -750.924687331871</f>
        <v>-1467.055409581593</v>
      </c>
      <c r="P922">
        <f>-660.937234689755 -91.838890911117 -437.930314187127</f>
        <v>-1190.706439787999</v>
      </c>
      <c r="Q922">
        <f>-402.234157537098 -118.356525974347 -434.525851581644</f>
        <v>-955.11653509308894</v>
      </c>
      <c r="R922" t="s">
        <v>15346</v>
      </c>
      <c r="S922" t="s">
        <v>15347</v>
      </c>
      <c r="T922" t="s">
        <v>15348</v>
      </c>
      <c r="U922" t="s">
        <v>15349</v>
      </c>
      <c r="V922">
        <f>-637.808882821678 -9.6521485699102 -250.381336356792</f>
        <v>-897.84236774838018</v>
      </c>
      <c r="W922" t="s">
        <v>15350</v>
      </c>
      <c r="X922" t="s">
        <v>15351</v>
      </c>
      <c r="Y922" t="s">
        <v>15352</v>
      </c>
    </row>
    <row r="923" spans="1:25" x14ac:dyDescent="0.3">
      <c r="A923">
        <v>46100</v>
      </c>
      <c r="B923" t="s">
        <v>15353</v>
      </c>
      <c r="C923" t="s">
        <v>15354</v>
      </c>
      <c r="D923" t="s">
        <v>15355</v>
      </c>
      <c r="E923" t="s">
        <v>15356</v>
      </c>
      <c r="F923" t="s">
        <v>15357</v>
      </c>
      <c r="G923" t="s">
        <v>15358</v>
      </c>
      <c r="H923" t="s">
        <v>15359</v>
      </c>
      <c r="I923" t="s">
        <v>15360</v>
      </c>
      <c r="J923" t="s">
        <v>15361</v>
      </c>
      <c r="K923" t="s">
        <v>15362</v>
      </c>
      <c r="L923" t="s">
        <v>15363</v>
      </c>
      <c r="M923" t="s">
        <v>15364</v>
      </c>
      <c r="N923" t="s">
        <v>15365</v>
      </c>
      <c r="O923">
        <f>-615.855710246013 -101.374404925284 -751.062736767442</f>
        <v>-1468.292851938739</v>
      </c>
      <c r="P923">
        <f>-662.172544512981 -91.3539847016086 -438.108283356006</f>
        <v>-1191.6348125705956</v>
      </c>
      <c r="Q923">
        <f>-403.508790373687 -118.239774776832 -434.603411717008</f>
        <v>-956.3519768675269</v>
      </c>
      <c r="R923" t="s">
        <v>15366</v>
      </c>
      <c r="S923" t="s">
        <v>15367</v>
      </c>
      <c r="T923" t="s">
        <v>15368</v>
      </c>
      <c r="U923" t="s">
        <v>15369</v>
      </c>
      <c r="V923">
        <f>-638.18841795223 -9.76050001210115 -250.52902993293</f>
        <v>-898.47794789726117</v>
      </c>
      <c r="W923" t="s">
        <v>15370</v>
      </c>
      <c r="X923" t="s">
        <v>15371</v>
      </c>
      <c r="Y923" t="s">
        <v>15372</v>
      </c>
    </row>
    <row r="924" spans="1:25" x14ac:dyDescent="0.3">
      <c r="A924">
        <v>46150</v>
      </c>
      <c r="B924" t="s">
        <v>15373</v>
      </c>
      <c r="C924" t="s">
        <v>15374</v>
      </c>
      <c r="D924" t="s">
        <v>15375</v>
      </c>
      <c r="E924" t="s">
        <v>15376</v>
      </c>
      <c r="F924" t="s">
        <v>15377</v>
      </c>
      <c r="G924" t="s">
        <v>15378</v>
      </c>
      <c r="H924" t="s">
        <v>15379</v>
      </c>
      <c r="I924" t="s">
        <v>15380</v>
      </c>
      <c r="J924" t="s">
        <v>15381</v>
      </c>
      <c r="K924" t="s">
        <v>15382</v>
      </c>
      <c r="L924" t="s">
        <v>15383</v>
      </c>
      <c r="M924" t="s">
        <v>15384</v>
      </c>
      <c r="N924" t="s">
        <v>15385</v>
      </c>
      <c r="O924">
        <f>-618.821730189949 -100.976888726332 -751.822969409763</f>
        <v>-1471.621588326044</v>
      </c>
      <c r="P924">
        <f>-664.531962841736 -90.0994488198733 -438.807879548026</f>
        <v>-1193.4392912096353</v>
      </c>
      <c r="Q924">
        <f>-405.838645947951 -116.678398016739 -435.151107705858</f>
        <v>-957.66815167054801</v>
      </c>
      <c r="R924" t="s">
        <v>15386</v>
      </c>
      <c r="S924" t="s">
        <v>15387</v>
      </c>
      <c r="T924" t="s">
        <v>15388</v>
      </c>
      <c r="U924" t="s">
        <v>15389</v>
      </c>
      <c r="V924">
        <f>-638.444973838653 -10.0951007556553 -250.936354238478</f>
        <v>-899.47642883278627</v>
      </c>
      <c r="W924" t="s">
        <v>15390</v>
      </c>
      <c r="X924" t="s">
        <v>15391</v>
      </c>
      <c r="Y924" t="s">
        <v>15392</v>
      </c>
    </row>
    <row r="925" spans="1:25" x14ac:dyDescent="0.3">
      <c r="A925">
        <v>46200</v>
      </c>
      <c r="B925" t="s">
        <v>15393</v>
      </c>
      <c r="C925" t="s">
        <v>15394</v>
      </c>
      <c r="D925" t="s">
        <v>15395</v>
      </c>
      <c r="E925" t="s">
        <v>15396</v>
      </c>
      <c r="F925" t="s">
        <v>15397</v>
      </c>
      <c r="G925" t="s">
        <v>15398</v>
      </c>
      <c r="H925" t="s">
        <v>15399</v>
      </c>
      <c r="I925" t="s">
        <v>15400</v>
      </c>
      <c r="J925" t="s">
        <v>15401</v>
      </c>
      <c r="K925" t="s">
        <v>15402</v>
      </c>
      <c r="L925" t="s">
        <v>15403</v>
      </c>
      <c r="M925" t="s">
        <v>15404</v>
      </c>
      <c r="N925" t="s">
        <v>15405</v>
      </c>
      <c r="O925">
        <f>-619.91867986828 -101.023715507563 -752.253160499573</f>
        <v>-1473.1955558754162</v>
      </c>
      <c r="P925">
        <f>-665.092573837857 -89.8742862024537 -439.169738552719</f>
        <v>-1194.1365985930297</v>
      </c>
      <c r="Q925">
        <f>-406.33497111366 -115.813236272816 -435.46595861164</f>
        <v>-957.61416599811605</v>
      </c>
      <c r="R925" t="s">
        <v>15406</v>
      </c>
      <c r="S925" t="s">
        <v>15407</v>
      </c>
      <c r="T925" t="s">
        <v>15408</v>
      </c>
      <c r="U925" t="s">
        <v>15409</v>
      </c>
      <c r="V925">
        <f>-638.32773968671 -10.6551532024773 -251.131309834845</f>
        <v>-900.11420272403234</v>
      </c>
      <c r="W925" t="s">
        <v>15410</v>
      </c>
      <c r="X925" t="s">
        <v>15411</v>
      </c>
      <c r="Y925" t="s">
        <v>15412</v>
      </c>
    </row>
    <row r="926" spans="1:25" x14ac:dyDescent="0.3">
      <c r="A926">
        <v>46250</v>
      </c>
      <c r="B926" t="s">
        <v>15413</v>
      </c>
      <c r="C926" t="s">
        <v>15414</v>
      </c>
      <c r="D926" t="s">
        <v>15415</v>
      </c>
      <c r="E926" t="s">
        <v>15416</v>
      </c>
      <c r="F926" t="s">
        <v>15417</v>
      </c>
      <c r="G926" t="s">
        <v>15418</v>
      </c>
      <c r="H926" t="s">
        <v>15419</v>
      </c>
      <c r="I926" t="s">
        <v>15420</v>
      </c>
      <c r="J926" t="s">
        <v>15421</v>
      </c>
      <c r="K926" t="s">
        <v>15422</v>
      </c>
      <c r="L926" t="s">
        <v>15423</v>
      </c>
      <c r="M926" t="s">
        <v>15424</v>
      </c>
      <c r="N926" t="s">
        <v>15425</v>
      </c>
      <c r="O926">
        <f>-620.808059177373 -101.625263071611 -752.951481537634</f>
        <v>-1475.384803786618</v>
      </c>
      <c r="P926">
        <f>-664.313219478608 -90.1839797219909 -439.64233637966</f>
        <v>-1194.1395355802588</v>
      </c>
      <c r="Q926">
        <f>-405.333249989602 -113.782295839876 -435.828380920927</f>
        <v>-954.94392675040501</v>
      </c>
      <c r="R926" t="s">
        <v>15426</v>
      </c>
      <c r="S926" t="s">
        <v>15427</v>
      </c>
      <c r="T926" t="s">
        <v>15428</v>
      </c>
      <c r="U926" t="s">
        <v>15429</v>
      </c>
      <c r="V926">
        <f>-637.281010217088 -12.1706021891241 -251.235354595075</f>
        <v>-900.68696700128714</v>
      </c>
      <c r="W926" t="s">
        <v>15430</v>
      </c>
      <c r="X926" t="s">
        <v>15431</v>
      </c>
      <c r="Y926" t="s">
        <v>15432</v>
      </c>
    </row>
    <row r="927" spans="1:25" x14ac:dyDescent="0.3">
      <c r="A927">
        <v>46300</v>
      </c>
      <c r="B927" t="s">
        <v>15433</v>
      </c>
      <c r="C927" t="s">
        <v>15434</v>
      </c>
      <c r="D927" t="s">
        <v>15435</v>
      </c>
      <c r="E927" t="s">
        <v>15436</v>
      </c>
      <c r="F927" t="s">
        <v>15437</v>
      </c>
      <c r="G927" t="s">
        <v>15438</v>
      </c>
      <c r="H927" t="s">
        <v>15439</v>
      </c>
      <c r="I927" t="s">
        <v>15440</v>
      </c>
      <c r="J927" t="s">
        <v>15441</v>
      </c>
      <c r="K927" t="s">
        <v>15442</v>
      </c>
      <c r="L927" t="s">
        <v>15443</v>
      </c>
      <c r="M927" t="s">
        <v>15444</v>
      </c>
      <c r="N927" t="s">
        <v>15445</v>
      </c>
      <c r="O927">
        <f>-620.416894339349 -102.244457957192 -753.252676624253</f>
        <v>-1475.914028920794</v>
      </c>
      <c r="P927">
        <f>-662.853278912471 -91.0908980999709 -439.786549457066</f>
        <v>-1193.7307264695078</v>
      </c>
      <c r="Q927">
        <f>-403.720822719195 -113.009337621158 -436.318519956236</f>
        <v>-953.04868029658905</v>
      </c>
      <c r="R927" t="s">
        <v>15446</v>
      </c>
      <c r="S927" t="s">
        <v>15447</v>
      </c>
      <c r="T927" t="s">
        <v>15448</v>
      </c>
      <c r="U927" t="s">
        <v>15449</v>
      </c>
      <c r="V927">
        <f>-636.258231511565 -13.2259075763766 -251.1582155192</f>
        <v>-900.64235460714156</v>
      </c>
      <c r="W927" t="s">
        <v>15450</v>
      </c>
      <c r="X927" t="s">
        <v>15451</v>
      </c>
      <c r="Y927" t="s">
        <v>15452</v>
      </c>
    </row>
    <row r="928" spans="1:25" x14ac:dyDescent="0.3">
      <c r="A928">
        <v>46350</v>
      </c>
      <c r="B928" t="s">
        <v>15453</v>
      </c>
      <c r="C928" t="s">
        <v>15454</v>
      </c>
      <c r="D928" t="s">
        <v>15455</v>
      </c>
      <c r="E928" t="s">
        <v>15456</v>
      </c>
      <c r="F928" t="s">
        <v>15457</v>
      </c>
      <c r="G928" t="s">
        <v>15458</v>
      </c>
      <c r="H928" t="s">
        <v>15459</v>
      </c>
      <c r="I928" t="s">
        <v>15460</v>
      </c>
      <c r="J928" t="s">
        <v>15461</v>
      </c>
      <c r="K928" t="s">
        <v>15462</v>
      </c>
      <c r="L928" t="s">
        <v>15463</v>
      </c>
      <c r="M928" t="s">
        <v>15464</v>
      </c>
      <c r="N928" t="s">
        <v>15465</v>
      </c>
      <c r="O928">
        <f>-617.869487549958 -103.234984296981 -753.609887910908</f>
        <v>-1474.714359757847</v>
      </c>
      <c r="P928">
        <f>-658.986596436116 -93.5203289966626 -439.920144846497</f>
        <v>-1192.4270702792755</v>
      </c>
      <c r="Q928">
        <f>-399.568541915033 -111.859115587523 -437.08842317437</f>
        <v>-948.51608067692598</v>
      </c>
      <c r="R928" t="s">
        <v>15466</v>
      </c>
      <c r="S928" t="s">
        <v>15467</v>
      </c>
      <c r="T928" t="s">
        <v>15468</v>
      </c>
      <c r="U928" t="s">
        <v>15469</v>
      </c>
      <c r="V928">
        <f>-633.589163560818 -15.6608480316622 -250.765502674784</f>
        <v>-900.01551426726417</v>
      </c>
      <c r="W928" t="s">
        <v>15470</v>
      </c>
      <c r="X928" t="s">
        <v>15471</v>
      </c>
      <c r="Y928" t="s">
        <v>15472</v>
      </c>
    </row>
    <row r="929" spans="1:25" x14ac:dyDescent="0.3">
      <c r="A929">
        <v>46400</v>
      </c>
      <c r="B929" t="s">
        <v>15473</v>
      </c>
      <c r="C929" t="s">
        <v>15474</v>
      </c>
      <c r="D929" t="s">
        <v>15475</v>
      </c>
      <c r="E929" t="s">
        <v>15476</v>
      </c>
      <c r="F929" t="s">
        <v>15477</v>
      </c>
      <c r="G929" t="s">
        <v>15478</v>
      </c>
      <c r="H929" t="s">
        <v>15479</v>
      </c>
      <c r="I929" t="s">
        <v>15480</v>
      </c>
      <c r="J929" t="s">
        <v>15481</v>
      </c>
      <c r="K929" t="s">
        <v>15482</v>
      </c>
      <c r="L929" t="s">
        <v>15483</v>
      </c>
      <c r="M929" t="s">
        <v>15484</v>
      </c>
      <c r="N929" t="s">
        <v>15485</v>
      </c>
      <c r="O929">
        <f>-616.139646733699 -103.570337334274 -753.993623612665</f>
        <v>-1473.703607680638</v>
      </c>
      <c r="P929">
        <f>-657.493270744426 -94.9553177715193 -440.302860133321</f>
        <v>-1192.7514486492664</v>
      </c>
      <c r="Q929">
        <f>-397.969196172661 -111.702112563163 -437.329824451417</f>
        <v>-947.00113318724095</v>
      </c>
      <c r="R929" t="s">
        <v>15486</v>
      </c>
      <c r="S929" t="s">
        <v>15487</v>
      </c>
      <c r="T929" t="s">
        <v>15488</v>
      </c>
      <c r="U929" t="s">
        <v>15489</v>
      </c>
      <c r="V929">
        <f>-632.244239243376 -17.0169363243645 -250.569729688361</f>
        <v>-899.83090525610146</v>
      </c>
      <c r="W929" t="s">
        <v>15490</v>
      </c>
      <c r="X929" t="s">
        <v>15491</v>
      </c>
      <c r="Y929" t="s">
        <v>15492</v>
      </c>
    </row>
    <row r="930" spans="1:25" x14ac:dyDescent="0.3">
      <c r="A930">
        <v>46450</v>
      </c>
      <c r="B930" t="s">
        <v>15493</v>
      </c>
      <c r="C930" t="s">
        <v>15494</v>
      </c>
      <c r="D930" t="s">
        <v>15495</v>
      </c>
      <c r="E930" t="s">
        <v>15496</v>
      </c>
      <c r="F930" t="s">
        <v>15497</v>
      </c>
      <c r="G930" t="s">
        <v>15498</v>
      </c>
      <c r="H930" t="s">
        <v>15499</v>
      </c>
      <c r="I930" t="s">
        <v>15500</v>
      </c>
      <c r="J930" t="s">
        <v>15501</v>
      </c>
      <c r="K930" t="s">
        <v>15502</v>
      </c>
      <c r="L930" t="s">
        <v>15503</v>
      </c>
      <c r="M930" t="s">
        <v>15504</v>
      </c>
      <c r="N930" t="s">
        <v>15505</v>
      </c>
      <c r="O930">
        <f>-610.014253380065 -103.344516747755 -754.716070464627</f>
        <v>-1468.0748405924469</v>
      </c>
      <c r="P930">
        <f>-652.410237178226 -97.560796713974 -441.099494569793</f>
        <v>-1191.070528461993</v>
      </c>
      <c r="Q930">
        <f>-392.730007487046 -111.555672600992 -437.581592167574</f>
        <v>-941.86727225561208</v>
      </c>
      <c r="R930" t="s">
        <v>15506</v>
      </c>
      <c r="S930" t="s">
        <v>15507</v>
      </c>
      <c r="T930" t="s">
        <v>15508</v>
      </c>
      <c r="U930" t="s">
        <v>15509</v>
      </c>
      <c r="V930">
        <f>-629.441009178815 -19.7450917315298 -250.328861580715</f>
        <v>-899.5149624910598</v>
      </c>
      <c r="W930" t="s">
        <v>15510</v>
      </c>
      <c r="X930" t="s">
        <v>15511</v>
      </c>
      <c r="Y930" t="s">
        <v>15512</v>
      </c>
    </row>
    <row r="931" spans="1:25" x14ac:dyDescent="0.3">
      <c r="A931">
        <v>46500</v>
      </c>
      <c r="B931" t="s">
        <v>15513</v>
      </c>
      <c r="C931" t="s">
        <v>15514</v>
      </c>
      <c r="D931" t="s">
        <v>15515</v>
      </c>
      <c r="E931" t="s">
        <v>15516</v>
      </c>
      <c r="F931" t="s">
        <v>15517</v>
      </c>
      <c r="G931" t="s">
        <v>15518</v>
      </c>
      <c r="H931" t="s">
        <v>15519</v>
      </c>
      <c r="I931" t="s">
        <v>15520</v>
      </c>
      <c r="J931" t="s">
        <v>15521</v>
      </c>
      <c r="K931" t="s">
        <v>15522</v>
      </c>
      <c r="L931" t="s">
        <v>15523</v>
      </c>
      <c r="M931" t="s">
        <v>15524</v>
      </c>
      <c r="N931" t="s">
        <v>15525</v>
      </c>
      <c r="O931">
        <f>-605.130162262672 -102.506629385467 -754.819461318045</f>
        <v>-1462.4562529661839</v>
      </c>
      <c r="P931">
        <f>-648.113403047328 -98.3484602284511 -441.257165672515</f>
        <v>-1187.7190289482942</v>
      </c>
      <c r="Q931">
        <f>-388.390155736392 -111.455647319198 -437.505978601333</f>
        <v>-937.35178165692298</v>
      </c>
      <c r="R931" t="s">
        <v>15526</v>
      </c>
      <c r="S931" t="s">
        <v>15527</v>
      </c>
      <c r="T931" t="s">
        <v>15528</v>
      </c>
      <c r="U931" t="s">
        <v>15529</v>
      </c>
      <c r="V931">
        <f>-627.75881067831 -20.9702230771095 -250.256445425945</f>
        <v>-898.98547918136455</v>
      </c>
      <c r="W931" t="s">
        <v>15530</v>
      </c>
      <c r="X931" t="s">
        <v>15531</v>
      </c>
      <c r="Y931" t="s">
        <v>15532</v>
      </c>
    </row>
    <row r="932" spans="1:25" x14ac:dyDescent="0.3">
      <c r="A932">
        <v>46550</v>
      </c>
      <c r="B932" t="s">
        <v>15533</v>
      </c>
      <c r="C932" t="s">
        <v>15534</v>
      </c>
      <c r="D932" t="s">
        <v>15535</v>
      </c>
      <c r="E932" t="s">
        <v>15536</v>
      </c>
      <c r="F932" t="s">
        <v>15537</v>
      </c>
      <c r="G932" t="s">
        <v>15538</v>
      </c>
      <c r="H932" t="s">
        <v>15539</v>
      </c>
      <c r="I932" t="s">
        <v>15540</v>
      </c>
      <c r="J932" t="s">
        <v>15541</v>
      </c>
      <c r="K932" t="s">
        <v>15542</v>
      </c>
      <c r="L932" t="s">
        <v>15543</v>
      </c>
      <c r="M932" t="s">
        <v>15544</v>
      </c>
      <c r="N932" t="s">
        <v>15545</v>
      </c>
      <c r="O932">
        <f>-596.253866171167 -100.749338315942 -755.506563739374</f>
        <v>-1452.5097682264832</v>
      </c>
      <c r="P932">
        <f>-640.588439450973 -99.844971039485 -442.106330785774</f>
        <v>-1182.539741276232</v>
      </c>
      <c r="Q932">
        <f>-380.822379113711 -111.78492619454 -437.514104931777</f>
        <v>-930.12141024002801</v>
      </c>
      <c r="R932" t="s">
        <v>15546</v>
      </c>
      <c r="S932" t="s">
        <v>15547</v>
      </c>
      <c r="T932" t="s">
        <v>15548</v>
      </c>
      <c r="U932" t="s">
        <v>15549</v>
      </c>
      <c r="V932">
        <f>-624.745910015281 -23.2719658424514 -250.299423965843</f>
        <v>-898.31729982357547</v>
      </c>
      <c r="W932" t="s">
        <v>15550</v>
      </c>
      <c r="X932" t="s">
        <v>15551</v>
      </c>
      <c r="Y932" t="s">
        <v>15552</v>
      </c>
    </row>
    <row r="933" spans="1:25" x14ac:dyDescent="0.3">
      <c r="A933">
        <v>46600</v>
      </c>
      <c r="B933" t="s">
        <v>15553</v>
      </c>
      <c r="C933" t="s">
        <v>15554</v>
      </c>
      <c r="D933" t="s">
        <v>15555</v>
      </c>
      <c r="E933" t="s">
        <v>15556</v>
      </c>
      <c r="F933" t="s">
        <v>15557</v>
      </c>
      <c r="G933" t="s">
        <v>15558</v>
      </c>
      <c r="H933" t="s">
        <v>15559</v>
      </c>
      <c r="I933" t="s">
        <v>15560</v>
      </c>
      <c r="J933" t="s">
        <v>15561</v>
      </c>
      <c r="K933" t="s">
        <v>15562</v>
      </c>
      <c r="L933" t="s">
        <v>15563</v>
      </c>
      <c r="M933" t="s">
        <v>15564</v>
      </c>
      <c r="N933" t="s">
        <v>15565</v>
      </c>
      <c r="O933">
        <f>-592.950093582942 -99.9675025346814 -756.20459158158</f>
        <v>-1449.1221876992036</v>
      </c>
      <c r="P933">
        <f>-638.080889094369 -100.488642091425 -442.91706684725</f>
        <v>-1181.4865980330442</v>
      </c>
      <c r="Q933">
        <f>-378.313921797979 -112.11938924063 -437.637088158564</f>
        <v>-928.07039919717295</v>
      </c>
      <c r="R933" t="s">
        <v>15566</v>
      </c>
      <c r="S933" t="s">
        <v>15567</v>
      </c>
      <c r="T933" t="s">
        <v>15568</v>
      </c>
      <c r="U933" t="s">
        <v>15569</v>
      </c>
      <c r="V933">
        <f>-623.315945268657 -24.4197301333338 -250.424980642629</f>
        <v>-898.16065604461983</v>
      </c>
      <c r="W933" t="s">
        <v>15570</v>
      </c>
      <c r="X933" t="s">
        <v>15571</v>
      </c>
      <c r="Y933" t="s">
        <v>15572</v>
      </c>
    </row>
    <row r="934" spans="1:25" x14ac:dyDescent="0.3">
      <c r="A934">
        <v>46650</v>
      </c>
      <c r="B934" t="s">
        <v>15573</v>
      </c>
      <c r="C934" t="s">
        <v>15574</v>
      </c>
      <c r="D934" t="s">
        <v>15575</v>
      </c>
      <c r="E934" t="s">
        <v>15576</v>
      </c>
      <c r="F934" t="s">
        <v>15577</v>
      </c>
      <c r="G934" t="s">
        <v>15578</v>
      </c>
      <c r="H934" t="s">
        <v>15579</v>
      </c>
      <c r="I934" t="s">
        <v>15580</v>
      </c>
      <c r="J934" t="s">
        <v>15581</v>
      </c>
      <c r="K934" t="s">
        <v>15582</v>
      </c>
      <c r="L934" t="s">
        <v>15583</v>
      </c>
      <c r="M934" t="s">
        <v>15584</v>
      </c>
      <c r="N934" t="s">
        <v>15585</v>
      </c>
      <c r="O934">
        <f>-585.801992976816 -98.9055226331593 -757.402023865273</f>
        <v>-1442.1095394752483</v>
      </c>
      <c r="P934">
        <f>-632.395719695275 -102.578195454067 -444.349689396766</f>
        <v>-1179.3236045461081</v>
      </c>
      <c r="Q934">
        <f>-372.619868637925 -113.063202622948 -437.375969914635</f>
        <v>-923.0590411755079</v>
      </c>
      <c r="R934" t="s">
        <v>15586</v>
      </c>
      <c r="S934" t="s">
        <v>15587</v>
      </c>
      <c r="T934" t="s">
        <v>15588</v>
      </c>
      <c r="U934" t="s">
        <v>15589</v>
      </c>
      <c r="V934">
        <f>-619.740538418172 -26.7204941849911 -250.799078209357</f>
        <v>-897.26011081252022</v>
      </c>
      <c r="W934" t="s">
        <v>15590</v>
      </c>
      <c r="X934" t="s">
        <v>15591</v>
      </c>
      <c r="Y934" t="s">
        <v>15592</v>
      </c>
    </row>
    <row r="935" spans="1:25" x14ac:dyDescent="0.3">
      <c r="A935">
        <v>46700</v>
      </c>
      <c r="B935" t="s">
        <v>15593</v>
      </c>
      <c r="C935" t="s">
        <v>15594</v>
      </c>
      <c r="D935" t="s">
        <v>15595</v>
      </c>
      <c r="E935" t="s">
        <v>15596</v>
      </c>
      <c r="F935" t="s">
        <v>15597</v>
      </c>
      <c r="G935" t="s">
        <v>15598</v>
      </c>
      <c r="H935" t="s">
        <v>15599</v>
      </c>
      <c r="I935" t="s">
        <v>15600</v>
      </c>
      <c r="J935" t="s">
        <v>15601</v>
      </c>
      <c r="K935" t="s">
        <v>15602</v>
      </c>
      <c r="L935" t="s">
        <v>15603</v>
      </c>
      <c r="M935" t="s">
        <v>15604</v>
      </c>
      <c r="N935" t="s">
        <v>15605</v>
      </c>
      <c r="O935">
        <f>-582.806184501036 -98.7773254368492 -757.937712832276</f>
        <v>-1439.5212227701613</v>
      </c>
      <c r="P935">
        <f>-630.474109089404 -103.699720517503 -445.064385054826</f>
        <v>-1179.2382146617331</v>
      </c>
      <c r="Q935">
        <f>-370.68515763079 -113.338868272155 -437.394080499525</f>
        <v>-921.41810640247002</v>
      </c>
      <c r="R935" t="s">
        <v>15606</v>
      </c>
      <c r="S935" t="s">
        <v>15607</v>
      </c>
      <c r="T935" t="s">
        <v>15608</v>
      </c>
      <c r="U935" t="s">
        <v>15609</v>
      </c>
      <c r="V935">
        <f>-618.064813820668 -27.9533035560241 -250.974764880112</f>
        <v>-896.99288225680402</v>
      </c>
      <c r="W935" t="s">
        <v>15610</v>
      </c>
      <c r="X935" t="s">
        <v>15611</v>
      </c>
      <c r="Y935" t="s">
        <v>15612</v>
      </c>
    </row>
    <row r="936" spans="1:25" x14ac:dyDescent="0.3">
      <c r="A936">
        <v>46750</v>
      </c>
      <c r="B936" t="s">
        <v>15613</v>
      </c>
      <c r="C936" t="s">
        <v>15614</v>
      </c>
      <c r="D936" t="s">
        <v>15615</v>
      </c>
      <c r="E936" t="s">
        <v>15616</v>
      </c>
      <c r="F936" t="s">
        <v>15617</v>
      </c>
      <c r="G936" t="s">
        <v>15618</v>
      </c>
      <c r="H936" t="s">
        <v>15619</v>
      </c>
      <c r="I936" t="s">
        <v>15620</v>
      </c>
      <c r="J936" t="s">
        <v>15621</v>
      </c>
      <c r="K936" t="s">
        <v>15622</v>
      </c>
      <c r="L936" t="s">
        <v>15623</v>
      </c>
      <c r="M936" t="s">
        <v>15624</v>
      </c>
      <c r="N936" t="s">
        <v>15625</v>
      </c>
      <c r="O936">
        <f>-577.103397635234 -98.6995912489672 -758.471701477437</f>
        <v>-1434.2746903616382</v>
      </c>
      <c r="P936">
        <f>-626.063946710682 -105.688735271427 -445.837406491366</f>
        <v>-1177.5900884734751</v>
      </c>
      <c r="Q936">
        <f>-366.260684155019 -113.611030498239 -436.806019185468</f>
        <v>-916.677733838726</v>
      </c>
      <c r="R936" t="s">
        <v>15626</v>
      </c>
      <c r="S936" t="s">
        <v>15627</v>
      </c>
      <c r="T936" t="s">
        <v>15628</v>
      </c>
      <c r="U936" t="s">
        <v>15629</v>
      </c>
      <c r="V936">
        <f>-615.135322091731 -30.2207285522422 -251.253186850561</f>
        <v>-896.60923749453423</v>
      </c>
      <c r="W936" t="s">
        <v>15630</v>
      </c>
      <c r="X936" t="s">
        <v>15631</v>
      </c>
      <c r="Y936" t="s">
        <v>15632</v>
      </c>
    </row>
    <row r="937" spans="1:25" x14ac:dyDescent="0.3">
      <c r="A937">
        <v>46800</v>
      </c>
      <c r="B937" t="s">
        <v>15633</v>
      </c>
      <c r="C937" t="s">
        <v>15634</v>
      </c>
      <c r="D937" t="s">
        <v>15635</v>
      </c>
      <c r="E937" t="s">
        <v>15636</v>
      </c>
      <c r="F937" t="s">
        <v>15637</v>
      </c>
      <c r="G937" t="s">
        <v>15638</v>
      </c>
      <c r="H937" t="s">
        <v>15639</v>
      </c>
      <c r="I937" t="s">
        <v>15640</v>
      </c>
      <c r="J937" t="s">
        <v>15641</v>
      </c>
      <c r="K937" t="s">
        <v>15642</v>
      </c>
      <c r="L937" t="s">
        <v>15643</v>
      </c>
      <c r="M937" t="s">
        <v>15644</v>
      </c>
      <c r="N937" t="s">
        <v>15645</v>
      </c>
      <c r="O937">
        <f>-574.878779643253 -98.8563246896949 -758.670111534908</f>
        <v>-1432.405215867856</v>
      </c>
      <c r="P937">
        <f>-624.375628042076 -106.566063001415 -446.137183791642</f>
        <v>-1177.0788748351329</v>
      </c>
      <c r="Q937">
        <f>-364.56773130408 -113.687448981905 -436.58840200207</f>
        <v>-914.8435822880549</v>
      </c>
      <c r="R937" t="s">
        <v>15646</v>
      </c>
      <c r="S937" t="s">
        <v>15647</v>
      </c>
      <c r="T937" t="s">
        <v>15648</v>
      </c>
      <c r="U937" t="s">
        <v>15649</v>
      </c>
      <c r="V937">
        <f>-613.875962800452 -31.3307559181133 -251.325686196069</f>
        <v>-896.5324049146343</v>
      </c>
      <c r="W937" t="s">
        <v>15650</v>
      </c>
      <c r="X937" t="s">
        <v>15651</v>
      </c>
      <c r="Y937" t="s">
        <v>15652</v>
      </c>
    </row>
    <row r="938" spans="1:25" x14ac:dyDescent="0.3">
      <c r="A938">
        <v>46850</v>
      </c>
      <c r="B938" t="s">
        <v>15653</v>
      </c>
      <c r="C938" t="s">
        <v>15654</v>
      </c>
      <c r="D938" t="s">
        <v>15655</v>
      </c>
      <c r="E938" t="s">
        <v>15656</v>
      </c>
      <c r="F938" t="s">
        <v>15657</v>
      </c>
      <c r="G938" t="s">
        <v>15658</v>
      </c>
      <c r="H938" t="s">
        <v>15659</v>
      </c>
      <c r="I938" t="s">
        <v>15660</v>
      </c>
      <c r="J938" t="s">
        <v>15661</v>
      </c>
      <c r="K938" t="s">
        <v>15662</v>
      </c>
      <c r="L938" t="s">
        <v>15663</v>
      </c>
      <c r="M938" t="s">
        <v>15664</v>
      </c>
      <c r="N938" t="s">
        <v>15665</v>
      </c>
      <c r="O938">
        <f>-571.7495645888 -99.6323831302295 -758.708459591544</f>
        <v>-1430.0904073105735</v>
      </c>
      <c r="P938">
        <f>-621.732360633389 -108.259256240602 -446.276792863966</f>
        <v>-1176.268409737957</v>
      </c>
      <c r="Q938">
        <f>-361.922553362947 -114.471358085583 -436.161362278331</f>
        <v>-912.55527372686106</v>
      </c>
      <c r="R938" t="s">
        <v>15666</v>
      </c>
      <c r="S938" t="s">
        <v>15667</v>
      </c>
      <c r="T938" t="s">
        <v>15668</v>
      </c>
      <c r="U938" t="s">
        <v>15669</v>
      </c>
      <c r="V938">
        <f>-611.895540509851 -33.3433172023836 -251.366648976932</f>
        <v>-896.60550668916653</v>
      </c>
      <c r="W938" t="s">
        <v>15670</v>
      </c>
      <c r="X938" t="s">
        <v>15671</v>
      </c>
      <c r="Y938" t="s">
        <v>15672</v>
      </c>
    </row>
    <row r="939" spans="1:25" x14ac:dyDescent="0.3">
      <c r="A939">
        <v>46900</v>
      </c>
      <c r="B939" t="s">
        <v>15673</v>
      </c>
      <c r="C939" t="s">
        <v>15674</v>
      </c>
      <c r="D939" t="s">
        <v>15675</v>
      </c>
      <c r="E939" t="s">
        <v>15676</v>
      </c>
      <c r="F939" t="s">
        <v>15677</v>
      </c>
      <c r="G939" t="s">
        <v>15678</v>
      </c>
      <c r="H939" t="s">
        <v>15679</v>
      </c>
      <c r="I939" t="s">
        <v>15680</v>
      </c>
      <c r="J939" t="s">
        <v>15681</v>
      </c>
      <c r="K939" t="s">
        <v>15682</v>
      </c>
      <c r="L939" t="s">
        <v>15683</v>
      </c>
      <c r="M939" t="s">
        <v>15684</v>
      </c>
      <c r="N939" t="s">
        <v>15685</v>
      </c>
      <c r="O939">
        <f>-570.289233685738 -100.035120339081 -758.691375055804</f>
        <v>-1429.015729080623</v>
      </c>
      <c r="P939">
        <f>-620.32268053666 -108.944559071575 -446.275843188736</f>
        <v>-1175.543082796971</v>
      </c>
      <c r="Q939">
        <f>-360.516169676561 -115.100991016736 -436.041063639525</f>
        <v>-911.6582243328221</v>
      </c>
      <c r="R939" t="s">
        <v>15686</v>
      </c>
      <c r="S939" t="s">
        <v>15687</v>
      </c>
      <c r="T939" t="s">
        <v>15688</v>
      </c>
      <c r="U939" t="s">
        <v>15689</v>
      </c>
      <c r="V939">
        <f>-610.925751978254 -34.1167203961998 -251.360884516672</f>
        <v>-896.40335689112567</v>
      </c>
      <c r="W939" t="s">
        <v>15690</v>
      </c>
      <c r="X939" t="s">
        <v>15691</v>
      </c>
      <c r="Y939" t="s">
        <v>15692</v>
      </c>
    </row>
    <row r="940" spans="1:25" x14ac:dyDescent="0.3">
      <c r="A940">
        <v>46950</v>
      </c>
      <c r="B940" t="s">
        <v>15693</v>
      </c>
      <c r="C940" t="s">
        <v>15694</v>
      </c>
      <c r="D940" t="s">
        <v>15695</v>
      </c>
      <c r="E940" t="s">
        <v>15696</v>
      </c>
      <c r="F940" t="s">
        <v>15697</v>
      </c>
      <c r="G940" t="s">
        <v>15698</v>
      </c>
      <c r="H940" t="s">
        <v>15699</v>
      </c>
      <c r="I940" t="s">
        <v>15700</v>
      </c>
      <c r="J940" t="s">
        <v>15701</v>
      </c>
      <c r="K940" t="s">
        <v>15702</v>
      </c>
      <c r="L940" t="s">
        <v>15703</v>
      </c>
      <c r="M940" t="s">
        <v>15704</v>
      </c>
      <c r="N940" t="s">
        <v>15705</v>
      </c>
      <c r="O940">
        <f>-567.997057393204 -100.575671667052 -758.529916739531</f>
        <v>-1427.1026457997871</v>
      </c>
      <c r="P940">
        <f>-618.062907320709 -109.984105821841 -446.134304325054</f>
        <v>-1174.181317467604</v>
      </c>
      <c r="Q940">
        <f>-358.248526774437 -116.295349847099 -436.198663188535</f>
        <v>-910.74253981007109</v>
      </c>
      <c r="R940" t="s">
        <v>15706</v>
      </c>
      <c r="S940" t="s">
        <v>15707</v>
      </c>
      <c r="T940" t="s">
        <v>15708</v>
      </c>
      <c r="U940" t="s">
        <v>15709</v>
      </c>
      <c r="V940">
        <f>-609.244033727951 -35.4853544521034 -251.297533022472</f>
        <v>-896.02692120252641</v>
      </c>
      <c r="W940" t="s">
        <v>15710</v>
      </c>
      <c r="X940" t="s">
        <v>15711</v>
      </c>
      <c r="Y940" t="s">
        <v>15712</v>
      </c>
    </row>
    <row r="941" spans="1:25" x14ac:dyDescent="0.3">
      <c r="A941">
        <v>47000</v>
      </c>
      <c r="B941" t="s">
        <v>15713</v>
      </c>
      <c r="C941" t="s">
        <v>15714</v>
      </c>
      <c r="D941" t="s">
        <v>15715</v>
      </c>
      <c r="E941" t="s">
        <v>15716</v>
      </c>
      <c r="F941" t="s">
        <v>15717</v>
      </c>
      <c r="G941" t="s">
        <v>15718</v>
      </c>
      <c r="H941" t="s">
        <v>15719</v>
      </c>
      <c r="I941" t="s">
        <v>15720</v>
      </c>
      <c r="J941" t="s">
        <v>15721</v>
      </c>
      <c r="K941" t="s">
        <v>15722</v>
      </c>
      <c r="L941" t="s">
        <v>15723</v>
      </c>
      <c r="M941" t="s">
        <v>15724</v>
      </c>
      <c r="N941" t="s">
        <v>15725</v>
      </c>
      <c r="O941">
        <f>-567.175770337239 -100.824381153429 -758.348867005447</f>
        <v>-1426.3490184961151</v>
      </c>
      <c r="P941">
        <f>-617.254219993897 -110.342295930306 -445.958572161721</f>
        <v>-1173.5550880859241</v>
      </c>
      <c r="Q941">
        <f>-357.437892087073 -116.902210634098 -436.23868727454</f>
        <v>-910.57878999571096</v>
      </c>
      <c r="R941" t="s">
        <v>15726</v>
      </c>
      <c r="S941" t="s">
        <v>15727</v>
      </c>
      <c r="T941" t="s">
        <v>15728</v>
      </c>
      <c r="U941" t="s">
        <v>15729</v>
      </c>
      <c r="V941">
        <f>-608.506322094853 -35.9596471738746 -251.233902565384</f>
        <v>-895.6998718341116</v>
      </c>
      <c r="W941" t="s">
        <v>15730</v>
      </c>
      <c r="X941" t="s">
        <v>15731</v>
      </c>
      <c r="Y941" t="s">
        <v>15732</v>
      </c>
    </row>
    <row r="942" spans="1:25" x14ac:dyDescent="0.3">
      <c r="A942">
        <v>47050</v>
      </c>
      <c r="B942" t="s">
        <v>15733</v>
      </c>
      <c r="C942" t="s">
        <v>15734</v>
      </c>
      <c r="D942" t="s">
        <v>15735</v>
      </c>
      <c r="E942" t="s">
        <v>15736</v>
      </c>
      <c r="F942" t="s">
        <v>15737</v>
      </c>
      <c r="G942" t="s">
        <v>15738</v>
      </c>
      <c r="H942" t="s">
        <v>15739</v>
      </c>
      <c r="I942" t="s">
        <v>15740</v>
      </c>
      <c r="J942" t="s">
        <v>15741</v>
      </c>
      <c r="K942" t="s">
        <v>15742</v>
      </c>
      <c r="L942" t="s">
        <v>15743</v>
      </c>
      <c r="M942" t="s">
        <v>15744</v>
      </c>
      <c r="N942" t="s">
        <v>15745</v>
      </c>
      <c r="O942">
        <f>-565.393187274493 -101.355904790583 -757.925093763392</f>
        <v>-1424.6741858284681</v>
      </c>
      <c r="P942">
        <f>-615.557622272797 -110.731229356827 -445.544316726047</f>
        <v>-1171.833168355671</v>
      </c>
      <c r="Q942">
        <f>-355.754823566371 -118.094607078281 -436.039054797011</f>
        <v>-909.88848544166297</v>
      </c>
      <c r="R942" t="s">
        <v>15746</v>
      </c>
      <c r="S942" t="s">
        <v>15747</v>
      </c>
      <c r="T942" t="s">
        <v>15748</v>
      </c>
      <c r="U942" t="s">
        <v>15749</v>
      </c>
      <c r="V942">
        <f>-607.082106679669 -36.6745826374615 -251.047388574175</f>
        <v>-894.8040778913055</v>
      </c>
      <c r="W942" t="s">
        <v>15750</v>
      </c>
      <c r="X942" t="s">
        <v>15751</v>
      </c>
      <c r="Y942" t="s">
        <v>15752</v>
      </c>
    </row>
    <row r="943" spans="1:25" x14ac:dyDescent="0.3">
      <c r="A943">
        <v>47100</v>
      </c>
      <c r="B943" t="s">
        <v>15753</v>
      </c>
      <c r="C943" t="s">
        <v>15754</v>
      </c>
      <c r="D943" t="s">
        <v>15755</v>
      </c>
      <c r="E943" t="s">
        <v>15756</v>
      </c>
      <c r="F943" t="s">
        <v>15757</v>
      </c>
      <c r="G943" t="s">
        <v>15758</v>
      </c>
      <c r="H943" t="s">
        <v>15759</v>
      </c>
      <c r="I943" t="s">
        <v>15760</v>
      </c>
      <c r="J943" t="s">
        <v>15761</v>
      </c>
      <c r="K943" t="s">
        <v>15762</v>
      </c>
      <c r="L943" t="s">
        <v>15763</v>
      </c>
      <c r="M943" t="s">
        <v>15764</v>
      </c>
      <c r="N943" t="s">
        <v>15765</v>
      </c>
      <c r="O943">
        <f>-564.638839911574 -101.840572946841 -757.725925863953</f>
        <v>-1424.205338722368</v>
      </c>
      <c r="P943">
        <f>-614.907787605271 -111.108362150341 -445.358661627335</f>
        <v>-1171.374811382947</v>
      </c>
      <c r="Q943">
        <f>-355.119327935132 -118.719162469909 -435.659066084218</f>
        <v>-909.49755648925907</v>
      </c>
      <c r="R943" t="s">
        <v>15766</v>
      </c>
      <c r="S943" t="s">
        <v>15767</v>
      </c>
      <c r="T943" t="s">
        <v>15768</v>
      </c>
      <c r="U943" t="s">
        <v>15769</v>
      </c>
      <c r="V943">
        <f>-606.449397112455 -36.9824051548387 -250.922940228928</f>
        <v>-894.35474249622177</v>
      </c>
      <c r="W943" t="s">
        <v>15770</v>
      </c>
      <c r="X943" t="s">
        <v>15771</v>
      </c>
      <c r="Y943" t="s">
        <v>15772</v>
      </c>
    </row>
    <row r="944" spans="1:25" x14ac:dyDescent="0.3">
      <c r="A944">
        <v>47150</v>
      </c>
      <c r="B944" t="s">
        <v>15773</v>
      </c>
      <c r="C944" t="s">
        <v>15774</v>
      </c>
      <c r="D944" t="s">
        <v>15775</v>
      </c>
      <c r="E944" t="s">
        <v>15776</v>
      </c>
      <c r="F944" t="s">
        <v>15777</v>
      </c>
      <c r="G944" t="s">
        <v>15778</v>
      </c>
      <c r="H944" t="s">
        <v>15779</v>
      </c>
      <c r="I944" t="s">
        <v>15780</v>
      </c>
      <c r="J944" t="s">
        <v>15781</v>
      </c>
      <c r="K944" t="s">
        <v>15782</v>
      </c>
      <c r="L944" t="s">
        <v>15783</v>
      </c>
      <c r="M944" t="s">
        <v>15784</v>
      </c>
      <c r="N944" t="s">
        <v>15785</v>
      </c>
      <c r="O944">
        <f>-563.244719871861 -102.348280233175 -757.33290102577</f>
        <v>-1422.9259011308059</v>
      </c>
      <c r="P944">
        <f>-614.065596708939 -111.381759629293 -445.048105427255</f>
        <v>-1170.4954617654871</v>
      </c>
      <c r="Q944">
        <f>-354.306961117744 -119.213527103834 -434.745340681053</f>
        <v>-908.26582890263103</v>
      </c>
      <c r="R944" t="s">
        <v>15786</v>
      </c>
      <c r="S944" t="s">
        <v>15787</v>
      </c>
      <c r="T944" t="s">
        <v>15788</v>
      </c>
      <c r="U944" t="s">
        <v>15789</v>
      </c>
      <c r="V944">
        <f>-605.318207843959 -37.275008668217 -250.688724399258</f>
        <v>-893.28194091143405</v>
      </c>
      <c r="W944" t="s">
        <v>15790</v>
      </c>
      <c r="X944" t="s">
        <v>15791</v>
      </c>
      <c r="Y944" t="s">
        <v>15792</v>
      </c>
    </row>
    <row r="945" spans="1:25" x14ac:dyDescent="0.3">
      <c r="A945">
        <v>47200</v>
      </c>
      <c r="B945" t="s">
        <v>15793</v>
      </c>
      <c r="C945" t="s">
        <v>15794</v>
      </c>
      <c r="D945" t="s">
        <v>15795</v>
      </c>
      <c r="E945" t="s">
        <v>15796</v>
      </c>
      <c r="F945" t="s">
        <v>15797</v>
      </c>
      <c r="G945" t="s">
        <v>15798</v>
      </c>
      <c r="H945" t="s">
        <v>15799</v>
      </c>
      <c r="I945" t="s">
        <v>15800</v>
      </c>
      <c r="J945" t="s">
        <v>15801</v>
      </c>
      <c r="K945" t="s">
        <v>15802</v>
      </c>
      <c r="L945" t="s">
        <v>15803</v>
      </c>
      <c r="M945" t="s">
        <v>15804</v>
      </c>
      <c r="N945" t="s">
        <v>15805</v>
      </c>
      <c r="O945">
        <f>-562.70353594683 -102.671872002593 -757.064483433934</f>
        <v>-1422.439891383357</v>
      </c>
      <c r="P945">
        <f>-614.017959345081 -111.543622766591 -444.855704675308</f>
        <v>-1170.41728678698</v>
      </c>
      <c r="Q945">
        <f>-354.277057992725 -119.425873163436 -434.151677642815</f>
        <v>-907.85460879897596</v>
      </c>
      <c r="R945" t="s">
        <v>15806</v>
      </c>
      <c r="S945" t="s">
        <v>15807</v>
      </c>
      <c r="T945" t="s">
        <v>15808</v>
      </c>
      <c r="U945" t="s">
        <v>15809</v>
      </c>
      <c r="V945">
        <f>-604.879282497575 -37.2738028787355 -250.584964344587</f>
        <v>-892.73804972089749</v>
      </c>
      <c r="W945" t="s">
        <v>15810</v>
      </c>
      <c r="X945" t="s">
        <v>15811</v>
      </c>
      <c r="Y945" t="s">
        <v>15812</v>
      </c>
    </row>
    <row r="946" spans="1:25" x14ac:dyDescent="0.3">
      <c r="A946">
        <v>47250</v>
      </c>
      <c r="B946" t="s">
        <v>15813</v>
      </c>
      <c r="C946" t="s">
        <v>15814</v>
      </c>
      <c r="D946" t="s">
        <v>15815</v>
      </c>
      <c r="E946" t="s">
        <v>15816</v>
      </c>
      <c r="F946" t="s">
        <v>15817</v>
      </c>
      <c r="G946" t="s">
        <v>15818</v>
      </c>
      <c r="H946" t="s">
        <v>15819</v>
      </c>
      <c r="I946" t="s">
        <v>15820</v>
      </c>
      <c r="J946" t="s">
        <v>15821</v>
      </c>
      <c r="K946" t="s">
        <v>15822</v>
      </c>
      <c r="L946" t="s">
        <v>15823</v>
      </c>
      <c r="M946" t="s">
        <v>15824</v>
      </c>
      <c r="N946" t="s">
        <v>15825</v>
      </c>
      <c r="O946">
        <f>-561.46450681837 -103.229055944738 -756.42999931321</f>
        <v>-1421.123562076318</v>
      </c>
      <c r="P946">
        <f>-613.757810756792 -111.448994041191 -444.365795712449</f>
        <v>-1169.572600510432</v>
      </c>
      <c r="Q946">
        <f>-354.068515180162 -119.726655559607 -432.746660737184</f>
        <v>-906.54183147695301</v>
      </c>
      <c r="R946" t="s">
        <v>15826</v>
      </c>
      <c r="S946" t="s">
        <v>15827</v>
      </c>
      <c r="T946" t="s">
        <v>15828</v>
      </c>
      <c r="U946" t="s">
        <v>15829</v>
      </c>
      <c r="V946">
        <f>-604.223111872067 -37.0348148204641 -250.411639161043</f>
        <v>-891.66956585357411</v>
      </c>
      <c r="W946" t="s">
        <v>15830</v>
      </c>
      <c r="X946" t="s">
        <v>15831</v>
      </c>
      <c r="Y946" t="s">
        <v>15832</v>
      </c>
    </row>
    <row r="947" spans="1:25" x14ac:dyDescent="0.3">
      <c r="A947">
        <v>47300</v>
      </c>
      <c r="B947" t="s">
        <v>15833</v>
      </c>
      <c r="C947" t="s">
        <v>15834</v>
      </c>
      <c r="D947" t="s">
        <v>15835</v>
      </c>
      <c r="E947" t="s">
        <v>15836</v>
      </c>
      <c r="F947" t="s">
        <v>15837</v>
      </c>
      <c r="G947" t="s">
        <v>15838</v>
      </c>
      <c r="H947" t="s">
        <v>15839</v>
      </c>
      <c r="I947" t="s">
        <v>15840</v>
      </c>
      <c r="J947" t="s">
        <v>15841</v>
      </c>
      <c r="K947" t="s">
        <v>15842</v>
      </c>
      <c r="L947" t="s">
        <v>15843</v>
      </c>
      <c r="M947" t="s">
        <v>15844</v>
      </c>
      <c r="N947" t="s">
        <v>15845</v>
      </c>
      <c r="O947">
        <f>-560.910040736191 -103.535192877272 -756.088185799294</f>
        <v>-1420.5334194127572</v>
      </c>
      <c r="P947">
        <f>-613.635276097444 -111.309993338461 -444.085367518066</f>
        <v>-1169.030636953971</v>
      </c>
      <c r="Q947">
        <f>-353.975210972868 -119.801306129452 -431.978235149894</f>
        <v>-905.75475225221396</v>
      </c>
      <c r="R947" t="s">
        <v>15846</v>
      </c>
      <c r="S947" t="s">
        <v>15847</v>
      </c>
      <c r="T947" t="s">
        <v>15848</v>
      </c>
      <c r="U947" t="s">
        <v>15849</v>
      </c>
      <c r="V947">
        <f>-603.934564787283 -36.8663397216703 -250.324302016914</f>
        <v>-891.12520652586727</v>
      </c>
      <c r="W947" t="s">
        <v>15850</v>
      </c>
      <c r="X947" t="s">
        <v>15851</v>
      </c>
      <c r="Y947" t="s">
        <v>15852</v>
      </c>
    </row>
    <row r="948" spans="1:25" x14ac:dyDescent="0.3">
      <c r="A948">
        <v>47350</v>
      </c>
      <c r="B948" t="s">
        <v>15853</v>
      </c>
      <c r="C948" t="s">
        <v>15854</v>
      </c>
      <c r="D948" t="s">
        <v>15855</v>
      </c>
      <c r="E948" t="s">
        <v>15856</v>
      </c>
      <c r="F948" t="s">
        <v>15857</v>
      </c>
      <c r="G948" t="s">
        <v>15858</v>
      </c>
      <c r="H948" t="s">
        <v>15859</v>
      </c>
      <c r="I948" t="s">
        <v>15860</v>
      </c>
      <c r="J948" t="s">
        <v>15861</v>
      </c>
      <c r="K948" t="s">
        <v>15862</v>
      </c>
      <c r="L948" t="s">
        <v>15863</v>
      </c>
      <c r="M948" t="s">
        <v>15864</v>
      </c>
      <c r="N948" t="s">
        <v>15865</v>
      </c>
      <c r="O948">
        <f>-560.04219389726 -103.746419369733 -755.581988153697</f>
        <v>-1419.37060142069</v>
      </c>
      <c r="P948">
        <f>-613.49764401341 -110.693797696667 -443.68393878284</f>
        <v>-1167.875380492917</v>
      </c>
      <c r="Q948">
        <f>-353.884201380132 -119.561021974559 -430.86712425167</f>
        <v>-904.31234760636107</v>
      </c>
      <c r="R948" t="s">
        <v>15866</v>
      </c>
      <c r="S948" t="s">
        <v>15867</v>
      </c>
      <c r="T948" t="s">
        <v>15868</v>
      </c>
      <c r="U948" t="s">
        <v>15869</v>
      </c>
      <c r="V948">
        <f>-603.397791991097 -36.3807280819995 -250.156857381153</f>
        <v>-889.93537745424953</v>
      </c>
      <c r="W948" t="s">
        <v>15870</v>
      </c>
      <c r="X948" t="s">
        <v>15871</v>
      </c>
      <c r="Y948" t="s">
        <v>15872</v>
      </c>
    </row>
    <row r="949" spans="1:25" x14ac:dyDescent="0.3">
      <c r="A949">
        <v>47400</v>
      </c>
      <c r="B949" t="s">
        <v>15873</v>
      </c>
      <c r="C949" t="s">
        <v>15874</v>
      </c>
      <c r="D949" t="s">
        <v>15875</v>
      </c>
      <c r="E949" t="s">
        <v>15876</v>
      </c>
      <c r="F949" t="s">
        <v>15877</v>
      </c>
      <c r="G949" t="s">
        <v>15878</v>
      </c>
      <c r="H949" t="s">
        <v>15879</v>
      </c>
      <c r="I949" t="s">
        <v>15880</v>
      </c>
      <c r="J949" t="s">
        <v>15881</v>
      </c>
      <c r="K949" t="s">
        <v>15882</v>
      </c>
      <c r="L949" t="s">
        <v>15883</v>
      </c>
      <c r="M949" t="s">
        <v>15884</v>
      </c>
      <c r="N949" t="s">
        <v>15885</v>
      </c>
      <c r="O949">
        <f>-559.270689096771 -103.434231824358 -755.496219188295</f>
        <v>-1418.2011401094239</v>
      </c>
      <c r="P949">
        <f>-613.046483264171 -110.169601764335 -443.648355127881</f>
        <v>-1166.864440156387</v>
      </c>
      <c r="Q949">
        <f>-353.456510651369 -119.064075231271 -430.382627879207</f>
        <v>-902.90321376184704</v>
      </c>
      <c r="R949" t="s">
        <v>15886</v>
      </c>
      <c r="S949" t="s">
        <v>15887</v>
      </c>
      <c r="T949" t="s">
        <v>15888</v>
      </c>
      <c r="U949" t="s">
        <v>15889</v>
      </c>
      <c r="V949">
        <f>-603.021229350975 -36.0779584793918 -250.114483389901</f>
        <v>-889.21367122026777</v>
      </c>
      <c r="W949" t="s">
        <v>15890</v>
      </c>
      <c r="X949" t="s">
        <v>15891</v>
      </c>
      <c r="Y949" t="s">
        <v>15892</v>
      </c>
    </row>
    <row r="950" spans="1:25" x14ac:dyDescent="0.3">
      <c r="A950">
        <v>47450</v>
      </c>
      <c r="B950" t="s">
        <v>15893</v>
      </c>
      <c r="C950" t="s">
        <v>15894</v>
      </c>
      <c r="D950" t="s">
        <v>15895</v>
      </c>
      <c r="E950" t="s">
        <v>15896</v>
      </c>
      <c r="F950" t="s">
        <v>15897</v>
      </c>
      <c r="G950" t="s">
        <v>15898</v>
      </c>
      <c r="H950" t="s">
        <v>15899</v>
      </c>
      <c r="I950" t="s">
        <v>15900</v>
      </c>
      <c r="J950" t="s">
        <v>15901</v>
      </c>
      <c r="K950" t="s">
        <v>15902</v>
      </c>
      <c r="L950" t="s">
        <v>15903</v>
      </c>
      <c r="M950" t="s">
        <v>15904</v>
      </c>
      <c r="N950" t="s">
        <v>15905</v>
      </c>
      <c r="O950">
        <f>-557.931657968575 -102.931260498056 -755.407936415939</f>
        <v>-1416.2708548825699</v>
      </c>
      <c r="P950">
        <f>-612.325692780882 -109.844173254942 -443.671344725056</f>
        <v>-1165.8412107608801</v>
      </c>
      <c r="Q950">
        <f>-352.756620292857 -118.582899837011 -429.902248395418</f>
        <v>-901.24176852528603</v>
      </c>
      <c r="R950" t="s">
        <v>15906</v>
      </c>
      <c r="S950" t="s">
        <v>15907</v>
      </c>
      <c r="T950" t="s">
        <v>15908</v>
      </c>
      <c r="U950" t="s">
        <v>15909</v>
      </c>
      <c r="V950">
        <f>-602.294686185477 -35.6289615515345 -250.04954343312</f>
        <v>-887.97319117013149</v>
      </c>
      <c r="W950" t="s">
        <v>15910</v>
      </c>
      <c r="X950" t="s">
        <v>15911</v>
      </c>
      <c r="Y950" t="s">
        <v>15912</v>
      </c>
    </row>
    <row r="951" spans="1:25" x14ac:dyDescent="0.3">
      <c r="A951">
        <v>47500</v>
      </c>
      <c r="B951" t="s">
        <v>15913</v>
      </c>
      <c r="C951" t="s">
        <v>15914</v>
      </c>
      <c r="D951" t="s">
        <v>15915</v>
      </c>
      <c r="E951" t="s">
        <v>15916</v>
      </c>
      <c r="F951" t="s">
        <v>15917</v>
      </c>
      <c r="G951" t="s">
        <v>15918</v>
      </c>
      <c r="H951" t="s">
        <v>15919</v>
      </c>
      <c r="I951" t="s">
        <v>15920</v>
      </c>
      <c r="J951" t="s">
        <v>15921</v>
      </c>
      <c r="K951" t="s">
        <v>15922</v>
      </c>
      <c r="L951" t="s">
        <v>15923</v>
      </c>
      <c r="M951" t="s">
        <v>15924</v>
      </c>
      <c r="N951" t="s">
        <v>15925</v>
      </c>
      <c r="O951">
        <f>-557.167336897967 -102.630794472406 -755.400925857213</f>
        <v>-1415.1990572275859</v>
      </c>
      <c r="P951">
        <f>-611.774767970078 -109.560455192813 -443.701920108588</f>
        <v>-1165.037143271479</v>
      </c>
      <c r="Q951">
        <f>-352.219836083675 -118.430501675651 -429.751105914301</f>
        <v>-900.401443673627</v>
      </c>
      <c r="R951" t="s">
        <v>15926</v>
      </c>
      <c r="S951" t="s">
        <v>15927</v>
      </c>
      <c r="T951" t="s">
        <v>15928</v>
      </c>
      <c r="U951" t="s">
        <v>15929</v>
      </c>
      <c r="V951">
        <f>-601.891734404956 -35.4344159247235 -250.019744753477</f>
        <v>-887.34589508315639</v>
      </c>
      <c r="W951" t="s">
        <v>15930</v>
      </c>
      <c r="X951" t="s">
        <v>15931</v>
      </c>
      <c r="Y951" t="s">
        <v>15932</v>
      </c>
    </row>
    <row r="952" spans="1:25" x14ac:dyDescent="0.3">
      <c r="A952">
        <v>47550</v>
      </c>
      <c r="B952" t="s">
        <v>15933</v>
      </c>
      <c r="C952" t="s">
        <v>15934</v>
      </c>
      <c r="D952" t="s">
        <v>15935</v>
      </c>
      <c r="E952" t="s">
        <v>15936</v>
      </c>
      <c r="F952" t="s">
        <v>15937</v>
      </c>
      <c r="G952" t="s">
        <v>15938</v>
      </c>
      <c r="H952" t="s">
        <v>15939</v>
      </c>
      <c r="I952" t="s">
        <v>15940</v>
      </c>
      <c r="J952" t="s">
        <v>15941</v>
      </c>
      <c r="K952" t="s">
        <v>15942</v>
      </c>
      <c r="L952" t="s">
        <v>15943</v>
      </c>
      <c r="M952" t="s">
        <v>15944</v>
      </c>
      <c r="N952" t="s">
        <v>15945</v>
      </c>
      <c r="O952">
        <f>-555.636138955377 -102.185862324617 -755.325271874741</f>
        <v>-1413.1472731547351</v>
      </c>
      <c r="P952">
        <f>-610.63158720149 -109.448712689076 -443.702318877558</f>
        <v>-1163.7826187681239</v>
      </c>
      <c r="Q952">
        <f>-351.077123725487 -118.50131955399 -429.86163754135</f>
        <v>-899.44008082082701</v>
      </c>
      <c r="R952" t="s">
        <v>15946</v>
      </c>
      <c r="S952" t="s">
        <v>15947</v>
      </c>
      <c r="T952" t="s">
        <v>15948</v>
      </c>
      <c r="U952" t="s">
        <v>15949</v>
      </c>
      <c r="V952">
        <f>-601.030550151932 -35.0368054529213 -249.938095141995</f>
        <v>-886.00545074684828</v>
      </c>
      <c r="W952" t="s">
        <v>15950</v>
      </c>
      <c r="X952" t="s">
        <v>15951</v>
      </c>
      <c r="Y952" t="s">
        <v>15952</v>
      </c>
    </row>
    <row r="953" spans="1:25" x14ac:dyDescent="0.3">
      <c r="A953">
        <v>47600</v>
      </c>
      <c r="B953" t="s">
        <v>15953</v>
      </c>
      <c r="C953" t="s">
        <v>15954</v>
      </c>
      <c r="D953" t="s">
        <v>15955</v>
      </c>
      <c r="E953" t="s">
        <v>15956</v>
      </c>
      <c r="F953" t="s">
        <v>15957</v>
      </c>
      <c r="G953" t="s">
        <v>15958</v>
      </c>
      <c r="H953" t="s">
        <v>15959</v>
      </c>
      <c r="I953" t="s">
        <v>15960</v>
      </c>
      <c r="J953" t="s">
        <v>15961</v>
      </c>
      <c r="K953" t="s">
        <v>15962</v>
      </c>
      <c r="L953" t="s">
        <v>15963</v>
      </c>
      <c r="M953" t="s">
        <v>15964</v>
      </c>
      <c r="N953" t="s">
        <v>15965</v>
      </c>
      <c r="O953">
        <f>-555.208563678155 -102.033996726282 -755.310442151169</f>
        <v>-1412.5530025556059</v>
      </c>
      <c r="P953">
        <f>-610.083578528936 -109.534296223985 -443.671727723769</f>
        <v>-1163.2896024766899</v>
      </c>
      <c r="Q953">
        <f>-350.533894364579 -118.597675555563 -429.747166675345</f>
        <v>-898.878736595487</v>
      </c>
      <c r="R953" t="s">
        <v>15966</v>
      </c>
      <c r="S953" t="s">
        <v>15967</v>
      </c>
      <c r="T953" t="s">
        <v>15968</v>
      </c>
      <c r="U953" t="s">
        <v>15969</v>
      </c>
      <c r="V953">
        <f>-600.663675379677 -34.8146602075624 -249.897079849015</f>
        <v>-885.37541543625434</v>
      </c>
      <c r="W953" t="s">
        <v>15970</v>
      </c>
      <c r="X953" t="s">
        <v>15971</v>
      </c>
      <c r="Y953" t="s">
        <v>15972</v>
      </c>
    </row>
    <row r="954" spans="1:25" x14ac:dyDescent="0.3">
      <c r="A954">
        <v>47650</v>
      </c>
      <c r="B954" t="s">
        <v>15973</v>
      </c>
      <c r="C954" t="s">
        <v>15974</v>
      </c>
      <c r="D954" t="s">
        <v>15975</v>
      </c>
      <c r="E954" t="s">
        <v>15976</v>
      </c>
      <c r="F954" t="s">
        <v>15977</v>
      </c>
      <c r="G954" t="s">
        <v>15978</v>
      </c>
      <c r="H954" t="s">
        <v>15979</v>
      </c>
      <c r="I954" t="s">
        <v>15980</v>
      </c>
      <c r="J954" t="s">
        <v>15981</v>
      </c>
      <c r="K954" t="s">
        <v>15982</v>
      </c>
      <c r="L954" t="s">
        <v>15983</v>
      </c>
      <c r="M954" t="s">
        <v>15984</v>
      </c>
      <c r="N954" t="s">
        <v>15985</v>
      </c>
      <c r="O954">
        <f>-554.365027876051 -101.330058134331 -755.389724445546</f>
        <v>-1411.0848104559282</v>
      </c>
      <c r="P954">
        <f>-608.880102246033 -109.191824847862 -443.696849149192</f>
        <v>-1161.7687762430869</v>
      </c>
      <c r="Q954">
        <f>-349.344087529011 -118.372644017408 -429.595934969881</f>
        <v>-897.31266651629994</v>
      </c>
      <c r="R954" t="s">
        <v>15986</v>
      </c>
      <c r="S954" t="s">
        <v>15987</v>
      </c>
      <c r="T954" t="s">
        <v>15988</v>
      </c>
      <c r="U954" t="s">
        <v>15989</v>
      </c>
      <c r="V954">
        <f>-600.030856962666 -34.2560908433938 -249.806126141046</f>
        <v>-884.09307394710584</v>
      </c>
      <c r="W954" t="s">
        <v>15990</v>
      </c>
      <c r="X954" t="s">
        <v>15991</v>
      </c>
      <c r="Y954" t="s">
        <v>15992</v>
      </c>
    </row>
    <row r="955" spans="1:25" x14ac:dyDescent="0.3">
      <c r="A955">
        <v>47700</v>
      </c>
      <c r="B955" t="s">
        <v>15993</v>
      </c>
      <c r="C955" t="s">
        <v>15994</v>
      </c>
      <c r="D955" t="s">
        <v>15995</v>
      </c>
      <c r="E955" t="s">
        <v>15996</v>
      </c>
      <c r="F955" t="s">
        <v>15997</v>
      </c>
      <c r="G955" t="s">
        <v>15998</v>
      </c>
      <c r="H955" t="s">
        <v>15999</v>
      </c>
      <c r="I955" t="s">
        <v>16000</v>
      </c>
      <c r="J955" t="s">
        <v>16001</v>
      </c>
      <c r="K955" t="s">
        <v>16002</v>
      </c>
      <c r="L955" t="s">
        <v>16003</v>
      </c>
      <c r="M955" t="s">
        <v>16004</v>
      </c>
      <c r="N955" t="s">
        <v>16005</v>
      </c>
      <c r="O955">
        <f>-554.102782572332 -100.585589693737 -755.548651171142</f>
        <v>-1410.2370234372111</v>
      </c>
      <c r="P955">
        <f>-608.494584886672 -108.585017442191 -443.837662435612</f>
        <v>-1160.917264764475</v>
      </c>
      <c r="Q955">
        <f>-348.970307525826 -117.810378577219 -429.551245931013</f>
        <v>-896.33193203405801</v>
      </c>
      <c r="R955" t="s">
        <v>16006</v>
      </c>
      <c r="S955" t="s">
        <v>16007</v>
      </c>
      <c r="T955" t="s">
        <v>16008</v>
      </c>
      <c r="U955" t="s">
        <v>16009</v>
      </c>
      <c r="V955">
        <f>-599.938546009754 -33.8863236734669 -249.778547488863</f>
        <v>-883.60341717208394</v>
      </c>
      <c r="W955" t="s">
        <v>16010</v>
      </c>
      <c r="X955" t="s">
        <v>16011</v>
      </c>
      <c r="Y955" t="s">
        <v>16012</v>
      </c>
    </row>
    <row r="956" spans="1:25" x14ac:dyDescent="0.3">
      <c r="A956">
        <v>47750</v>
      </c>
      <c r="B956" t="s">
        <v>16013</v>
      </c>
      <c r="C956" t="s">
        <v>16014</v>
      </c>
      <c r="D956" t="s">
        <v>16015</v>
      </c>
      <c r="E956" t="s">
        <v>16016</v>
      </c>
      <c r="F956" t="s">
        <v>16017</v>
      </c>
      <c r="G956" t="s">
        <v>16018</v>
      </c>
      <c r="H956" t="s">
        <v>16019</v>
      </c>
      <c r="I956" t="s">
        <v>16020</v>
      </c>
      <c r="J956" t="s">
        <v>16021</v>
      </c>
      <c r="K956" t="s">
        <v>16022</v>
      </c>
      <c r="L956" t="s">
        <v>16023</v>
      </c>
      <c r="M956" t="s">
        <v>16024</v>
      </c>
      <c r="N956" t="s">
        <v>16025</v>
      </c>
      <c r="O956">
        <f>-553.717085189996 -98.6688851939759 -755.9130282824</f>
        <v>-1408.298998666372</v>
      </c>
      <c r="P956">
        <f>-608.563405781934 -107.192793166795 -444.295534991767</f>
        <v>-1160.051733940496</v>
      </c>
      <c r="Q956">
        <f>-349.044716153087 -116.203648984507 -429.773096359295</f>
        <v>-895.02146149688895</v>
      </c>
      <c r="R956" t="s">
        <v>16026</v>
      </c>
      <c r="S956" t="s">
        <v>16027</v>
      </c>
      <c r="T956" t="s">
        <v>16028</v>
      </c>
      <c r="U956" t="s">
        <v>16029</v>
      </c>
      <c r="V956">
        <f>-600.149503923796 -32.8814556362192 -249.779090504082</f>
        <v>-882.81005006409725</v>
      </c>
      <c r="W956" t="s">
        <v>16030</v>
      </c>
      <c r="X956" t="s">
        <v>16031</v>
      </c>
      <c r="Y956" t="s">
        <v>16032</v>
      </c>
    </row>
    <row r="957" spans="1:25" x14ac:dyDescent="0.3">
      <c r="A957">
        <v>47800</v>
      </c>
      <c r="B957" t="s">
        <v>16033</v>
      </c>
      <c r="C957" t="s">
        <v>16034</v>
      </c>
      <c r="D957" t="s">
        <v>16035</v>
      </c>
      <c r="E957" t="s">
        <v>16036</v>
      </c>
      <c r="F957" t="s">
        <v>16037</v>
      </c>
      <c r="G957" t="s">
        <v>16038</v>
      </c>
      <c r="H957" t="s">
        <v>16039</v>
      </c>
      <c r="I957" t="s">
        <v>16040</v>
      </c>
      <c r="J957" t="s">
        <v>16041</v>
      </c>
      <c r="K957" t="s">
        <v>16042</v>
      </c>
      <c r="L957" t="s">
        <v>16043</v>
      </c>
      <c r="M957" t="s">
        <v>16044</v>
      </c>
      <c r="N957" t="s">
        <v>16045</v>
      </c>
      <c r="O957">
        <f>-553.782376626072 -97.4831430997547 -756.165117655856</f>
        <v>-1407.4306373816826</v>
      </c>
      <c r="P957">
        <f>-608.731009985913 -106.414414516185 -444.577112431374</f>
        <v>-1159.7225369334722</v>
      </c>
      <c r="Q957">
        <f>-349.216796048765 -115.37255735089 -429.94242013183</f>
        <v>-894.53177353148499</v>
      </c>
      <c r="R957" t="s">
        <v>16046</v>
      </c>
      <c r="S957" t="s">
        <v>16047</v>
      </c>
      <c r="T957" t="s">
        <v>16048</v>
      </c>
      <c r="U957" t="s">
        <v>16049</v>
      </c>
      <c r="V957">
        <f>-600.375220819824 -32.1940642594773 -249.837100961893</f>
        <v>-882.40638604119431</v>
      </c>
      <c r="W957" t="s">
        <v>16050</v>
      </c>
      <c r="X957" t="s">
        <v>16051</v>
      </c>
      <c r="Y957" t="s">
        <v>16052</v>
      </c>
    </row>
    <row r="958" spans="1:25" x14ac:dyDescent="0.3">
      <c r="A958">
        <v>47850</v>
      </c>
      <c r="B958" t="s">
        <v>16053</v>
      </c>
      <c r="C958" t="s">
        <v>16054</v>
      </c>
      <c r="D958" t="s">
        <v>16055</v>
      </c>
      <c r="E958" t="s">
        <v>16056</v>
      </c>
      <c r="F958" t="s">
        <v>16057</v>
      </c>
      <c r="G958" t="s">
        <v>16058</v>
      </c>
      <c r="H958" t="s">
        <v>16059</v>
      </c>
      <c r="I958" t="s">
        <v>16060</v>
      </c>
      <c r="J958" t="s">
        <v>16061</v>
      </c>
      <c r="K958" t="s">
        <v>16062</v>
      </c>
      <c r="L958" t="s">
        <v>16063</v>
      </c>
      <c r="M958" t="s">
        <v>16064</v>
      </c>
      <c r="N958" t="s">
        <v>16065</v>
      </c>
      <c r="O958">
        <f>-554.407255301402 -95.4351848874314 -756.740893977713</f>
        <v>-1406.5833341665464</v>
      </c>
      <c r="P958">
        <f>-609.202959214545 -105.072490918096 -445.147105682857</f>
        <v>-1159.4225558154981</v>
      </c>
      <c r="Q958">
        <f>-349.701246143355 -114.279985649973 -430.445287487464</f>
        <v>-894.42651928079204</v>
      </c>
      <c r="R958" t="s">
        <v>16066</v>
      </c>
      <c r="S958" t="s">
        <v>16067</v>
      </c>
      <c r="T958" t="s">
        <v>16068</v>
      </c>
      <c r="U958" t="s">
        <v>16069</v>
      </c>
      <c r="V958">
        <f>-600.923004070112 -30.7933799706257 -249.953075487784</f>
        <v>-881.66945952852166</v>
      </c>
      <c r="W958" t="s">
        <v>16070</v>
      </c>
      <c r="X958" t="s">
        <v>16071</v>
      </c>
      <c r="Y958" t="s">
        <v>16072</v>
      </c>
    </row>
    <row r="959" spans="1:25" x14ac:dyDescent="0.3">
      <c r="A959">
        <v>47900</v>
      </c>
      <c r="B959" t="s">
        <v>16073</v>
      </c>
      <c r="C959" t="s">
        <v>16074</v>
      </c>
      <c r="D959" t="s">
        <v>16075</v>
      </c>
      <c r="E959" t="s">
        <v>16076</v>
      </c>
      <c r="F959" t="s">
        <v>16077</v>
      </c>
      <c r="G959" t="s">
        <v>16078</v>
      </c>
      <c r="H959" t="s">
        <v>16079</v>
      </c>
      <c r="I959" t="s">
        <v>16080</v>
      </c>
      <c r="J959" t="s">
        <v>16081</v>
      </c>
      <c r="K959" t="s">
        <v>16082</v>
      </c>
      <c r="L959" t="s">
        <v>16083</v>
      </c>
      <c r="M959" t="s">
        <v>16084</v>
      </c>
      <c r="N959" t="s">
        <v>16085</v>
      </c>
      <c r="O959">
        <f>-554.715863688121 -94.3061861987781 -757.067523203087</f>
        <v>-1406.0895730899861</v>
      </c>
      <c r="P959">
        <f>-609.420413776052 -104.288518543871 -445.468497195447</f>
        <v>-1159.17742951537</v>
      </c>
      <c r="Q959">
        <f>-349.935690755288 -113.932141184011 -430.74664143798</f>
        <v>-894.61447337727896</v>
      </c>
      <c r="R959" t="s">
        <v>16086</v>
      </c>
      <c r="S959" t="s">
        <v>16087</v>
      </c>
      <c r="T959" t="s">
        <v>16088</v>
      </c>
      <c r="U959" t="s">
        <v>16089</v>
      </c>
      <c r="V959">
        <f>-601.206232801861 -30.031120393732 -250.010293131634</f>
        <v>-881.2476463272269</v>
      </c>
      <c r="W959" t="s">
        <v>16090</v>
      </c>
      <c r="X959" t="s">
        <v>16091</v>
      </c>
      <c r="Y959" t="s">
        <v>16092</v>
      </c>
    </row>
    <row r="960" spans="1:25" x14ac:dyDescent="0.3">
      <c r="A960">
        <v>47950</v>
      </c>
      <c r="B960" t="s">
        <v>16093</v>
      </c>
      <c r="C960" t="s">
        <v>16094</v>
      </c>
      <c r="D960" t="s">
        <v>16095</v>
      </c>
      <c r="E960" t="s">
        <v>16096</v>
      </c>
      <c r="F960" t="s">
        <v>16097</v>
      </c>
      <c r="G960" t="s">
        <v>16098</v>
      </c>
      <c r="H960" t="s">
        <v>16099</v>
      </c>
      <c r="I960" t="s">
        <v>16100</v>
      </c>
      <c r="J960" t="s">
        <v>16101</v>
      </c>
      <c r="K960" t="s">
        <v>16102</v>
      </c>
      <c r="L960" t="s">
        <v>16103</v>
      </c>
      <c r="M960" t="s">
        <v>16104</v>
      </c>
      <c r="N960" t="s">
        <v>16105</v>
      </c>
      <c r="O960">
        <f>-555.575930528984 -92.6410791265585 -757.59360158207</f>
        <v>-1405.8106112376126</v>
      </c>
      <c r="P960">
        <f>-610.44932917581 -103.107318905036 -446.040029998769</f>
        <v>-1159.596678079615</v>
      </c>
      <c r="Q960">
        <f>-350.999302756224 -113.696276050114 -431.357051814947</f>
        <v>-896.05263062128495</v>
      </c>
      <c r="R960" t="s">
        <v>16106</v>
      </c>
      <c r="S960" t="s">
        <v>16107</v>
      </c>
      <c r="T960" t="s">
        <v>16108</v>
      </c>
      <c r="U960" t="s">
        <v>16109</v>
      </c>
      <c r="V960">
        <f>-601.792638174737 -28.5285514997192 -250.123862079171</f>
        <v>-880.44505175362724</v>
      </c>
      <c r="W960" t="s">
        <v>16110</v>
      </c>
      <c r="X960" t="s">
        <v>16111</v>
      </c>
      <c r="Y960" t="s">
        <v>16112</v>
      </c>
    </row>
    <row r="961" spans="1:25" x14ac:dyDescent="0.3">
      <c r="A961">
        <v>48000</v>
      </c>
      <c r="B961" t="s">
        <v>16113</v>
      </c>
      <c r="C961" t="s">
        <v>16114</v>
      </c>
      <c r="D961" t="s">
        <v>16115</v>
      </c>
      <c r="E961" t="s">
        <v>16116</v>
      </c>
      <c r="F961" t="s">
        <v>16117</v>
      </c>
      <c r="G961" t="s">
        <v>16118</v>
      </c>
      <c r="H961" t="s">
        <v>16119</v>
      </c>
      <c r="I961" t="s">
        <v>16120</v>
      </c>
      <c r="J961" t="s">
        <v>16121</v>
      </c>
      <c r="K961" t="s">
        <v>16122</v>
      </c>
      <c r="L961" t="s">
        <v>16123</v>
      </c>
      <c r="M961" t="s">
        <v>16124</v>
      </c>
      <c r="N961" t="s">
        <v>16125</v>
      </c>
      <c r="O961">
        <f>-555.970377195953 -91.6272519689485 -757.824494481143</f>
        <v>-1405.4221236460444</v>
      </c>
      <c r="P961">
        <f>-610.843861080533 -102.371581376997 -446.280625594668</f>
        <v>-1159.4960680521981</v>
      </c>
      <c r="Q961">
        <f>-351.417510703315 -113.448996505916 -431.538711296446</f>
        <v>-896.405218505677</v>
      </c>
      <c r="R961" t="s">
        <v>16126</v>
      </c>
      <c r="S961" t="s">
        <v>16127</v>
      </c>
      <c r="T961" t="s">
        <v>16128</v>
      </c>
      <c r="U961" t="s">
        <v>16129</v>
      </c>
      <c r="V961">
        <f>-602.181450382526 -27.6545832494789 -250.214694697802</f>
        <v>-880.05072832980693</v>
      </c>
      <c r="W961" t="s">
        <v>16130</v>
      </c>
      <c r="X961" t="s">
        <v>16131</v>
      </c>
      <c r="Y961" t="s">
        <v>16132</v>
      </c>
    </row>
    <row r="962" spans="1:25" x14ac:dyDescent="0.3">
      <c r="A962">
        <v>48050</v>
      </c>
      <c r="B962" t="s">
        <v>16133</v>
      </c>
      <c r="C962" t="s">
        <v>16134</v>
      </c>
      <c r="D962" t="s">
        <v>16135</v>
      </c>
      <c r="E962" t="s">
        <v>16136</v>
      </c>
      <c r="F962" t="s">
        <v>16137</v>
      </c>
      <c r="G962" t="s">
        <v>16138</v>
      </c>
      <c r="H962" t="s">
        <v>16139</v>
      </c>
      <c r="I962" t="s">
        <v>16140</v>
      </c>
      <c r="J962" t="s">
        <v>16141</v>
      </c>
      <c r="K962" t="s">
        <v>16142</v>
      </c>
      <c r="L962" t="s">
        <v>16143</v>
      </c>
      <c r="M962" t="s">
        <v>16144</v>
      </c>
      <c r="N962" t="s">
        <v>16145</v>
      </c>
      <c r="O962">
        <f>-556.875259216933 -89.2089741702721 -758.330250392987</f>
        <v>-1404.4144837801921</v>
      </c>
      <c r="P962">
        <f>-611.893498949082 -100.372988630297 -446.826670368015</f>
        <v>-1159.093157947394</v>
      </c>
      <c r="Q962">
        <f>-352.531424837654 -112.590971898797 -431.856610655221</f>
        <v>-896.97900739167198</v>
      </c>
      <c r="R962" t="s">
        <v>16146</v>
      </c>
      <c r="S962" t="s">
        <v>16147</v>
      </c>
      <c r="T962" t="s">
        <v>16148</v>
      </c>
      <c r="U962" t="s">
        <v>16149</v>
      </c>
      <c r="V962">
        <f>-603.000321464023 -25.6940933102858 -250.362109232159</f>
        <v>-879.05652400646784</v>
      </c>
      <c r="W962" t="s">
        <v>16150</v>
      </c>
      <c r="X962" t="s">
        <v>16151</v>
      </c>
      <c r="Y962" t="s">
        <v>16152</v>
      </c>
    </row>
    <row r="963" spans="1:25" x14ac:dyDescent="0.3">
      <c r="A963">
        <v>48100</v>
      </c>
      <c r="B963" t="s">
        <v>16153</v>
      </c>
      <c r="C963" t="s">
        <v>16154</v>
      </c>
      <c r="D963" t="s">
        <v>16155</v>
      </c>
      <c r="E963" t="s">
        <v>16156</v>
      </c>
      <c r="F963" t="s">
        <v>16157</v>
      </c>
      <c r="G963" t="s">
        <v>16158</v>
      </c>
      <c r="H963" t="s">
        <v>16159</v>
      </c>
      <c r="I963" t="s">
        <v>16160</v>
      </c>
      <c r="J963" t="s">
        <v>16161</v>
      </c>
      <c r="K963" t="s">
        <v>16162</v>
      </c>
      <c r="L963" t="s">
        <v>16163</v>
      </c>
      <c r="M963" t="s">
        <v>16164</v>
      </c>
      <c r="N963" t="s">
        <v>16165</v>
      </c>
      <c r="O963">
        <f>-557.476947441105 -87.8634607502229 -758.62492224857</f>
        <v>-1403.965330439898</v>
      </c>
      <c r="P963">
        <f>-612.606794959822 -99.2363964603373 -447.14850776549</f>
        <v>-1158.9916991856494</v>
      </c>
      <c r="Q963">
        <f>-353.274420631095 -111.807817621592 -431.958508295656</f>
        <v>-897.0407465483429</v>
      </c>
      <c r="R963" t="s">
        <v>16166</v>
      </c>
      <c r="S963" t="s">
        <v>16167</v>
      </c>
      <c r="T963" t="s">
        <v>16168</v>
      </c>
      <c r="U963" t="s">
        <v>16169</v>
      </c>
      <c r="V963">
        <f>-603.524496414949 -24.6309307052097 -250.440368114378</f>
        <v>-878.59579523453669</v>
      </c>
      <c r="W963" t="s">
        <v>16170</v>
      </c>
      <c r="X963" t="s">
        <v>16171</v>
      </c>
      <c r="Y963" t="s">
        <v>16172</v>
      </c>
    </row>
    <row r="964" spans="1:25" x14ac:dyDescent="0.3">
      <c r="A964">
        <v>48150</v>
      </c>
      <c r="B964" t="s">
        <v>16173</v>
      </c>
      <c r="C964" t="s">
        <v>16174</v>
      </c>
      <c r="D964" t="s">
        <v>16175</v>
      </c>
      <c r="E964" t="s">
        <v>16176</v>
      </c>
      <c r="F964" t="s">
        <v>16177</v>
      </c>
      <c r="G964" t="s">
        <v>16178</v>
      </c>
      <c r="H964" t="s">
        <v>16179</v>
      </c>
      <c r="I964" t="s">
        <v>16180</v>
      </c>
      <c r="J964" t="s">
        <v>16181</v>
      </c>
      <c r="K964" t="s">
        <v>16182</v>
      </c>
      <c r="L964" t="s">
        <v>16183</v>
      </c>
      <c r="M964" t="s">
        <v>16184</v>
      </c>
      <c r="N964" t="s">
        <v>16185</v>
      </c>
      <c r="O964">
        <f>-559.317971172121 -85.3217665910468 -759.257738341681</f>
        <v>-1403.8974761048489</v>
      </c>
      <c r="P964">
        <f>-614.523099764022 -96.7579203757959 -447.79706558762</f>
        <v>-1159.0780857274381</v>
      </c>
      <c r="Q964">
        <f>-355.252212854235 -110.130853825657 -432.246542558485</f>
        <v>-897.62960923837693</v>
      </c>
      <c r="R964" t="s">
        <v>16186</v>
      </c>
      <c r="S964" t="s">
        <v>16187</v>
      </c>
      <c r="T964" t="s">
        <v>16188</v>
      </c>
      <c r="U964" t="s">
        <v>16189</v>
      </c>
      <c r="V964">
        <f>-604.562848275643 -22.6216552055594 -250.648259684641</f>
        <v>-877.83276316584329</v>
      </c>
      <c r="W964" t="s">
        <v>16190</v>
      </c>
      <c r="X964" t="s">
        <v>16191</v>
      </c>
      <c r="Y964" t="s">
        <v>16192</v>
      </c>
    </row>
    <row r="965" spans="1:25" x14ac:dyDescent="0.3">
      <c r="A965">
        <v>48200</v>
      </c>
      <c r="B965" t="s">
        <v>16193</v>
      </c>
      <c r="C965" t="s">
        <v>16194</v>
      </c>
      <c r="D965" t="s">
        <v>16195</v>
      </c>
      <c r="E965" t="s">
        <v>16196</v>
      </c>
      <c r="F965" t="s">
        <v>16197</v>
      </c>
      <c r="G965" t="s">
        <v>16198</v>
      </c>
      <c r="H965" t="s">
        <v>16199</v>
      </c>
      <c r="I965" t="s">
        <v>16200</v>
      </c>
      <c r="J965" t="s">
        <v>16201</v>
      </c>
      <c r="K965" t="s">
        <v>16202</v>
      </c>
      <c r="L965" t="s">
        <v>16203</v>
      </c>
      <c r="M965" t="s">
        <v>16204</v>
      </c>
      <c r="N965" t="s">
        <v>16205</v>
      </c>
      <c r="O965">
        <f>-560.495586543119 -84.247619123304 -759.570623900608</f>
        <v>-1404.313829567031</v>
      </c>
      <c r="P965">
        <f>-615.441898777908 -95.6753700806717 -448.063729716834</f>
        <v>-1159.1809985754137</v>
      </c>
      <c r="Q965">
        <f>-356.199209510654 -109.530018503561 -432.464173863024</f>
        <v>-898.19340187723901</v>
      </c>
      <c r="R965" t="s">
        <v>16206</v>
      </c>
      <c r="S965" t="s">
        <v>16207</v>
      </c>
      <c r="T965" t="s">
        <v>16208</v>
      </c>
      <c r="U965" t="s">
        <v>16209</v>
      </c>
      <c r="V965">
        <f>-605.077151161106 -21.7139833866356 -250.750436227851</f>
        <v>-877.54157077559262</v>
      </c>
      <c r="W965" t="s">
        <v>16210</v>
      </c>
      <c r="X965" t="s">
        <v>16211</v>
      </c>
      <c r="Y965" t="s">
        <v>16212</v>
      </c>
    </row>
    <row r="966" spans="1:25" x14ac:dyDescent="0.3">
      <c r="A966">
        <v>48250</v>
      </c>
      <c r="B966" t="s">
        <v>16213</v>
      </c>
      <c r="C966" t="s">
        <v>16214</v>
      </c>
      <c r="D966" t="s">
        <v>16215</v>
      </c>
      <c r="E966" t="s">
        <v>16216</v>
      </c>
      <c r="F966" t="s">
        <v>16217</v>
      </c>
      <c r="G966" t="s">
        <v>16218</v>
      </c>
      <c r="H966" t="s">
        <v>16219</v>
      </c>
      <c r="I966" t="s">
        <v>16220</v>
      </c>
      <c r="J966" t="s">
        <v>16221</v>
      </c>
      <c r="K966" t="s">
        <v>16222</v>
      </c>
      <c r="L966" t="s">
        <v>16223</v>
      </c>
      <c r="M966" t="s">
        <v>16224</v>
      </c>
      <c r="N966" t="s">
        <v>16225</v>
      </c>
      <c r="O966">
        <f>-562.269863638541 -82.4745620897538 -760.038435869762</f>
        <v>-1404.7828615980568</v>
      </c>
      <c r="P966">
        <f>-616.9273446754 -93.6721509744516 -448.472478058372</f>
        <v>-1159.0719737082236</v>
      </c>
      <c r="Q966">
        <f>-357.691725220679 -108.109196123275 -433.290001432537</f>
        <v>-899.09092277649097</v>
      </c>
      <c r="R966" t="s">
        <v>16226</v>
      </c>
      <c r="S966" t="s">
        <v>16227</v>
      </c>
      <c r="T966" t="s">
        <v>16228</v>
      </c>
      <c r="U966" t="s">
        <v>16229</v>
      </c>
      <c r="V966">
        <f>-605.729332859118 -19.8503044240658 -250.923793266121</f>
        <v>-876.50343054930488</v>
      </c>
      <c r="W966" t="s">
        <v>16230</v>
      </c>
      <c r="X966" t="s">
        <v>16231</v>
      </c>
      <c r="Y966" t="s">
        <v>16232</v>
      </c>
    </row>
    <row r="967" spans="1:25" x14ac:dyDescent="0.3">
      <c r="A967">
        <v>48300</v>
      </c>
      <c r="B967" t="s">
        <v>16233</v>
      </c>
      <c r="C967" t="s">
        <v>16234</v>
      </c>
      <c r="D967" t="s">
        <v>16235</v>
      </c>
      <c r="E967" t="s">
        <v>16236</v>
      </c>
      <c r="F967" t="s">
        <v>16237</v>
      </c>
      <c r="G967" t="s">
        <v>16238</v>
      </c>
      <c r="H967" t="s">
        <v>16239</v>
      </c>
      <c r="I967" t="s">
        <v>16240</v>
      </c>
      <c r="J967" t="s">
        <v>16241</v>
      </c>
      <c r="K967" t="s">
        <v>16242</v>
      </c>
      <c r="L967" t="s">
        <v>16243</v>
      </c>
      <c r="M967" t="s">
        <v>16244</v>
      </c>
      <c r="N967" t="s">
        <v>16245</v>
      </c>
      <c r="O967">
        <f>-562.953044745321 -81.907694285756 -760.192858162199</f>
        <v>-1405.0535971932759</v>
      </c>
      <c r="P967">
        <f>-617.278025077288 -93.0203244510938 -448.565817909869</f>
        <v>-1158.8641674382507</v>
      </c>
      <c r="Q967">
        <f>-358.040856256188 -107.645174093521 -433.590061924622</f>
        <v>-899.27609227433095</v>
      </c>
      <c r="R967" t="s">
        <v>16246</v>
      </c>
      <c r="S967" t="s">
        <v>16247</v>
      </c>
      <c r="T967" t="s">
        <v>16248</v>
      </c>
      <c r="U967" t="s">
        <v>16249</v>
      </c>
      <c r="V967">
        <f>-605.976781506622 -19.0323150880561 -250.947944742712</f>
        <v>-875.95704133739014</v>
      </c>
      <c r="W967" t="s">
        <v>16250</v>
      </c>
      <c r="X967" t="s">
        <v>16251</v>
      </c>
      <c r="Y967" t="s">
        <v>16252</v>
      </c>
    </row>
    <row r="968" spans="1:25" x14ac:dyDescent="0.3">
      <c r="A968">
        <v>48350</v>
      </c>
      <c r="B968" t="s">
        <v>16253</v>
      </c>
      <c r="C968" t="s">
        <v>16254</v>
      </c>
      <c r="D968" t="s">
        <v>16255</v>
      </c>
      <c r="E968" t="s">
        <v>16256</v>
      </c>
      <c r="F968" t="s">
        <v>16257</v>
      </c>
      <c r="G968" t="s">
        <v>16258</v>
      </c>
      <c r="H968" t="s">
        <v>16259</v>
      </c>
      <c r="I968" t="s">
        <v>16260</v>
      </c>
      <c r="J968" t="s">
        <v>16261</v>
      </c>
      <c r="K968" t="s">
        <v>16262</v>
      </c>
      <c r="L968" t="s">
        <v>16263</v>
      </c>
      <c r="M968" t="s">
        <v>16264</v>
      </c>
      <c r="N968" t="s">
        <v>16265</v>
      </c>
      <c r="O968">
        <f>-563.992092356063 -81.1571049279924 -760.396633608994</f>
        <v>-1405.5458308930492</v>
      </c>
      <c r="P968">
        <f>-617.841913035175 -92.3022532843395 -448.688146569157</f>
        <v>-1158.8323128886716</v>
      </c>
      <c r="Q968">
        <f>-358.575086116859 -106.828078241044 -434.135658784413</f>
        <v>-899.53882314231601</v>
      </c>
      <c r="R968" t="s">
        <v>16266</v>
      </c>
      <c r="S968" t="s">
        <v>16267</v>
      </c>
      <c r="T968" t="s">
        <v>16268</v>
      </c>
      <c r="U968" t="s">
        <v>16269</v>
      </c>
      <c r="V968">
        <f>-606.311197497258 -17.7294472503681 -250.881683217438</f>
        <v>-874.92232796506414</v>
      </c>
      <c r="W968" t="s">
        <v>16270</v>
      </c>
      <c r="X968" t="s">
        <v>16271</v>
      </c>
      <c r="Y968" t="s">
        <v>16272</v>
      </c>
    </row>
    <row r="969" spans="1:25" x14ac:dyDescent="0.3">
      <c r="A969">
        <v>48400</v>
      </c>
      <c r="B969" t="s">
        <v>16273</v>
      </c>
      <c r="C969" t="s">
        <v>16274</v>
      </c>
      <c r="D969" t="s">
        <v>16275</v>
      </c>
      <c r="E969" t="s">
        <v>16276</v>
      </c>
      <c r="F969" t="s">
        <v>16277</v>
      </c>
      <c r="G969" t="s">
        <v>16278</v>
      </c>
      <c r="H969" t="s">
        <v>16279</v>
      </c>
      <c r="I969" t="s">
        <v>16280</v>
      </c>
      <c r="J969" t="s">
        <v>16281</v>
      </c>
      <c r="K969" t="s">
        <v>16282</v>
      </c>
      <c r="L969" t="s">
        <v>16283</v>
      </c>
      <c r="M969" t="s">
        <v>16284</v>
      </c>
      <c r="N969" t="s">
        <v>16285</v>
      </c>
      <c r="O969">
        <f>-564.892398317991 -80.6979267207739 -760.569186109227</f>
        <v>-1406.1595111479919</v>
      </c>
      <c r="P969">
        <f>-618.363418147773 -91.856978333481 -448.7960108647</f>
        <v>-1159.0164073459541</v>
      </c>
      <c r="Q969">
        <f>-359.093475538931 -106.350651306892 -434.267631270928</f>
        <v>-899.71175811675107</v>
      </c>
      <c r="R969" t="s">
        <v>16286</v>
      </c>
      <c r="S969" t="s">
        <v>16287</v>
      </c>
      <c r="T969" t="s">
        <v>16288</v>
      </c>
      <c r="U969" t="s">
        <v>16289</v>
      </c>
      <c r="V969">
        <f>-606.456020648097 -17.1416354171249 -250.832447745858</f>
        <v>-874.4301038110799</v>
      </c>
      <c r="W969" t="s">
        <v>16290</v>
      </c>
      <c r="X969" t="s">
        <v>16291</v>
      </c>
      <c r="Y969" t="s">
        <v>16292</v>
      </c>
    </row>
    <row r="970" spans="1:25" x14ac:dyDescent="0.3">
      <c r="A970">
        <v>48450</v>
      </c>
      <c r="B970" t="s">
        <v>16293</v>
      </c>
      <c r="C970" t="s">
        <v>16294</v>
      </c>
      <c r="D970" t="s">
        <v>16295</v>
      </c>
      <c r="E970" t="s">
        <v>16296</v>
      </c>
      <c r="F970" t="s">
        <v>16297</v>
      </c>
      <c r="G970" t="s">
        <v>16298</v>
      </c>
      <c r="H970" t="s">
        <v>16299</v>
      </c>
      <c r="I970" t="s">
        <v>16300</v>
      </c>
      <c r="J970" t="s">
        <v>16301</v>
      </c>
      <c r="K970" t="s">
        <v>16302</v>
      </c>
      <c r="L970" t="s">
        <v>16303</v>
      </c>
      <c r="M970" t="s">
        <v>16304</v>
      </c>
      <c r="N970" t="s">
        <v>16305</v>
      </c>
      <c r="O970">
        <f>-565.96684879336 -79.3269375618324 -760.946560594431</f>
        <v>-1406.2403469496235</v>
      </c>
      <c r="P970">
        <f>-618.988971406565 -90.7381721365518 -449.105818277463</f>
        <v>-1158.8329618205798</v>
      </c>
      <c r="Q970">
        <f>-359.702286732141 -105.118667606485 -434.764669249634</f>
        <v>-899.58562358825998</v>
      </c>
      <c r="R970" t="s">
        <v>16306</v>
      </c>
      <c r="S970" t="s">
        <v>16307</v>
      </c>
      <c r="T970" t="s">
        <v>16308</v>
      </c>
      <c r="U970" t="s">
        <v>16309</v>
      </c>
      <c r="V970">
        <f>-606.589861939457 -15.993904320886 -250.793110712428</f>
        <v>-873.37687697277102</v>
      </c>
      <c r="W970" t="s">
        <v>16310</v>
      </c>
      <c r="X970" t="s">
        <v>16311</v>
      </c>
      <c r="Y970" t="s">
        <v>16312</v>
      </c>
    </row>
    <row r="971" spans="1:25" x14ac:dyDescent="0.3">
      <c r="A971">
        <v>48500</v>
      </c>
      <c r="B971" t="s">
        <v>16313</v>
      </c>
      <c r="C971" t="s">
        <v>16314</v>
      </c>
      <c r="D971" t="s">
        <v>16315</v>
      </c>
      <c r="E971" t="s">
        <v>16316</v>
      </c>
      <c r="F971" t="s">
        <v>16317</v>
      </c>
      <c r="G971" t="s">
        <v>16318</v>
      </c>
      <c r="H971" t="s">
        <v>16319</v>
      </c>
      <c r="I971" t="s">
        <v>16320</v>
      </c>
      <c r="J971" t="s">
        <v>16321</v>
      </c>
      <c r="K971" t="s">
        <v>16322</v>
      </c>
      <c r="L971" t="s">
        <v>16323</v>
      </c>
      <c r="M971" t="s">
        <v>16324</v>
      </c>
      <c r="N971" t="s">
        <v>16325</v>
      </c>
      <c r="O971">
        <f>-566.508394368714 -78.7081218278081 -761.156072610447</f>
        <v>-1406.3725888069691</v>
      </c>
      <c r="P971">
        <f>-619.542070920629 -90.2937352195986 -449.323742982699</f>
        <v>-1159.1595491229266</v>
      </c>
      <c r="Q971">
        <f>-360.264146009713 -104.761934565656 -434.912702822237</f>
        <v>-899.93878339760602</v>
      </c>
      <c r="R971" t="s">
        <v>16326</v>
      </c>
      <c r="S971" t="s">
        <v>16327</v>
      </c>
      <c r="T971" t="s">
        <v>16328</v>
      </c>
      <c r="U971" t="s">
        <v>16329</v>
      </c>
      <c r="V971">
        <f>-606.620822173224 -15.5313266968003 -250.77961828037</f>
        <v>-872.93176715039431</v>
      </c>
      <c r="W971" t="s">
        <v>16330</v>
      </c>
      <c r="X971" t="s">
        <v>16331</v>
      </c>
      <c r="Y971" t="s">
        <v>16332</v>
      </c>
    </row>
    <row r="972" spans="1:25" x14ac:dyDescent="0.3">
      <c r="A972">
        <v>48550</v>
      </c>
      <c r="B972" t="s">
        <v>16333</v>
      </c>
      <c r="C972" t="s">
        <v>16334</v>
      </c>
      <c r="D972" t="s">
        <v>16335</v>
      </c>
      <c r="E972" t="s">
        <v>16336</v>
      </c>
      <c r="F972" t="s">
        <v>16337</v>
      </c>
      <c r="G972" t="s">
        <v>16338</v>
      </c>
      <c r="H972" t="s">
        <v>16339</v>
      </c>
      <c r="I972" t="s">
        <v>16340</v>
      </c>
      <c r="J972" t="s">
        <v>16341</v>
      </c>
      <c r="K972" t="s">
        <v>16342</v>
      </c>
      <c r="L972" t="s">
        <v>16343</v>
      </c>
      <c r="M972" t="s">
        <v>16344</v>
      </c>
      <c r="N972" t="s">
        <v>16345</v>
      </c>
      <c r="O972">
        <f>-567.276929239777 -77.9125789037703 -761.618669973387</f>
        <v>-1406.8081781169344</v>
      </c>
      <c r="P972">
        <f>-620.881241725895 -90.078753924425 -449.906176382407</f>
        <v>-1160.866172032727</v>
      </c>
      <c r="Q972">
        <f>-361.625650208633 -104.495384555884 -435.048309521027</f>
        <v>-901.16934428554396</v>
      </c>
      <c r="R972" t="s">
        <v>16346</v>
      </c>
      <c r="S972" t="s">
        <v>16347</v>
      </c>
      <c r="T972" t="s">
        <v>16348</v>
      </c>
      <c r="U972" t="s">
        <v>16349</v>
      </c>
      <c r="V972">
        <f>-606.437941295234 -14.9464915812302 -250.890088858349</f>
        <v>-872.27452173481333</v>
      </c>
      <c r="W972" t="s">
        <v>16350</v>
      </c>
      <c r="X972" t="s">
        <v>16351</v>
      </c>
      <c r="Y972" t="s">
        <v>16352</v>
      </c>
    </row>
    <row r="973" spans="1:25" x14ac:dyDescent="0.3">
      <c r="A973">
        <v>48600</v>
      </c>
      <c r="B973" t="s">
        <v>16353</v>
      </c>
      <c r="C973" t="s">
        <v>16354</v>
      </c>
      <c r="D973" t="s">
        <v>16355</v>
      </c>
      <c r="E973" t="s">
        <v>16356</v>
      </c>
      <c r="F973" t="s">
        <v>16357</v>
      </c>
      <c r="G973" t="s">
        <v>16358</v>
      </c>
      <c r="H973" t="s">
        <v>16359</v>
      </c>
      <c r="I973" t="s">
        <v>16360</v>
      </c>
      <c r="J973" t="s">
        <v>16361</v>
      </c>
      <c r="K973" t="s">
        <v>16362</v>
      </c>
      <c r="L973" t="s">
        <v>16363</v>
      </c>
      <c r="M973" t="s">
        <v>16364</v>
      </c>
      <c r="N973" t="s">
        <v>16365</v>
      </c>
      <c r="O973">
        <f>-567.344058139239 -77.8745785127755 -761.747741474388</f>
        <v>-1406.9663781264026</v>
      </c>
      <c r="P973">
        <f>-621.441905781733 -90.3374705339038 -450.13208491641</f>
        <v>-1161.9114612320468</v>
      </c>
      <c r="Q973">
        <f>-362.186566748539 -104.47374162256 -435.00358001547</f>
        <v>-901.66388838656894</v>
      </c>
      <c r="R973" t="s">
        <v>16366</v>
      </c>
      <c r="S973" t="s">
        <v>16367</v>
      </c>
      <c r="T973" t="s">
        <v>16368</v>
      </c>
      <c r="U973" t="s">
        <v>16369</v>
      </c>
      <c r="V973">
        <f>-606.160458511157 -15.0454091009376 -250.959560209528</f>
        <v>-872.16542782162264</v>
      </c>
      <c r="W973" t="s">
        <v>16370</v>
      </c>
      <c r="X973" t="s">
        <v>16371</v>
      </c>
      <c r="Y973" t="s">
        <v>16372</v>
      </c>
    </row>
    <row r="974" spans="1:25" x14ac:dyDescent="0.3">
      <c r="A974">
        <v>48650</v>
      </c>
      <c r="B974" t="s">
        <v>16373</v>
      </c>
      <c r="C974" t="s">
        <v>16374</v>
      </c>
      <c r="D974" t="s">
        <v>16375</v>
      </c>
      <c r="E974" t="s">
        <v>16376</v>
      </c>
      <c r="F974" t="s">
        <v>16377</v>
      </c>
      <c r="G974" t="s">
        <v>16378</v>
      </c>
      <c r="H974" t="s">
        <v>16379</v>
      </c>
      <c r="I974" t="s">
        <v>16380</v>
      </c>
      <c r="J974" t="s">
        <v>16381</v>
      </c>
      <c r="K974" t="s">
        <v>16382</v>
      </c>
      <c r="L974" t="s">
        <v>16383</v>
      </c>
      <c r="M974" t="s">
        <v>16384</v>
      </c>
      <c r="N974" t="s">
        <v>16385</v>
      </c>
      <c r="O974">
        <f>-567.543748606192 -78.8683003421295 -761.764644229627</f>
        <v>-1408.1766931779484</v>
      </c>
      <c r="P974">
        <f>-622.731462064042 -90.7574670332535 -450.317835009924</f>
        <v>-1163.8067641072196</v>
      </c>
      <c r="Q974">
        <f>-363.463799574461 -104.497011012357 -435.034989864929</f>
        <v>-902.99580045174707</v>
      </c>
      <c r="R974" t="s">
        <v>16386</v>
      </c>
      <c r="S974" t="s">
        <v>16387</v>
      </c>
      <c r="T974" t="s">
        <v>16388</v>
      </c>
      <c r="U974" t="s">
        <v>16389</v>
      </c>
      <c r="V974">
        <f>-605.050320019036 -15.9744464655778 -251.220278028522</f>
        <v>-872.24504451313578</v>
      </c>
      <c r="W974" t="s">
        <v>16390</v>
      </c>
      <c r="X974" t="s">
        <v>16391</v>
      </c>
      <c r="Y974" t="s">
        <v>16392</v>
      </c>
    </row>
    <row r="975" spans="1:25" x14ac:dyDescent="0.3">
      <c r="A975">
        <v>48700</v>
      </c>
      <c r="B975" t="s">
        <v>16393</v>
      </c>
      <c r="C975" t="s">
        <v>16394</v>
      </c>
      <c r="D975" t="s">
        <v>16395</v>
      </c>
      <c r="E975" t="s">
        <v>16396</v>
      </c>
      <c r="F975" t="s">
        <v>16397</v>
      </c>
      <c r="G975" t="s">
        <v>16398</v>
      </c>
      <c r="H975" t="s">
        <v>16399</v>
      </c>
      <c r="I975" t="s">
        <v>16400</v>
      </c>
      <c r="J975" t="s">
        <v>16401</v>
      </c>
      <c r="K975" t="s">
        <v>16402</v>
      </c>
      <c r="L975" t="s">
        <v>16403</v>
      </c>
      <c r="M975" t="s">
        <v>16404</v>
      </c>
      <c r="N975" t="s">
        <v>16405</v>
      </c>
      <c r="O975">
        <f>-567.417920402279 -79.9509778770375 -761.804556279885</f>
        <v>-1409.1734545592017</v>
      </c>
      <c r="P975">
        <f>-622.371579430354 -90.9760482317297 -450.28451000705</f>
        <v>-1163.6321376691337</v>
      </c>
      <c r="Q975">
        <f>-363.089883617036 -104.117042423514 -434.715957128335</f>
        <v>-901.92288316888494</v>
      </c>
      <c r="R975" t="s">
        <v>16406</v>
      </c>
      <c r="S975" t="s">
        <v>16407</v>
      </c>
      <c r="T975" t="s">
        <v>16408</v>
      </c>
      <c r="U975" t="s">
        <v>16409</v>
      </c>
      <c r="V975">
        <f>-604.000157147344 -17.0143886675455 -251.440515820612</f>
        <v>-872.45506163550158</v>
      </c>
      <c r="W975" t="s">
        <v>16410</v>
      </c>
      <c r="X975" t="s">
        <v>16411</v>
      </c>
      <c r="Y975" t="s">
        <v>16412</v>
      </c>
    </row>
    <row r="976" spans="1:25" x14ac:dyDescent="0.3">
      <c r="A976">
        <v>48750</v>
      </c>
      <c r="B976" t="s">
        <v>16413</v>
      </c>
      <c r="C976" t="s">
        <v>16414</v>
      </c>
      <c r="D976" t="s">
        <v>16415</v>
      </c>
      <c r="E976" t="s">
        <v>16416</v>
      </c>
      <c r="F976" t="s">
        <v>16417</v>
      </c>
      <c r="G976" t="s">
        <v>16418</v>
      </c>
      <c r="H976" t="s">
        <v>16419</v>
      </c>
      <c r="I976" t="s">
        <v>16420</v>
      </c>
      <c r="J976" t="s">
        <v>16421</v>
      </c>
      <c r="K976" t="s">
        <v>16422</v>
      </c>
      <c r="L976" t="s">
        <v>16423</v>
      </c>
      <c r="M976" t="s">
        <v>16424</v>
      </c>
      <c r="N976" t="s">
        <v>16425</v>
      </c>
      <c r="O976">
        <f>-567.434280399977 -84.4041487982931 -761.324819623018</f>
        <v>-1413.1632488212881</v>
      </c>
      <c r="P976">
        <f>-621.165172098546 -93.4278710961423 -449.527125728776</f>
        <v>-1164.1201689234645</v>
      </c>
      <c r="Q976">
        <f>-361.689327125985 -103.737791802761 -435.10343261033</f>
        <v>-900.53055153907599</v>
      </c>
      <c r="R976" t="s">
        <v>16426</v>
      </c>
      <c r="S976" t="s">
        <v>16427</v>
      </c>
      <c r="T976" t="s">
        <v>16428</v>
      </c>
      <c r="U976" t="s">
        <v>16429</v>
      </c>
      <c r="V976">
        <f>-602.150577453159 -19.8234290207738 -251.692539375916</f>
        <v>-873.66654584984883</v>
      </c>
      <c r="W976" t="s">
        <v>16430</v>
      </c>
      <c r="X976" t="s">
        <v>16431</v>
      </c>
      <c r="Y976" t="s">
        <v>16432</v>
      </c>
    </row>
    <row r="977" spans="1:25" x14ac:dyDescent="0.3">
      <c r="A977">
        <v>48800</v>
      </c>
      <c r="B977" t="s">
        <v>16433</v>
      </c>
      <c r="C977" t="s">
        <v>16434</v>
      </c>
      <c r="D977" t="s">
        <v>16435</v>
      </c>
      <c r="E977" t="s">
        <v>16436</v>
      </c>
      <c r="F977" t="s">
        <v>16437</v>
      </c>
      <c r="G977" t="s">
        <v>16438</v>
      </c>
      <c r="H977" t="s">
        <v>16439</v>
      </c>
      <c r="I977" t="s">
        <v>16440</v>
      </c>
      <c r="J977" t="s">
        <v>16441</v>
      </c>
      <c r="K977" t="s">
        <v>16442</v>
      </c>
      <c r="L977" t="s">
        <v>16443</v>
      </c>
      <c r="M977" t="s">
        <v>16444</v>
      </c>
      <c r="N977" t="s">
        <v>16445</v>
      </c>
      <c r="O977">
        <f>-567.344420635098 -87.1359830246911 -760.893015434047</f>
        <v>-1415.3734190938362</v>
      </c>
      <c r="P977">
        <f>-619.782291372905 -95.5216882324601 -448.857589729529</f>
        <v>-1164.161569334894</v>
      </c>
      <c r="Q977">
        <f>-360.186948917921 -103.643269084897 -435.206376312627</f>
        <v>-899.03659431544497</v>
      </c>
      <c r="R977" t="s">
        <v>16446</v>
      </c>
      <c r="S977" t="s">
        <v>16447</v>
      </c>
      <c r="T977" t="s">
        <v>16448</v>
      </c>
      <c r="U977" t="s">
        <v>16449</v>
      </c>
      <c r="V977">
        <f>-601.054939655368 -21.3757191982054 -251.829771746726</f>
        <v>-874.2604306002994</v>
      </c>
      <c r="W977" t="s">
        <v>16450</v>
      </c>
      <c r="X977" t="s">
        <v>16451</v>
      </c>
      <c r="Y977" t="s">
        <v>16452</v>
      </c>
    </row>
    <row r="978" spans="1:25" x14ac:dyDescent="0.3">
      <c r="A978">
        <v>48850</v>
      </c>
      <c r="B978" t="s">
        <v>16453</v>
      </c>
      <c r="C978" t="s">
        <v>16454</v>
      </c>
      <c r="D978" t="s">
        <v>16455</v>
      </c>
      <c r="E978" t="s">
        <v>16456</v>
      </c>
      <c r="F978" t="s">
        <v>16457</v>
      </c>
      <c r="G978" t="s">
        <v>16458</v>
      </c>
      <c r="H978" t="s">
        <v>16459</v>
      </c>
      <c r="I978" t="s">
        <v>16460</v>
      </c>
      <c r="J978" t="s">
        <v>16461</v>
      </c>
      <c r="K978" t="s">
        <v>16462</v>
      </c>
      <c r="L978" t="s">
        <v>16463</v>
      </c>
      <c r="M978" t="s">
        <v>16464</v>
      </c>
      <c r="N978" t="s">
        <v>16465</v>
      </c>
      <c r="O978">
        <f>-565.370406802754 -93.4723118080783 -760.235378603177</f>
        <v>-1419.0780972140092</v>
      </c>
      <c r="P978">
        <f>-615.637238957959 -101.015374848643 -447.821466955869</f>
        <v>-1164.474080762471</v>
      </c>
      <c r="Q978">
        <f>-355.846534178093 -103.846022193054 -435.870773079523</f>
        <v>-895.56332945067004</v>
      </c>
      <c r="R978" t="s">
        <v>16466</v>
      </c>
      <c r="S978" t="s">
        <v>16467</v>
      </c>
      <c r="T978" t="s">
        <v>16468</v>
      </c>
      <c r="U978" t="s">
        <v>16469</v>
      </c>
      <c r="V978">
        <f>-598.100226371629 -26.2246093705332 -251.964805291475</f>
        <v>-876.28964103363728</v>
      </c>
      <c r="W978" t="s">
        <v>16470</v>
      </c>
      <c r="X978" t="s">
        <v>16471</v>
      </c>
      <c r="Y978" t="s">
        <v>16472</v>
      </c>
    </row>
    <row r="979" spans="1:25" x14ac:dyDescent="0.3">
      <c r="A979">
        <v>48900</v>
      </c>
      <c r="B979" t="s">
        <v>16473</v>
      </c>
      <c r="C979" t="s">
        <v>16474</v>
      </c>
      <c r="D979" t="s">
        <v>16475</v>
      </c>
      <c r="E979" t="s">
        <v>16476</v>
      </c>
      <c r="F979" t="s">
        <v>16477</v>
      </c>
      <c r="G979" t="s">
        <v>16478</v>
      </c>
      <c r="H979" t="s">
        <v>16479</v>
      </c>
      <c r="I979" t="s">
        <v>16480</v>
      </c>
      <c r="J979" t="s">
        <v>16481</v>
      </c>
      <c r="K979" t="s">
        <v>16482</v>
      </c>
      <c r="L979" t="s">
        <v>16483</v>
      </c>
      <c r="M979" t="s">
        <v>16484</v>
      </c>
      <c r="N979" t="s">
        <v>16485</v>
      </c>
      <c r="O979">
        <f>-563.819628988195 -97.7019089497508 -759.788857517965</f>
        <v>-1421.3103954559106</v>
      </c>
      <c r="P979">
        <f>-613.053116319056 -104.976732049325 -447.203906981177</f>
        <v>-1165.2337553495579</v>
      </c>
      <c r="Q979">
        <f>-353.220526275731 -105.173037885038 -435.84363266274</f>
        <v>-894.23719682350907</v>
      </c>
      <c r="R979" t="s">
        <v>16486</v>
      </c>
      <c r="S979" t="s">
        <v>16487</v>
      </c>
      <c r="T979" t="s">
        <v>16488</v>
      </c>
      <c r="U979" t="s">
        <v>16489</v>
      </c>
      <c r="V979">
        <f>-596.354786432497 -29.9170637413963 -251.742608101949</f>
        <v>-878.01445827584234</v>
      </c>
      <c r="W979" t="s">
        <v>16490</v>
      </c>
      <c r="X979" t="s">
        <v>16491</v>
      </c>
      <c r="Y979" t="s">
        <v>16492</v>
      </c>
    </row>
    <row r="980" spans="1:25" x14ac:dyDescent="0.3">
      <c r="A980">
        <v>48950</v>
      </c>
      <c r="B980" t="s">
        <v>16493</v>
      </c>
      <c r="C980" t="s">
        <v>16494</v>
      </c>
      <c r="D980" t="s">
        <v>16495</v>
      </c>
      <c r="E980" t="s">
        <v>16496</v>
      </c>
      <c r="F980" t="s">
        <v>16497</v>
      </c>
      <c r="G980" t="s">
        <v>16498</v>
      </c>
      <c r="H980" t="s">
        <v>16499</v>
      </c>
      <c r="I980" t="s">
        <v>16500</v>
      </c>
      <c r="J980" t="s">
        <v>16501</v>
      </c>
      <c r="K980" t="s">
        <v>16502</v>
      </c>
      <c r="L980" t="s">
        <v>16503</v>
      </c>
      <c r="M980" t="s">
        <v>16504</v>
      </c>
      <c r="N980" t="s">
        <v>16505</v>
      </c>
      <c r="O980">
        <f>-559.577376985788 -108.293221260274 -758.293367223135</f>
        <v>-1426.1639654691969</v>
      </c>
      <c r="P980">
        <f>-607.414940705598 -115.874677979272 -445.498992375477</f>
        <v>-1168.788611060347</v>
      </c>
      <c r="Q980">
        <f>-347.59834269909 -110.457009907294 -435.104330085461</f>
        <v>-893.15968269184498</v>
      </c>
      <c r="R980" t="s">
        <v>16506</v>
      </c>
      <c r="S980" t="s">
        <v>16507</v>
      </c>
      <c r="T980" t="s">
        <v>16508</v>
      </c>
      <c r="U980" t="s">
        <v>16509</v>
      </c>
      <c r="V980">
        <f>-592.463896387147 -39.5727954039876 -250.628133210651</f>
        <v>-882.66482500178552</v>
      </c>
      <c r="W980" t="s">
        <v>16510</v>
      </c>
      <c r="X980" t="s">
        <v>16511</v>
      </c>
      <c r="Y980" t="s">
        <v>16512</v>
      </c>
    </row>
    <row r="981" spans="1:25" x14ac:dyDescent="0.3">
      <c r="A981">
        <v>49000</v>
      </c>
      <c r="B981" t="s">
        <v>16513</v>
      </c>
      <c r="C981" t="s">
        <v>16514</v>
      </c>
      <c r="D981" t="s">
        <v>16515</v>
      </c>
      <c r="E981" t="s">
        <v>16516</v>
      </c>
      <c r="F981" t="s">
        <v>16517</v>
      </c>
      <c r="G981" t="s">
        <v>16518</v>
      </c>
      <c r="H981" t="s">
        <v>16519</v>
      </c>
      <c r="I981" t="s">
        <v>16520</v>
      </c>
      <c r="J981" t="s">
        <v>16521</v>
      </c>
      <c r="K981" t="s">
        <v>16522</v>
      </c>
      <c r="L981" t="s">
        <v>16523</v>
      </c>
      <c r="M981" t="s">
        <v>16524</v>
      </c>
      <c r="N981" t="s">
        <v>16525</v>
      </c>
      <c r="O981">
        <f>-556.763494894965 -114.33897238028 -757.272027816653</f>
        <v>-1428.3744950918981</v>
      </c>
      <c r="P981">
        <f>-604.212375237666 -122.261327576634 -444.426953474882</f>
        <v>-1170.9006562891821</v>
      </c>
      <c r="Q981">
        <f>-344.469360509014 -114.004755719045 -434.060903384103</f>
        <v>-892.53501961216193</v>
      </c>
      <c r="R981" t="s">
        <v>16526</v>
      </c>
      <c r="S981" t="s">
        <v>16527</v>
      </c>
      <c r="T981" t="s">
        <v>16528</v>
      </c>
      <c r="U981" t="s">
        <v>16529</v>
      </c>
      <c r="V981">
        <f>-590.204046662069 -45.2383228992517 -249.708512398083</f>
        <v>-885.1508819594037</v>
      </c>
      <c r="W981" t="s">
        <v>16530</v>
      </c>
      <c r="X981" t="s">
        <v>16531</v>
      </c>
      <c r="Y981" t="s">
        <v>16532</v>
      </c>
    </row>
    <row r="982" spans="1:25" x14ac:dyDescent="0.3">
      <c r="A982">
        <v>49050</v>
      </c>
      <c r="B982" t="s">
        <v>16533</v>
      </c>
      <c r="C982" t="s">
        <v>16534</v>
      </c>
      <c r="D982" t="s">
        <v>16535</v>
      </c>
      <c r="E982" t="s">
        <v>16536</v>
      </c>
      <c r="F982" t="s">
        <v>16537</v>
      </c>
      <c r="G982" t="s">
        <v>16538</v>
      </c>
      <c r="H982" t="s">
        <v>16539</v>
      </c>
      <c r="I982" t="s">
        <v>16540</v>
      </c>
      <c r="J982" t="s">
        <v>16541</v>
      </c>
      <c r="K982" t="s">
        <v>16542</v>
      </c>
      <c r="L982" t="s">
        <v>16543</v>
      </c>
      <c r="M982" t="s">
        <v>16544</v>
      </c>
      <c r="N982" t="s">
        <v>16545</v>
      </c>
      <c r="O982">
        <f>-550.165284200732 -126.674397479112 -754.288040980902</f>
        <v>-1431.127722660746</v>
      </c>
      <c r="P982">
        <f>-597.634041288082 -136.082797305252 -441.487122758911</f>
        <v>-1175.2039613522452</v>
      </c>
      <c r="Q982">
        <f>-338.197483809628 -121.197613661437 -430.850902690152</f>
        <v>-890.24600016121701</v>
      </c>
      <c r="R982" t="s">
        <v>16546</v>
      </c>
      <c r="S982" t="s">
        <v>16547</v>
      </c>
      <c r="T982" t="s">
        <v>16548</v>
      </c>
      <c r="U982" t="s">
        <v>16549</v>
      </c>
      <c r="V982">
        <f>-585.998122520841 -57.1933643233854 -247.185250441265</f>
        <v>-890.37673728549134</v>
      </c>
      <c r="W982" t="s">
        <v>16550</v>
      </c>
      <c r="X982" t="s">
        <v>16551</v>
      </c>
      <c r="Y982" t="s">
        <v>16552</v>
      </c>
    </row>
    <row r="983" spans="1:25" x14ac:dyDescent="0.3">
      <c r="A983">
        <v>49100</v>
      </c>
      <c r="B983" t="s">
        <v>16553</v>
      </c>
      <c r="C983" t="s">
        <v>16554</v>
      </c>
      <c r="D983" t="s">
        <v>16555</v>
      </c>
      <c r="E983" t="s">
        <v>16556</v>
      </c>
      <c r="F983" t="s">
        <v>16557</v>
      </c>
      <c r="G983" t="s">
        <v>16558</v>
      </c>
      <c r="H983" t="s">
        <v>16559</v>
      </c>
      <c r="I983" t="s">
        <v>16560</v>
      </c>
      <c r="J983" t="s">
        <v>16561</v>
      </c>
      <c r="K983" t="s">
        <v>16562</v>
      </c>
      <c r="L983" t="s">
        <v>16563</v>
      </c>
      <c r="M983" t="s">
        <v>16564</v>
      </c>
      <c r="N983" t="s">
        <v>16565</v>
      </c>
      <c r="O983">
        <f>-546.457467758238 -132.846409805282 -752.230902009405</f>
        <v>-1431.5347795729249</v>
      </c>
      <c r="P983">
        <f>-594.138283599774 -143.179587959267 -439.491389557245</f>
        <v>-1176.8092611162861</v>
      </c>
      <c r="Q983">
        <f>-334.945849396482 -124.703782434531 -428.539893434841</f>
        <v>-888.18952526585406</v>
      </c>
      <c r="R983" t="s">
        <v>16566</v>
      </c>
      <c r="S983" t="s">
        <v>16567</v>
      </c>
      <c r="T983" t="s">
        <v>16568</v>
      </c>
      <c r="U983" t="s">
        <v>16569</v>
      </c>
      <c r="V983">
        <f>-584.353465846003 -63.5110289014997 -245.493415664619</f>
        <v>-893.35791041212167</v>
      </c>
      <c r="W983" t="s">
        <v>16570</v>
      </c>
      <c r="X983" t="s">
        <v>16571</v>
      </c>
      <c r="Y983" t="s">
        <v>16572</v>
      </c>
    </row>
    <row r="984" spans="1:25" x14ac:dyDescent="0.3">
      <c r="A984">
        <v>49150</v>
      </c>
      <c r="B984" t="s">
        <v>16573</v>
      </c>
      <c r="C984" t="s">
        <v>16574</v>
      </c>
      <c r="D984" t="s">
        <v>16575</v>
      </c>
      <c r="E984" t="s">
        <v>16576</v>
      </c>
      <c r="F984" t="s">
        <v>16577</v>
      </c>
      <c r="G984" t="s">
        <v>16578</v>
      </c>
      <c r="H984" t="s">
        <v>16579</v>
      </c>
      <c r="I984" t="s">
        <v>16580</v>
      </c>
      <c r="J984" t="s">
        <v>16581</v>
      </c>
      <c r="K984" t="s">
        <v>16582</v>
      </c>
      <c r="L984" t="s">
        <v>16583</v>
      </c>
      <c r="M984" t="s">
        <v>16584</v>
      </c>
      <c r="N984" t="s">
        <v>16585</v>
      </c>
      <c r="O984">
        <f>-539.704297905661 -143.616620623598 -747.039841034732</f>
        <v>-1430.360759563991</v>
      </c>
      <c r="P984">
        <f>-588.671818284525 -155.025455462744 -434.536760943482</f>
        <v>-1178.2340346907511</v>
      </c>
      <c r="Q984">
        <f>-330.054214201267 -130.010836124367 -422.993795825495</f>
        <v>-883.05884615112893</v>
      </c>
      <c r="R984" t="s">
        <v>16586</v>
      </c>
      <c r="S984" t="s">
        <v>16587</v>
      </c>
      <c r="T984" t="s">
        <v>16588</v>
      </c>
      <c r="U984" t="s">
        <v>16589</v>
      </c>
      <c r="V984">
        <f>-582.725135108185 -74.9543331137081 -241.073790108836</f>
        <v>-898.75325833072907</v>
      </c>
      <c r="W984" t="s">
        <v>16590</v>
      </c>
      <c r="X984" t="s">
        <v>16591</v>
      </c>
      <c r="Y984" t="s">
        <v>16592</v>
      </c>
    </row>
    <row r="985" spans="1:25" x14ac:dyDescent="0.3">
      <c r="A985">
        <v>49200</v>
      </c>
      <c r="B985" t="s">
        <v>16593</v>
      </c>
      <c r="C985" t="s">
        <v>16594</v>
      </c>
      <c r="D985" t="s">
        <v>16595</v>
      </c>
      <c r="E985" t="s">
        <v>16596</v>
      </c>
      <c r="F985" t="s">
        <v>16597</v>
      </c>
      <c r="G985" t="s">
        <v>16598</v>
      </c>
      <c r="H985" t="s">
        <v>16599</v>
      </c>
      <c r="I985" t="s">
        <v>16600</v>
      </c>
      <c r="J985" t="s">
        <v>16601</v>
      </c>
      <c r="K985" t="s">
        <v>16602</v>
      </c>
      <c r="L985" t="s">
        <v>16603</v>
      </c>
      <c r="M985" t="s">
        <v>16604</v>
      </c>
      <c r="N985">
        <f>-540.177295054993 -3.08140707431062 -765.841094301459</f>
        <v>-1309.0997964307626</v>
      </c>
      <c r="O985">
        <f>-538.223343047153 -148.334729008114 -742.898491474898</f>
        <v>-1429.4565635301651</v>
      </c>
      <c r="P985">
        <f>-587.688269074913 -160.233219876602 -430.492045988846</f>
        <v>-1178.4135349403609</v>
      </c>
      <c r="Q985">
        <f>-329.448362697853 -131.67840301924 -418.710256526814</f>
        <v>-879.83702224390709</v>
      </c>
      <c r="R985" t="s">
        <v>16605</v>
      </c>
      <c r="S985" t="s">
        <v>16606</v>
      </c>
      <c r="T985" t="s">
        <v>16607</v>
      </c>
      <c r="U985" t="s">
        <v>16608</v>
      </c>
      <c r="V985">
        <f>-583.402900451082 -79.3381346343813 -236.633148662687</f>
        <v>-899.37418374815024</v>
      </c>
      <c r="W985" t="s">
        <v>16609</v>
      </c>
      <c r="X985" t="s">
        <v>16610</v>
      </c>
      <c r="Y985" t="s">
        <v>16611</v>
      </c>
    </row>
    <row r="986" spans="1:25" x14ac:dyDescent="0.3">
      <c r="A986">
        <v>49250</v>
      </c>
      <c r="B986" t="s">
        <v>16612</v>
      </c>
      <c r="C986" t="s">
        <v>16613</v>
      </c>
      <c r="D986" t="s">
        <v>16614</v>
      </c>
      <c r="E986" t="s">
        <v>16615</v>
      </c>
      <c r="F986" t="s">
        <v>16616</v>
      </c>
      <c r="G986" t="s">
        <v>16617</v>
      </c>
      <c r="H986" t="s">
        <v>16618</v>
      </c>
      <c r="I986" t="s">
        <v>16619</v>
      </c>
      <c r="J986" t="s">
        <v>16620</v>
      </c>
      <c r="K986" t="s">
        <v>16621</v>
      </c>
      <c r="L986" t="s">
        <v>16622</v>
      </c>
      <c r="M986" t="s">
        <v>16623</v>
      </c>
      <c r="N986">
        <f>-545.940494401593 -2.3270108080676 -764.316214642597</f>
        <v>-1312.5837198522577</v>
      </c>
      <c r="O986">
        <f>-542.401721067689 -147.494917239436 -741.349579748333</f>
        <v>-1431.246218055458</v>
      </c>
      <c r="P986">
        <f>-592.950195509771 -160.729248821473 -429.170417061703</f>
        <v>-1182.8498613929469</v>
      </c>
      <c r="Q986">
        <f>-335.717839596459 -124.453218755589 -416.616635217373</f>
        <v>-876.78769356942098</v>
      </c>
      <c r="R986" t="s">
        <v>16624</v>
      </c>
      <c r="S986" t="s">
        <v>16625</v>
      </c>
      <c r="T986" t="s">
        <v>16626</v>
      </c>
      <c r="U986" t="s">
        <v>16627</v>
      </c>
      <c r="V986">
        <f>-588.014467434017 -80.0789268864614 -233.877673884819</f>
        <v>-901.97106820529734</v>
      </c>
      <c r="W986" t="s">
        <v>16628</v>
      </c>
      <c r="X986" t="s">
        <v>16629</v>
      </c>
      <c r="Y986" t="s">
        <v>16630</v>
      </c>
    </row>
    <row r="987" spans="1:25" x14ac:dyDescent="0.3">
      <c r="A987">
        <v>49300</v>
      </c>
      <c r="B987" t="s">
        <v>16631</v>
      </c>
      <c r="C987" t="s">
        <v>16632</v>
      </c>
      <c r="D987" t="s">
        <v>16633</v>
      </c>
      <c r="E987" t="s">
        <v>16634</v>
      </c>
      <c r="F987" t="s">
        <v>16635</v>
      </c>
      <c r="G987" t="s">
        <v>16636</v>
      </c>
      <c r="H987" t="s">
        <v>16637</v>
      </c>
      <c r="I987" t="s">
        <v>16638</v>
      </c>
      <c r="J987" t="s">
        <v>16639</v>
      </c>
      <c r="K987" t="s">
        <v>16640</v>
      </c>
      <c r="L987" t="s">
        <v>16641</v>
      </c>
      <c r="M987" t="s">
        <v>16642</v>
      </c>
      <c r="N987">
        <f>-546.850605086012 -2.55528395309238 -764.470664888505</f>
        <v>-1313.8765539276094</v>
      </c>
      <c r="O987">
        <f>-542.558607427133 -147.733625511739 -741.313223217147</f>
        <v>-1431.605456156019</v>
      </c>
      <c r="P987">
        <f>-594.008224671482 -161.936063104092 -429.323789807409</f>
        <v>-1185.2680775829831</v>
      </c>
      <c r="Q987">
        <f>-337.309164252825 -122.208991912898 -416.309142208572</f>
        <v>-875.82729837429497</v>
      </c>
      <c r="R987" t="s">
        <v>16643</v>
      </c>
      <c r="S987" t="s">
        <v>16644</v>
      </c>
      <c r="T987" t="s">
        <v>16645</v>
      </c>
      <c r="U987" t="s">
        <v>16646</v>
      </c>
      <c r="V987">
        <f>-589.09482920013 -79.8448861121228 -233.413359878641</f>
        <v>-902.35307519089383</v>
      </c>
      <c r="W987" t="s">
        <v>16647</v>
      </c>
      <c r="X987" t="s">
        <v>16648</v>
      </c>
      <c r="Y987" t="s">
        <v>16649</v>
      </c>
    </row>
    <row r="988" spans="1:25" x14ac:dyDescent="0.3">
      <c r="A988">
        <v>49350</v>
      </c>
      <c r="B988" t="s">
        <v>16650</v>
      </c>
      <c r="C988" t="s">
        <v>16651</v>
      </c>
      <c r="D988" t="s">
        <v>16652</v>
      </c>
      <c r="E988" t="s">
        <v>16653</v>
      </c>
      <c r="F988" t="s">
        <v>16654</v>
      </c>
      <c r="G988" t="s">
        <v>16655</v>
      </c>
      <c r="H988" t="s">
        <v>16656</v>
      </c>
      <c r="I988" t="s">
        <v>16657</v>
      </c>
      <c r="J988" t="s">
        <v>16658</v>
      </c>
      <c r="K988" t="s">
        <v>16659</v>
      </c>
      <c r="L988" t="s">
        <v>16660</v>
      </c>
      <c r="M988" t="s">
        <v>16661</v>
      </c>
      <c r="N988">
        <f>-544.884173468236 -2.22726823326298 -765.537540581476</f>
        <v>-1312.6489822829749</v>
      </c>
      <c r="O988">
        <f>-540.05746781207 -147.244003854173 -741.834341338622</f>
        <v>-1429.135813004865</v>
      </c>
      <c r="P988">
        <f>-591.7669401058 -161.306209894448 -429.881403810823</f>
        <v>-1182.954553811071</v>
      </c>
      <c r="Q988">
        <f>-335.644518234172 -118.22084414082 -416.206988484837</f>
        <v>-870.07235085982893</v>
      </c>
      <c r="R988" t="s">
        <v>16662</v>
      </c>
      <c r="S988" t="s">
        <v>16663</v>
      </c>
      <c r="T988" t="s">
        <v>16664</v>
      </c>
      <c r="U988" t="s">
        <v>16665</v>
      </c>
      <c r="V988">
        <f>-588.693321538002 -75.2346419163807 -232.917239504008</f>
        <v>-896.8452029583907</v>
      </c>
      <c r="W988" t="s">
        <v>16666</v>
      </c>
      <c r="X988" t="s">
        <v>16667</v>
      </c>
      <c r="Y988" t="s">
        <v>16668</v>
      </c>
    </row>
    <row r="989" spans="1:25" x14ac:dyDescent="0.3">
      <c r="A989">
        <v>49400</v>
      </c>
      <c r="B989" t="s">
        <v>16669</v>
      </c>
      <c r="C989" t="s">
        <v>16670</v>
      </c>
      <c r="D989" t="s">
        <v>16671</v>
      </c>
      <c r="E989" t="s">
        <v>16672</v>
      </c>
      <c r="F989" t="s">
        <v>16673</v>
      </c>
      <c r="G989" t="s">
        <v>16674</v>
      </c>
      <c r="H989" t="s">
        <v>16675</v>
      </c>
      <c r="I989" t="s">
        <v>16676</v>
      </c>
      <c r="J989" t="s">
        <v>16677</v>
      </c>
      <c r="K989" t="s">
        <v>16678</v>
      </c>
      <c r="L989" t="s">
        <v>16679</v>
      </c>
      <c r="M989" t="s">
        <v>16680</v>
      </c>
      <c r="N989">
        <f>-543.684481048758 -0.796872838002628 -765.835527811742</f>
        <v>-1310.3168816985026</v>
      </c>
      <c r="O989">
        <f>-539.128168440292 -145.837215579975 -741.963835100705</f>
        <v>-1426.929219120972</v>
      </c>
      <c r="P989">
        <f>-590.061277254294 -159.192357279479 -429.852221550714</f>
        <v>-1179.105856084487</v>
      </c>
      <c r="Q989">
        <f>-333.910558174495 -116.298413906483 -416.106189232424</f>
        <v>-866.31516131340209</v>
      </c>
      <c r="R989" t="s">
        <v>16681</v>
      </c>
      <c r="S989" t="s">
        <v>16682</v>
      </c>
      <c r="T989" t="s">
        <v>16683</v>
      </c>
      <c r="U989" t="s">
        <v>16684</v>
      </c>
      <c r="V989">
        <f>-587.386689899597 -71.1744319063066 -232.52160786702</f>
        <v>-891.08272967292351</v>
      </c>
      <c r="W989" t="s">
        <v>16685</v>
      </c>
      <c r="X989" t="s">
        <v>16686</v>
      </c>
      <c r="Y989" t="s">
        <v>16687</v>
      </c>
    </row>
    <row r="990" spans="1:25" x14ac:dyDescent="0.3">
      <c r="A990">
        <v>49450</v>
      </c>
      <c r="B990" t="s">
        <v>16688</v>
      </c>
      <c r="C990" t="s">
        <v>16689</v>
      </c>
      <c r="D990" t="s">
        <v>16690</v>
      </c>
      <c r="E990" t="s">
        <v>16691</v>
      </c>
      <c r="F990" t="s">
        <v>16692</v>
      </c>
      <c r="G990" t="s">
        <v>16693</v>
      </c>
      <c r="H990" t="s">
        <v>16694</v>
      </c>
      <c r="I990" t="s">
        <v>16695</v>
      </c>
      <c r="J990" t="s">
        <v>16696</v>
      </c>
      <c r="K990" t="s">
        <v>16697</v>
      </c>
      <c r="L990" t="s">
        <v>16698</v>
      </c>
      <c r="M990" t="s">
        <v>16699</v>
      </c>
      <c r="N990" t="s">
        <v>16700</v>
      </c>
      <c r="O990">
        <f>-539.10635889387 -143.014437844053 -741.590722890781</f>
        <v>-1423.7115196287041</v>
      </c>
      <c r="P990">
        <f>-589.131719441881 -155.294276907614 -429.28819580299</f>
        <v>-1173.7141921524851</v>
      </c>
      <c r="Q990">
        <f>-332.722473333284 -113.712335719445 -416.355009500936</f>
        <v>-862.78981855366487</v>
      </c>
      <c r="R990" t="s">
        <v>16701</v>
      </c>
      <c r="S990" t="s">
        <v>16702</v>
      </c>
      <c r="T990" t="s">
        <v>16703</v>
      </c>
      <c r="U990" t="s">
        <v>16704</v>
      </c>
      <c r="V990">
        <f>-585.211389712426 -66.4480293682418 -232.022982061634</f>
        <v>-883.68240114230184</v>
      </c>
      <c r="W990" t="s">
        <v>16705</v>
      </c>
      <c r="X990" t="s">
        <v>16706</v>
      </c>
      <c r="Y990" t="s">
        <v>16707</v>
      </c>
    </row>
    <row r="991" spans="1:25" x14ac:dyDescent="0.3">
      <c r="A991">
        <v>49500</v>
      </c>
      <c r="B991" t="s">
        <v>16708</v>
      </c>
      <c r="C991" t="s">
        <v>16709</v>
      </c>
      <c r="D991" t="s">
        <v>16710</v>
      </c>
      <c r="E991" t="s">
        <v>16711</v>
      </c>
      <c r="F991" t="s">
        <v>16712</v>
      </c>
      <c r="G991" t="s">
        <v>16713</v>
      </c>
      <c r="H991" t="s">
        <v>16714</v>
      </c>
      <c r="I991" t="s">
        <v>16715</v>
      </c>
      <c r="J991" t="s">
        <v>16716</v>
      </c>
      <c r="K991" t="s">
        <v>16717</v>
      </c>
      <c r="L991" t="s">
        <v>16718</v>
      </c>
      <c r="M991" t="s">
        <v>16719</v>
      </c>
      <c r="N991" t="s">
        <v>16720</v>
      </c>
      <c r="O991">
        <f>-540.135145738568 -139.940124774329 -741.459626937325</f>
        <v>-1421.5348974502219</v>
      </c>
      <c r="P991">
        <f>-589.219285841914 -151.021007554328 -428.963043701337</f>
        <v>-1169.2033370975792</v>
      </c>
      <c r="Q991">
        <f>-332.432424911271 -111.394371173752 -417.461126257706</f>
        <v>-861.28792234272896</v>
      </c>
      <c r="R991" t="s">
        <v>16721</v>
      </c>
      <c r="S991" t="s">
        <v>16722</v>
      </c>
      <c r="T991" t="s">
        <v>16723</v>
      </c>
      <c r="U991" t="s">
        <v>16724</v>
      </c>
      <c r="V991">
        <f>-582.80300883343 -61.7437040581287 -231.685299073856</f>
        <v>-876.2320119654147</v>
      </c>
      <c r="W991" t="s">
        <v>16725</v>
      </c>
      <c r="X991" t="s">
        <v>16726</v>
      </c>
      <c r="Y991" t="s">
        <v>16727</v>
      </c>
    </row>
    <row r="992" spans="1:25" x14ac:dyDescent="0.3">
      <c r="A992">
        <v>49550</v>
      </c>
      <c r="B992" t="s">
        <v>16708</v>
      </c>
      <c r="C992" t="s">
        <v>16709</v>
      </c>
      <c r="D992" t="s">
        <v>16710</v>
      </c>
      <c r="E992" t="s">
        <v>16711</v>
      </c>
      <c r="F992" t="s">
        <v>16712</v>
      </c>
      <c r="G992" t="s">
        <v>16713</v>
      </c>
      <c r="H992" t="s">
        <v>16714</v>
      </c>
      <c r="I992" t="s">
        <v>16715</v>
      </c>
      <c r="J992" t="s">
        <v>16716</v>
      </c>
      <c r="K992" t="s">
        <v>16717</v>
      </c>
      <c r="L992" t="s">
        <v>16718</v>
      </c>
      <c r="M992" t="s">
        <v>16719</v>
      </c>
      <c r="N992" t="s">
        <v>16720</v>
      </c>
      <c r="O992">
        <f>-540.135145738568 -139.940124774329 -741.459626937325</f>
        <v>-1421.5348974502219</v>
      </c>
      <c r="P992">
        <f>-589.219285841914 -151.021007554328 -428.963043701337</f>
        <v>-1169.2033370975792</v>
      </c>
      <c r="Q992">
        <f>-332.432424911271 -111.394371173752 -417.461126257706</f>
        <v>-861.28792234272896</v>
      </c>
      <c r="R992" t="s">
        <v>16721</v>
      </c>
      <c r="S992" t="s">
        <v>16722</v>
      </c>
      <c r="T992" t="s">
        <v>16723</v>
      </c>
      <c r="U992" t="s">
        <v>16724</v>
      </c>
      <c r="V992">
        <f>-582.80300883343 -61.7437040581287 -231.685299073856</f>
        <v>-876.2320119654147</v>
      </c>
      <c r="W992" t="s">
        <v>16725</v>
      </c>
      <c r="X992" t="s">
        <v>16726</v>
      </c>
      <c r="Y992" t="s">
        <v>16727</v>
      </c>
    </row>
    <row r="993" spans="1:25" x14ac:dyDescent="0.3">
      <c r="A993">
        <v>49600</v>
      </c>
      <c r="B993" t="s">
        <v>16728</v>
      </c>
      <c r="C993" t="s">
        <v>16729</v>
      </c>
      <c r="D993" t="s">
        <v>16730</v>
      </c>
      <c r="E993" t="s">
        <v>16731</v>
      </c>
      <c r="F993" t="s">
        <v>16732</v>
      </c>
      <c r="G993" t="s">
        <v>16733</v>
      </c>
      <c r="H993" t="s">
        <v>16734</v>
      </c>
      <c r="I993" t="s">
        <v>16735</v>
      </c>
      <c r="J993" t="s">
        <v>16736</v>
      </c>
      <c r="K993" t="s">
        <v>16737</v>
      </c>
      <c r="L993" t="s">
        <v>16738</v>
      </c>
      <c r="M993" t="s">
        <v>16739</v>
      </c>
      <c r="N993" t="s">
        <v>16740</v>
      </c>
      <c r="O993">
        <f>-543.398335577782 -123.523136470796 -746.043000526752</f>
        <v>-1412.9644725753301</v>
      </c>
      <c r="P993">
        <f>-587.366256720807 -129.469362041935 -432.646077102506</f>
        <v>-1149.481695865248</v>
      </c>
      <c r="Q993">
        <f>-328.754502538146 -102.762896028861 -425.662957265432</f>
        <v>-857.18035583243909</v>
      </c>
      <c r="R993" t="s">
        <v>16741</v>
      </c>
      <c r="S993" t="s">
        <v>16742</v>
      </c>
      <c r="T993" t="s">
        <v>16743</v>
      </c>
      <c r="U993" t="s">
        <v>16744</v>
      </c>
      <c r="V993">
        <f>-573.175514452097 -42.4179515112889 -233.030172570787</f>
        <v>-848.62363853417287</v>
      </c>
      <c r="W993" t="s">
        <v>16745</v>
      </c>
      <c r="X993" t="s">
        <v>16746</v>
      </c>
      <c r="Y993" t="s">
        <v>16747</v>
      </c>
    </row>
    <row r="994" spans="1:25" x14ac:dyDescent="0.3">
      <c r="A994">
        <v>49650</v>
      </c>
      <c r="B994" t="s">
        <v>16748</v>
      </c>
      <c r="C994" t="s">
        <v>16749</v>
      </c>
      <c r="D994" t="s">
        <v>16750</v>
      </c>
      <c r="E994" t="s">
        <v>16751</v>
      </c>
      <c r="F994" t="s">
        <v>16752</v>
      </c>
      <c r="G994" t="s">
        <v>16753</v>
      </c>
      <c r="H994" t="s">
        <v>16754</v>
      </c>
      <c r="I994" t="s">
        <v>16755</v>
      </c>
      <c r="J994" t="s">
        <v>16756</v>
      </c>
      <c r="K994" t="s">
        <v>16757</v>
      </c>
      <c r="L994" t="s">
        <v>16758</v>
      </c>
      <c r="M994" t="s">
        <v>16759</v>
      </c>
      <c r="N994" t="s">
        <v>16760</v>
      </c>
      <c r="O994">
        <f>-545.48800527489 -112.190268282058 -750.603134000387</f>
        <v>-1408.2814075573351</v>
      </c>
      <c r="P994">
        <f>-588.032358741413 -115.315779394724 -436.969021885007</f>
        <v>-1140.317160021144</v>
      </c>
      <c r="Q994">
        <f>-328.753218254607 -95.5730657800561 -431.812325159591</f>
        <v>-856.13860919425406</v>
      </c>
      <c r="R994" t="s">
        <v>16761</v>
      </c>
      <c r="S994" t="s">
        <v>16762</v>
      </c>
      <c r="T994" t="s">
        <v>16763</v>
      </c>
      <c r="U994" t="s">
        <v>16764</v>
      </c>
      <c r="V994">
        <f>-569.752039466061 -29.0436364820846 -235.782829717228</f>
        <v>-834.57850566537354</v>
      </c>
      <c r="W994" t="s">
        <v>16765</v>
      </c>
      <c r="X994" t="s">
        <v>16766</v>
      </c>
      <c r="Y994" t="s">
        <v>16767</v>
      </c>
    </row>
    <row r="995" spans="1:25" x14ac:dyDescent="0.3">
      <c r="A995">
        <v>49700</v>
      </c>
      <c r="B995" t="s">
        <v>16768</v>
      </c>
      <c r="C995" t="s">
        <v>16769</v>
      </c>
      <c r="D995" t="s">
        <v>16770</v>
      </c>
      <c r="E995" t="s">
        <v>16771</v>
      </c>
      <c r="F995" t="s">
        <v>16772</v>
      </c>
      <c r="G995" t="s">
        <v>16773</v>
      </c>
      <c r="H995" t="s">
        <v>16774</v>
      </c>
      <c r="I995" t="s">
        <v>16775</v>
      </c>
      <c r="J995" t="s">
        <v>16776</v>
      </c>
      <c r="K995" t="s">
        <v>16777</v>
      </c>
      <c r="L995" t="s">
        <v>16778</v>
      </c>
      <c r="M995" t="s">
        <v>16779</v>
      </c>
      <c r="N995" t="s">
        <v>16780</v>
      </c>
      <c r="O995">
        <f>-547.28082670363 -107.785902695128 -751.229590971642</f>
        <v>-1406.2963203704001</v>
      </c>
      <c r="P995">
        <f>-589.158651911788 -109.588577389739 -437.495281382316</f>
        <v>-1136.242510683843</v>
      </c>
      <c r="Q995">
        <f>-329.596024492873 -93.6281233870948 -433.681155950191</f>
        <v>-856.9053038301588</v>
      </c>
      <c r="R995" t="s">
        <v>16781</v>
      </c>
      <c r="S995" t="s">
        <v>16782</v>
      </c>
      <c r="T995" t="s">
        <v>16783</v>
      </c>
      <c r="U995" t="s">
        <v>16784</v>
      </c>
      <c r="V995">
        <f>-568.659533562672 -23.3871035506768 -236.241881318122</f>
        <v>-828.28851843147072</v>
      </c>
      <c r="W995" t="s">
        <v>16785</v>
      </c>
      <c r="X995" t="s">
        <v>16786</v>
      </c>
      <c r="Y995" t="s">
        <v>16787</v>
      </c>
    </row>
    <row r="996" spans="1:25" x14ac:dyDescent="0.3">
      <c r="A996">
        <v>49750</v>
      </c>
      <c r="B996" t="s">
        <v>16788</v>
      </c>
      <c r="C996" t="s">
        <v>16789</v>
      </c>
      <c r="D996" t="s">
        <v>16790</v>
      </c>
      <c r="E996" t="s">
        <v>16791</v>
      </c>
      <c r="F996" t="s">
        <v>16792</v>
      </c>
      <c r="G996" t="s">
        <v>16793</v>
      </c>
      <c r="H996" t="s">
        <v>16794</v>
      </c>
      <c r="I996" t="s">
        <v>16795</v>
      </c>
      <c r="J996" t="s">
        <v>16796</v>
      </c>
      <c r="K996" t="s">
        <v>16797</v>
      </c>
      <c r="L996" t="s">
        <v>16798</v>
      </c>
      <c r="M996" t="s">
        <v>16799</v>
      </c>
      <c r="N996" t="s">
        <v>16800</v>
      </c>
      <c r="O996">
        <f>-555.637986706617 -101.489865968156 -750.442611461419</f>
        <v>-1407.570464136192</v>
      </c>
      <c r="P996">
        <f>-594.580110898133 -100.282388034249 -436.327587464209</f>
        <v>-1131.1900863965909</v>
      </c>
      <c r="Q996">
        <f>-334.627864623578 -92.1843301617516 -435.183058483187</f>
        <v>-861.99525326851654</v>
      </c>
      <c r="R996" t="s">
        <v>16801</v>
      </c>
      <c r="S996" t="s">
        <v>16802</v>
      </c>
      <c r="T996" t="s">
        <v>16803</v>
      </c>
      <c r="U996" t="s">
        <v>16804</v>
      </c>
      <c r="V996">
        <f>-568.091978774643 -14.8238265852779 -235.388053226887</f>
        <v>-818.30385858680791</v>
      </c>
      <c r="W996" t="s">
        <v>16805</v>
      </c>
      <c r="X996" t="s">
        <v>16806</v>
      </c>
      <c r="Y996" t="s">
        <v>16807</v>
      </c>
    </row>
    <row r="997" spans="1:25" x14ac:dyDescent="0.3">
      <c r="A997">
        <v>49800</v>
      </c>
      <c r="B997" t="s">
        <v>16808</v>
      </c>
      <c r="C997" t="s">
        <v>16809</v>
      </c>
      <c r="D997" t="s">
        <v>16810</v>
      </c>
      <c r="E997" t="s">
        <v>16811</v>
      </c>
      <c r="F997" t="s">
        <v>16812</v>
      </c>
      <c r="G997" t="s">
        <v>16813</v>
      </c>
      <c r="H997" t="s">
        <v>16814</v>
      </c>
      <c r="I997" t="s">
        <v>16815</v>
      </c>
      <c r="J997" t="s">
        <v>16816</v>
      </c>
      <c r="K997" t="s">
        <v>16817</v>
      </c>
      <c r="L997" t="s">
        <v>16818</v>
      </c>
      <c r="M997" t="s">
        <v>16819</v>
      </c>
      <c r="N997" t="s">
        <v>16820</v>
      </c>
      <c r="O997">
        <f>-559.593329944939 -99.7607460103375 -749.854590071772</f>
        <v>-1409.2086660270484</v>
      </c>
      <c r="P997">
        <f>-596.86931806975 -97.0724947360925 -435.546686036185</f>
        <v>-1129.4884988420274</v>
      </c>
      <c r="Q997">
        <f>-336.828082925235 -92.5322445045097 -435.61279981294</f>
        <v>-864.97312724268477</v>
      </c>
      <c r="R997" t="s">
        <v>16821</v>
      </c>
      <c r="S997" t="s">
        <v>16822</v>
      </c>
      <c r="T997" t="s">
        <v>16823</v>
      </c>
      <c r="U997" t="s">
        <v>16824</v>
      </c>
      <c r="V997">
        <f>-567.233580527421 -10.4388924418606 -235.454595174011</f>
        <v>-813.12706814329272</v>
      </c>
      <c r="W997" t="s">
        <v>16825</v>
      </c>
      <c r="X997" t="s">
        <v>16826</v>
      </c>
      <c r="Y997" t="s">
        <v>16827</v>
      </c>
    </row>
    <row r="998" spans="1:25" x14ac:dyDescent="0.3">
      <c r="A998">
        <v>49850</v>
      </c>
      <c r="B998" t="s">
        <v>16828</v>
      </c>
      <c r="C998" t="s">
        <v>16829</v>
      </c>
      <c r="D998" t="s">
        <v>16830</v>
      </c>
      <c r="E998" t="s">
        <v>16831</v>
      </c>
      <c r="F998" t="s">
        <v>16832</v>
      </c>
      <c r="G998" t="s">
        <v>16833</v>
      </c>
      <c r="H998" t="s">
        <v>16834</v>
      </c>
      <c r="I998" t="s">
        <v>16835</v>
      </c>
      <c r="J998" t="s">
        <v>16836</v>
      </c>
      <c r="K998" t="s">
        <v>16837</v>
      </c>
      <c r="L998" t="s">
        <v>16838</v>
      </c>
      <c r="M998" t="s">
        <v>16839</v>
      </c>
      <c r="N998" t="s">
        <v>16840</v>
      </c>
      <c r="O998">
        <f>-564.24507761725 -97.038385367606 -748.299295727112</f>
        <v>-1409.5827587119679</v>
      </c>
      <c r="P998">
        <f>-599.16300137692 -90.9106697732364 -433.76885058525</f>
        <v>-1123.8425217354063</v>
      </c>
      <c r="Q998">
        <f>-339.101162770671 -93.8009101765638 -434.996938388448</f>
        <v>-867.89901133568287</v>
      </c>
      <c r="R998" t="s">
        <v>16841</v>
      </c>
      <c r="S998" t="s">
        <v>16842</v>
      </c>
      <c r="T998" t="s">
        <v>16843</v>
      </c>
      <c r="U998" t="s">
        <v>16844</v>
      </c>
      <c r="V998">
        <f>-563.608833218879 -3.88029302043469 -235.417643724449</f>
        <v>-802.90676996376271</v>
      </c>
      <c r="W998" t="s">
        <v>16845</v>
      </c>
      <c r="X998" t="s">
        <v>16846</v>
      </c>
      <c r="Y998" t="s">
        <v>16847</v>
      </c>
    </row>
    <row r="999" spans="1:25" x14ac:dyDescent="0.3">
      <c r="A999">
        <v>49900</v>
      </c>
      <c r="B999" t="s">
        <v>16848</v>
      </c>
      <c r="C999" t="s">
        <v>16849</v>
      </c>
      <c r="D999" t="s">
        <v>16850</v>
      </c>
      <c r="E999" t="s">
        <v>16851</v>
      </c>
      <c r="F999" t="s">
        <v>16852</v>
      </c>
      <c r="G999" t="s">
        <v>16853</v>
      </c>
      <c r="H999" t="s">
        <v>16854</v>
      </c>
      <c r="I999" t="s">
        <v>16855</v>
      </c>
      <c r="J999" t="s">
        <v>16856</v>
      </c>
      <c r="K999" t="s">
        <v>16857</v>
      </c>
      <c r="L999" t="s">
        <v>16858</v>
      </c>
      <c r="M999" t="s">
        <v>16859</v>
      </c>
      <c r="N999" t="s">
        <v>16860</v>
      </c>
      <c r="O999">
        <f>-569.172037328276 -86.8283587886826 -747.734078460774</f>
        <v>-1403.7344745777327</v>
      </c>
      <c r="P999">
        <f>-603.475098426975 -78.6331180516133 -433.183099855543</f>
        <v>-1115.2913163341314</v>
      </c>
      <c r="Q999">
        <f>-343.491867738615 -85.4922345484292 -435.111349750476</f>
        <v>-864.09545203752009</v>
      </c>
      <c r="R999" t="s">
        <v>16861</v>
      </c>
      <c r="S999" t="s">
        <v>16862</v>
      </c>
      <c r="T999" t="s">
        <v>16863</v>
      </c>
      <c r="U999" t="s">
        <v>16864</v>
      </c>
      <c r="V999" t="s">
        <v>16865</v>
      </c>
      <c r="W999" t="s">
        <v>16866</v>
      </c>
      <c r="X999" t="s">
        <v>16867</v>
      </c>
      <c r="Y999" t="s">
        <v>16868</v>
      </c>
    </row>
    <row r="1000" spans="1:25" x14ac:dyDescent="0.3">
      <c r="A1000">
        <v>49950</v>
      </c>
      <c r="B1000" t="s">
        <v>16869</v>
      </c>
      <c r="C1000" t="s">
        <v>16870</v>
      </c>
      <c r="D1000" t="s">
        <v>16871</v>
      </c>
      <c r="E1000" t="s">
        <v>16872</v>
      </c>
      <c r="F1000" t="s">
        <v>16873</v>
      </c>
      <c r="G1000" t="s">
        <v>16874</v>
      </c>
      <c r="H1000" t="s">
        <v>16875</v>
      </c>
      <c r="I1000" t="s">
        <v>16876</v>
      </c>
      <c r="J1000" t="s">
        <v>16877</v>
      </c>
      <c r="K1000" t="s">
        <v>16878</v>
      </c>
      <c r="L1000" t="s">
        <v>16879</v>
      </c>
      <c r="M1000" t="s">
        <v>16880</v>
      </c>
      <c r="N1000" t="s">
        <v>16881</v>
      </c>
      <c r="O1000">
        <f>-585.851314343507 -51.5727089520383 -749.037153465815</f>
        <v>-1386.4611767613603</v>
      </c>
      <c r="P1000">
        <f>-618.190472149217 -40.0089308361494 -434.383872574175</f>
        <v>-1092.5832755595413</v>
      </c>
      <c r="Q1000">
        <f>-358.462101839729 -53.3004128319369 -436.946841921327</f>
        <v>-848.70935659299289</v>
      </c>
      <c r="R1000" t="s">
        <v>16882</v>
      </c>
      <c r="S1000" t="s">
        <v>16883</v>
      </c>
      <c r="T1000" t="s">
        <v>16884</v>
      </c>
      <c r="U1000" t="s">
        <v>16885</v>
      </c>
      <c r="V1000" t="s">
        <v>16886</v>
      </c>
      <c r="W1000" t="s">
        <v>16887</v>
      </c>
      <c r="X1000" t="s">
        <v>16888</v>
      </c>
      <c r="Y1000" t="s">
        <v>16889</v>
      </c>
    </row>
    <row r="1001" spans="1:25" x14ac:dyDescent="0.3">
      <c r="A1001">
        <v>50000</v>
      </c>
      <c r="B1001" t="s">
        <v>16890</v>
      </c>
      <c r="C1001" t="s">
        <v>16891</v>
      </c>
      <c r="D1001" t="s">
        <v>16892</v>
      </c>
      <c r="E1001" t="s">
        <v>16893</v>
      </c>
      <c r="F1001" t="s">
        <v>16894</v>
      </c>
      <c r="G1001" t="s">
        <v>16895</v>
      </c>
      <c r="H1001" t="s">
        <v>16896</v>
      </c>
      <c r="I1001" t="s">
        <v>16897</v>
      </c>
      <c r="J1001" t="s">
        <v>16898</v>
      </c>
      <c r="K1001" t="s">
        <v>16899</v>
      </c>
      <c r="L1001" t="s">
        <v>16900</v>
      </c>
      <c r="M1001" t="s">
        <v>16901</v>
      </c>
      <c r="N1001" t="s">
        <v>16902</v>
      </c>
      <c r="O1001">
        <f>-591.076215406013 -42.6049915158376 -749.73132759634</f>
        <v>-1383.4125345181906</v>
      </c>
      <c r="P1001">
        <f>-622.53182188685 -29.5517850049584 -435.046802395638</f>
        <v>-1087.1304092874466</v>
      </c>
      <c r="Q1001">
        <f>-362.954803040569 -45.5016320086397 -437.776373680478</f>
        <v>-846.23280872968667</v>
      </c>
      <c r="R1001" t="s">
        <v>16903</v>
      </c>
      <c r="S1001" t="s">
        <v>16904</v>
      </c>
      <c r="T1001" t="s">
        <v>16905</v>
      </c>
      <c r="U1001" t="s">
        <v>16906</v>
      </c>
      <c r="V1001" t="s">
        <v>16907</v>
      </c>
      <c r="W1001" t="s">
        <v>16908</v>
      </c>
      <c r="X1001" t="s">
        <v>16909</v>
      </c>
      <c r="Y1001" t="s">
        <v>16910</v>
      </c>
    </row>
    <row r="1002" spans="1:25" x14ac:dyDescent="0.3">
      <c r="A1002">
        <v>50050</v>
      </c>
      <c r="B1002" t="s">
        <v>16911</v>
      </c>
      <c r="C1002" t="s">
        <v>16912</v>
      </c>
      <c r="D1002" t="s">
        <v>16913</v>
      </c>
      <c r="E1002" t="s">
        <v>16914</v>
      </c>
      <c r="F1002" t="s">
        <v>16915</v>
      </c>
      <c r="G1002" t="s">
        <v>16916</v>
      </c>
      <c r="H1002" t="s">
        <v>16917</v>
      </c>
      <c r="I1002" t="s">
        <v>16918</v>
      </c>
      <c r="J1002" t="s">
        <v>16919</v>
      </c>
      <c r="K1002" t="s">
        <v>16920</v>
      </c>
      <c r="L1002" t="s">
        <v>16921</v>
      </c>
      <c r="M1002" t="s">
        <v>16922</v>
      </c>
      <c r="N1002" t="s">
        <v>16923</v>
      </c>
      <c r="O1002">
        <f>-596.067334040372 -37.557001449602 -749.857931700325</f>
        <v>-1383.4822671902989</v>
      </c>
      <c r="P1002">
        <f>-626.498105270837 -22.3175321841061 -435.170952409595</f>
        <v>-1083.986589864538</v>
      </c>
      <c r="Q1002">
        <f>-367.316659841637 -43.8108680508492 -437.42368272082</f>
        <v>-848.55121061330624</v>
      </c>
      <c r="R1002" t="s">
        <v>16924</v>
      </c>
      <c r="S1002" t="s">
        <v>16925</v>
      </c>
      <c r="T1002" t="s">
        <v>16926</v>
      </c>
      <c r="U1002" t="s">
        <v>16927</v>
      </c>
      <c r="V1002" t="s">
        <v>16928</v>
      </c>
      <c r="W1002" t="s">
        <v>16929</v>
      </c>
      <c r="X1002" t="s">
        <v>16930</v>
      </c>
      <c r="Y1002" t="s">
        <v>16931</v>
      </c>
    </row>
    <row r="1003" spans="1:25" x14ac:dyDescent="0.3">
      <c r="A1003">
        <v>50100</v>
      </c>
      <c r="B1003" t="s">
        <v>16932</v>
      </c>
      <c r="C1003" t="s">
        <v>16933</v>
      </c>
      <c r="D1003" t="s">
        <v>16934</v>
      </c>
      <c r="E1003" t="s">
        <v>16935</v>
      </c>
      <c r="F1003" t="s">
        <v>16936</v>
      </c>
      <c r="G1003" t="s">
        <v>16937</v>
      </c>
      <c r="H1003" t="s">
        <v>16938</v>
      </c>
      <c r="I1003" t="s">
        <v>16939</v>
      </c>
      <c r="J1003" t="s">
        <v>16940</v>
      </c>
      <c r="K1003" t="s">
        <v>16941</v>
      </c>
      <c r="L1003" t="s">
        <v>16942</v>
      </c>
      <c r="M1003" t="s">
        <v>16943</v>
      </c>
      <c r="N1003" t="s">
        <v>16944</v>
      </c>
      <c r="O1003">
        <f>-597.358167147106 -37.4448016648075 -749.564727917666</f>
        <v>-1384.3676967295796</v>
      </c>
      <c r="P1003">
        <f>-627.496372624198 -21.5041066116535 -434.884319270453</f>
        <v>-1083.8847985063044</v>
      </c>
      <c r="Q1003">
        <f>-368.523450850206 -45.4092976457496 -436.785347175758</f>
        <v>-850.71809567171363</v>
      </c>
      <c r="R1003" t="s">
        <v>16945</v>
      </c>
      <c r="S1003" t="s">
        <v>16946</v>
      </c>
      <c r="T1003" t="s">
        <v>16947</v>
      </c>
      <c r="U1003" t="s">
        <v>16948</v>
      </c>
      <c r="V1003" t="s">
        <v>16949</v>
      </c>
      <c r="W1003" t="s">
        <v>16950</v>
      </c>
      <c r="X1003" t="s">
        <v>16951</v>
      </c>
      <c r="Y1003" t="s">
        <v>16952</v>
      </c>
    </row>
    <row r="1004" spans="1:25" x14ac:dyDescent="0.3">
      <c r="A1004">
        <v>50150</v>
      </c>
      <c r="B1004" t="s">
        <v>16953</v>
      </c>
      <c r="C1004" t="s">
        <v>16954</v>
      </c>
      <c r="D1004" t="s">
        <v>16955</v>
      </c>
      <c r="E1004" t="s">
        <v>16956</v>
      </c>
      <c r="F1004" t="s">
        <v>16957</v>
      </c>
      <c r="G1004" t="s">
        <v>16958</v>
      </c>
      <c r="H1004" t="s">
        <v>16959</v>
      </c>
      <c r="I1004" t="s">
        <v>16960</v>
      </c>
      <c r="J1004" t="s">
        <v>16961</v>
      </c>
      <c r="K1004" t="s">
        <v>16962</v>
      </c>
      <c r="L1004" t="s">
        <v>16963</v>
      </c>
      <c r="M1004" t="s">
        <v>16964</v>
      </c>
      <c r="N1004" t="s">
        <v>16965</v>
      </c>
      <c r="O1004">
        <f>-598.650226158216 -38.9001311259719 -748.918842330688</f>
        <v>-1386.4691996148758</v>
      </c>
      <c r="P1004">
        <f>-627.842352465073 -21.5289727055031 -434.224917966995</f>
        <v>-1083.596243137571</v>
      </c>
      <c r="Q1004">
        <f>-369.306361195578 -49.7955426983983 -435.713049856113</f>
        <v>-854.81495375008933</v>
      </c>
      <c r="R1004" t="s">
        <v>16966</v>
      </c>
      <c r="S1004" t="s">
        <v>16967</v>
      </c>
      <c r="T1004" t="s">
        <v>16968</v>
      </c>
      <c r="U1004" t="s">
        <v>16969</v>
      </c>
      <c r="V1004" t="s">
        <v>16970</v>
      </c>
      <c r="W1004" t="s">
        <v>16971</v>
      </c>
      <c r="X1004" t="s">
        <v>16972</v>
      </c>
      <c r="Y1004" t="s">
        <v>16973</v>
      </c>
    </row>
    <row r="1005" spans="1:25" x14ac:dyDescent="0.3">
      <c r="A1005">
        <v>50200</v>
      </c>
      <c r="B1005" t="s">
        <v>16974</v>
      </c>
      <c r="C1005" t="s">
        <v>16975</v>
      </c>
      <c r="D1005" t="s">
        <v>16976</v>
      </c>
      <c r="E1005" t="s">
        <v>16977</v>
      </c>
      <c r="F1005" t="s">
        <v>16978</v>
      </c>
      <c r="G1005" t="s">
        <v>16979</v>
      </c>
      <c r="H1005" t="s">
        <v>16980</v>
      </c>
      <c r="I1005" t="s">
        <v>16981</v>
      </c>
      <c r="J1005" t="s">
        <v>16982</v>
      </c>
      <c r="K1005" t="s">
        <v>16983</v>
      </c>
      <c r="L1005" t="s">
        <v>16984</v>
      </c>
      <c r="M1005" t="s">
        <v>16985</v>
      </c>
      <c r="N1005" t="s">
        <v>16986</v>
      </c>
      <c r="O1005">
        <f>-598.718979365734 -39.5199159034232 -748.721336762711</f>
        <v>-1386.9602320318681</v>
      </c>
      <c r="P1005">
        <f>-626.929205038721 -21.8685779664904 -433.953467588671</f>
        <v>-1082.7512505938823</v>
      </c>
      <c r="Q1005">
        <f>-368.577883883482 -51.7766786601951 -435.42170875404</f>
        <v>-855.77627129771713</v>
      </c>
      <c r="R1005" t="s">
        <v>16987</v>
      </c>
      <c r="S1005" t="s">
        <v>16988</v>
      </c>
      <c r="T1005" t="s">
        <v>16989</v>
      </c>
      <c r="U1005" t="s">
        <v>16990</v>
      </c>
      <c r="V1005" t="s">
        <v>16991</v>
      </c>
      <c r="W1005" t="s">
        <v>16992</v>
      </c>
      <c r="X1005" t="s">
        <v>16993</v>
      </c>
      <c r="Y1005" t="s">
        <v>16994</v>
      </c>
    </row>
    <row r="1006" spans="1:25" x14ac:dyDescent="0.3">
      <c r="A1006">
        <v>50250</v>
      </c>
      <c r="B1006" t="s">
        <v>16995</v>
      </c>
      <c r="C1006" t="s">
        <v>16996</v>
      </c>
      <c r="D1006" t="s">
        <v>16997</v>
      </c>
      <c r="E1006" t="s">
        <v>16998</v>
      </c>
      <c r="F1006" t="s">
        <v>16999</v>
      </c>
      <c r="G1006" t="s">
        <v>17000</v>
      </c>
      <c r="H1006" t="s">
        <v>17001</v>
      </c>
      <c r="I1006" t="s">
        <v>17002</v>
      </c>
      <c r="J1006" t="s">
        <v>17003</v>
      </c>
      <c r="K1006" t="s">
        <v>17004</v>
      </c>
      <c r="L1006" t="s">
        <v>17005</v>
      </c>
      <c r="M1006" t="s">
        <v>17006</v>
      </c>
      <c r="N1006" t="s">
        <v>17007</v>
      </c>
      <c r="O1006">
        <f>-599.263142937306 -37.4735980486964 -748.444503131861</f>
        <v>-1385.1812441178636</v>
      </c>
      <c r="P1006">
        <f>-625.753007677825 -20.1635458515927 -433.508245645999</f>
        <v>-1079.4247991754169</v>
      </c>
      <c r="Q1006">
        <f>-367.562844477469 -51.4102192084495 -435.387926888032</f>
        <v>-854.36099057395052</v>
      </c>
      <c r="R1006" t="s">
        <v>17008</v>
      </c>
      <c r="S1006" t="s">
        <v>17009</v>
      </c>
      <c r="T1006" t="s">
        <v>17010</v>
      </c>
      <c r="U1006" t="s">
        <v>17011</v>
      </c>
      <c r="V1006" t="s">
        <v>17012</v>
      </c>
      <c r="W1006" t="s">
        <v>17013</v>
      </c>
      <c r="X1006" t="s">
        <v>17014</v>
      </c>
      <c r="Y1006" t="s">
        <v>17015</v>
      </c>
    </row>
    <row r="1007" spans="1:25" x14ac:dyDescent="0.3">
      <c r="A1007">
        <v>50300</v>
      </c>
      <c r="B1007" t="s">
        <v>17016</v>
      </c>
      <c r="C1007" t="s">
        <v>17017</v>
      </c>
      <c r="D1007" t="s">
        <v>17018</v>
      </c>
      <c r="E1007" t="s">
        <v>17019</v>
      </c>
      <c r="F1007" t="s">
        <v>17020</v>
      </c>
      <c r="G1007" t="s">
        <v>17021</v>
      </c>
      <c r="H1007" t="s">
        <v>17022</v>
      </c>
      <c r="I1007" t="s">
        <v>17023</v>
      </c>
      <c r="J1007" t="s">
        <v>17024</v>
      </c>
      <c r="K1007" t="s">
        <v>17025</v>
      </c>
      <c r="L1007" t="s">
        <v>17026</v>
      </c>
      <c r="M1007" t="s">
        <v>17027</v>
      </c>
      <c r="N1007" t="s">
        <v>17028</v>
      </c>
      <c r="O1007">
        <f>-599.687621316639 -36.5819511282468 -748.176041541088</f>
        <v>-1384.445613985974</v>
      </c>
      <c r="P1007">
        <f>-625.207478192104 -19.7683119179476 -433.132781056406</f>
        <v>-1078.1085711664575</v>
      </c>
      <c r="Q1007">
        <f>-367.022103494512 -51.0449734721035 -435.165266796187</f>
        <v>-853.23234376280243</v>
      </c>
      <c r="R1007" t="s">
        <v>17029</v>
      </c>
      <c r="S1007" t="s">
        <v>17030</v>
      </c>
      <c r="T1007" t="s">
        <v>17031</v>
      </c>
      <c r="U1007" t="s">
        <v>17032</v>
      </c>
      <c r="V1007" t="s">
        <v>17033</v>
      </c>
      <c r="W1007" t="s">
        <v>17034</v>
      </c>
      <c r="X1007" t="s">
        <v>17035</v>
      </c>
      <c r="Y1007" t="s">
        <v>17036</v>
      </c>
    </row>
    <row r="1008" spans="1:25" x14ac:dyDescent="0.3">
      <c r="A1008">
        <v>50350</v>
      </c>
      <c r="B1008" t="s">
        <v>17037</v>
      </c>
      <c r="C1008" t="s">
        <v>17038</v>
      </c>
      <c r="D1008" t="s">
        <v>17039</v>
      </c>
      <c r="E1008" t="s">
        <v>17040</v>
      </c>
      <c r="F1008" t="s">
        <v>17041</v>
      </c>
      <c r="G1008" t="s">
        <v>17042</v>
      </c>
      <c r="H1008" t="s">
        <v>17043</v>
      </c>
      <c r="I1008" t="s">
        <v>17044</v>
      </c>
      <c r="J1008" t="s">
        <v>17045</v>
      </c>
      <c r="K1008" t="s">
        <v>17046</v>
      </c>
      <c r="L1008" t="s">
        <v>17047</v>
      </c>
      <c r="M1008" t="s">
        <v>17048</v>
      </c>
      <c r="N1008" t="s">
        <v>17049</v>
      </c>
      <c r="O1008">
        <f>-598.866055556766 -37.1509716802836 -747.132280476946</f>
        <v>-1383.1493077139958</v>
      </c>
      <c r="P1008">
        <f>-622.995093245937 -21.6636582694553 -431.911582986216</f>
        <v>-1076.5703345016082</v>
      </c>
      <c r="Q1008">
        <f>-364.642914160821 -51.5180565853045 -434.128547272479</f>
        <v>-850.28951801860455</v>
      </c>
      <c r="R1008" t="s">
        <v>17050</v>
      </c>
      <c r="S1008" t="s">
        <v>17051</v>
      </c>
      <c r="T1008" t="s">
        <v>17052</v>
      </c>
      <c r="U1008" t="s">
        <v>17053</v>
      </c>
      <c r="V1008" t="s">
        <v>17054</v>
      </c>
      <c r="W1008" t="s">
        <v>17055</v>
      </c>
      <c r="X1008" t="s">
        <v>17056</v>
      </c>
      <c r="Y1008" t="s">
        <v>17057</v>
      </c>
    </row>
    <row r="1009" spans="1:25" x14ac:dyDescent="0.3">
      <c r="A1009">
        <v>50400</v>
      </c>
      <c r="B1009" t="s">
        <v>17058</v>
      </c>
      <c r="C1009" t="s">
        <v>17059</v>
      </c>
      <c r="D1009" t="s">
        <v>17060</v>
      </c>
      <c r="E1009" t="s">
        <v>17061</v>
      </c>
      <c r="F1009" t="s">
        <v>17062</v>
      </c>
      <c r="G1009" t="s">
        <v>17063</v>
      </c>
      <c r="H1009" t="s">
        <v>17064</v>
      </c>
      <c r="I1009" t="s">
        <v>17065</v>
      </c>
      <c r="J1009" t="s">
        <v>17066</v>
      </c>
      <c r="K1009" t="s">
        <v>17067</v>
      </c>
      <c r="L1009" t="s">
        <v>17068</v>
      </c>
      <c r="M1009" t="s">
        <v>17069</v>
      </c>
      <c r="N1009" t="s">
        <v>17070</v>
      </c>
      <c r="O1009">
        <f>-598.603513558681 -38.3975445465139 -746.275303624742</f>
        <v>-1383.276361729937</v>
      </c>
      <c r="P1009">
        <f>-622.349353410893 -23.5611482139409 -430.994069644003</f>
        <v>-1076.9045712688369</v>
      </c>
      <c r="Q1009">
        <f>-363.876074687278 -52.361452857768 -433.035000769214</f>
        <v>-849.27252831425994</v>
      </c>
      <c r="R1009" t="s">
        <v>17071</v>
      </c>
      <c r="S1009" t="s">
        <v>17072</v>
      </c>
      <c r="T1009" t="s">
        <v>17073</v>
      </c>
      <c r="U1009" t="s">
        <v>17074</v>
      </c>
      <c r="V1009" t="s">
        <v>17075</v>
      </c>
      <c r="W1009" t="s">
        <v>17076</v>
      </c>
      <c r="X1009" t="s">
        <v>17077</v>
      </c>
      <c r="Y1009" t="s">
        <v>17078</v>
      </c>
    </row>
    <row r="1010" spans="1:25" x14ac:dyDescent="0.3">
      <c r="A1010">
        <v>50450</v>
      </c>
      <c r="B1010" t="s">
        <v>17079</v>
      </c>
      <c r="C1010" t="s">
        <v>17080</v>
      </c>
      <c r="D1010" t="s">
        <v>17081</v>
      </c>
      <c r="E1010" t="s">
        <v>17082</v>
      </c>
      <c r="F1010" t="s">
        <v>17083</v>
      </c>
      <c r="G1010" t="s">
        <v>17084</v>
      </c>
      <c r="H1010" t="s">
        <v>17085</v>
      </c>
      <c r="I1010" t="s">
        <v>17086</v>
      </c>
      <c r="J1010" t="s">
        <v>17087</v>
      </c>
      <c r="K1010" t="s">
        <v>17088</v>
      </c>
      <c r="L1010" t="s">
        <v>17089</v>
      </c>
      <c r="M1010" t="s">
        <v>17090</v>
      </c>
      <c r="N1010" t="s">
        <v>17091</v>
      </c>
      <c r="O1010">
        <f>-597.707528369766 -41.4092758387892 -744.488219433312</f>
        <v>-1383.6050236418673</v>
      </c>
      <c r="P1010">
        <f>-621.388377529241 -26.9855577364633 -429.183054089648</f>
        <v>-1077.5569893553522</v>
      </c>
      <c r="Q1010">
        <f>-362.619472409511 -52.9653022479797 -431.581988632291</f>
        <v>-847.16676328978167</v>
      </c>
      <c r="R1010" t="s">
        <v>17092</v>
      </c>
      <c r="S1010" t="s">
        <v>17093</v>
      </c>
      <c r="T1010" t="s">
        <v>17094</v>
      </c>
      <c r="U1010" t="s">
        <v>17095</v>
      </c>
      <c r="V1010" t="s">
        <v>17096</v>
      </c>
      <c r="W1010" t="s">
        <v>17097</v>
      </c>
      <c r="X1010" t="s">
        <v>17098</v>
      </c>
      <c r="Y1010" t="s">
        <v>17099</v>
      </c>
    </row>
    <row r="1011" spans="1:25" x14ac:dyDescent="0.3">
      <c r="A1011">
        <v>50500</v>
      </c>
      <c r="B1011" t="s">
        <v>17100</v>
      </c>
      <c r="C1011" t="s">
        <v>17101</v>
      </c>
      <c r="D1011" t="s">
        <v>17102</v>
      </c>
      <c r="E1011" t="s">
        <v>17103</v>
      </c>
      <c r="F1011" t="s">
        <v>17104</v>
      </c>
      <c r="G1011" t="s">
        <v>17105</v>
      </c>
      <c r="H1011" t="s">
        <v>17106</v>
      </c>
      <c r="I1011" t="s">
        <v>17107</v>
      </c>
      <c r="J1011" t="s">
        <v>17108</v>
      </c>
      <c r="K1011" t="s">
        <v>17109</v>
      </c>
      <c r="L1011" t="s">
        <v>17110</v>
      </c>
      <c r="M1011" t="s">
        <v>17111</v>
      </c>
      <c r="N1011" t="s">
        <v>17112</v>
      </c>
      <c r="O1011">
        <f>-596.680739611635 -42.9554314173206 -743.517089775309</f>
        <v>-1383.1532608042646</v>
      </c>
      <c r="P1011">
        <f>-620.461641281668 -28.3786851872173 -428.226459298698</f>
        <v>-1077.0667857675833</v>
      </c>
      <c r="Q1011">
        <f>-361.581435045394 -53.1994561057695 -430.876158173145</f>
        <v>-845.65704932430845</v>
      </c>
      <c r="R1011" t="s">
        <v>17113</v>
      </c>
      <c r="S1011" t="s">
        <v>17114</v>
      </c>
      <c r="T1011" t="s">
        <v>17115</v>
      </c>
      <c r="U1011" t="s">
        <v>17116</v>
      </c>
      <c r="V1011" t="s">
        <v>17117</v>
      </c>
      <c r="W1011" t="s">
        <v>17118</v>
      </c>
      <c r="X1011" t="s">
        <v>17119</v>
      </c>
      <c r="Y1011" t="s">
        <v>17120</v>
      </c>
    </row>
    <row r="1012" spans="1:25" x14ac:dyDescent="0.3">
      <c r="A1012">
        <v>50550</v>
      </c>
      <c r="B1012" t="s">
        <v>17121</v>
      </c>
      <c r="C1012" t="s">
        <v>17122</v>
      </c>
      <c r="D1012" t="s">
        <v>17123</v>
      </c>
      <c r="E1012" t="s">
        <v>17124</v>
      </c>
      <c r="F1012" t="s">
        <v>17125</v>
      </c>
      <c r="G1012" t="s">
        <v>17126</v>
      </c>
      <c r="H1012" t="s">
        <v>17127</v>
      </c>
      <c r="I1012" t="s">
        <v>17128</v>
      </c>
      <c r="J1012" t="s">
        <v>17129</v>
      </c>
      <c r="K1012" t="s">
        <v>17130</v>
      </c>
      <c r="L1012" t="s">
        <v>17131</v>
      </c>
      <c r="M1012" t="s">
        <v>17132</v>
      </c>
      <c r="N1012" t="s">
        <v>17133</v>
      </c>
      <c r="O1012">
        <f>-594.199841219277 -44.9261014904716 -741.678967508838</f>
        <v>-1380.8049102185867</v>
      </c>
      <c r="P1012">
        <f>-617.913419957901 -29.8682722808824 -426.405977012501</f>
        <v>-1074.1876692512844</v>
      </c>
      <c r="Q1012">
        <f>-358.842447546436 -52.5499378838501 -429.541462977938</f>
        <v>-840.93384840822409</v>
      </c>
      <c r="R1012" t="s">
        <v>17134</v>
      </c>
      <c r="S1012" t="s">
        <v>17135</v>
      </c>
      <c r="T1012" t="s">
        <v>17136</v>
      </c>
      <c r="U1012" t="s">
        <v>17137</v>
      </c>
      <c r="V1012" t="s">
        <v>17138</v>
      </c>
      <c r="W1012" t="s">
        <v>17139</v>
      </c>
      <c r="X1012" t="s">
        <v>17140</v>
      </c>
      <c r="Y1012" t="s">
        <v>17141</v>
      </c>
    </row>
    <row r="1013" spans="1:25" x14ac:dyDescent="0.3">
      <c r="A1013">
        <v>50600</v>
      </c>
      <c r="B1013" t="s">
        <v>17142</v>
      </c>
      <c r="C1013" t="s">
        <v>17143</v>
      </c>
      <c r="D1013" t="s">
        <v>17144</v>
      </c>
      <c r="E1013" t="s">
        <v>17145</v>
      </c>
      <c r="F1013" t="s">
        <v>17146</v>
      </c>
      <c r="G1013" t="s">
        <v>17147</v>
      </c>
      <c r="H1013" t="s">
        <v>17148</v>
      </c>
      <c r="I1013" t="s">
        <v>17149</v>
      </c>
      <c r="J1013" t="s">
        <v>17150</v>
      </c>
      <c r="K1013" t="s">
        <v>17151</v>
      </c>
      <c r="L1013" t="s">
        <v>17152</v>
      </c>
      <c r="M1013" t="s">
        <v>17153</v>
      </c>
      <c r="N1013" t="s">
        <v>17154</v>
      </c>
      <c r="O1013">
        <f>-592.339140720472 -45.282572596406 -741.039827592704</f>
        <v>-1378.6615409095821</v>
      </c>
      <c r="P1013">
        <f>-616.100764626038 -29.8655666920783 -425.787733045451</f>
        <v>-1071.7540643635673</v>
      </c>
      <c r="Q1013">
        <f>-356.958002033536 -51.7589791957857 -428.574028535917</f>
        <v>-837.29100976523864</v>
      </c>
      <c r="R1013" t="s">
        <v>17155</v>
      </c>
      <c r="S1013" t="s">
        <v>17156</v>
      </c>
      <c r="T1013" t="s">
        <v>17157</v>
      </c>
      <c r="U1013" t="s">
        <v>17158</v>
      </c>
      <c r="V1013" t="s">
        <v>17159</v>
      </c>
      <c r="W1013" t="s">
        <v>17160</v>
      </c>
      <c r="X1013" t="s">
        <v>17161</v>
      </c>
      <c r="Y1013" t="s">
        <v>17162</v>
      </c>
    </row>
    <row r="1014" spans="1:25" x14ac:dyDescent="0.3">
      <c r="A1014">
        <v>50650</v>
      </c>
      <c r="B1014" t="s">
        <v>17163</v>
      </c>
      <c r="C1014" t="s">
        <v>17164</v>
      </c>
      <c r="D1014" t="s">
        <v>17165</v>
      </c>
      <c r="E1014" t="s">
        <v>17166</v>
      </c>
      <c r="F1014" t="s">
        <v>17167</v>
      </c>
      <c r="G1014" t="s">
        <v>17168</v>
      </c>
      <c r="H1014" t="s">
        <v>17169</v>
      </c>
      <c r="I1014" t="s">
        <v>17170</v>
      </c>
      <c r="J1014" t="s">
        <v>17171</v>
      </c>
      <c r="K1014" t="s">
        <v>17172</v>
      </c>
      <c r="L1014" t="s">
        <v>17173</v>
      </c>
      <c r="M1014" t="s">
        <v>17174</v>
      </c>
      <c r="N1014" t="s">
        <v>17175</v>
      </c>
      <c r="O1014">
        <f>-589.578415166448 -45.08723284383 -740.450617130011</f>
        <v>-1375.116265140289</v>
      </c>
      <c r="P1014">
        <f>-612.737659761372 -29.1701559539033 -425.178508059058</f>
        <v>-1067.0863237743333</v>
      </c>
      <c r="Q1014">
        <f>-353.469585192428 -49.6480618677913 -426.847537591415</f>
        <v>-829.96518465163422</v>
      </c>
      <c r="R1014" t="s">
        <v>17176</v>
      </c>
      <c r="S1014" t="s">
        <v>17177</v>
      </c>
      <c r="T1014" t="s">
        <v>17178</v>
      </c>
      <c r="U1014" t="s">
        <v>17179</v>
      </c>
      <c r="V1014" t="s">
        <v>17180</v>
      </c>
      <c r="W1014" t="s">
        <v>17181</v>
      </c>
      <c r="X1014" t="s">
        <v>17182</v>
      </c>
      <c r="Y1014" t="s">
        <v>17183</v>
      </c>
    </row>
    <row r="1015" spans="1:25" x14ac:dyDescent="0.3">
      <c r="A1015">
        <v>50700</v>
      </c>
      <c r="B1015" t="s">
        <v>17184</v>
      </c>
      <c r="C1015" t="s">
        <v>17185</v>
      </c>
      <c r="D1015" t="s">
        <v>17186</v>
      </c>
      <c r="E1015" t="s">
        <v>17187</v>
      </c>
      <c r="F1015" t="s">
        <v>17188</v>
      </c>
      <c r="G1015" t="s">
        <v>17189</v>
      </c>
      <c r="H1015" t="s">
        <v>17190</v>
      </c>
      <c r="I1015" t="s">
        <v>17191</v>
      </c>
      <c r="J1015" t="s">
        <v>17192</v>
      </c>
      <c r="K1015" t="s">
        <v>17193</v>
      </c>
      <c r="L1015" t="s">
        <v>17194</v>
      </c>
      <c r="M1015" t="s">
        <v>17195</v>
      </c>
      <c r="N1015" t="s">
        <v>17196</v>
      </c>
      <c r="O1015">
        <f>-588.725746787538 -45.3169009809815 -740.04729289528</f>
        <v>-1374.0899406637996</v>
      </c>
      <c r="P1015">
        <f>-611.589712966299 -29.1456647808661 -424.766536854516</f>
        <v>-1065.5019146016812</v>
      </c>
      <c r="Q1015">
        <f>-352.260362852009 -48.849072001025 -426.218361467702</f>
        <v>-827.32779632073596</v>
      </c>
      <c r="R1015" t="s">
        <v>17197</v>
      </c>
      <c r="S1015" t="s">
        <v>17198</v>
      </c>
      <c r="T1015" t="s">
        <v>17199</v>
      </c>
      <c r="U1015" t="s">
        <v>17200</v>
      </c>
      <c r="V1015" t="s">
        <v>17201</v>
      </c>
      <c r="W1015" t="s">
        <v>17202</v>
      </c>
      <c r="X1015" t="s">
        <v>17203</v>
      </c>
      <c r="Y1015" t="s">
        <v>17204</v>
      </c>
    </row>
    <row r="1016" spans="1:25" x14ac:dyDescent="0.3">
      <c r="A1016">
        <v>50750</v>
      </c>
      <c r="B1016" t="s">
        <v>17205</v>
      </c>
      <c r="C1016" t="s">
        <v>17206</v>
      </c>
      <c r="D1016" t="s">
        <v>17207</v>
      </c>
      <c r="E1016" t="s">
        <v>17208</v>
      </c>
      <c r="F1016" t="s">
        <v>17209</v>
      </c>
      <c r="G1016" t="s">
        <v>17210</v>
      </c>
      <c r="H1016" t="s">
        <v>17211</v>
      </c>
      <c r="I1016" t="s">
        <v>17212</v>
      </c>
      <c r="J1016" t="s">
        <v>17213</v>
      </c>
      <c r="K1016" t="s">
        <v>17214</v>
      </c>
      <c r="L1016" t="s">
        <v>17215</v>
      </c>
      <c r="M1016" t="s">
        <v>17216</v>
      </c>
      <c r="N1016" t="s">
        <v>17217</v>
      </c>
      <c r="O1016">
        <f>-587.191151438814 -46.6387972525295 -738.75104343814</f>
        <v>-1372.5809921294835</v>
      </c>
      <c r="P1016">
        <f>-609.284015087906 -29.5159111705059 -423.465726344019</f>
        <v>-1062.2656526024309</v>
      </c>
      <c r="Q1016">
        <f>-349.865838236389 -47.9679146409053 -425.408894930529</f>
        <v>-823.24264780782323</v>
      </c>
      <c r="R1016" t="s">
        <v>17218</v>
      </c>
      <c r="S1016" t="s">
        <v>17219</v>
      </c>
      <c r="T1016" t="s">
        <v>17220</v>
      </c>
      <c r="U1016" t="s">
        <v>17221</v>
      </c>
      <c r="V1016" t="s">
        <v>17222</v>
      </c>
      <c r="W1016" t="s">
        <v>17223</v>
      </c>
      <c r="X1016" t="s">
        <v>17224</v>
      </c>
      <c r="Y1016" t="s">
        <v>17225</v>
      </c>
    </row>
    <row r="1017" spans="1:25" x14ac:dyDescent="0.3">
      <c r="A1017">
        <v>50800</v>
      </c>
      <c r="B1017" t="s">
        <v>17226</v>
      </c>
      <c r="C1017" t="s">
        <v>17227</v>
      </c>
      <c r="D1017" t="s">
        <v>17228</v>
      </c>
      <c r="E1017" t="s">
        <v>17229</v>
      </c>
      <c r="F1017" t="s">
        <v>17230</v>
      </c>
      <c r="G1017" t="s">
        <v>17231</v>
      </c>
      <c r="H1017" t="s">
        <v>17232</v>
      </c>
      <c r="I1017" t="s">
        <v>17233</v>
      </c>
      <c r="J1017" t="s">
        <v>17234</v>
      </c>
      <c r="K1017" t="s">
        <v>17235</v>
      </c>
      <c r="L1017" t="s">
        <v>17236</v>
      </c>
      <c r="M1017" t="s">
        <v>17237</v>
      </c>
      <c r="N1017" t="s">
        <v>17238</v>
      </c>
      <c r="O1017">
        <f>-586.738649416506 -47.4212458904756 -738.034582258422</f>
        <v>-1372.1944775654035</v>
      </c>
      <c r="P1017">
        <f>-608.32395966871 -29.7424100867029 -422.744528854789</f>
        <v>-1060.810898610202</v>
      </c>
      <c r="Q1017">
        <f>-348.864029810187 -47.548221425159 -425.102997585828</f>
        <v>-821.51524882117405</v>
      </c>
      <c r="R1017" t="s">
        <v>17239</v>
      </c>
      <c r="S1017" t="s">
        <v>17240</v>
      </c>
      <c r="T1017" t="s">
        <v>17241</v>
      </c>
      <c r="U1017" t="s">
        <v>17242</v>
      </c>
      <c r="V1017" t="s">
        <v>17243</v>
      </c>
      <c r="W1017" t="s">
        <v>17244</v>
      </c>
      <c r="X1017" t="s">
        <v>17245</v>
      </c>
      <c r="Y1017" t="s">
        <v>17246</v>
      </c>
    </row>
    <row r="1018" spans="1:25" x14ac:dyDescent="0.3">
      <c r="A1018">
        <v>50850</v>
      </c>
      <c r="B1018" t="s">
        <v>17247</v>
      </c>
      <c r="C1018" t="s">
        <v>17248</v>
      </c>
      <c r="D1018" t="s">
        <v>17249</v>
      </c>
      <c r="E1018" t="s">
        <v>17250</v>
      </c>
      <c r="F1018" t="s">
        <v>17251</v>
      </c>
      <c r="G1018" t="s">
        <v>17252</v>
      </c>
      <c r="H1018" t="s">
        <v>17253</v>
      </c>
      <c r="I1018" t="s">
        <v>17254</v>
      </c>
      <c r="J1018" t="s">
        <v>17255</v>
      </c>
      <c r="K1018" t="s">
        <v>17256</v>
      </c>
      <c r="L1018" t="s">
        <v>17257</v>
      </c>
      <c r="M1018" t="s">
        <v>17258</v>
      </c>
      <c r="N1018" t="s">
        <v>17259</v>
      </c>
      <c r="O1018">
        <f>-585.791286975738 -49.1745603631457 -736.539649008363</f>
        <v>-1371.5054963472467</v>
      </c>
      <c r="P1018">
        <f>-606.640112939719 -30.62578532252 -421.250138485969</f>
        <v>-1058.5160367482079</v>
      </c>
      <c r="Q1018">
        <f>-347.080475423169 -46.6414790606266 -425.037783057296</f>
        <v>-818.75973754109157</v>
      </c>
      <c r="R1018" t="s">
        <v>17260</v>
      </c>
      <c r="S1018" t="s">
        <v>17261</v>
      </c>
      <c r="T1018" t="s">
        <v>17262</v>
      </c>
      <c r="U1018" t="s">
        <v>17263</v>
      </c>
      <c r="V1018" t="s">
        <v>17264</v>
      </c>
      <c r="W1018" t="s">
        <v>17265</v>
      </c>
      <c r="X1018" t="s">
        <v>17266</v>
      </c>
      <c r="Y1018" t="s">
        <v>17267</v>
      </c>
    </row>
    <row r="1019" spans="1:25" x14ac:dyDescent="0.3">
      <c r="A1019">
        <v>50900</v>
      </c>
      <c r="B1019" t="s">
        <v>17268</v>
      </c>
      <c r="C1019" t="s">
        <v>17269</v>
      </c>
      <c r="D1019" t="s">
        <v>17270</v>
      </c>
      <c r="E1019" t="s">
        <v>17271</v>
      </c>
      <c r="F1019" t="s">
        <v>17272</v>
      </c>
      <c r="G1019" t="s">
        <v>17273</v>
      </c>
      <c r="H1019" t="s">
        <v>17274</v>
      </c>
      <c r="I1019" t="s">
        <v>17275</v>
      </c>
      <c r="J1019" t="s">
        <v>17276</v>
      </c>
      <c r="K1019" t="s">
        <v>17277</v>
      </c>
      <c r="L1019" t="s">
        <v>17278</v>
      </c>
      <c r="M1019" t="s">
        <v>17279</v>
      </c>
      <c r="N1019" t="s">
        <v>17280</v>
      </c>
      <c r="O1019">
        <f>-585.803992945772 -50.1522389477352 -735.724092554397</f>
        <v>-1371.6803244479042</v>
      </c>
      <c r="P1019">
        <f>-606.073690484003 -31.3997692464357 -420.408963488164</f>
        <v>-1057.8824232186025</v>
      </c>
      <c r="Q1019">
        <f>-346.473161143116 -46.4749127302975 -425.136501251258</f>
        <v>-818.08457512467146</v>
      </c>
      <c r="R1019" t="s">
        <v>17281</v>
      </c>
      <c r="S1019" t="s">
        <v>17282</v>
      </c>
      <c r="T1019" t="s">
        <v>17283</v>
      </c>
      <c r="U1019" t="s">
        <v>17284</v>
      </c>
      <c r="V1019" t="s">
        <v>17285</v>
      </c>
      <c r="W1019" t="s">
        <v>17286</v>
      </c>
      <c r="X1019" t="s">
        <v>17287</v>
      </c>
      <c r="Y1019" t="s">
        <v>17288</v>
      </c>
    </row>
    <row r="1020" spans="1:25" x14ac:dyDescent="0.3">
      <c r="A1020">
        <v>50950</v>
      </c>
      <c r="B1020" t="s">
        <v>17289</v>
      </c>
      <c r="C1020" t="s">
        <v>17290</v>
      </c>
      <c r="D1020" t="s">
        <v>17291</v>
      </c>
      <c r="E1020" t="s">
        <v>17292</v>
      </c>
      <c r="F1020" t="s">
        <v>17293</v>
      </c>
      <c r="G1020" t="s">
        <v>17294</v>
      </c>
      <c r="H1020" t="s">
        <v>17295</v>
      </c>
      <c r="I1020" t="s">
        <v>17296</v>
      </c>
      <c r="J1020" t="s">
        <v>17297</v>
      </c>
      <c r="K1020" t="s">
        <v>17298</v>
      </c>
      <c r="L1020" t="s">
        <v>17299</v>
      </c>
      <c r="M1020" t="s">
        <v>17300</v>
      </c>
      <c r="N1020" t="s">
        <v>17301</v>
      </c>
      <c r="O1020">
        <f>-585.908709166341 -52.824897306657 -733.904942923039</f>
        <v>-1372.638549396037</v>
      </c>
      <c r="P1020">
        <f>-604.649032781298 -33.3666237540872 -418.538058679126</f>
        <v>-1056.5537152145112</v>
      </c>
      <c r="Q1020">
        <f>-344.967111491576 -46.5180079585862 -424.402571637875</f>
        <v>-815.88769108803717</v>
      </c>
      <c r="R1020" t="s">
        <v>17302</v>
      </c>
      <c r="S1020" t="s">
        <v>17303</v>
      </c>
      <c r="T1020" t="s">
        <v>17304</v>
      </c>
      <c r="U1020" t="s">
        <v>17305</v>
      </c>
      <c r="V1020" t="s">
        <v>17306</v>
      </c>
      <c r="W1020" t="s">
        <v>17307</v>
      </c>
      <c r="X1020" t="s">
        <v>17308</v>
      </c>
      <c r="Y1020" t="s">
        <v>17309</v>
      </c>
    </row>
    <row r="1021" spans="1:25" x14ac:dyDescent="0.3">
      <c r="A1021">
        <v>51000</v>
      </c>
      <c r="B1021" t="s">
        <v>17310</v>
      </c>
      <c r="C1021" t="s">
        <v>17311</v>
      </c>
      <c r="D1021" t="s">
        <v>17312</v>
      </c>
      <c r="E1021" t="s">
        <v>17313</v>
      </c>
      <c r="F1021" t="s">
        <v>17314</v>
      </c>
      <c r="G1021" t="s">
        <v>17315</v>
      </c>
      <c r="H1021" t="s">
        <v>17316</v>
      </c>
      <c r="I1021" t="s">
        <v>17317</v>
      </c>
      <c r="J1021" t="s">
        <v>17318</v>
      </c>
      <c r="K1021" t="s">
        <v>17319</v>
      </c>
      <c r="L1021" t="s">
        <v>17320</v>
      </c>
      <c r="M1021" t="s">
        <v>17321</v>
      </c>
      <c r="N1021" t="s">
        <v>17322</v>
      </c>
      <c r="O1021">
        <f>-586.103283296947 -54.524750799136 -732.940043793453</f>
        <v>-1373.568077889536</v>
      </c>
      <c r="P1021">
        <f>-604.24283689714 -34.7856502904006 -417.555311794583</f>
        <v>-1056.5837989821237</v>
      </c>
      <c r="Q1021">
        <f>-344.48563155932 -46.1134972998291 -423.873346464085</f>
        <v>-814.47247532323399</v>
      </c>
      <c r="R1021" t="s">
        <v>17323</v>
      </c>
      <c r="S1021" t="s">
        <v>17324</v>
      </c>
      <c r="T1021" t="s">
        <v>17325</v>
      </c>
      <c r="U1021" t="s">
        <v>17326</v>
      </c>
      <c r="V1021" t="s">
        <v>17327</v>
      </c>
      <c r="W1021" t="s">
        <v>17328</v>
      </c>
      <c r="X1021" t="s">
        <v>17329</v>
      </c>
      <c r="Y1021" t="s">
        <v>17330</v>
      </c>
    </row>
    <row r="1022" spans="1:25" x14ac:dyDescent="0.3">
      <c r="A1022">
        <v>51050</v>
      </c>
      <c r="B1022" t="s">
        <v>17331</v>
      </c>
      <c r="C1022" t="s">
        <v>17332</v>
      </c>
      <c r="D1022" t="s">
        <v>17333</v>
      </c>
      <c r="E1022" t="s">
        <v>17334</v>
      </c>
      <c r="F1022" t="s">
        <v>17335</v>
      </c>
      <c r="G1022" t="s">
        <v>17336</v>
      </c>
      <c r="H1022" t="s">
        <v>17337</v>
      </c>
      <c r="I1022" t="s">
        <v>17338</v>
      </c>
      <c r="J1022" t="s">
        <v>17339</v>
      </c>
      <c r="K1022" t="s">
        <v>17340</v>
      </c>
      <c r="L1022" t="s">
        <v>17341</v>
      </c>
      <c r="M1022" t="s">
        <v>17342</v>
      </c>
      <c r="N1022" t="s">
        <v>17343</v>
      </c>
      <c r="O1022">
        <f>-586.861035771781 -58.0322257498042 -731.066943800809</f>
        <v>-1375.9602053223941</v>
      </c>
      <c r="P1022">
        <f>-603.649006178046 -37.84258213826 -415.63597332808</f>
        <v>-1057.1275616443859</v>
      </c>
      <c r="Q1022">
        <f>-343.734370464548 -44.1716021441075 -422.44551907009</f>
        <v>-810.35149167874556</v>
      </c>
      <c r="R1022" t="s">
        <v>17344</v>
      </c>
      <c r="S1022" t="s">
        <v>17345</v>
      </c>
      <c r="T1022" t="s">
        <v>17346</v>
      </c>
      <c r="U1022" t="s">
        <v>17347</v>
      </c>
      <c r="V1022" t="s">
        <v>17348</v>
      </c>
      <c r="W1022" t="s">
        <v>17349</v>
      </c>
      <c r="X1022" t="s">
        <v>17350</v>
      </c>
      <c r="Y1022" t="s">
        <v>17351</v>
      </c>
    </row>
    <row r="1023" spans="1:25" x14ac:dyDescent="0.3">
      <c r="A1023">
        <v>51100</v>
      </c>
      <c r="B1023" t="s">
        <v>17352</v>
      </c>
      <c r="C1023" t="s">
        <v>17353</v>
      </c>
      <c r="D1023" t="s">
        <v>17354</v>
      </c>
      <c r="E1023" t="s">
        <v>17355</v>
      </c>
      <c r="F1023" t="s">
        <v>17356</v>
      </c>
      <c r="G1023" t="s">
        <v>17357</v>
      </c>
      <c r="H1023" t="s">
        <v>17358</v>
      </c>
      <c r="I1023" t="s">
        <v>17359</v>
      </c>
      <c r="J1023" t="s">
        <v>17360</v>
      </c>
      <c r="K1023" t="s">
        <v>17361</v>
      </c>
      <c r="L1023" t="s">
        <v>17362</v>
      </c>
      <c r="M1023" t="s">
        <v>17363</v>
      </c>
      <c r="N1023" t="s">
        <v>17364</v>
      </c>
      <c r="O1023">
        <f>-587.423157073065 -59.7784444684207 -730.174207501872</f>
        <v>-1377.3758090433578</v>
      </c>
      <c r="P1023">
        <f>-603.769979691306 -38.6666454811957 -414.780308404587</f>
        <v>-1057.2169335770886</v>
      </c>
      <c r="Q1023">
        <f>-343.821778551913 -42.4662874319179 -422.167035200844</f>
        <v>-808.45510118467496</v>
      </c>
      <c r="R1023" t="s">
        <v>17365</v>
      </c>
      <c r="S1023" t="s">
        <v>17366</v>
      </c>
      <c r="T1023" t="s">
        <v>17367</v>
      </c>
      <c r="U1023" t="s">
        <v>17368</v>
      </c>
      <c r="V1023" t="s">
        <v>17369</v>
      </c>
      <c r="W1023" t="s">
        <v>17370</v>
      </c>
      <c r="X1023" t="s">
        <v>17371</v>
      </c>
      <c r="Y1023" t="s">
        <v>17372</v>
      </c>
    </row>
    <row r="1024" spans="1:25" x14ac:dyDescent="0.3">
      <c r="A1024">
        <v>51150</v>
      </c>
      <c r="B1024" t="s">
        <v>17373</v>
      </c>
      <c r="C1024" t="s">
        <v>17374</v>
      </c>
      <c r="D1024" t="s">
        <v>17375</v>
      </c>
      <c r="E1024" t="s">
        <v>17376</v>
      </c>
      <c r="F1024" t="s">
        <v>17377</v>
      </c>
      <c r="G1024" t="s">
        <v>17378</v>
      </c>
      <c r="H1024" t="s">
        <v>17379</v>
      </c>
      <c r="I1024" t="s">
        <v>17380</v>
      </c>
      <c r="J1024" t="s">
        <v>17381</v>
      </c>
      <c r="K1024" t="s">
        <v>17382</v>
      </c>
      <c r="L1024" t="s">
        <v>17383</v>
      </c>
      <c r="M1024" t="s">
        <v>17384</v>
      </c>
      <c r="N1024" t="s">
        <v>17385</v>
      </c>
      <c r="O1024">
        <f>-588.149286895027 -63.328291308746 -728.491902880899</f>
        <v>-1379.969481084672</v>
      </c>
      <c r="P1024">
        <f>-603.838586583857 -40.3858296592689 -413.19254963245</f>
        <v>-1057.4169658755759</v>
      </c>
      <c r="Q1024">
        <f>-343.893258520051 -39.5579750377879 -421.547533727779</f>
        <v>-804.99876728561799</v>
      </c>
      <c r="R1024" t="s">
        <v>17386</v>
      </c>
      <c r="S1024" t="s">
        <v>17387</v>
      </c>
      <c r="T1024" t="s">
        <v>17388</v>
      </c>
      <c r="U1024" t="s">
        <v>17389</v>
      </c>
      <c r="V1024" t="s">
        <v>17390</v>
      </c>
      <c r="W1024" t="s">
        <v>17391</v>
      </c>
      <c r="X1024" t="s">
        <v>17392</v>
      </c>
      <c r="Y1024" t="s">
        <v>17393</v>
      </c>
    </row>
    <row r="1025" spans="1:25" x14ac:dyDescent="0.3">
      <c r="A1025">
        <v>51200</v>
      </c>
      <c r="B1025" t="s">
        <v>17394</v>
      </c>
      <c r="C1025" t="s">
        <v>17395</v>
      </c>
      <c r="D1025" t="s">
        <v>17396</v>
      </c>
      <c r="E1025" t="s">
        <v>17397</v>
      </c>
      <c r="F1025" t="s">
        <v>17398</v>
      </c>
      <c r="G1025" t="s">
        <v>17399</v>
      </c>
      <c r="H1025" t="s">
        <v>17400</v>
      </c>
      <c r="I1025" t="s">
        <v>17401</v>
      </c>
      <c r="J1025" t="s">
        <v>17402</v>
      </c>
      <c r="K1025" t="s">
        <v>17403</v>
      </c>
      <c r="L1025" t="s">
        <v>17404</v>
      </c>
      <c r="M1025" t="s">
        <v>17405</v>
      </c>
      <c r="N1025" t="s">
        <v>17406</v>
      </c>
      <c r="O1025">
        <f>-588.237383539288 -65.140702515723 -727.756455323689</f>
        <v>-1381.1345413786999</v>
      </c>
      <c r="P1025">
        <f>-604.052114958492 -41.148423418281 -412.541515198302</f>
        <v>-1057.742053575075</v>
      </c>
      <c r="Q1025">
        <f>-344.12227784483 -38.8973890081163 -421.113728335141</f>
        <v>-804.13339518808732</v>
      </c>
      <c r="R1025" t="s">
        <v>17407</v>
      </c>
      <c r="S1025" t="s">
        <v>17408</v>
      </c>
      <c r="T1025" t="s">
        <v>17409</v>
      </c>
      <c r="U1025" t="s">
        <v>17410</v>
      </c>
      <c r="V1025" t="s">
        <v>17411</v>
      </c>
      <c r="W1025" t="s">
        <v>17412</v>
      </c>
      <c r="X1025" t="s">
        <v>17413</v>
      </c>
      <c r="Y1025" t="s">
        <v>17414</v>
      </c>
    </row>
    <row r="1026" spans="1:25" x14ac:dyDescent="0.3">
      <c r="A1026">
        <v>51250</v>
      </c>
      <c r="B1026" t="s">
        <v>17415</v>
      </c>
      <c r="C1026" t="s">
        <v>17416</v>
      </c>
      <c r="D1026" t="s">
        <v>17417</v>
      </c>
      <c r="E1026" t="s">
        <v>17418</v>
      </c>
      <c r="F1026" t="s">
        <v>17419</v>
      </c>
      <c r="G1026" t="s">
        <v>17420</v>
      </c>
      <c r="H1026" t="s">
        <v>17421</v>
      </c>
      <c r="I1026" t="s">
        <v>17422</v>
      </c>
      <c r="J1026" t="s">
        <v>17423</v>
      </c>
      <c r="K1026" t="s">
        <v>17424</v>
      </c>
      <c r="L1026" t="s">
        <v>17425</v>
      </c>
      <c r="M1026" t="s">
        <v>17426</v>
      </c>
      <c r="N1026" t="s">
        <v>17427</v>
      </c>
      <c r="O1026">
        <f>-587.034684838593 -68.1486691279347 -726.466094835662</f>
        <v>-1381.6494488021897</v>
      </c>
      <c r="P1026">
        <f>-604.545368480648 -42.5572162743265 -411.466498569803</f>
        <v>-1058.5690833247775</v>
      </c>
      <c r="Q1026">
        <f>-344.626493976842 -39.1579662419895 -419.991462071305</f>
        <v>-803.77592229013658</v>
      </c>
      <c r="R1026" t="s">
        <v>17428</v>
      </c>
      <c r="S1026" t="s">
        <v>17429</v>
      </c>
      <c r="T1026" t="s">
        <v>17430</v>
      </c>
      <c r="U1026" t="s">
        <v>17431</v>
      </c>
      <c r="V1026" t="s">
        <v>17432</v>
      </c>
      <c r="W1026" t="s">
        <v>17433</v>
      </c>
      <c r="X1026" t="s">
        <v>17434</v>
      </c>
      <c r="Y1026" t="s">
        <v>17435</v>
      </c>
    </row>
    <row r="1027" spans="1:25" x14ac:dyDescent="0.3">
      <c r="A1027">
        <v>51300</v>
      </c>
      <c r="B1027" t="s">
        <v>17436</v>
      </c>
      <c r="C1027" t="s">
        <v>17437</v>
      </c>
      <c r="D1027" t="s">
        <v>17438</v>
      </c>
      <c r="E1027" t="s">
        <v>17439</v>
      </c>
      <c r="F1027" t="s">
        <v>17440</v>
      </c>
      <c r="G1027" t="s">
        <v>17441</v>
      </c>
      <c r="H1027" t="s">
        <v>17442</v>
      </c>
      <c r="I1027" t="s">
        <v>17443</v>
      </c>
      <c r="J1027" t="s">
        <v>17444</v>
      </c>
      <c r="K1027" t="s">
        <v>17445</v>
      </c>
      <c r="L1027" t="s">
        <v>17446</v>
      </c>
      <c r="M1027" t="s">
        <v>17447</v>
      </c>
      <c r="N1027" t="s">
        <v>17448</v>
      </c>
      <c r="O1027">
        <f>-585.917666753677 -68.9640854556872 -726.17793448988</f>
        <v>-1381.0596866992441</v>
      </c>
      <c r="P1027">
        <f>-605.230916930623 -43.3488126446739 -411.285887572104</f>
        <v>-1059.8656171474008</v>
      </c>
      <c r="Q1027">
        <f>-345.296324523785 -39.9110641806014 -419.301011977574</f>
        <v>-804.50840068196044</v>
      </c>
      <c r="R1027" t="s">
        <v>17449</v>
      </c>
      <c r="S1027" t="s">
        <v>17450</v>
      </c>
      <c r="T1027" t="s">
        <v>17451</v>
      </c>
      <c r="U1027" t="s">
        <v>17452</v>
      </c>
      <c r="V1027" t="s">
        <v>17453</v>
      </c>
      <c r="W1027" t="s">
        <v>17454</v>
      </c>
      <c r="X1027" t="s">
        <v>17455</v>
      </c>
      <c r="Y1027" t="s">
        <v>17456</v>
      </c>
    </row>
    <row r="1028" spans="1:25" x14ac:dyDescent="0.3">
      <c r="A1028">
        <v>51350</v>
      </c>
      <c r="B1028" t="s">
        <v>17457</v>
      </c>
      <c r="C1028" t="s">
        <v>17458</v>
      </c>
      <c r="D1028" t="s">
        <v>17459</v>
      </c>
      <c r="E1028" t="s">
        <v>17460</v>
      </c>
      <c r="F1028" t="s">
        <v>17461</v>
      </c>
      <c r="G1028" t="s">
        <v>17462</v>
      </c>
      <c r="H1028" t="s">
        <v>17463</v>
      </c>
      <c r="I1028" t="s">
        <v>17464</v>
      </c>
      <c r="J1028" t="s">
        <v>17465</v>
      </c>
      <c r="K1028" t="s">
        <v>17466</v>
      </c>
      <c r="L1028" t="s">
        <v>17467</v>
      </c>
      <c r="M1028" t="s">
        <v>17468</v>
      </c>
      <c r="N1028" t="s">
        <v>17469</v>
      </c>
      <c r="O1028">
        <f>-584.397039965648 -68.9451594786651 -727.090342349138</f>
        <v>-1380.432541793451</v>
      </c>
      <c r="P1028">
        <f>-606.259205817867 -44.883455755197 -412.242357575692</f>
        <v>-1063.3850191487561</v>
      </c>
      <c r="Q1028">
        <f>-346.252912290225 -42.2159820550592 -417.869280451687</f>
        <v>-806.33817479697132</v>
      </c>
      <c r="R1028" t="s">
        <v>17470</v>
      </c>
      <c r="S1028" t="s">
        <v>17471</v>
      </c>
      <c r="T1028" t="s">
        <v>17472</v>
      </c>
      <c r="U1028" t="s">
        <v>17473</v>
      </c>
      <c r="V1028" t="s">
        <v>17474</v>
      </c>
      <c r="W1028" t="s">
        <v>17475</v>
      </c>
      <c r="X1028" t="s">
        <v>17476</v>
      </c>
      <c r="Y1028" t="s">
        <v>17477</v>
      </c>
    </row>
    <row r="1029" spans="1:25" x14ac:dyDescent="0.3">
      <c r="A1029">
        <v>51400</v>
      </c>
      <c r="B1029" t="s">
        <v>17478</v>
      </c>
      <c r="C1029" t="s">
        <v>17479</v>
      </c>
      <c r="D1029" t="s">
        <v>17480</v>
      </c>
      <c r="E1029" t="s">
        <v>17481</v>
      </c>
      <c r="F1029" t="s">
        <v>17482</v>
      </c>
      <c r="G1029" t="s">
        <v>17483</v>
      </c>
      <c r="H1029" t="s">
        <v>17484</v>
      </c>
      <c r="I1029" t="s">
        <v>17485</v>
      </c>
      <c r="J1029" t="s">
        <v>17486</v>
      </c>
      <c r="K1029" t="s">
        <v>17487</v>
      </c>
      <c r="L1029" t="s">
        <v>17488</v>
      </c>
      <c r="M1029" t="s">
        <v>17489</v>
      </c>
      <c r="N1029" t="s">
        <v>17490</v>
      </c>
      <c r="O1029">
        <f>-583.305137432894 -68.5566490736876 -728.150373608315</f>
        <v>-1380.0121601148967</v>
      </c>
      <c r="P1029">
        <f>-606.915653759859 -46.0200984460537 -413.315738364986</f>
        <v>-1066.2514905708986</v>
      </c>
      <c r="Q1029">
        <f>-346.881861811844 -43.7589068939283 -417.715435524858</f>
        <v>-808.35620423063028</v>
      </c>
      <c r="R1029" t="s">
        <v>17491</v>
      </c>
      <c r="S1029" t="s">
        <v>17492</v>
      </c>
      <c r="T1029" t="s">
        <v>17493</v>
      </c>
      <c r="U1029" t="s">
        <v>17494</v>
      </c>
      <c r="V1029" t="s">
        <v>17495</v>
      </c>
      <c r="W1029" t="s">
        <v>17496</v>
      </c>
      <c r="X1029" t="s">
        <v>17497</v>
      </c>
      <c r="Y1029" t="s">
        <v>17498</v>
      </c>
    </row>
    <row r="1030" spans="1:25" x14ac:dyDescent="0.3">
      <c r="A1030">
        <v>51450</v>
      </c>
      <c r="B1030" t="s">
        <v>17499</v>
      </c>
      <c r="C1030" t="s">
        <v>17500</v>
      </c>
      <c r="D1030" t="s">
        <v>17501</v>
      </c>
      <c r="E1030" t="s">
        <v>17502</v>
      </c>
      <c r="F1030" t="s">
        <v>17503</v>
      </c>
      <c r="G1030" t="s">
        <v>17504</v>
      </c>
      <c r="H1030" t="s">
        <v>17505</v>
      </c>
      <c r="I1030" t="s">
        <v>17506</v>
      </c>
      <c r="J1030" t="s">
        <v>17507</v>
      </c>
      <c r="K1030" t="s">
        <v>17508</v>
      </c>
      <c r="L1030" t="s">
        <v>17509</v>
      </c>
      <c r="M1030" t="s">
        <v>17510</v>
      </c>
      <c r="N1030" t="s">
        <v>17511</v>
      </c>
      <c r="O1030">
        <f>-580.948141050773 -67.8026820003195 -730.641368914276</f>
        <v>-1379.3921919653685</v>
      </c>
      <c r="P1030">
        <f>-607.721820101443 -47.9517899770644 -415.879036372792</f>
        <v>-1071.5526464512993</v>
      </c>
      <c r="Q1030">
        <f>-347.649542547541 -46.9869343283292 -417.763022761439</f>
        <v>-812.39949963730919</v>
      </c>
      <c r="R1030" t="s">
        <v>17512</v>
      </c>
      <c r="S1030" t="s">
        <v>17513</v>
      </c>
      <c r="T1030" t="s">
        <v>17514</v>
      </c>
      <c r="U1030" t="s">
        <v>17515</v>
      </c>
      <c r="V1030" t="s">
        <v>17516</v>
      </c>
      <c r="W1030" t="s">
        <v>17517</v>
      </c>
      <c r="X1030" t="s">
        <v>17518</v>
      </c>
      <c r="Y1030" t="s">
        <v>17519</v>
      </c>
    </row>
    <row r="1031" spans="1:25" x14ac:dyDescent="0.3">
      <c r="A1031">
        <v>51500</v>
      </c>
      <c r="B1031" t="s">
        <v>17520</v>
      </c>
      <c r="C1031" t="s">
        <v>17521</v>
      </c>
      <c r="D1031" t="s">
        <v>17522</v>
      </c>
      <c r="E1031" t="s">
        <v>17523</v>
      </c>
      <c r="F1031" t="s">
        <v>17524</v>
      </c>
      <c r="G1031" t="s">
        <v>17525</v>
      </c>
      <c r="H1031" t="s">
        <v>17526</v>
      </c>
      <c r="I1031" t="s">
        <v>17527</v>
      </c>
      <c r="J1031" t="s">
        <v>17528</v>
      </c>
      <c r="K1031" t="s">
        <v>17529</v>
      </c>
      <c r="L1031" t="s">
        <v>17530</v>
      </c>
      <c r="M1031" t="s">
        <v>17531</v>
      </c>
      <c r="N1031" t="s">
        <v>17532</v>
      </c>
      <c r="O1031">
        <f>-579.713830168406 -67.7872317623196 -731.790248914543</f>
        <v>-1379.2913108452685</v>
      </c>
      <c r="P1031">
        <f>-607.774590819788 -49.2092884046326 -417.062318835528</f>
        <v>-1074.0461980599487</v>
      </c>
      <c r="Q1031">
        <f>-347.696878585437 -48.6632787804074 -418.222243477293</f>
        <v>-814.58240084313729</v>
      </c>
      <c r="R1031" t="s">
        <v>17533</v>
      </c>
      <c r="S1031" t="s">
        <v>17534</v>
      </c>
      <c r="T1031" t="s">
        <v>17535</v>
      </c>
      <c r="U1031" t="s">
        <v>17536</v>
      </c>
      <c r="V1031" t="s">
        <v>17537</v>
      </c>
      <c r="W1031" t="s">
        <v>17538</v>
      </c>
      <c r="X1031" t="s">
        <v>17539</v>
      </c>
      <c r="Y1031" t="s">
        <v>17540</v>
      </c>
    </row>
    <row r="1032" spans="1:25" x14ac:dyDescent="0.3">
      <c r="A1032">
        <v>51550</v>
      </c>
      <c r="B1032" t="s">
        <v>17541</v>
      </c>
      <c r="C1032" t="s">
        <v>17542</v>
      </c>
      <c r="D1032" t="s">
        <v>17543</v>
      </c>
      <c r="E1032" t="s">
        <v>17544</v>
      </c>
      <c r="F1032" t="s">
        <v>17545</v>
      </c>
      <c r="G1032" t="s">
        <v>17546</v>
      </c>
      <c r="H1032" t="s">
        <v>17547</v>
      </c>
      <c r="I1032" t="s">
        <v>17548</v>
      </c>
      <c r="J1032" t="s">
        <v>17549</v>
      </c>
      <c r="K1032" t="s">
        <v>17550</v>
      </c>
      <c r="L1032" t="s">
        <v>17551</v>
      </c>
      <c r="M1032" t="s">
        <v>17552</v>
      </c>
      <c r="N1032" t="s">
        <v>17553</v>
      </c>
      <c r="O1032">
        <f>-577.642731396019 -67.5237264152777 -733.814663759664</f>
        <v>-1378.9811215709606</v>
      </c>
      <c r="P1032">
        <f>-606.699778703852 -51.0416341362738 -419.060258832918</f>
        <v>-1076.8016716730438</v>
      </c>
      <c r="Q1032">
        <f>-346.619413133287 -50.7689864892607 -418.644796739303</f>
        <v>-816.03319636185074</v>
      </c>
      <c r="R1032" t="s">
        <v>17554</v>
      </c>
      <c r="S1032" t="s">
        <v>17555</v>
      </c>
      <c r="T1032" t="s">
        <v>17556</v>
      </c>
      <c r="U1032" t="s">
        <v>17557</v>
      </c>
      <c r="V1032" t="s">
        <v>17558</v>
      </c>
      <c r="W1032" t="s">
        <v>17559</v>
      </c>
      <c r="X1032" t="s">
        <v>17560</v>
      </c>
      <c r="Y1032" t="s">
        <v>17561</v>
      </c>
    </row>
    <row r="1033" spans="1:25" x14ac:dyDescent="0.3">
      <c r="A1033">
        <v>51600</v>
      </c>
      <c r="B1033" t="s">
        <v>17562</v>
      </c>
      <c r="C1033" t="s">
        <v>17563</v>
      </c>
      <c r="D1033" t="s">
        <v>17564</v>
      </c>
      <c r="E1033" t="s">
        <v>17565</v>
      </c>
      <c r="F1033" t="s">
        <v>17566</v>
      </c>
      <c r="G1033" t="s">
        <v>17567</v>
      </c>
      <c r="H1033" t="s">
        <v>17568</v>
      </c>
      <c r="I1033" t="s">
        <v>17569</v>
      </c>
      <c r="J1033" t="s">
        <v>17570</v>
      </c>
      <c r="K1033" t="s">
        <v>17571</v>
      </c>
      <c r="L1033" t="s">
        <v>17572</v>
      </c>
      <c r="M1033" t="s">
        <v>17573</v>
      </c>
      <c r="N1033" t="s">
        <v>17574</v>
      </c>
      <c r="O1033">
        <f>-576.778867866072 -67.5756250405843 -734.559441742443</f>
        <v>-1378.9139346490992</v>
      </c>
      <c r="P1033">
        <f>-605.823056605954 -51.6959201675493 -419.773064252673</f>
        <v>-1077.2920410261763</v>
      </c>
      <c r="Q1033">
        <f>-345.743200603343 -51.4725077840753 -419.092226746497</f>
        <v>-816.30793513391518</v>
      </c>
      <c r="R1033" t="s">
        <v>17575</v>
      </c>
      <c r="S1033" t="s">
        <v>17576</v>
      </c>
      <c r="T1033" t="s">
        <v>17577</v>
      </c>
      <c r="U1033" t="s">
        <v>17578</v>
      </c>
      <c r="V1033" t="s">
        <v>17579</v>
      </c>
      <c r="W1033" t="s">
        <v>17580</v>
      </c>
      <c r="X1033" t="s">
        <v>17581</v>
      </c>
      <c r="Y1033" t="s">
        <v>17582</v>
      </c>
    </row>
    <row r="1034" spans="1:25" x14ac:dyDescent="0.3">
      <c r="A1034">
        <v>51650</v>
      </c>
      <c r="B1034" t="s">
        <v>17583</v>
      </c>
      <c r="C1034" t="s">
        <v>17584</v>
      </c>
      <c r="D1034" t="s">
        <v>17585</v>
      </c>
      <c r="E1034" t="s">
        <v>17586</v>
      </c>
      <c r="F1034" t="s">
        <v>17587</v>
      </c>
      <c r="G1034" t="s">
        <v>17588</v>
      </c>
      <c r="H1034" t="s">
        <v>17589</v>
      </c>
      <c r="I1034" t="s">
        <v>17590</v>
      </c>
      <c r="J1034" t="s">
        <v>17591</v>
      </c>
      <c r="K1034" t="s">
        <v>17592</v>
      </c>
      <c r="L1034" t="s">
        <v>17593</v>
      </c>
      <c r="M1034" t="s">
        <v>17594</v>
      </c>
      <c r="N1034" t="s">
        <v>17595</v>
      </c>
      <c r="O1034">
        <f>-575.468984457387 -68.1399044089337 -735.748003861307</f>
        <v>-1379.3568927276278</v>
      </c>
      <c r="P1034">
        <f>-604.349157121574 -52.9074459565211 -420.914535895819</f>
        <v>-1078.1711389739139</v>
      </c>
      <c r="Q1034">
        <f>-344.270846507284 -52.6382969930296 -419.785500799335</f>
        <v>-816.69464429964864</v>
      </c>
      <c r="R1034" t="s">
        <v>17596</v>
      </c>
      <c r="S1034" t="s">
        <v>17597</v>
      </c>
      <c r="T1034" t="s">
        <v>17598</v>
      </c>
      <c r="U1034" t="s">
        <v>17599</v>
      </c>
      <c r="V1034" t="s">
        <v>17600</v>
      </c>
      <c r="W1034" t="s">
        <v>17601</v>
      </c>
      <c r="X1034" t="s">
        <v>17602</v>
      </c>
      <c r="Y1034" t="s">
        <v>17603</v>
      </c>
    </row>
    <row r="1035" spans="1:25" x14ac:dyDescent="0.3">
      <c r="A1035">
        <v>51700</v>
      </c>
      <c r="B1035" t="s">
        <v>17604</v>
      </c>
      <c r="C1035" t="s">
        <v>17605</v>
      </c>
      <c r="D1035" t="s">
        <v>17606</v>
      </c>
      <c r="E1035" t="s">
        <v>17607</v>
      </c>
      <c r="F1035" t="s">
        <v>17608</v>
      </c>
      <c r="G1035" t="s">
        <v>17609</v>
      </c>
      <c r="H1035" t="s">
        <v>17610</v>
      </c>
      <c r="I1035" t="s">
        <v>17611</v>
      </c>
      <c r="J1035" t="s">
        <v>17612</v>
      </c>
      <c r="K1035" t="s">
        <v>17613</v>
      </c>
      <c r="L1035" t="s">
        <v>17614</v>
      </c>
      <c r="M1035" t="s">
        <v>17615</v>
      </c>
      <c r="N1035" t="s">
        <v>17616</v>
      </c>
      <c r="O1035">
        <f>-575.201051691808 -68.3500882787698 -736.222265962684</f>
        <v>-1379.7734059332618</v>
      </c>
      <c r="P1035">
        <f>-603.851257395825 -53.3807250337361 -421.355222704599</f>
        <v>-1078.5872051341601</v>
      </c>
      <c r="Q1035">
        <f>-343.77311099392 -53.0086399297529 -420.226495507492</f>
        <v>-817.00824643116493</v>
      </c>
      <c r="R1035" t="s">
        <v>17617</v>
      </c>
      <c r="S1035" t="s">
        <v>17618</v>
      </c>
      <c r="T1035" t="s">
        <v>17619</v>
      </c>
      <c r="U1035" t="s">
        <v>17620</v>
      </c>
      <c r="V1035" t="s">
        <v>17621</v>
      </c>
      <c r="W1035" t="s">
        <v>17622</v>
      </c>
      <c r="X1035" t="s">
        <v>17623</v>
      </c>
      <c r="Y1035" t="s">
        <v>17624</v>
      </c>
    </row>
    <row r="1036" spans="1:25" x14ac:dyDescent="0.3">
      <c r="A1036">
        <v>51750</v>
      </c>
      <c r="B1036" t="s">
        <v>17625</v>
      </c>
      <c r="C1036" t="s">
        <v>17626</v>
      </c>
      <c r="D1036" t="s">
        <v>17627</v>
      </c>
      <c r="E1036" t="s">
        <v>17628</v>
      </c>
      <c r="F1036" t="s">
        <v>17629</v>
      </c>
      <c r="G1036" t="s">
        <v>17630</v>
      </c>
      <c r="H1036" t="s">
        <v>17631</v>
      </c>
      <c r="I1036" t="s">
        <v>17632</v>
      </c>
      <c r="J1036" t="s">
        <v>17633</v>
      </c>
      <c r="K1036" t="s">
        <v>17634</v>
      </c>
      <c r="L1036" t="s">
        <v>17635</v>
      </c>
      <c r="M1036" t="s">
        <v>17636</v>
      </c>
      <c r="N1036" t="s">
        <v>17637</v>
      </c>
      <c r="O1036">
        <f>-574.973906045654 -68.6787464066599 -736.930586084169</f>
        <v>-1380.5832385364829</v>
      </c>
      <c r="P1036">
        <f>-603.189041789204 -54.5204712055959 -421.986857916793</f>
        <v>-1079.6963709115928</v>
      </c>
      <c r="Q1036">
        <f>-343.111141682508 -53.877769185309 -420.914211838691</f>
        <v>-817.90312270650793</v>
      </c>
      <c r="R1036" t="s">
        <v>17638</v>
      </c>
      <c r="S1036" t="s">
        <v>17639</v>
      </c>
      <c r="T1036" t="s">
        <v>17640</v>
      </c>
      <c r="U1036" t="s">
        <v>17641</v>
      </c>
      <c r="V1036" t="s">
        <v>17642</v>
      </c>
      <c r="W1036" t="s">
        <v>17643</v>
      </c>
      <c r="X1036" t="s">
        <v>17644</v>
      </c>
      <c r="Y1036" t="s">
        <v>17645</v>
      </c>
    </row>
    <row r="1037" spans="1:25" x14ac:dyDescent="0.3">
      <c r="A1037">
        <v>51800</v>
      </c>
      <c r="B1037" t="s">
        <v>17646</v>
      </c>
      <c r="C1037" t="s">
        <v>17647</v>
      </c>
      <c r="D1037" t="s">
        <v>17648</v>
      </c>
      <c r="E1037" t="s">
        <v>17649</v>
      </c>
      <c r="F1037" t="s">
        <v>17650</v>
      </c>
      <c r="G1037" t="s">
        <v>17651</v>
      </c>
      <c r="H1037" t="s">
        <v>17652</v>
      </c>
      <c r="I1037" t="s">
        <v>17653</v>
      </c>
      <c r="J1037" t="s">
        <v>17654</v>
      </c>
      <c r="K1037" t="s">
        <v>17655</v>
      </c>
      <c r="L1037" t="s">
        <v>17656</v>
      </c>
      <c r="M1037" t="s">
        <v>17657</v>
      </c>
      <c r="N1037" t="s">
        <v>17658</v>
      </c>
      <c r="O1037">
        <f>-575.034524360505 -68.6993779827758 -737.124553752478</f>
        <v>-1380.8584560957588</v>
      </c>
      <c r="P1037">
        <f>-602.962030181887 -54.8630143410696 -422.140620654038</f>
        <v>-1079.9656651769947</v>
      </c>
      <c r="Q1037">
        <f>-342.884265725576 -54.3451982284882 -420.970475059663</f>
        <v>-818.19993901372709</v>
      </c>
      <c r="R1037" t="s">
        <v>17659</v>
      </c>
      <c r="S1037" t="s">
        <v>17660</v>
      </c>
      <c r="T1037" t="s">
        <v>17661</v>
      </c>
      <c r="U1037" t="s">
        <v>17662</v>
      </c>
      <c r="V1037" t="s">
        <v>17663</v>
      </c>
      <c r="W1037" t="s">
        <v>17664</v>
      </c>
      <c r="X1037" t="s">
        <v>17665</v>
      </c>
      <c r="Y1037" t="s">
        <v>17666</v>
      </c>
    </row>
    <row r="1038" spans="1:25" x14ac:dyDescent="0.3">
      <c r="A1038">
        <v>51850</v>
      </c>
      <c r="B1038" t="s">
        <v>17667</v>
      </c>
      <c r="C1038" t="s">
        <v>17668</v>
      </c>
      <c r="D1038" t="s">
        <v>17669</v>
      </c>
      <c r="E1038" t="s">
        <v>17670</v>
      </c>
      <c r="F1038" t="s">
        <v>17671</v>
      </c>
      <c r="G1038" t="s">
        <v>17672</v>
      </c>
      <c r="H1038" t="s">
        <v>17673</v>
      </c>
      <c r="I1038" t="s">
        <v>17674</v>
      </c>
      <c r="J1038" t="s">
        <v>17675</v>
      </c>
      <c r="K1038" t="s">
        <v>17676</v>
      </c>
      <c r="L1038" t="s">
        <v>17677</v>
      </c>
      <c r="M1038" t="s">
        <v>17678</v>
      </c>
      <c r="N1038" t="s">
        <v>17679</v>
      </c>
      <c r="O1038">
        <f>-574.771554786014 -68.9560635141611 -737.133218815582</f>
        <v>-1380.860837115757</v>
      </c>
      <c r="P1038">
        <f>-602.571200575232 -55.3498947493033 -422.12809618879</f>
        <v>-1080.0491915133252</v>
      </c>
      <c r="Q1038">
        <f>-342.494028220502 -55.6212693806629 -420.775185627561</f>
        <v>-818.89048322872588</v>
      </c>
      <c r="R1038" t="s">
        <v>17680</v>
      </c>
      <c r="S1038" t="s">
        <v>17681</v>
      </c>
      <c r="T1038" t="s">
        <v>17682</v>
      </c>
      <c r="U1038" t="s">
        <v>17683</v>
      </c>
      <c r="V1038" t="s">
        <v>17684</v>
      </c>
      <c r="W1038" t="s">
        <v>17685</v>
      </c>
      <c r="X1038" t="s">
        <v>17686</v>
      </c>
      <c r="Y1038" t="s">
        <v>17687</v>
      </c>
    </row>
    <row r="1039" spans="1:25" x14ac:dyDescent="0.3">
      <c r="A1039">
        <v>51900</v>
      </c>
      <c r="B1039" t="s">
        <v>17688</v>
      </c>
      <c r="C1039" t="s">
        <v>17689</v>
      </c>
      <c r="D1039" t="s">
        <v>17690</v>
      </c>
      <c r="E1039" t="s">
        <v>17691</v>
      </c>
      <c r="F1039" t="s">
        <v>17692</v>
      </c>
      <c r="G1039" t="s">
        <v>17693</v>
      </c>
      <c r="H1039" t="s">
        <v>17694</v>
      </c>
      <c r="I1039" t="s">
        <v>17695</v>
      </c>
      <c r="J1039" t="s">
        <v>17696</v>
      </c>
      <c r="K1039" t="s">
        <v>17697</v>
      </c>
      <c r="L1039" t="s">
        <v>17698</v>
      </c>
      <c r="M1039" t="s">
        <v>17699</v>
      </c>
      <c r="N1039" t="s">
        <v>17700</v>
      </c>
      <c r="O1039">
        <f>-574.832630993746 -69.1927267420688 -736.950588132874</f>
        <v>-1380.9759458686888</v>
      </c>
      <c r="P1039">
        <f>-602.551506920147 -55.3477108226984 -421.948742620096</f>
        <v>-1079.8479603629414</v>
      </c>
      <c r="Q1039">
        <f>-342.475286263205 -56.1111182918009 -420.606024168316</f>
        <v>-819.19242872332188</v>
      </c>
      <c r="R1039" t="s">
        <v>17701</v>
      </c>
      <c r="S1039" t="s">
        <v>17702</v>
      </c>
      <c r="T1039" t="s">
        <v>17703</v>
      </c>
      <c r="U1039" t="s">
        <v>17704</v>
      </c>
      <c r="V1039" t="s">
        <v>17705</v>
      </c>
      <c r="W1039" t="s">
        <v>17706</v>
      </c>
      <c r="X1039" t="s">
        <v>17707</v>
      </c>
      <c r="Y1039" t="s">
        <v>17708</v>
      </c>
    </row>
    <row r="1040" spans="1:25" x14ac:dyDescent="0.3">
      <c r="A1040">
        <v>51950</v>
      </c>
      <c r="B1040" t="s">
        <v>17709</v>
      </c>
      <c r="C1040" t="s">
        <v>17710</v>
      </c>
      <c r="D1040" t="s">
        <v>17711</v>
      </c>
      <c r="E1040" t="s">
        <v>17712</v>
      </c>
      <c r="F1040" t="s">
        <v>17713</v>
      </c>
      <c r="G1040" t="s">
        <v>17714</v>
      </c>
      <c r="H1040" t="s">
        <v>17715</v>
      </c>
      <c r="I1040" t="s">
        <v>17716</v>
      </c>
      <c r="J1040" t="s">
        <v>17717</v>
      </c>
      <c r="K1040" t="s">
        <v>17718</v>
      </c>
      <c r="L1040" t="s">
        <v>17719</v>
      </c>
      <c r="M1040" t="s">
        <v>17720</v>
      </c>
      <c r="N1040" t="s">
        <v>17721</v>
      </c>
      <c r="O1040">
        <f>-575.224939455438 -69.6343773939091 -736.347081724326</f>
        <v>-1381.2063985736731</v>
      </c>
      <c r="P1040">
        <f>-602.4840699734 -55.00943039087 -421.34026527326</f>
        <v>-1078.83376563753</v>
      </c>
      <c r="Q1040">
        <f>-342.414867964251 -57.290634840801 -420.400467516218</f>
        <v>-820.10597032126998</v>
      </c>
      <c r="R1040" t="s">
        <v>17722</v>
      </c>
      <c r="S1040" t="s">
        <v>17723</v>
      </c>
      <c r="T1040" t="s">
        <v>17724</v>
      </c>
      <c r="U1040" t="s">
        <v>17725</v>
      </c>
      <c r="V1040" t="s">
        <v>17726</v>
      </c>
      <c r="W1040" t="s">
        <v>17727</v>
      </c>
      <c r="X1040" t="s">
        <v>17728</v>
      </c>
      <c r="Y1040" t="s">
        <v>17729</v>
      </c>
    </row>
    <row r="1041" spans="1:25" x14ac:dyDescent="0.3">
      <c r="A1041">
        <v>52000</v>
      </c>
      <c r="B1041" t="s">
        <v>17730</v>
      </c>
      <c r="C1041" t="s">
        <v>17731</v>
      </c>
      <c r="D1041" t="s">
        <v>17732</v>
      </c>
      <c r="E1041" t="s">
        <v>17733</v>
      </c>
      <c r="F1041" t="s">
        <v>17734</v>
      </c>
      <c r="G1041" t="s">
        <v>17735</v>
      </c>
      <c r="H1041" t="s">
        <v>17736</v>
      </c>
      <c r="I1041" t="s">
        <v>17737</v>
      </c>
      <c r="J1041" t="s">
        <v>17738</v>
      </c>
      <c r="K1041" t="s">
        <v>17739</v>
      </c>
      <c r="L1041" t="s">
        <v>17740</v>
      </c>
      <c r="M1041" t="s">
        <v>17741</v>
      </c>
      <c r="N1041" t="s">
        <v>17742</v>
      </c>
      <c r="O1041">
        <f>-575.56008369394 -69.7029911657166 -736.028120862105</f>
        <v>-1381.2911957217616</v>
      </c>
      <c r="P1041">
        <f>-602.604635219607 -54.7410594026392 -421.018701700188</f>
        <v>-1078.364396322434</v>
      </c>
      <c r="Q1041">
        <f>-342.539750658788 -57.5518626291273 -420.389482296602</f>
        <v>-820.48109558451733</v>
      </c>
      <c r="R1041" t="s">
        <v>17743</v>
      </c>
      <c r="S1041" t="s">
        <v>17744</v>
      </c>
      <c r="T1041" t="s">
        <v>17745</v>
      </c>
      <c r="U1041" t="s">
        <v>17746</v>
      </c>
      <c r="V1041" t="s">
        <v>17747</v>
      </c>
      <c r="W1041" t="s">
        <v>17748</v>
      </c>
      <c r="X1041" t="s">
        <v>17749</v>
      </c>
      <c r="Y1041" t="s">
        <v>17750</v>
      </c>
    </row>
    <row r="1042" spans="1:25" x14ac:dyDescent="0.3">
      <c r="A1042">
        <v>52050</v>
      </c>
      <c r="B1042" t="s">
        <v>17751</v>
      </c>
      <c r="C1042" t="s">
        <v>17752</v>
      </c>
      <c r="D1042" t="s">
        <v>17753</v>
      </c>
      <c r="E1042" t="s">
        <v>17754</v>
      </c>
      <c r="F1042" t="s">
        <v>17755</v>
      </c>
      <c r="G1042" t="s">
        <v>17756</v>
      </c>
      <c r="H1042" t="s">
        <v>17757</v>
      </c>
      <c r="I1042" t="s">
        <v>17758</v>
      </c>
      <c r="J1042" t="s">
        <v>17759</v>
      </c>
      <c r="K1042" t="s">
        <v>17760</v>
      </c>
      <c r="L1042" t="s">
        <v>17761</v>
      </c>
      <c r="M1042" t="s">
        <v>17762</v>
      </c>
      <c r="N1042" t="s">
        <v>17763</v>
      </c>
      <c r="O1042">
        <f>-576.616110289754 -69.5582144114755 -735.233810737935</f>
        <v>-1381.4081354391647</v>
      </c>
      <c r="P1042">
        <f>-602.811953076959 -53.6437428120121 -420.199471762625</f>
        <v>-1076.655167651596</v>
      </c>
      <c r="Q1042">
        <f>-342.76348764688 -57.7452282102443 -420.38720710882</f>
        <v>-820.89592296594424</v>
      </c>
      <c r="R1042" t="s">
        <v>17764</v>
      </c>
      <c r="S1042" t="s">
        <v>17765</v>
      </c>
      <c r="T1042" t="s">
        <v>17766</v>
      </c>
      <c r="U1042" t="s">
        <v>17767</v>
      </c>
      <c r="V1042" t="s">
        <v>17768</v>
      </c>
      <c r="W1042" t="s">
        <v>17769</v>
      </c>
      <c r="X1042" t="s">
        <v>17770</v>
      </c>
      <c r="Y1042" t="s">
        <v>17771</v>
      </c>
    </row>
    <row r="1043" spans="1:25" x14ac:dyDescent="0.3">
      <c r="A1043">
        <v>52100</v>
      </c>
      <c r="B1043" t="s">
        <v>17772</v>
      </c>
      <c r="C1043" t="s">
        <v>17773</v>
      </c>
      <c r="D1043" t="s">
        <v>17774</v>
      </c>
      <c r="E1043" t="s">
        <v>17775</v>
      </c>
      <c r="F1043" t="s">
        <v>17776</v>
      </c>
      <c r="G1043" t="s">
        <v>17777</v>
      </c>
      <c r="H1043" t="s">
        <v>17778</v>
      </c>
      <c r="I1043" t="s">
        <v>17779</v>
      </c>
      <c r="J1043" t="s">
        <v>17780</v>
      </c>
      <c r="K1043" t="s">
        <v>17781</v>
      </c>
      <c r="L1043" t="s">
        <v>17782</v>
      </c>
      <c r="M1043" t="s">
        <v>17783</v>
      </c>
      <c r="N1043" t="s">
        <v>17784</v>
      </c>
      <c r="O1043">
        <f>-577.213059316218 -69.548021649606 -734.77273760948</f>
        <v>-1381.5338185753039</v>
      </c>
      <c r="P1043">
        <f>-602.8108605584 -53.1821273637868 -419.712279860706</f>
        <v>-1075.7052677828929</v>
      </c>
      <c r="Q1043">
        <f>-342.773464833073 -57.9148678092035 -420.143364314087</f>
        <v>-820.83169695636343</v>
      </c>
      <c r="R1043" t="s">
        <v>17785</v>
      </c>
      <c r="S1043" t="s">
        <v>17786</v>
      </c>
      <c r="T1043" t="s">
        <v>17787</v>
      </c>
      <c r="U1043" t="s">
        <v>17788</v>
      </c>
      <c r="V1043" t="s">
        <v>17789</v>
      </c>
      <c r="W1043" t="s">
        <v>17790</v>
      </c>
      <c r="X1043" t="s">
        <v>17791</v>
      </c>
      <c r="Y1043" t="s">
        <v>17792</v>
      </c>
    </row>
    <row r="1044" spans="1:25" x14ac:dyDescent="0.3">
      <c r="A1044">
        <v>52150</v>
      </c>
      <c r="B1044" t="s">
        <v>17793</v>
      </c>
      <c r="C1044" t="s">
        <v>17794</v>
      </c>
      <c r="D1044" t="s">
        <v>17795</v>
      </c>
      <c r="E1044" t="s">
        <v>17796</v>
      </c>
      <c r="F1044" t="s">
        <v>17797</v>
      </c>
      <c r="G1044" t="s">
        <v>17798</v>
      </c>
      <c r="H1044" t="s">
        <v>17799</v>
      </c>
      <c r="I1044" t="s">
        <v>17800</v>
      </c>
      <c r="J1044" t="s">
        <v>17801</v>
      </c>
      <c r="K1044" t="s">
        <v>17802</v>
      </c>
      <c r="L1044" t="s">
        <v>17803</v>
      </c>
      <c r="M1044" t="s">
        <v>17804</v>
      </c>
      <c r="N1044" t="s">
        <v>17805</v>
      </c>
      <c r="O1044">
        <f>-578.417967075047 -69.4779583232594 -733.884163941487</f>
        <v>-1381.7800893397934</v>
      </c>
      <c r="P1044">
        <f>-603.212144604147 -52.1341848853133 -418.811758237512</f>
        <v>-1074.1580877269723</v>
      </c>
      <c r="Q1044">
        <f>-343.195495159479 -57.7389376229535 -420.218561364936</f>
        <v>-821.15299414736853</v>
      </c>
      <c r="R1044" t="s">
        <v>17806</v>
      </c>
      <c r="S1044" t="s">
        <v>17807</v>
      </c>
      <c r="T1044" t="s">
        <v>17808</v>
      </c>
      <c r="U1044" t="s">
        <v>17809</v>
      </c>
      <c r="V1044" t="s">
        <v>17810</v>
      </c>
      <c r="W1044" t="s">
        <v>17811</v>
      </c>
      <c r="X1044" t="s">
        <v>17812</v>
      </c>
      <c r="Y1044" t="s">
        <v>17813</v>
      </c>
    </row>
    <row r="1045" spans="1:25" x14ac:dyDescent="0.3">
      <c r="A1045">
        <v>52200</v>
      </c>
      <c r="B1045" t="s">
        <v>17814</v>
      </c>
      <c r="C1045" t="s">
        <v>17815</v>
      </c>
      <c r="D1045" t="s">
        <v>17816</v>
      </c>
      <c r="E1045" t="s">
        <v>17817</v>
      </c>
      <c r="F1045" t="s">
        <v>17818</v>
      </c>
      <c r="G1045" t="s">
        <v>17819</v>
      </c>
      <c r="H1045" t="s">
        <v>17820</v>
      </c>
      <c r="I1045" t="s">
        <v>17821</v>
      </c>
      <c r="J1045" t="s">
        <v>17822</v>
      </c>
      <c r="K1045" t="s">
        <v>17823</v>
      </c>
      <c r="L1045" t="s">
        <v>17824</v>
      </c>
      <c r="M1045" t="s">
        <v>17825</v>
      </c>
      <c r="N1045" t="s">
        <v>17826</v>
      </c>
      <c r="O1045">
        <f>-578.880723998045 -69.3144091495908 -733.496890505955</f>
        <v>-1381.6920236535907</v>
      </c>
      <c r="P1045">
        <f>-603.299350849391 -51.5174555151093 -418.420446753737</f>
        <v>-1073.2372531182373</v>
      </c>
      <c r="Q1045">
        <f>-343.298559618446 -57.7396443447321 -420.131615234303</f>
        <v>-821.16981919748105</v>
      </c>
      <c r="R1045" t="s">
        <v>17827</v>
      </c>
      <c r="S1045" t="s">
        <v>17828</v>
      </c>
      <c r="T1045" t="s">
        <v>17829</v>
      </c>
      <c r="U1045" t="s">
        <v>17830</v>
      </c>
      <c r="V1045" t="s">
        <v>17831</v>
      </c>
      <c r="W1045" t="s">
        <v>17832</v>
      </c>
      <c r="X1045" t="s">
        <v>17833</v>
      </c>
      <c r="Y1045" t="s">
        <v>17834</v>
      </c>
    </row>
    <row r="1046" spans="1:25" x14ac:dyDescent="0.3">
      <c r="A1046">
        <v>52250</v>
      </c>
      <c r="B1046" t="s">
        <v>17835</v>
      </c>
      <c r="C1046" t="s">
        <v>17836</v>
      </c>
      <c r="D1046" t="s">
        <v>17837</v>
      </c>
      <c r="E1046" t="s">
        <v>17838</v>
      </c>
      <c r="F1046" t="s">
        <v>17839</v>
      </c>
      <c r="G1046" t="s">
        <v>17840</v>
      </c>
      <c r="H1046" t="s">
        <v>17841</v>
      </c>
      <c r="I1046" t="s">
        <v>17842</v>
      </c>
      <c r="J1046" t="s">
        <v>17843</v>
      </c>
      <c r="K1046" t="s">
        <v>17844</v>
      </c>
      <c r="L1046" t="s">
        <v>17845</v>
      </c>
      <c r="M1046" t="s">
        <v>17846</v>
      </c>
      <c r="N1046" t="s">
        <v>17847</v>
      </c>
      <c r="O1046">
        <f>-579.589014599388 -69.0230740753648 -732.952530232681</f>
        <v>-1381.5646189074337</v>
      </c>
      <c r="P1046">
        <f>-603.520775798733 -50.3600134707719 -417.888828673222</f>
        <v>-1071.7696179427269</v>
      </c>
      <c r="Q1046">
        <f>-343.543080339882 -57.2560637198444 -420.35822350252</f>
        <v>-821.15736756224646</v>
      </c>
      <c r="R1046" t="s">
        <v>17848</v>
      </c>
      <c r="S1046" t="s">
        <v>17849</v>
      </c>
      <c r="T1046" t="s">
        <v>17850</v>
      </c>
      <c r="U1046" t="s">
        <v>17851</v>
      </c>
      <c r="V1046" t="s">
        <v>17852</v>
      </c>
      <c r="W1046" t="s">
        <v>17853</v>
      </c>
      <c r="X1046" t="s">
        <v>17854</v>
      </c>
      <c r="Y1046" t="s">
        <v>17855</v>
      </c>
    </row>
    <row r="1047" spans="1:25" x14ac:dyDescent="0.3">
      <c r="A1047">
        <v>52300</v>
      </c>
      <c r="B1047" t="s">
        <v>17856</v>
      </c>
      <c r="C1047" t="s">
        <v>17857</v>
      </c>
      <c r="D1047" t="s">
        <v>17858</v>
      </c>
      <c r="E1047" t="s">
        <v>17859</v>
      </c>
      <c r="F1047" t="s">
        <v>17860</v>
      </c>
      <c r="G1047" t="s">
        <v>17861</v>
      </c>
      <c r="H1047" t="s">
        <v>17862</v>
      </c>
      <c r="I1047" t="s">
        <v>17863</v>
      </c>
      <c r="J1047" t="s">
        <v>17864</v>
      </c>
      <c r="K1047" t="s">
        <v>17865</v>
      </c>
      <c r="L1047" t="s">
        <v>17866</v>
      </c>
      <c r="M1047" t="s">
        <v>17867</v>
      </c>
      <c r="N1047" t="s">
        <v>17868</v>
      </c>
      <c r="O1047">
        <f>-579.745057808545 -68.8899467509052 -732.685561056463</f>
        <v>-1381.3205656159132</v>
      </c>
      <c r="P1047">
        <f>-603.495125912922 -49.8261147169553 -417.632127322903</f>
        <v>-1070.9533679527804</v>
      </c>
      <c r="Q1047">
        <f>-343.532487040376 -57.1726012630413 -420.374071088794</f>
        <v>-821.0791593922113</v>
      </c>
      <c r="R1047" t="s">
        <v>17869</v>
      </c>
      <c r="S1047" t="s">
        <v>17870</v>
      </c>
      <c r="T1047" t="s">
        <v>17871</v>
      </c>
      <c r="U1047" t="s">
        <v>17872</v>
      </c>
      <c r="V1047" t="s">
        <v>17873</v>
      </c>
      <c r="W1047" t="s">
        <v>17874</v>
      </c>
      <c r="X1047" t="s">
        <v>17875</v>
      </c>
      <c r="Y1047" t="s">
        <v>17876</v>
      </c>
    </row>
    <row r="1048" spans="1:25" x14ac:dyDescent="0.3">
      <c r="A1048">
        <v>52350</v>
      </c>
      <c r="B1048" t="s">
        <v>17877</v>
      </c>
      <c r="C1048" t="s">
        <v>17878</v>
      </c>
      <c r="D1048" t="s">
        <v>17879</v>
      </c>
      <c r="E1048" t="s">
        <v>17880</v>
      </c>
      <c r="F1048" t="s">
        <v>17881</v>
      </c>
      <c r="G1048" t="s">
        <v>17882</v>
      </c>
      <c r="H1048" t="s">
        <v>17883</v>
      </c>
      <c r="I1048" t="s">
        <v>17884</v>
      </c>
      <c r="J1048" t="s">
        <v>17885</v>
      </c>
      <c r="K1048" t="s">
        <v>17886</v>
      </c>
      <c r="L1048" t="s">
        <v>17887</v>
      </c>
      <c r="M1048" t="s">
        <v>17888</v>
      </c>
      <c r="N1048" t="s">
        <v>17889</v>
      </c>
      <c r="O1048">
        <f>-580.559540681807 -68.3291136640373 -732.417266274325</f>
        <v>-1381.3059206201692</v>
      </c>
      <c r="P1048">
        <f>-603.701243233166 -48.5275366582173 -417.364002351862</f>
        <v>-1069.5927822432452</v>
      </c>
      <c r="Q1048">
        <f>-343.78536777333 -57.304123741565 -420.322070816559</f>
        <v>-821.41156233145398</v>
      </c>
      <c r="R1048" t="s">
        <v>17890</v>
      </c>
      <c r="S1048" t="s">
        <v>17891</v>
      </c>
      <c r="T1048" t="s">
        <v>17892</v>
      </c>
      <c r="U1048" t="s">
        <v>17893</v>
      </c>
      <c r="V1048" t="s">
        <v>17894</v>
      </c>
      <c r="W1048" t="s">
        <v>17895</v>
      </c>
      <c r="X1048" t="s">
        <v>17896</v>
      </c>
      <c r="Y1048" t="s">
        <v>17897</v>
      </c>
    </row>
    <row r="1049" spans="1:25" x14ac:dyDescent="0.3">
      <c r="A1049">
        <v>52400</v>
      </c>
      <c r="B1049" t="s">
        <v>17898</v>
      </c>
      <c r="C1049" t="s">
        <v>17899</v>
      </c>
      <c r="D1049" t="s">
        <v>17900</v>
      </c>
      <c r="E1049" t="s">
        <v>17901</v>
      </c>
      <c r="F1049" t="s">
        <v>17902</v>
      </c>
      <c r="G1049" t="s">
        <v>17903</v>
      </c>
      <c r="H1049" t="s">
        <v>17904</v>
      </c>
      <c r="I1049" t="s">
        <v>17905</v>
      </c>
      <c r="J1049" t="s">
        <v>17906</v>
      </c>
      <c r="K1049" t="s">
        <v>17907</v>
      </c>
      <c r="L1049" t="s">
        <v>17908</v>
      </c>
      <c r="M1049" t="s">
        <v>17909</v>
      </c>
      <c r="N1049" t="s">
        <v>17910</v>
      </c>
      <c r="O1049">
        <f>-581.030520912035 -67.939969929095 -732.386117045335</f>
        <v>-1381.3566078864651</v>
      </c>
      <c r="P1049">
        <f>-603.828964947814 -48.0221539110044 -417.31518488843</f>
        <v>-1069.1663037472483</v>
      </c>
      <c r="Q1049">
        <f>-343.928362244178 -57.1838691322587 -420.445856509341</f>
        <v>-821.5580878857777</v>
      </c>
      <c r="R1049" t="s">
        <v>17911</v>
      </c>
      <c r="S1049" t="s">
        <v>17912</v>
      </c>
      <c r="T1049" t="s">
        <v>17913</v>
      </c>
      <c r="U1049" t="s">
        <v>17914</v>
      </c>
      <c r="V1049" t="s">
        <v>17915</v>
      </c>
      <c r="W1049" t="s">
        <v>17916</v>
      </c>
      <c r="X1049" t="s">
        <v>17917</v>
      </c>
      <c r="Y1049" t="s">
        <v>17918</v>
      </c>
    </row>
    <row r="1050" spans="1:25" x14ac:dyDescent="0.3">
      <c r="A1050">
        <v>52450</v>
      </c>
      <c r="B1050" t="s">
        <v>17919</v>
      </c>
      <c r="C1050" t="s">
        <v>17920</v>
      </c>
      <c r="D1050" t="s">
        <v>17921</v>
      </c>
      <c r="E1050" t="s">
        <v>17922</v>
      </c>
      <c r="F1050" t="s">
        <v>17923</v>
      </c>
      <c r="G1050" t="s">
        <v>17924</v>
      </c>
      <c r="H1050" t="s">
        <v>17925</v>
      </c>
      <c r="I1050" t="s">
        <v>17926</v>
      </c>
      <c r="J1050" t="s">
        <v>17927</v>
      </c>
      <c r="K1050" t="s">
        <v>17928</v>
      </c>
      <c r="L1050" t="s">
        <v>17929</v>
      </c>
      <c r="M1050" t="s">
        <v>17930</v>
      </c>
      <c r="N1050" t="s">
        <v>17931</v>
      </c>
      <c r="O1050">
        <f>-581.832383012758 -67.0466061523621 -732.636243048073</f>
        <v>-1381.515232213193</v>
      </c>
      <c r="P1050">
        <f>-604.320946666097 -47.4211063649145 -417.524651035032</f>
        <v>-1069.2667040660435</v>
      </c>
      <c r="Q1050">
        <f>-344.446504191707 -57.2532387822455 -420.790768638944</f>
        <v>-822.4905116128964</v>
      </c>
      <c r="R1050" t="s">
        <v>17932</v>
      </c>
      <c r="S1050" t="s">
        <v>17933</v>
      </c>
      <c r="T1050" t="s">
        <v>17934</v>
      </c>
      <c r="U1050" t="s">
        <v>17935</v>
      </c>
      <c r="V1050" t="s">
        <v>17936</v>
      </c>
      <c r="W1050" t="s">
        <v>17937</v>
      </c>
      <c r="X1050" t="s">
        <v>17938</v>
      </c>
      <c r="Y1050" t="s">
        <v>17939</v>
      </c>
    </row>
    <row r="1051" spans="1:25" x14ac:dyDescent="0.3">
      <c r="A1051">
        <v>52500</v>
      </c>
      <c r="B1051" t="s">
        <v>17940</v>
      </c>
      <c r="C1051" t="s">
        <v>17941</v>
      </c>
      <c r="D1051" t="s">
        <v>17942</v>
      </c>
      <c r="E1051" t="s">
        <v>17943</v>
      </c>
      <c r="F1051" t="s">
        <v>17944</v>
      </c>
      <c r="G1051" t="s">
        <v>17945</v>
      </c>
      <c r="H1051" t="s">
        <v>17946</v>
      </c>
      <c r="I1051" t="s">
        <v>17947</v>
      </c>
      <c r="J1051" t="s">
        <v>17948</v>
      </c>
      <c r="K1051" t="s">
        <v>17949</v>
      </c>
      <c r="L1051" t="s">
        <v>17950</v>
      </c>
      <c r="M1051" t="s">
        <v>17951</v>
      </c>
      <c r="N1051" t="s">
        <v>17952</v>
      </c>
      <c r="O1051">
        <f>-582.349014050992 -66.4999666809924 -732.805399143657</f>
        <v>-1381.6543798756416</v>
      </c>
      <c r="P1051">
        <f>-604.422055247979 -47.0212095924117 -417.655383013808</f>
        <v>-1069.0986478541986</v>
      </c>
      <c r="Q1051">
        <f>-344.554356859547 -57.0125699237874 -420.974314278133</f>
        <v>-822.54124106146742</v>
      </c>
      <c r="R1051" t="s">
        <v>17953</v>
      </c>
      <c r="S1051" t="s">
        <v>17954</v>
      </c>
      <c r="T1051" t="s">
        <v>17955</v>
      </c>
      <c r="U1051" t="s">
        <v>17956</v>
      </c>
      <c r="V1051" t="s">
        <v>17957</v>
      </c>
      <c r="W1051" t="s">
        <v>17958</v>
      </c>
      <c r="X1051" t="s">
        <v>17959</v>
      </c>
      <c r="Y1051" t="s">
        <v>17960</v>
      </c>
    </row>
    <row r="1052" spans="1:25" x14ac:dyDescent="0.3">
      <c r="A1052">
        <v>52550</v>
      </c>
      <c r="B1052" t="s">
        <v>17961</v>
      </c>
      <c r="C1052" t="s">
        <v>17962</v>
      </c>
      <c r="D1052" t="s">
        <v>17963</v>
      </c>
      <c r="E1052" t="s">
        <v>17964</v>
      </c>
      <c r="F1052" t="s">
        <v>17965</v>
      </c>
      <c r="G1052" t="s">
        <v>17966</v>
      </c>
      <c r="H1052" t="s">
        <v>17967</v>
      </c>
      <c r="I1052" t="s">
        <v>17968</v>
      </c>
      <c r="J1052" t="s">
        <v>17969</v>
      </c>
      <c r="K1052" t="s">
        <v>17970</v>
      </c>
      <c r="L1052" t="s">
        <v>17971</v>
      </c>
      <c r="M1052" t="s">
        <v>17972</v>
      </c>
      <c r="N1052" t="s">
        <v>17973</v>
      </c>
      <c r="O1052">
        <f>-583.795213496473 -65.3478520469616 -733.26035279847</f>
        <v>-1382.4034183419046</v>
      </c>
      <c r="P1052">
        <f>-605.084440412089 -46.3197994819209 -418.028855282191</f>
        <v>-1069.4330951762008</v>
      </c>
      <c r="Q1052">
        <f>-345.205045241556 -55.9934120482462 -421.374157177519</f>
        <v>-822.57261446732116</v>
      </c>
      <c r="R1052" t="s">
        <v>17974</v>
      </c>
      <c r="S1052" t="s">
        <v>17975</v>
      </c>
      <c r="T1052" t="s">
        <v>17976</v>
      </c>
      <c r="U1052" t="s">
        <v>17977</v>
      </c>
      <c r="V1052" t="s">
        <v>17978</v>
      </c>
      <c r="W1052" t="s">
        <v>17979</v>
      </c>
      <c r="X1052" t="s">
        <v>17980</v>
      </c>
      <c r="Y1052" t="s">
        <v>17981</v>
      </c>
    </row>
    <row r="1053" spans="1:25" x14ac:dyDescent="0.3">
      <c r="A1053">
        <v>52600</v>
      </c>
      <c r="B1053" t="s">
        <v>17982</v>
      </c>
      <c r="C1053" t="s">
        <v>17983</v>
      </c>
      <c r="D1053" t="s">
        <v>17984</v>
      </c>
      <c r="E1053" t="s">
        <v>17985</v>
      </c>
      <c r="F1053" t="s">
        <v>17986</v>
      </c>
      <c r="G1053" t="s">
        <v>17987</v>
      </c>
      <c r="H1053" t="s">
        <v>17988</v>
      </c>
      <c r="I1053" t="s">
        <v>17989</v>
      </c>
      <c r="J1053" t="s">
        <v>17990</v>
      </c>
      <c r="K1053" t="s">
        <v>17991</v>
      </c>
      <c r="L1053" t="s">
        <v>17992</v>
      </c>
      <c r="M1053" t="s">
        <v>17993</v>
      </c>
      <c r="N1053" t="s">
        <v>17994</v>
      </c>
      <c r="O1053">
        <f>-584.645791956121 -64.7705203270602 -733.466606404533</f>
        <v>-1382.8829186877142</v>
      </c>
      <c r="P1053">
        <f>-605.58466677197 -45.495569274819 -418.226620721658</f>
        <v>-1069.306856768447</v>
      </c>
      <c r="Q1053">
        <f>-345.69682581735 -54.8588070717792 -421.788968810394</f>
        <v>-822.3446016995232</v>
      </c>
      <c r="R1053" t="s">
        <v>17995</v>
      </c>
      <c r="S1053" t="s">
        <v>17996</v>
      </c>
      <c r="T1053" t="s">
        <v>17997</v>
      </c>
      <c r="U1053" t="s">
        <v>17998</v>
      </c>
      <c r="V1053" t="s">
        <v>17999</v>
      </c>
      <c r="W1053" t="s">
        <v>18000</v>
      </c>
      <c r="X1053" t="s">
        <v>18001</v>
      </c>
      <c r="Y1053" t="s">
        <v>18002</v>
      </c>
    </row>
    <row r="1054" spans="1:25" x14ac:dyDescent="0.3">
      <c r="A1054">
        <v>52650</v>
      </c>
      <c r="B1054" t="s">
        <v>18003</v>
      </c>
      <c r="C1054" t="s">
        <v>18004</v>
      </c>
      <c r="D1054" t="s">
        <v>18005</v>
      </c>
      <c r="E1054" t="s">
        <v>18006</v>
      </c>
      <c r="F1054" t="s">
        <v>18007</v>
      </c>
      <c r="G1054" t="s">
        <v>18008</v>
      </c>
      <c r="H1054" t="s">
        <v>18009</v>
      </c>
      <c r="I1054" t="s">
        <v>18010</v>
      </c>
      <c r="J1054" t="s">
        <v>18011</v>
      </c>
      <c r="K1054" t="s">
        <v>18012</v>
      </c>
      <c r="L1054" t="s">
        <v>18013</v>
      </c>
      <c r="M1054" t="s">
        <v>18014</v>
      </c>
      <c r="N1054" t="s">
        <v>18015</v>
      </c>
      <c r="O1054">
        <f>-585.919573689839 -63.5902983195188 -733.913120460739</f>
        <v>-1383.4229924700967</v>
      </c>
      <c r="P1054">
        <f>-606.82456289331 -44.5841315243199 -418.654561643422</f>
        <v>-1070.063256061052</v>
      </c>
      <c r="Q1054">
        <f>-346.912799675129 -53.2128665282173 -422.327556700048</f>
        <v>-822.45322290339436</v>
      </c>
      <c r="R1054" t="s">
        <v>18016</v>
      </c>
      <c r="S1054" t="s">
        <v>18017</v>
      </c>
      <c r="T1054" t="s">
        <v>18018</v>
      </c>
      <c r="U1054" t="s">
        <v>18019</v>
      </c>
      <c r="V1054" t="s">
        <v>18020</v>
      </c>
      <c r="W1054" t="s">
        <v>18021</v>
      </c>
      <c r="X1054" t="s">
        <v>18022</v>
      </c>
      <c r="Y1054" t="s">
        <v>18023</v>
      </c>
    </row>
    <row r="1055" spans="1:25" x14ac:dyDescent="0.3">
      <c r="A1055">
        <v>52700</v>
      </c>
      <c r="B1055" t="s">
        <v>18024</v>
      </c>
      <c r="C1055" t="s">
        <v>18025</v>
      </c>
      <c r="D1055" t="s">
        <v>18026</v>
      </c>
      <c r="E1055" t="s">
        <v>18027</v>
      </c>
      <c r="F1055" t="s">
        <v>18028</v>
      </c>
      <c r="G1055" t="s">
        <v>18029</v>
      </c>
      <c r="H1055" t="s">
        <v>18030</v>
      </c>
      <c r="I1055" t="s">
        <v>18031</v>
      </c>
      <c r="J1055" t="s">
        <v>18032</v>
      </c>
      <c r="K1055" t="s">
        <v>18033</v>
      </c>
      <c r="L1055" t="s">
        <v>18034</v>
      </c>
      <c r="M1055" t="s">
        <v>18035</v>
      </c>
      <c r="N1055" t="s">
        <v>18036</v>
      </c>
      <c r="O1055">
        <f>-586.450827559034 -63.0364883039135 -734.098435103629</f>
        <v>-1383.5857509665766</v>
      </c>
      <c r="P1055">
        <f>-607.044491264608 -43.5470147458152 -418.848869064972</f>
        <v>-1069.4403750753952</v>
      </c>
      <c r="Q1055">
        <f>-347.155701688708 -52.9683956696069 -422.183429211412</f>
        <v>-822.30752656972686</v>
      </c>
      <c r="R1055" t="s">
        <v>18037</v>
      </c>
      <c r="S1055" t="s">
        <v>18038</v>
      </c>
      <c r="T1055" t="s">
        <v>18039</v>
      </c>
      <c r="U1055" t="s">
        <v>18040</v>
      </c>
      <c r="V1055" t="s">
        <v>18041</v>
      </c>
      <c r="W1055" t="s">
        <v>18042</v>
      </c>
      <c r="X1055" t="s">
        <v>18043</v>
      </c>
      <c r="Y1055" t="s">
        <v>18044</v>
      </c>
    </row>
    <row r="1056" spans="1:25" x14ac:dyDescent="0.3">
      <c r="A1056">
        <v>52750</v>
      </c>
      <c r="B1056" t="s">
        <v>18045</v>
      </c>
      <c r="C1056" t="s">
        <v>18046</v>
      </c>
      <c r="D1056" t="s">
        <v>18047</v>
      </c>
      <c r="E1056" t="s">
        <v>18048</v>
      </c>
      <c r="F1056" t="s">
        <v>18049</v>
      </c>
      <c r="G1056" t="s">
        <v>18050</v>
      </c>
      <c r="H1056" t="s">
        <v>18051</v>
      </c>
      <c r="I1056" t="s">
        <v>18052</v>
      </c>
      <c r="J1056" t="s">
        <v>18053</v>
      </c>
      <c r="K1056" t="s">
        <v>18054</v>
      </c>
      <c r="L1056" t="s">
        <v>18055</v>
      </c>
      <c r="M1056" t="s">
        <v>18056</v>
      </c>
      <c r="N1056" t="s">
        <v>18057</v>
      </c>
      <c r="O1056">
        <f>-587.598739927407 -62.164693416951 -734.440774142658</f>
        <v>-1384.204207487016</v>
      </c>
      <c r="P1056">
        <f>-608.127677630847 -42.907044142303 -419.172659985135</f>
        <v>-1070.207381758285</v>
      </c>
      <c r="Q1056">
        <f>-348.253251868802 -52.7893726126224 -422.283114623816</f>
        <v>-823.32573910524047</v>
      </c>
      <c r="R1056" t="s">
        <v>18058</v>
      </c>
      <c r="S1056" t="s">
        <v>18059</v>
      </c>
      <c r="T1056" t="s">
        <v>18060</v>
      </c>
      <c r="U1056" t="s">
        <v>18061</v>
      </c>
      <c r="V1056" t="s">
        <v>18062</v>
      </c>
      <c r="W1056" t="s">
        <v>18063</v>
      </c>
      <c r="X1056" t="s">
        <v>18064</v>
      </c>
      <c r="Y1056" t="s">
        <v>18065</v>
      </c>
    </row>
    <row r="1057" spans="1:25" x14ac:dyDescent="0.3">
      <c r="A1057">
        <v>52800</v>
      </c>
      <c r="B1057" t="s">
        <v>18066</v>
      </c>
      <c r="C1057" t="s">
        <v>18067</v>
      </c>
      <c r="D1057" t="s">
        <v>18068</v>
      </c>
      <c r="E1057" t="s">
        <v>18069</v>
      </c>
      <c r="F1057" t="s">
        <v>18070</v>
      </c>
      <c r="G1057" t="s">
        <v>18071</v>
      </c>
      <c r="H1057" t="s">
        <v>18072</v>
      </c>
      <c r="I1057" t="s">
        <v>18073</v>
      </c>
      <c r="J1057" t="s">
        <v>18074</v>
      </c>
      <c r="K1057" t="s">
        <v>18075</v>
      </c>
      <c r="L1057" t="s">
        <v>18076</v>
      </c>
      <c r="M1057" t="s">
        <v>18077</v>
      </c>
      <c r="N1057" t="s">
        <v>18078</v>
      </c>
      <c r="O1057">
        <f>-588.126190905011 -61.7451757458066 -734.661063817268</f>
        <v>-1384.5324304680855</v>
      </c>
      <c r="P1057">
        <f>-608.466381747313 -43.0458565766646 -419.347183446097</f>
        <v>-1070.8594217700747</v>
      </c>
      <c r="Q1057">
        <f>-348.587789215322 -52.8351986606106 -422.402384177811</f>
        <v>-823.82537205374365</v>
      </c>
      <c r="R1057" t="s">
        <v>18079</v>
      </c>
      <c r="S1057" t="s">
        <v>18080</v>
      </c>
      <c r="T1057" t="s">
        <v>18081</v>
      </c>
      <c r="U1057" t="s">
        <v>18082</v>
      </c>
      <c r="V1057" t="s">
        <v>18083</v>
      </c>
      <c r="W1057" t="s">
        <v>18084</v>
      </c>
      <c r="X1057" t="s">
        <v>18085</v>
      </c>
      <c r="Y1057" t="s">
        <v>18086</v>
      </c>
    </row>
    <row r="1058" spans="1:25" x14ac:dyDescent="0.3">
      <c r="A1058">
        <v>52850</v>
      </c>
      <c r="B1058" t="s">
        <v>18087</v>
      </c>
      <c r="C1058" t="s">
        <v>18088</v>
      </c>
      <c r="D1058" t="s">
        <v>18089</v>
      </c>
      <c r="E1058" t="s">
        <v>18090</v>
      </c>
      <c r="F1058" t="s">
        <v>18091</v>
      </c>
      <c r="G1058" t="s">
        <v>18092</v>
      </c>
      <c r="H1058" t="s">
        <v>18093</v>
      </c>
      <c r="I1058" t="s">
        <v>18094</v>
      </c>
      <c r="J1058" t="s">
        <v>18095</v>
      </c>
      <c r="K1058" t="s">
        <v>18096</v>
      </c>
      <c r="L1058" t="s">
        <v>18097</v>
      </c>
      <c r="M1058" t="s">
        <v>18098</v>
      </c>
      <c r="N1058" t="s">
        <v>18099</v>
      </c>
      <c r="O1058">
        <f>-588.779155128795 -60.2831822398562 -735.293396591029</f>
        <v>-1384.35573395968</v>
      </c>
      <c r="P1058">
        <f>-609.337704406964 -42.5087902513442 -419.940265316729</f>
        <v>-1071.7867599750371</v>
      </c>
      <c r="Q1058">
        <f>-349.435958111801 -51.632792271994 -423.085459668612</f>
        <v>-824.15421005240705</v>
      </c>
      <c r="R1058" t="s">
        <v>18100</v>
      </c>
      <c r="S1058" t="s">
        <v>18101</v>
      </c>
      <c r="T1058" t="s">
        <v>18102</v>
      </c>
      <c r="U1058" t="s">
        <v>18103</v>
      </c>
      <c r="V1058" t="s">
        <v>18104</v>
      </c>
      <c r="W1058" t="s">
        <v>18105</v>
      </c>
      <c r="X1058" t="s">
        <v>18106</v>
      </c>
      <c r="Y1058" t="s">
        <v>18107</v>
      </c>
    </row>
    <row r="1059" spans="1:25" x14ac:dyDescent="0.3">
      <c r="A1059">
        <v>52900</v>
      </c>
      <c r="B1059" t="s">
        <v>18108</v>
      </c>
      <c r="C1059" t="s">
        <v>18109</v>
      </c>
      <c r="D1059" t="s">
        <v>18110</v>
      </c>
      <c r="E1059" t="s">
        <v>18111</v>
      </c>
      <c r="F1059" t="s">
        <v>18112</v>
      </c>
      <c r="G1059" t="s">
        <v>18113</v>
      </c>
      <c r="H1059" t="s">
        <v>18114</v>
      </c>
      <c r="I1059" t="s">
        <v>18115</v>
      </c>
      <c r="J1059" t="s">
        <v>18116</v>
      </c>
      <c r="K1059" t="s">
        <v>18117</v>
      </c>
      <c r="L1059" t="s">
        <v>18118</v>
      </c>
      <c r="M1059" t="s">
        <v>18119</v>
      </c>
      <c r="N1059" t="s">
        <v>18120</v>
      </c>
      <c r="O1059">
        <f>-588.96300010814 -59.9095613084487 -735.528237704834</f>
        <v>-1384.4007991214228</v>
      </c>
      <c r="P1059">
        <f>-609.790777252938 -42.3496726329215 -420.180744515102</f>
        <v>-1072.3211944009615</v>
      </c>
      <c r="Q1059">
        <f>-349.894688845498 -51.668874455775 -423.220665177175</f>
        <v>-824.78422847844809</v>
      </c>
      <c r="R1059" t="s">
        <v>18121</v>
      </c>
      <c r="S1059" t="s">
        <v>18122</v>
      </c>
      <c r="T1059" t="s">
        <v>18123</v>
      </c>
      <c r="U1059" t="s">
        <v>18124</v>
      </c>
      <c r="V1059" t="s">
        <v>18125</v>
      </c>
      <c r="W1059" t="s">
        <v>18126</v>
      </c>
      <c r="X1059" t="s">
        <v>18127</v>
      </c>
      <c r="Y1059" t="s">
        <v>18128</v>
      </c>
    </row>
    <row r="1060" spans="1:25" x14ac:dyDescent="0.3">
      <c r="A1060">
        <v>52950</v>
      </c>
      <c r="B1060" t="s">
        <v>18129</v>
      </c>
      <c r="C1060" t="s">
        <v>18130</v>
      </c>
      <c r="D1060" t="s">
        <v>18131</v>
      </c>
      <c r="E1060" t="s">
        <v>18132</v>
      </c>
      <c r="F1060" t="s">
        <v>18133</v>
      </c>
      <c r="G1060" t="s">
        <v>18134</v>
      </c>
      <c r="H1060" t="s">
        <v>18135</v>
      </c>
      <c r="I1060" t="s">
        <v>18136</v>
      </c>
      <c r="J1060" t="s">
        <v>18137</v>
      </c>
      <c r="K1060" t="s">
        <v>18138</v>
      </c>
      <c r="L1060" t="s">
        <v>18139</v>
      </c>
      <c r="M1060" t="s">
        <v>18140</v>
      </c>
      <c r="N1060" t="s">
        <v>18141</v>
      </c>
      <c r="O1060">
        <f>-589.870566548691 -59.2239503979908 -735.790247046165</f>
        <v>-1384.8847639928467</v>
      </c>
      <c r="P1060">
        <f>-610.69842923004 -41.9929053286339 -420.424582033657</f>
        <v>-1073.1159165923309</v>
      </c>
      <c r="Q1060">
        <f>-350.809575151822 -51.5489892610969 -423.345693885879</f>
        <v>-825.70425829879787</v>
      </c>
      <c r="R1060" t="s">
        <v>18142</v>
      </c>
      <c r="S1060" t="s">
        <v>18143</v>
      </c>
      <c r="T1060" t="s">
        <v>18144</v>
      </c>
      <c r="U1060" t="s">
        <v>18145</v>
      </c>
      <c r="V1060" t="s">
        <v>18146</v>
      </c>
      <c r="W1060" t="s">
        <v>18147</v>
      </c>
      <c r="X1060" t="s">
        <v>18148</v>
      </c>
      <c r="Y1060" t="s">
        <v>18149</v>
      </c>
    </row>
    <row r="1061" spans="1:25" x14ac:dyDescent="0.3">
      <c r="A1061">
        <v>53000</v>
      </c>
      <c r="B1061" t="s">
        <v>18150</v>
      </c>
      <c r="C1061" t="s">
        <v>18151</v>
      </c>
      <c r="D1061" t="s">
        <v>18152</v>
      </c>
      <c r="E1061" t="s">
        <v>18153</v>
      </c>
      <c r="F1061" t="s">
        <v>18154</v>
      </c>
      <c r="G1061" t="s">
        <v>18155</v>
      </c>
      <c r="H1061" t="s">
        <v>18156</v>
      </c>
      <c r="I1061" t="s">
        <v>18157</v>
      </c>
      <c r="J1061" t="s">
        <v>18158</v>
      </c>
      <c r="K1061" t="s">
        <v>18159</v>
      </c>
      <c r="L1061" t="s">
        <v>18160</v>
      </c>
      <c r="M1061" t="s">
        <v>18161</v>
      </c>
      <c r="N1061" t="s">
        <v>18162</v>
      </c>
      <c r="O1061">
        <f>-590.279954211578 -59.0993894804203 -735.871962695394</f>
        <v>-1385.2513063873923</v>
      </c>
      <c r="P1061">
        <f>-611.113053045773 -42.1090128713836 -420.493519507053</f>
        <v>-1073.7155854242096</v>
      </c>
      <c r="Q1061">
        <f>-351.224745224226 -51.6980611071158 -423.352594779737</f>
        <v>-826.27540111107874</v>
      </c>
      <c r="R1061" t="s">
        <v>18163</v>
      </c>
      <c r="S1061" t="s">
        <v>18164</v>
      </c>
      <c r="T1061" t="s">
        <v>18165</v>
      </c>
      <c r="U1061" t="s">
        <v>18166</v>
      </c>
      <c r="V1061" t="s">
        <v>18167</v>
      </c>
      <c r="W1061" t="s">
        <v>18168</v>
      </c>
      <c r="X1061" t="s">
        <v>18169</v>
      </c>
      <c r="Y1061" t="s">
        <v>18170</v>
      </c>
    </row>
    <row r="1062" spans="1:25" x14ac:dyDescent="0.3">
      <c r="A1062">
        <v>53050</v>
      </c>
      <c r="B1062" t="s">
        <v>18171</v>
      </c>
      <c r="C1062" t="s">
        <v>18172</v>
      </c>
      <c r="D1062" t="s">
        <v>18173</v>
      </c>
      <c r="E1062" t="s">
        <v>18174</v>
      </c>
      <c r="F1062" t="s">
        <v>18175</v>
      </c>
      <c r="G1062" t="s">
        <v>18176</v>
      </c>
      <c r="H1062" t="s">
        <v>18177</v>
      </c>
      <c r="I1062" t="s">
        <v>18178</v>
      </c>
      <c r="J1062" t="s">
        <v>18179</v>
      </c>
      <c r="K1062" t="s">
        <v>18180</v>
      </c>
      <c r="L1062" t="s">
        <v>18181</v>
      </c>
      <c r="M1062" t="s">
        <v>18182</v>
      </c>
      <c r="N1062" t="s">
        <v>18183</v>
      </c>
      <c r="O1062">
        <f>-591.327741161362 -58.803843657447 -736.056626738683</f>
        <v>-1386.1882115574922</v>
      </c>
      <c r="P1062">
        <f>-612.218884397203 -41.959862245704 -420.674292041678</f>
        <v>-1074.853038684585</v>
      </c>
      <c r="Q1062">
        <f>-352.339056190741 -51.8124371836086 -423.407022392965</f>
        <v>-827.5585157673147</v>
      </c>
      <c r="R1062" t="s">
        <v>18184</v>
      </c>
      <c r="S1062" t="s">
        <v>18185</v>
      </c>
      <c r="T1062" t="s">
        <v>18186</v>
      </c>
      <c r="U1062" t="s">
        <v>18187</v>
      </c>
      <c r="V1062" t="s">
        <v>18188</v>
      </c>
      <c r="W1062" t="s">
        <v>18189</v>
      </c>
      <c r="X1062" t="s">
        <v>18190</v>
      </c>
      <c r="Y1062" t="s">
        <v>18191</v>
      </c>
    </row>
    <row r="1063" spans="1:25" x14ac:dyDescent="0.3">
      <c r="A1063">
        <v>53100</v>
      </c>
      <c r="B1063" t="s">
        <v>18192</v>
      </c>
      <c r="C1063" t="s">
        <v>18193</v>
      </c>
      <c r="D1063" t="s">
        <v>18194</v>
      </c>
      <c r="E1063" t="s">
        <v>18195</v>
      </c>
      <c r="F1063" t="s">
        <v>18196</v>
      </c>
      <c r="G1063" t="s">
        <v>18197</v>
      </c>
      <c r="H1063" t="s">
        <v>18198</v>
      </c>
      <c r="I1063" t="s">
        <v>18199</v>
      </c>
      <c r="J1063" t="s">
        <v>18200</v>
      </c>
      <c r="K1063" t="s">
        <v>18201</v>
      </c>
      <c r="L1063" t="s">
        <v>18202</v>
      </c>
      <c r="M1063" t="s">
        <v>18203</v>
      </c>
      <c r="N1063" t="s">
        <v>18204</v>
      </c>
      <c r="O1063">
        <f>-591.745082120253 -58.6161133287924 -736.186279787406</f>
        <v>-1386.5474752364512</v>
      </c>
      <c r="P1063">
        <f>-612.732879996383 -41.9402027779508 -420.801352003693</f>
        <v>-1075.4744347780268</v>
      </c>
      <c r="Q1063">
        <f>-352.854419223729 -51.8617289240342 -423.407970902587</f>
        <v>-828.12411905035015</v>
      </c>
      <c r="R1063" t="s">
        <v>18205</v>
      </c>
      <c r="S1063" t="s">
        <v>18206</v>
      </c>
      <c r="T1063" t="s">
        <v>18207</v>
      </c>
      <c r="U1063" t="s">
        <v>18208</v>
      </c>
      <c r="V1063" t="s">
        <v>18209</v>
      </c>
      <c r="W1063" t="s">
        <v>18210</v>
      </c>
      <c r="X1063" t="s">
        <v>18211</v>
      </c>
      <c r="Y1063" t="s">
        <v>18212</v>
      </c>
    </row>
    <row r="1064" spans="1:25" x14ac:dyDescent="0.3">
      <c r="A1064">
        <v>53150</v>
      </c>
      <c r="B1064" t="s">
        <v>18213</v>
      </c>
      <c r="C1064" t="s">
        <v>18214</v>
      </c>
      <c r="D1064" t="s">
        <v>18215</v>
      </c>
      <c r="E1064" t="s">
        <v>18216</v>
      </c>
      <c r="F1064" t="s">
        <v>18217</v>
      </c>
      <c r="G1064" t="s">
        <v>18218</v>
      </c>
      <c r="H1064" t="s">
        <v>18219</v>
      </c>
      <c r="I1064" t="s">
        <v>18220</v>
      </c>
      <c r="J1064" t="s">
        <v>18221</v>
      </c>
      <c r="K1064" t="s">
        <v>18222</v>
      </c>
      <c r="L1064" t="s">
        <v>18223</v>
      </c>
      <c r="M1064" t="s">
        <v>18224</v>
      </c>
      <c r="N1064" t="s">
        <v>18225</v>
      </c>
      <c r="O1064">
        <f>-592.994518301767 -58.2572718883853 -736.500453073079</f>
        <v>-1387.7522432632313</v>
      </c>
      <c r="P1064">
        <f>-614.045976941037 -41.7764403537515 -421.109515964762</f>
        <v>-1076.9319332595505</v>
      </c>
      <c r="Q1064">
        <f>-354.17866951645 -52.0590988146428 -423.411495059411</f>
        <v>-829.64926339050385</v>
      </c>
      <c r="R1064" t="s">
        <v>18226</v>
      </c>
      <c r="S1064" t="s">
        <v>18227</v>
      </c>
      <c r="T1064" t="s">
        <v>18228</v>
      </c>
      <c r="U1064" t="s">
        <v>18229</v>
      </c>
      <c r="V1064" t="s">
        <v>18230</v>
      </c>
      <c r="W1064" t="s">
        <v>18231</v>
      </c>
      <c r="X1064" t="s">
        <v>18232</v>
      </c>
      <c r="Y1064" t="s">
        <v>18233</v>
      </c>
    </row>
    <row r="1065" spans="1:25" x14ac:dyDescent="0.3">
      <c r="A1065">
        <v>53200</v>
      </c>
      <c r="B1065" t="s">
        <v>18234</v>
      </c>
      <c r="C1065" t="s">
        <v>18235</v>
      </c>
      <c r="D1065" t="s">
        <v>18236</v>
      </c>
      <c r="E1065" t="s">
        <v>18237</v>
      </c>
      <c r="F1065" t="s">
        <v>18238</v>
      </c>
      <c r="G1065" t="s">
        <v>18239</v>
      </c>
      <c r="H1065" t="s">
        <v>18240</v>
      </c>
      <c r="I1065" t="s">
        <v>18241</v>
      </c>
      <c r="J1065" t="s">
        <v>18242</v>
      </c>
      <c r="K1065" t="s">
        <v>18243</v>
      </c>
      <c r="L1065" t="s">
        <v>18244</v>
      </c>
      <c r="M1065" t="s">
        <v>18245</v>
      </c>
      <c r="N1065" t="s">
        <v>18246</v>
      </c>
      <c r="O1065">
        <f>-593.61632871738 -58.0717243678498 -736.669825730156</f>
        <v>-1388.3578788153859</v>
      </c>
      <c r="P1065">
        <f>-614.727715744173 -41.7307079454658 -421.275702822222</f>
        <v>-1077.7341265118607</v>
      </c>
      <c r="Q1065">
        <f>-354.865661209011 -52.1649107673031 -423.489616017294</f>
        <v>-830.52018799360815</v>
      </c>
      <c r="R1065" t="s">
        <v>18247</v>
      </c>
      <c r="S1065" t="s">
        <v>18248</v>
      </c>
      <c r="T1065" t="s">
        <v>18249</v>
      </c>
      <c r="U1065" t="s">
        <v>18250</v>
      </c>
      <c r="V1065" t="s">
        <v>18251</v>
      </c>
      <c r="W1065" t="s">
        <v>18252</v>
      </c>
      <c r="X1065" t="s">
        <v>18253</v>
      </c>
      <c r="Y1065" t="s">
        <v>18254</v>
      </c>
    </row>
    <row r="1066" spans="1:25" x14ac:dyDescent="0.3">
      <c r="A1066">
        <v>53250</v>
      </c>
      <c r="B1066" t="s">
        <v>18255</v>
      </c>
      <c r="C1066" t="s">
        <v>18256</v>
      </c>
      <c r="D1066" t="s">
        <v>18257</v>
      </c>
      <c r="E1066" t="s">
        <v>18258</v>
      </c>
      <c r="F1066" t="s">
        <v>18259</v>
      </c>
      <c r="G1066" t="s">
        <v>18260</v>
      </c>
      <c r="H1066" t="s">
        <v>18261</v>
      </c>
      <c r="I1066" t="s">
        <v>18262</v>
      </c>
      <c r="J1066" t="s">
        <v>18263</v>
      </c>
      <c r="K1066" t="s">
        <v>18264</v>
      </c>
      <c r="L1066" t="s">
        <v>18265</v>
      </c>
      <c r="M1066" t="s">
        <v>18266</v>
      </c>
      <c r="N1066" t="s">
        <v>18267</v>
      </c>
      <c r="O1066">
        <f>-595.042558016659 -57.8245622964391 -736.866109492693</f>
        <v>-1389.7332298057911</v>
      </c>
      <c r="P1066">
        <f>-616.165567199775 -41.671508897462 -421.463082088758</f>
        <v>-1079.3001581859949</v>
      </c>
      <c r="Q1066">
        <f>-356.323027060145 -52.5714392326829 -423.724201828763</f>
        <v>-832.61866812159087</v>
      </c>
      <c r="R1066" t="s">
        <v>18268</v>
      </c>
      <c r="S1066" t="s">
        <v>18269</v>
      </c>
      <c r="T1066" t="s">
        <v>18270</v>
      </c>
      <c r="U1066" t="s">
        <v>18271</v>
      </c>
      <c r="V1066" t="s">
        <v>18272</v>
      </c>
      <c r="W1066" t="s">
        <v>18273</v>
      </c>
      <c r="X1066" t="s">
        <v>18274</v>
      </c>
      <c r="Y1066" t="s">
        <v>18275</v>
      </c>
    </row>
    <row r="1067" spans="1:25" x14ac:dyDescent="0.3">
      <c r="A1067">
        <v>53300</v>
      </c>
      <c r="B1067" t="s">
        <v>18276</v>
      </c>
      <c r="C1067" t="s">
        <v>18277</v>
      </c>
      <c r="D1067" t="s">
        <v>18278</v>
      </c>
      <c r="E1067" t="s">
        <v>18279</v>
      </c>
      <c r="F1067" t="s">
        <v>18280</v>
      </c>
      <c r="G1067" t="s">
        <v>18281</v>
      </c>
      <c r="H1067" t="s">
        <v>18282</v>
      </c>
      <c r="I1067" t="s">
        <v>18283</v>
      </c>
      <c r="J1067" t="s">
        <v>18284</v>
      </c>
      <c r="K1067" t="s">
        <v>18285</v>
      </c>
      <c r="L1067" t="s">
        <v>18286</v>
      </c>
      <c r="M1067" t="s">
        <v>18287</v>
      </c>
      <c r="N1067" t="s">
        <v>18288</v>
      </c>
      <c r="O1067">
        <f>-595.867020872517 -57.756159877548 -736.923519933294</f>
        <v>-1390.5467006833589</v>
      </c>
      <c r="P1067">
        <f>-616.797044334352 -41.7379469523919 -421.500607573974</f>
        <v>-1080.035598860718</v>
      </c>
      <c r="Q1067">
        <f>-356.966049467391 -52.9089773920305 -423.763502785496</f>
        <v>-833.63852964491753</v>
      </c>
      <c r="R1067" t="s">
        <v>18289</v>
      </c>
      <c r="S1067" t="s">
        <v>18290</v>
      </c>
      <c r="T1067" t="s">
        <v>18291</v>
      </c>
      <c r="U1067" t="s">
        <v>18292</v>
      </c>
      <c r="V1067" t="s">
        <v>18293</v>
      </c>
      <c r="W1067" t="s">
        <v>18294</v>
      </c>
      <c r="X1067" t="s">
        <v>18295</v>
      </c>
      <c r="Y1067" t="s">
        <v>18296</v>
      </c>
    </row>
    <row r="1068" spans="1:25" x14ac:dyDescent="0.3">
      <c r="A1068">
        <v>53350</v>
      </c>
      <c r="B1068" t="s">
        <v>18297</v>
      </c>
      <c r="C1068" t="s">
        <v>18298</v>
      </c>
      <c r="D1068" t="s">
        <v>18299</v>
      </c>
      <c r="E1068" t="s">
        <v>18300</v>
      </c>
      <c r="F1068" t="s">
        <v>18301</v>
      </c>
      <c r="G1068" t="s">
        <v>18302</v>
      </c>
      <c r="H1068" t="s">
        <v>18303</v>
      </c>
      <c r="I1068" t="s">
        <v>18304</v>
      </c>
      <c r="J1068" t="s">
        <v>18305</v>
      </c>
      <c r="K1068" t="s">
        <v>18306</v>
      </c>
      <c r="L1068" t="s">
        <v>18307</v>
      </c>
      <c r="M1068" t="s">
        <v>18308</v>
      </c>
      <c r="N1068" t="s">
        <v>18309</v>
      </c>
      <c r="O1068">
        <f>-597.395676855392 -57.8662979568228 -736.926918416035</f>
        <v>-1392.18889322825</v>
      </c>
      <c r="P1068">
        <f>-617.877993974774 -41.9061172129116 -421.47192667301</f>
        <v>-1081.2560378606954</v>
      </c>
      <c r="Q1068">
        <f>-358.072781984203 -53.6175368693093 -423.952506532774</f>
        <v>-835.64282538628629</v>
      </c>
      <c r="R1068" t="s">
        <v>18310</v>
      </c>
      <c r="S1068" t="s">
        <v>18311</v>
      </c>
      <c r="T1068" t="s">
        <v>18312</v>
      </c>
      <c r="U1068" t="s">
        <v>18313</v>
      </c>
      <c r="V1068" t="s">
        <v>18314</v>
      </c>
      <c r="W1068" t="s">
        <v>18315</v>
      </c>
      <c r="X1068" t="s">
        <v>18316</v>
      </c>
      <c r="Y1068" t="s">
        <v>18317</v>
      </c>
    </row>
    <row r="1069" spans="1:25" x14ac:dyDescent="0.3">
      <c r="A1069">
        <v>53400</v>
      </c>
      <c r="B1069" t="s">
        <v>18318</v>
      </c>
      <c r="C1069" t="s">
        <v>18319</v>
      </c>
      <c r="D1069" t="s">
        <v>18320</v>
      </c>
      <c r="E1069" t="s">
        <v>18321</v>
      </c>
      <c r="F1069" t="s">
        <v>18322</v>
      </c>
      <c r="G1069" t="s">
        <v>18323</v>
      </c>
      <c r="H1069" t="s">
        <v>18324</v>
      </c>
      <c r="I1069" t="s">
        <v>18325</v>
      </c>
      <c r="J1069" t="s">
        <v>18326</v>
      </c>
      <c r="K1069" t="s">
        <v>18327</v>
      </c>
      <c r="L1069" t="s">
        <v>18328</v>
      </c>
      <c r="M1069" t="s">
        <v>18329</v>
      </c>
      <c r="N1069" t="s">
        <v>18330</v>
      </c>
      <c r="O1069">
        <f>-598.002705160885 -57.85333251017 -736.953430147572</f>
        <v>-1392.8094678186271</v>
      </c>
      <c r="P1069">
        <f>-618.372271563402 -41.7818461801983 -421.49654272773</f>
        <v>-1081.6506604713304</v>
      </c>
      <c r="Q1069">
        <f>-358.580830476605 -53.7706972459375 -424.086062967533</f>
        <v>-836.43759069007547</v>
      </c>
      <c r="R1069" t="s">
        <v>18331</v>
      </c>
      <c r="S1069" t="s">
        <v>18332</v>
      </c>
      <c r="T1069" t="s">
        <v>18333</v>
      </c>
      <c r="U1069" t="s">
        <v>18334</v>
      </c>
      <c r="V1069" t="s">
        <v>18335</v>
      </c>
      <c r="W1069" t="s">
        <v>18336</v>
      </c>
      <c r="X1069" t="s">
        <v>18337</v>
      </c>
      <c r="Y1069" t="s">
        <v>18338</v>
      </c>
    </row>
    <row r="1070" spans="1:25" x14ac:dyDescent="0.3">
      <c r="A1070">
        <v>53450</v>
      </c>
      <c r="B1070" t="s">
        <v>18339</v>
      </c>
      <c r="C1070" t="s">
        <v>18340</v>
      </c>
      <c r="D1070" t="s">
        <v>18341</v>
      </c>
      <c r="E1070" t="s">
        <v>18342</v>
      </c>
      <c r="F1070" t="s">
        <v>18343</v>
      </c>
      <c r="G1070" t="s">
        <v>18344</v>
      </c>
      <c r="H1070" t="s">
        <v>18345</v>
      </c>
      <c r="I1070" t="s">
        <v>18346</v>
      </c>
      <c r="J1070" t="s">
        <v>18347</v>
      </c>
      <c r="K1070" t="s">
        <v>18348</v>
      </c>
      <c r="L1070" t="s">
        <v>18349</v>
      </c>
      <c r="M1070" t="s">
        <v>18350</v>
      </c>
      <c r="N1070" t="s">
        <v>18351</v>
      </c>
      <c r="O1070">
        <f>-598.869510946314 -57.7866876430014 -736.974863028749</f>
        <v>-1393.6310616180645</v>
      </c>
      <c r="P1070">
        <f>-619.009491029351 -41.3644557572015 -421.521487012468</f>
        <v>-1081.8954337990206</v>
      </c>
      <c r="Q1070">
        <f>-359.247132681341 -53.9549124638083 -424.180953501124</f>
        <v>-837.38299864627334</v>
      </c>
      <c r="R1070" t="s">
        <v>18352</v>
      </c>
      <c r="S1070" t="s">
        <v>18353</v>
      </c>
      <c r="T1070" t="s">
        <v>18354</v>
      </c>
      <c r="U1070" t="s">
        <v>18355</v>
      </c>
      <c r="V1070" t="s">
        <v>18356</v>
      </c>
      <c r="W1070" t="s">
        <v>18357</v>
      </c>
      <c r="X1070" t="s">
        <v>18358</v>
      </c>
      <c r="Y1070" t="s">
        <v>18359</v>
      </c>
    </row>
    <row r="1071" spans="1:25" x14ac:dyDescent="0.3">
      <c r="A1071">
        <v>53500</v>
      </c>
      <c r="B1071" t="s">
        <v>18360</v>
      </c>
      <c r="C1071" t="s">
        <v>18361</v>
      </c>
      <c r="D1071" t="s">
        <v>18362</v>
      </c>
      <c r="E1071" t="s">
        <v>18363</v>
      </c>
      <c r="F1071" t="s">
        <v>18364</v>
      </c>
      <c r="G1071" t="s">
        <v>18365</v>
      </c>
      <c r="H1071" t="s">
        <v>18366</v>
      </c>
      <c r="I1071" t="s">
        <v>18367</v>
      </c>
      <c r="J1071" t="s">
        <v>18368</v>
      </c>
      <c r="K1071" t="s">
        <v>18369</v>
      </c>
      <c r="L1071" t="s">
        <v>18370</v>
      </c>
      <c r="M1071" t="s">
        <v>18371</v>
      </c>
      <c r="N1071" t="s">
        <v>18372</v>
      </c>
      <c r="O1071">
        <f>-599.076833310156 -57.7259185675953 -736.994027135174</f>
        <v>-1393.7967790129251</v>
      </c>
      <c r="P1071">
        <f>-619.30295739041 -41.2874111200856 -421.546835399958</f>
        <v>-1082.1372039104535</v>
      </c>
      <c r="Q1071">
        <f>-359.542586227588 -53.9686837225929 -423.949634262213</f>
        <v>-837.46090421239387</v>
      </c>
      <c r="R1071" t="s">
        <v>18373</v>
      </c>
      <c r="S1071" t="s">
        <v>18374</v>
      </c>
      <c r="T1071" t="s">
        <v>18375</v>
      </c>
      <c r="U1071" t="s">
        <v>18376</v>
      </c>
      <c r="V1071" t="s">
        <v>18377</v>
      </c>
      <c r="W1071" t="s">
        <v>18378</v>
      </c>
      <c r="X1071" t="s">
        <v>18379</v>
      </c>
      <c r="Y1071" t="s">
        <v>18380</v>
      </c>
    </row>
    <row r="1072" spans="1:25" x14ac:dyDescent="0.3">
      <c r="A1072">
        <v>53550</v>
      </c>
      <c r="B1072" t="s">
        <v>18381</v>
      </c>
      <c r="C1072" t="s">
        <v>18382</v>
      </c>
      <c r="D1072" t="s">
        <v>18383</v>
      </c>
      <c r="E1072" t="s">
        <v>18384</v>
      </c>
      <c r="F1072" t="s">
        <v>18385</v>
      </c>
      <c r="G1072" t="s">
        <v>18386</v>
      </c>
      <c r="H1072" t="s">
        <v>18387</v>
      </c>
      <c r="I1072" t="s">
        <v>18388</v>
      </c>
      <c r="J1072" t="s">
        <v>18389</v>
      </c>
      <c r="K1072" t="s">
        <v>18390</v>
      </c>
      <c r="L1072" t="s">
        <v>18391</v>
      </c>
      <c r="M1072" t="s">
        <v>18392</v>
      </c>
      <c r="N1072" t="s">
        <v>18393</v>
      </c>
      <c r="O1072">
        <f>-599.828542064966 -58.0313088017294 -736.950164283085</f>
        <v>-1394.8100151497804</v>
      </c>
      <c r="P1072">
        <f>-620.001235378749 -41.8111130126338 -421.488269415544</f>
        <v>-1083.3006178069268</v>
      </c>
      <c r="Q1072">
        <f>-360.238571553131 -54.5023016583154 -423.568470238203</f>
        <v>-838.30934344964942</v>
      </c>
      <c r="R1072" t="s">
        <v>18394</v>
      </c>
      <c r="S1072" t="s">
        <v>18395</v>
      </c>
      <c r="T1072" t="s">
        <v>18396</v>
      </c>
      <c r="U1072" t="s">
        <v>18397</v>
      </c>
      <c r="V1072" t="s">
        <v>18398</v>
      </c>
      <c r="W1072" t="s">
        <v>18399</v>
      </c>
      <c r="X1072" t="s">
        <v>18400</v>
      </c>
      <c r="Y1072" t="s">
        <v>18401</v>
      </c>
    </row>
    <row r="1073" spans="1:25" x14ac:dyDescent="0.3">
      <c r="A1073">
        <v>53600</v>
      </c>
      <c r="B1073" t="s">
        <v>18402</v>
      </c>
      <c r="C1073" t="s">
        <v>18403</v>
      </c>
      <c r="D1073" t="s">
        <v>18404</v>
      </c>
      <c r="E1073" t="s">
        <v>18405</v>
      </c>
      <c r="F1073" t="s">
        <v>18406</v>
      </c>
      <c r="G1073" t="s">
        <v>18407</v>
      </c>
      <c r="H1073" t="s">
        <v>18408</v>
      </c>
      <c r="I1073" t="s">
        <v>18409</v>
      </c>
      <c r="J1073" t="s">
        <v>18410</v>
      </c>
      <c r="K1073" t="s">
        <v>18411</v>
      </c>
      <c r="L1073" t="s">
        <v>18412</v>
      </c>
      <c r="M1073" t="s">
        <v>18413</v>
      </c>
      <c r="N1073" t="s">
        <v>18414</v>
      </c>
      <c r="O1073">
        <f>-600.121865932686 -58.1299304696911 -736.919302255141</f>
        <v>-1395.1710986575181</v>
      </c>
      <c r="P1073">
        <f>-620.011710835194 -41.8579669464611 -421.442163446259</f>
        <v>-1083.3118412279141</v>
      </c>
      <c r="Q1073">
        <f>-360.25489993831 -54.6759455780775 -423.482532363357</f>
        <v>-838.41337787974453</v>
      </c>
      <c r="R1073" t="s">
        <v>18415</v>
      </c>
      <c r="S1073" t="s">
        <v>18416</v>
      </c>
      <c r="T1073" t="s">
        <v>18417</v>
      </c>
      <c r="U1073" t="s">
        <v>18418</v>
      </c>
      <c r="V1073" t="s">
        <v>18419</v>
      </c>
      <c r="W1073" t="s">
        <v>18420</v>
      </c>
      <c r="X1073" t="s">
        <v>18421</v>
      </c>
      <c r="Y1073" t="s">
        <v>18422</v>
      </c>
    </row>
    <row r="1074" spans="1:25" x14ac:dyDescent="0.3">
      <c r="A1074">
        <v>53650</v>
      </c>
      <c r="B1074" t="s">
        <v>18423</v>
      </c>
      <c r="C1074" t="s">
        <v>18424</v>
      </c>
      <c r="D1074" t="s">
        <v>18425</v>
      </c>
      <c r="E1074" t="s">
        <v>18426</v>
      </c>
      <c r="F1074" t="s">
        <v>18427</v>
      </c>
      <c r="G1074" t="s">
        <v>18428</v>
      </c>
      <c r="H1074" t="s">
        <v>18429</v>
      </c>
      <c r="I1074" t="s">
        <v>18430</v>
      </c>
      <c r="J1074" t="s">
        <v>18431</v>
      </c>
      <c r="K1074" t="s">
        <v>18432</v>
      </c>
      <c r="L1074" t="s">
        <v>18433</v>
      </c>
      <c r="M1074" t="s">
        <v>18434</v>
      </c>
      <c r="N1074" t="s">
        <v>18435</v>
      </c>
      <c r="O1074">
        <f>-600.780982085937 -58.5456072693401 -736.775427385889</f>
        <v>-1396.1020167411662</v>
      </c>
      <c r="P1074">
        <f>-620.399867691464 -42.1069230802025 -421.289956158037</f>
        <v>-1083.7967469297034</v>
      </c>
      <c r="Q1074">
        <f>-360.645493367025 -54.8695037545192 -423.907309942482</f>
        <v>-839.4223070640262</v>
      </c>
      <c r="R1074" t="s">
        <v>18436</v>
      </c>
      <c r="S1074" t="s">
        <v>18437</v>
      </c>
      <c r="T1074" t="s">
        <v>18438</v>
      </c>
      <c r="U1074" t="s">
        <v>18439</v>
      </c>
      <c r="V1074" t="s">
        <v>18440</v>
      </c>
      <c r="W1074" t="s">
        <v>18441</v>
      </c>
      <c r="X1074" t="s">
        <v>18442</v>
      </c>
      <c r="Y1074" t="s">
        <v>18443</v>
      </c>
    </row>
    <row r="1075" spans="1:25" x14ac:dyDescent="0.3">
      <c r="A1075">
        <v>53700</v>
      </c>
      <c r="B1075" t="s">
        <v>18444</v>
      </c>
      <c r="C1075" t="s">
        <v>18445</v>
      </c>
      <c r="D1075" t="s">
        <v>18446</v>
      </c>
      <c r="E1075" t="s">
        <v>18447</v>
      </c>
      <c r="F1075" t="s">
        <v>18448</v>
      </c>
      <c r="G1075" t="s">
        <v>18449</v>
      </c>
      <c r="H1075" t="s">
        <v>18450</v>
      </c>
      <c r="I1075" t="s">
        <v>18451</v>
      </c>
      <c r="J1075" t="s">
        <v>18452</v>
      </c>
      <c r="K1075" t="s">
        <v>18453</v>
      </c>
      <c r="L1075" t="s">
        <v>18454</v>
      </c>
      <c r="M1075" t="s">
        <v>18455</v>
      </c>
      <c r="N1075" t="s">
        <v>18456</v>
      </c>
      <c r="O1075">
        <f>-601.043635093576 -58.6818138452129 -736.717106601382</f>
        <v>-1396.4425555401708</v>
      </c>
      <c r="P1075">
        <f>-620.58630519228 -41.8845268722907 -421.245862983752</f>
        <v>-1083.7166950483227</v>
      </c>
      <c r="Q1075">
        <f>-360.835521600383 -54.6796954232161 -424.049110749173</f>
        <v>-839.56432777277212</v>
      </c>
      <c r="R1075" t="s">
        <v>18457</v>
      </c>
      <c r="S1075" t="s">
        <v>18458</v>
      </c>
      <c r="T1075" t="s">
        <v>18459</v>
      </c>
      <c r="U1075" t="s">
        <v>18460</v>
      </c>
      <c r="V1075" t="s">
        <v>18461</v>
      </c>
      <c r="W1075" t="s">
        <v>18462</v>
      </c>
      <c r="X1075" t="s">
        <v>18463</v>
      </c>
      <c r="Y1075" t="s">
        <v>18464</v>
      </c>
    </row>
    <row r="1076" spans="1:25" x14ac:dyDescent="0.3">
      <c r="A1076">
        <v>53750</v>
      </c>
      <c r="B1076" t="s">
        <v>18465</v>
      </c>
      <c r="C1076" t="s">
        <v>18466</v>
      </c>
      <c r="D1076" t="s">
        <v>18467</v>
      </c>
      <c r="E1076" t="s">
        <v>18468</v>
      </c>
      <c r="F1076" t="s">
        <v>18469</v>
      </c>
      <c r="G1076" t="s">
        <v>18470</v>
      </c>
      <c r="H1076" t="s">
        <v>18471</v>
      </c>
      <c r="I1076" t="s">
        <v>18472</v>
      </c>
      <c r="J1076" t="s">
        <v>18473</v>
      </c>
      <c r="K1076" t="s">
        <v>18474</v>
      </c>
      <c r="L1076" t="s">
        <v>18475</v>
      </c>
      <c r="M1076" t="s">
        <v>18476</v>
      </c>
      <c r="N1076" t="s">
        <v>18477</v>
      </c>
      <c r="O1076">
        <f>-601.618066269429 -59.2746517416977 -736.748295535481</f>
        <v>-1397.6410135466076</v>
      </c>
      <c r="P1076">
        <f>-621.022672457129 -42.4710603510757 -421.268834552616</f>
        <v>-1084.7625673608209</v>
      </c>
      <c r="Q1076">
        <f>-361.280083050515 -55.2544444438956 -424.793074696389</f>
        <v>-841.32760219079955</v>
      </c>
      <c r="R1076" t="s">
        <v>18478</v>
      </c>
      <c r="S1076" t="s">
        <v>18479</v>
      </c>
      <c r="T1076" t="s">
        <v>18480</v>
      </c>
      <c r="U1076" t="s">
        <v>18481</v>
      </c>
      <c r="V1076" t="s">
        <v>18482</v>
      </c>
      <c r="W1076" t="s">
        <v>18483</v>
      </c>
      <c r="X1076" t="s">
        <v>18484</v>
      </c>
      <c r="Y1076" t="s">
        <v>18485</v>
      </c>
    </row>
    <row r="1077" spans="1:25" x14ac:dyDescent="0.3">
      <c r="A1077">
        <v>53800</v>
      </c>
      <c r="B1077" t="s">
        <v>18486</v>
      </c>
      <c r="C1077" t="s">
        <v>18487</v>
      </c>
      <c r="D1077" t="s">
        <v>18488</v>
      </c>
      <c r="E1077" t="s">
        <v>18489</v>
      </c>
      <c r="F1077" t="s">
        <v>18490</v>
      </c>
      <c r="G1077" t="s">
        <v>18491</v>
      </c>
      <c r="H1077" t="s">
        <v>18492</v>
      </c>
      <c r="I1077" t="s">
        <v>18493</v>
      </c>
      <c r="J1077" t="s">
        <v>18494</v>
      </c>
      <c r="K1077" t="s">
        <v>18495</v>
      </c>
      <c r="L1077" t="s">
        <v>18496</v>
      </c>
      <c r="M1077" t="s">
        <v>18497</v>
      </c>
      <c r="N1077" t="s">
        <v>18498</v>
      </c>
      <c r="O1077">
        <f>-602.099994382047 -59.3260613985458 -736.774185967058</f>
        <v>-1398.2002417476508</v>
      </c>
      <c r="P1077">
        <f>-621.064254535679 -42.4305416193295 -421.272769245078</f>
        <v>-1084.7675654000864</v>
      </c>
      <c r="Q1077">
        <f>-361.336275409013 -55.4416291341679 -425.033958451831</f>
        <v>-841.81186299501189</v>
      </c>
      <c r="R1077" t="s">
        <v>18499</v>
      </c>
      <c r="S1077" t="s">
        <v>18500</v>
      </c>
      <c r="T1077" t="s">
        <v>18501</v>
      </c>
      <c r="U1077" t="s">
        <v>18502</v>
      </c>
      <c r="V1077" t="s">
        <v>18503</v>
      </c>
      <c r="W1077" t="s">
        <v>18504</v>
      </c>
      <c r="X1077" t="s">
        <v>18505</v>
      </c>
      <c r="Y1077" t="s">
        <v>18506</v>
      </c>
    </row>
    <row r="1078" spans="1:25" x14ac:dyDescent="0.3">
      <c r="A1078">
        <v>53850</v>
      </c>
      <c r="B1078" t="s">
        <v>18507</v>
      </c>
      <c r="C1078" t="s">
        <v>18508</v>
      </c>
      <c r="D1078" t="s">
        <v>18509</v>
      </c>
      <c r="E1078" t="s">
        <v>18510</v>
      </c>
      <c r="F1078" t="s">
        <v>18511</v>
      </c>
      <c r="G1078" t="s">
        <v>18512</v>
      </c>
      <c r="H1078" t="s">
        <v>18513</v>
      </c>
      <c r="I1078" t="s">
        <v>18514</v>
      </c>
      <c r="J1078" t="s">
        <v>18515</v>
      </c>
      <c r="K1078" t="s">
        <v>18516</v>
      </c>
      <c r="L1078" t="s">
        <v>18517</v>
      </c>
      <c r="M1078" t="s">
        <v>18518</v>
      </c>
      <c r="N1078" t="s">
        <v>18519</v>
      </c>
      <c r="O1078">
        <f>-602.289604484833 -59.8250397037784 -736.64211742488</f>
        <v>-1398.7567616134916</v>
      </c>
      <c r="P1078">
        <f>-620.870532389017 -42.9376041090243 -421.117610124659</f>
        <v>-1084.9257466227002</v>
      </c>
      <c r="Q1078">
        <f>-361.191070464509 -56.6555711937237 -425.640951679816</f>
        <v>-843.48759333804867</v>
      </c>
      <c r="R1078" t="s">
        <v>18520</v>
      </c>
      <c r="S1078" t="s">
        <v>18521</v>
      </c>
      <c r="T1078" t="s">
        <v>18522</v>
      </c>
      <c r="U1078" t="s">
        <v>18523</v>
      </c>
      <c r="V1078" t="s">
        <v>18524</v>
      </c>
      <c r="W1078" t="s">
        <v>18525</v>
      </c>
      <c r="X1078" t="s">
        <v>18526</v>
      </c>
      <c r="Y1078" t="s">
        <v>18527</v>
      </c>
    </row>
    <row r="1079" spans="1:25" x14ac:dyDescent="0.3">
      <c r="A1079">
        <v>53900</v>
      </c>
      <c r="B1079" t="s">
        <v>18528</v>
      </c>
      <c r="C1079" t="s">
        <v>18529</v>
      </c>
      <c r="D1079" t="s">
        <v>18530</v>
      </c>
      <c r="E1079" t="s">
        <v>18531</v>
      </c>
      <c r="F1079" t="s">
        <v>18532</v>
      </c>
      <c r="G1079" t="s">
        <v>18533</v>
      </c>
      <c r="H1079" t="s">
        <v>18534</v>
      </c>
      <c r="I1079" t="s">
        <v>18535</v>
      </c>
      <c r="J1079" t="s">
        <v>18536</v>
      </c>
      <c r="K1079" t="s">
        <v>18537</v>
      </c>
      <c r="L1079" t="s">
        <v>18538</v>
      </c>
      <c r="M1079" t="s">
        <v>18539</v>
      </c>
      <c r="N1079" t="s">
        <v>18540</v>
      </c>
      <c r="O1079">
        <f>-602.034693700274 -60.1172911586048 -736.540158332851</f>
        <v>-1398.6921431917299</v>
      </c>
      <c r="P1079">
        <f>-620.484703886414 -43.1231936388992 -421.01366588805</f>
        <v>-1084.6215634133632</v>
      </c>
      <c r="Q1079">
        <f>-360.830240076351 -57.2969552719198 -425.564104967773</f>
        <v>-843.69130031604379</v>
      </c>
      <c r="R1079" t="s">
        <v>18541</v>
      </c>
      <c r="S1079" t="s">
        <v>18542</v>
      </c>
      <c r="T1079" t="s">
        <v>18543</v>
      </c>
      <c r="U1079" t="s">
        <v>18544</v>
      </c>
      <c r="V1079" t="s">
        <v>18545</v>
      </c>
      <c r="W1079" t="s">
        <v>18546</v>
      </c>
      <c r="X1079" t="s">
        <v>18547</v>
      </c>
      <c r="Y1079" t="s">
        <v>18548</v>
      </c>
    </row>
    <row r="1080" spans="1:25" x14ac:dyDescent="0.3">
      <c r="A1080">
        <v>53950</v>
      </c>
      <c r="B1080" t="s">
        <v>18549</v>
      </c>
      <c r="C1080" t="s">
        <v>18550</v>
      </c>
      <c r="D1080" t="s">
        <v>18551</v>
      </c>
      <c r="E1080" t="s">
        <v>18552</v>
      </c>
      <c r="F1080" t="s">
        <v>18553</v>
      </c>
      <c r="G1080" t="s">
        <v>18554</v>
      </c>
      <c r="H1080" t="s">
        <v>18555</v>
      </c>
      <c r="I1080" t="s">
        <v>18556</v>
      </c>
      <c r="J1080" t="s">
        <v>18557</v>
      </c>
      <c r="K1080" t="s">
        <v>18558</v>
      </c>
      <c r="L1080" t="s">
        <v>18559</v>
      </c>
      <c r="M1080" t="s">
        <v>18560</v>
      </c>
      <c r="N1080" t="s">
        <v>18561</v>
      </c>
      <c r="O1080">
        <f>-600.899753303234 -61.0893233446202 -736.113424174434</f>
        <v>-1398.1025008222882</v>
      </c>
      <c r="P1080">
        <f>-619.979907517778 -43.5032756812045 -420.656826599092</f>
        <v>-1084.1400097980745</v>
      </c>
      <c r="Q1080">
        <f>-360.395762203731 -58.9271303037031 -425.155597331908</f>
        <v>-844.47848983934205</v>
      </c>
      <c r="R1080" t="s">
        <v>18562</v>
      </c>
      <c r="S1080" t="s">
        <v>18563</v>
      </c>
      <c r="T1080" t="s">
        <v>18564</v>
      </c>
      <c r="U1080" t="s">
        <v>18565</v>
      </c>
      <c r="V1080" t="s">
        <v>18566</v>
      </c>
      <c r="W1080" t="s">
        <v>18567</v>
      </c>
      <c r="X1080" t="s">
        <v>18568</v>
      </c>
      <c r="Y1080" t="s">
        <v>18569</v>
      </c>
    </row>
    <row r="1081" spans="1:25" x14ac:dyDescent="0.3">
      <c r="A1081">
        <v>54000</v>
      </c>
      <c r="B1081" t="s">
        <v>18570</v>
      </c>
      <c r="C1081" t="s">
        <v>18571</v>
      </c>
      <c r="D1081" t="s">
        <v>18572</v>
      </c>
      <c r="E1081" t="s">
        <v>18573</v>
      </c>
      <c r="F1081" t="s">
        <v>18574</v>
      </c>
      <c r="G1081" t="s">
        <v>18575</v>
      </c>
      <c r="H1081" t="s">
        <v>18576</v>
      </c>
      <c r="I1081" t="s">
        <v>18577</v>
      </c>
      <c r="J1081" t="s">
        <v>18578</v>
      </c>
      <c r="K1081" t="s">
        <v>18579</v>
      </c>
      <c r="L1081" t="s">
        <v>18580</v>
      </c>
      <c r="M1081" t="s">
        <v>18581</v>
      </c>
      <c r="N1081" t="s">
        <v>18582</v>
      </c>
      <c r="O1081">
        <f>-600.314763414305 -61.5739009594345 -735.899665853199</f>
        <v>-1397.7883302269386</v>
      </c>
      <c r="P1081">
        <f>-619.833620117097 -43.8388920500665 -420.478170782198</f>
        <v>-1084.1506829493615</v>
      </c>
      <c r="Q1081">
        <f>-360.268251223947 -59.6170765628201 -424.82834892502</f>
        <v>-844.71367671178712</v>
      </c>
      <c r="R1081" t="s">
        <v>18583</v>
      </c>
      <c r="S1081" t="s">
        <v>18584</v>
      </c>
      <c r="T1081" t="s">
        <v>18585</v>
      </c>
      <c r="U1081" t="s">
        <v>18586</v>
      </c>
      <c r="V1081" t="s">
        <v>18587</v>
      </c>
      <c r="W1081" t="s">
        <v>18588</v>
      </c>
      <c r="X1081" t="s">
        <v>18589</v>
      </c>
      <c r="Y1081" t="s">
        <v>18590</v>
      </c>
    </row>
    <row r="1082" spans="1:25" x14ac:dyDescent="0.3">
      <c r="A1082">
        <v>54050</v>
      </c>
      <c r="B1082" t="s">
        <v>18591</v>
      </c>
      <c r="C1082" t="s">
        <v>18592</v>
      </c>
      <c r="D1082" t="s">
        <v>18593</v>
      </c>
      <c r="E1082" t="s">
        <v>18594</v>
      </c>
      <c r="F1082" t="s">
        <v>18595</v>
      </c>
      <c r="G1082" t="s">
        <v>18596</v>
      </c>
      <c r="H1082" t="s">
        <v>18597</v>
      </c>
      <c r="I1082" t="s">
        <v>18598</v>
      </c>
      <c r="J1082" t="s">
        <v>18599</v>
      </c>
      <c r="K1082" t="s">
        <v>18600</v>
      </c>
      <c r="L1082" t="s">
        <v>18601</v>
      </c>
      <c r="M1082" t="s">
        <v>18602</v>
      </c>
      <c r="N1082" t="s">
        <v>18603</v>
      </c>
      <c r="O1082">
        <f>-598.983476583263 -61.9421954922154 -735.733761802672</f>
        <v>-1396.6594338781506</v>
      </c>
      <c r="P1082">
        <f>-619.006231138732 -44.0239452074779 -420.354236320792</f>
        <v>-1083.3844126670019</v>
      </c>
      <c r="Q1082">
        <f>-359.434287139115 -59.7851876915536 -424.358429858516</f>
        <v>-843.57790468918461</v>
      </c>
      <c r="R1082" t="s">
        <v>18604</v>
      </c>
      <c r="S1082" t="s">
        <v>18605</v>
      </c>
      <c r="T1082" t="s">
        <v>18606</v>
      </c>
      <c r="U1082" t="s">
        <v>18607</v>
      </c>
      <c r="V1082" t="s">
        <v>18608</v>
      </c>
      <c r="W1082" t="s">
        <v>18609</v>
      </c>
      <c r="X1082" t="s">
        <v>18610</v>
      </c>
      <c r="Y1082" t="s">
        <v>18611</v>
      </c>
    </row>
    <row r="1083" spans="1:25" x14ac:dyDescent="0.3">
      <c r="A1083">
        <v>54100</v>
      </c>
      <c r="B1083" t="s">
        <v>18612</v>
      </c>
      <c r="C1083" t="s">
        <v>18613</v>
      </c>
      <c r="D1083" t="s">
        <v>18614</v>
      </c>
      <c r="E1083" t="s">
        <v>18615</v>
      </c>
      <c r="F1083" t="s">
        <v>18616</v>
      </c>
      <c r="G1083" t="s">
        <v>18617</v>
      </c>
      <c r="H1083" t="s">
        <v>18618</v>
      </c>
      <c r="I1083" t="s">
        <v>18619</v>
      </c>
      <c r="J1083" t="s">
        <v>18620</v>
      </c>
      <c r="K1083" t="s">
        <v>18621</v>
      </c>
      <c r="L1083" t="s">
        <v>18622</v>
      </c>
      <c r="M1083" t="s">
        <v>18623</v>
      </c>
      <c r="N1083" t="s">
        <v>18624</v>
      </c>
      <c r="O1083">
        <f>-598.553429472483 -62.0040103802673 -735.744102966539</f>
        <v>-1396.3015428192894</v>
      </c>
      <c r="P1083">
        <f>-618.794008192462 -44.2497002799932 -420.369336302367</f>
        <v>-1083.4130447748223</v>
      </c>
      <c r="Q1083">
        <f>-359.189758800861 -59.4657208828842 -424.388701826158</f>
        <v>-843.04418150990318</v>
      </c>
      <c r="R1083" t="s">
        <v>18625</v>
      </c>
      <c r="S1083" t="s">
        <v>18626</v>
      </c>
      <c r="T1083" t="s">
        <v>18627</v>
      </c>
      <c r="U1083" t="s">
        <v>18628</v>
      </c>
      <c r="V1083" t="s">
        <v>18629</v>
      </c>
      <c r="W1083" t="s">
        <v>18630</v>
      </c>
      <c r="X1083" t="s">
        <v>18631</v>
      </c>
      <c r="Y1083" t="s">
        <v>18632</v>
      </c>
    </row>
    <row r="1084" spans="1:25" x14ac:dyDescent="0.3">
      <c r="A1084">
        <v>54150</v>
      </c>
      <c r="B1084" t="s">
        <v>18633</v>
      </c>
      <c r="C1084" t="s">
        <v>18634</v>
      </c>
      <c r="D1084" t="s">
        <v>18635</v>
      </c>
      <c r="E1084" t="s">
        <v>18636</v>
      </c>
      <c r="F1084" t="s">
        <v>18637</v>
      </c>
      <c r="G1084" t="s">
        <v>18638</v>
      </c>
      <c r="H1084" t="s">
        <v>18639</v>
      </c>
      <c r="I1084" t="s">
        <v>18640</v>
      </c>
      <c r="J1084" t="s">
        <v>18641</v>
      </c>
      <c r="K1084" t="s">
        <v>18642</v>
      </c>
      <c r="L1084" t="s">
        <v>18643</v>
      </c>
      <c r="M1084" t="s">
        <v>18644</v>
      </c>
      <c r="N1084" t="s">
        <v>18645</v>
      </c>
      <c r="O1084">
        <f>-597.300092109152 -61.5823190000797 -735.873333509345</f>
        <v>-1394.7557446185767</v>
      </c>
      <c r="P1084">
        <f>-617.412678418858 -44.0885961118729 -420.475662549232</f>
        <v>-1081.9769370799629</v>
      </c>
      <c r="Q1084">
        <f>-357.758243150697 -58.447441556948 -424.40725546043</f>
        <v>-840.61294016807506</v>
      </c>
      <c r="R1084" t="s">
        <v>18646</v>
      </c>
      <c r="S1084" t="s">
        <v>18647</v>
      </c>
      <c r="T1084" t="s">
        <v>18648</v>
      </c>
      <c r="U1084" t="s">
        <v>18649</v>
      </c>
      <c r="V1084" t="s">
        <v>18650</v>
      </c>
      <c r="W1084" t="s">
        <v>18651</v>
      </c>
      <c r="X1084" t="s">
        <v>18652</v>
      </c>
      <c r="Y1084" t="s">
        <v>18653</v>
      </c>
    </row>
    <row r="1085" spans="1:25" x14ac:dyDescent="0.3">
      <c r="A1085">
        <v>54200</v>
      </c>
      <c r="B1085" t="s">
        <v>18654</v>
      </c>
      <c r="C1085" t="s">
        <v>18655</v>
      </c>
      <c r="D1085" t="s">
        <v>18656</v>
      </c>
      <c r="E1085" t="s">
        <v>18657</v>
      </c>
      <c r="F1085" t="s">
        <v>18658</v>
      </c>
      <c r="G1085" t="s">
        <v>18659</v>
      </c>
      <c r="H1085" t="s">
        <v>18660</v>
      </c>
      <c r="I1085" t="s">
        <v>18661</v>
      </c>
      <c r="J1085" t="s">
        <v>18662</v>
      </c>
      <c r="K1085" t="s">
        <v>18663</v>
      </c>
      <c r="L1085" t="s">
        <v>18664</v>
      </c>
      <c r="M1085" t="s">
        <v>18665</v>
      </c>
      <c r="N1085" t="s">
        <v>18666</v>
      </c>
      <c r="O1085">
        <f>-596.843440928115 -61.2853177558804 -736.02299798818</f>
        <v>-1394.1517566721755</v>
      </c>
      <c r="P1085">
        <f>-616.901409117706 -44.0787687009838 -420.606174140594</f>
        <v>-1081.5863519592838</v>
      </c>
      <c r="Q1085">
        <f>-357.20451329087 -57.6517683742895 -424.523368964871</f>
        <v>-839.37965063003048</v>
      </c>
      <c r="R1085" t="s">
        <v>18667</v>
      </c>
      <c r="S1085" t="s">
        <v>18668</v>
      </c>
      <c r="T1085" t="s">
        <v>18669</v>
      </c>
      <c r="U1085" t="s">
        <v>18670</v>
      </c>
      <c r="V1085" t="s">
        <v>18671</v>
      </c>
      <c r="W1085" t="s">
        <v>18672</v>
      </c>
      <c r="X1085" t="s">
        <v>18673</v>
      </c>
      <c r="Y1085" t="s">
        <v>18674</v>
      </c>
    </row>
    <row r="1086" spans="1:25" x14ac:dyDescent="0.3">
      <c r="A1086">
        <v>54250</v>
      </c>
      <c r="B1086" t="s">
        <v>18675</v>
      </c>
      <c r="C1086" t="s">
        <v>18676</v>
      </c>
      <c r="D1086" t="s">
        <v>18677</v>
      </c>
      <c r="E1086" t="s">
        <v>18678</v>
      </c>
      <c r="F1086" t="s">
        <v>18679</v>
      </c>
      <c r="G1086" t="s">
        <v>18680</v>
      </c>
      <c r="H1086" t="s">
        <v>18681</v>
      </c>
      <c r="I1086" t="s">
        <v>18682</v>
      </c>
      <c r="J1086" t="s">
        <v>18683</v>
      </c>
      <c r="K1086" t="s">
        <v>18684</v>
      </c>
      <c r="L1086" t="s">
        <v>18685</v>
      </c>
      <c r="M1086" t="s">
        <v>18686</v>
      </c>
      <c r="N1086" t="s">
        <v>18687</v>
      </c>
      <c r="O1086">
        <f>-595.949120584538 -61.3823964508292 -736.228673989131</f>
        <v>-1393.5601910244982</v>
      </c>
      <c r="P1086">
        <f>-616.041477177967 -44.6909937859523 -420.786343274649</f>
        <v>-1081.5188142385682</v>
      </c>
      <c r="Q1086">
        <f>-356.273350315514 -56.7808606651549 -424.837290572188</f>
        <v>-837.89150155285688</v>
      </c>
      <c r="R1086" t="s">
        <v>18688</v>
      </c>
      <c r="S1086" t="s">
        <v>18689</v>
      </c>
      <c r="T1086" t="s">
        <v>18690</v>
      </c>
      <c r="U1086" t="s">
        <v>18691</v>
      </c>
      <c r="V1086" t="s">
        <v>18692</v>
      </c>
      <c r="W1086" t="s">
        <v>18693</v>
      </c>
      <c r="X1086" t="s">
        <v>18694</v>
      </c>
      <c r="Y1086" t="s">
        <v>18695</v>
      </c>
    </row>
    <row r="1087" spans="1:25" x14ac:dyDescent="0.3">
      <c r="A1087">
        <v>54300</v>
      </c>
      <c r="B1087" t="s">
        <v>18696</v>
      </c>
      <c r="C1087" t="s">
        <v>18697</v>
      </c>
      <c r="D1087" t="s">
        <v>18698</v>
      </c>
      <c r="E1087" t="s">
        <v>18699</v>
      </c>
      <c r="F1087" t="s">
        <v>18700</v>
      </c>
      <c r="G1087" t="s">
        <v>18701</v>
      </c>
      <c r="H1087" t="s">
        <v>18702</v>
      </c>
      <c r="I1087" t="s">
        <v>18703</v>
      </c>
      <c r="J1087" t="s">
        <v>18704</v>
      </c>
      <c r="K1087" t="s">
        <v>18705</v>
      </c>
      <c r="L1087" t="s">
        <v>18706</v>
      </c>
      <c r="M1087" t="s">
        <v>18707</v>
      </c>
      <c r="N1087" t="s">
        <v>18708</v>
      </c>
      <c r="O1087">
        <f>-595.40170172116 -61.4977092862732 -736.312919844504</f>
        <v>-1393.2123308519372</v>
      </c>
      <c r="P1087">
        <f>-615.823141801316 -45.2257964390653 -420.869742443991</f>
        <v>-1081.9186806843722</v>
      </c>
      <c r="Q1087">
        <f>-356.023783613333 -56.5881650699221 -425.025067689507</f>
        <v>-837.63701637276222</v>
      </c>
      <c r="R1087" t="s">
        <v>18709</v>
      </c>
      <c r="S1087" t="s">
        <v>18710</v>
      </c>
      <c r="T1087" t="s">
        <v>18711</v>
      </c>
      <c r="U1087" t="s">
        <v>18712</v>
      </c>
      <c r="V1087" t="s">
        <v>18713</v>
      </c>
      <c r="W1087" t="s">
        <v>18714</v>
      </c>
      <c r="X1087" t="s">
        <v>18715</v>
      </c>
      <c r="Y1087" t="s">
        <v>18716</v>
      </c>
    </row>
    <row r="1088" spans="1:25" x14ac:dyDescent="0.3">
      <c r="A1088">
        <v>54350</v>
      </c>
      <c r="B1088" t="s">
        <v>18717</v>
      </c>
      <c r="C1088" t="s">
        <v>18718</v>
      </c>
      <c r="D1088" t="s">
        <v>18719</v>
      </c>
      <c r="E1088" t="s">
        <v>18720</v>
      </c>
      <c r="F1088" t="s">
        <v>18721</v>
      </c>
      <c r="G1088" t="s">
        <v>18722</v>
      </c>
      <c r="H1088" t="s">
        <v>18723</v>
      </c>
      <c r="I1088" t="s">
        <v>18724</v>
      </c>
      <c r="J1088" t="s">
        <v>18725</v>
      </c>
      <c r="K1088" t="s">
        <v>18726</v>
      </c>
      <c r="L1088" t="s">
        <v>18727</v>
      </c>
      <c r="M1088" t="s">
        <v>18728</v>
      </c>
      <c r="N1088" t="s">
        <v>18729</v>
      </c>
      <c r="O1088">
        <f>-594.8121838314 -61.4919050429007 -736.673568739005</f>
        <v>-1392.9776576133058</v>
      </c>
      <c r="P1088">
        <f>-615.266134789332 -45.7687285991121 -421.204740976492</f>
        <v>-1082.2396043649362</v>
      </c>
      <c r="Q1088">
        <f>-355.430814414559 -56.3137119894434 -425.261295108407</f>
        <v>-837.0058215124094</v>
      </c>
      <c r="R1088" t="s">
        <v>18730</v>
      </c>
      <c r="S1088" t="s">
        <v>18731</v>
      </c>
      <c r="T1088" t="s">
        <v>18732</v>
      </c>
      <c r="U1088" t="s">
        <v>18733</v>
      </c>
      <c r="V1088" t="s">
        <v>18734</v>
      </c>
      <c r="W1088" t="s">
        <v>18735</v>
      </c>
      <c r="X1088" t="s">
        <v>18736</v>
      </c>
      <c r="Y1088" t="s">
        <v>18737</v>
      </c>
    </row>
    <row r="1089" spans="1:25" x14ac:dyDescent="0.3">
      <c r="A1089">
        <v>54400</v>
      </c>
      <c r="B1089" t="s">
        <v>18738</v>
      </c>
      <c r="C1089" t="s">
        <v>18739</v>
      </c>
      <c r="D1089" t="s">
        <v>18740</v>
      </c>
      <c r="E1089" t="s">
        <v>18741</v>
      </c>
      <c r="F1089" t="s">
        <v>18742</v>
      </c>
      <c r="G1089" t="s">
        <v>18743</v>
      </c>
      <c r="H1089" t="s">
        <v>18744</v>
      </c>
      <c r="I1089" t="s">
        <v>18745</v>
      </c>
      <c r="J1089" t="s">
        <v>18746</v>
      </c>
      <c r="K1089" t="s">
        <v>18747</v>
      </c>
      <c r="L1089" t="s">
        <v>18748</v>
      </c>
      <c r="M1089" t="s">
        <v>18749</v>
      </c>
      <c r="N1089" t="s">
        <v>18750</v>
      </c>
      <c r="O1089">
        <f>-594.649330087399 -61.3729277309224 -736.868978743005</f>
        <v>-1392.8912365613264</v>
      </c>
      <c r="P1089">
        <f>-614.954983101575 -46.1478635315825 -421.366048642337</f>
        <v>-1082.4688952754946</v>
      </c>
      <c r="Q1089">
        <f>-355.098071706654 -56.1238894549665 -425.479032681019</f>
        <v>-836.70099384263949</v>
      </c>
      <c r="R1089" t="s">
        <v>18751</v>
      </c>
      <c r="S1089" t="s">
        <v>18752</v>
      </c>
      <c r="T1089" t="s">
        <v>18753</v>
      </c>
      <c r="U1089" t="s">
        <v>18754</v>
      </c>
      <c r="V1089" t="s">
        <v>18755</v>
      </c>
      <c r="W1089" t="s">
        <v>18756</v>
      </c>
      <c r="X1089" t="s">
        <v>18757</v>
      </c>
      <c r="Y1089" t="s">
        <v>18758</v>
      </c>
    </row>
    <row r="1090" spans="1:25" x14ac:dyDescent="0.3">
      <c r="A1090">
        <v>54450</v>
      </c>
      <c r="B1090" t="s">
        <v>18759</v>
      </c>
      <c r="C1090" t="s">
        <v>18760</v>
      </c>
      <c r="D1090" t="s">
        <v>18761</v>
      </c>
      <c r="E1090" t="s">
        <v>18762</v>
      </c>
      <c r="F1090" t="s">
        <v>18763</v>
      </c>
      <c r="G1090" t="s">
        <v>18764</v>
      </c>
      <c r="H1090" t="s">
        <v>18765</v>
      </c>
      <c r="I1090" t="s">
        <v>18766</v>
      </c>
      <c r="J1090" t="s">
        <v>18767</v>
      </c>
      <c r="K1090" t="s">
        <v>18768</v>
      </c>
      <c r="L1090" t="s">
        <v>18769</v>
      </c>
      <c r="M1090" t="s">
        <v>18770</v>
      </c>
      <c r="N1090" t="s">
        <v>18771</v>
      </c>
      <c r="O1090">
        <f>-594.52148321174 -61.1631467189213 -737.331737165347</f>
        <v>-1393.0163670960083</v>
      </c>
      <c r="P1090">
        <f>-614.710940056148 -46.8502839104449 -421.778709116412</f>
        <v>-1083.339933083005</v>
      </c>
      <c r="Q1090">
        <f>-354.804441928352 -55.6187460737149 -425.492949634918</f>
        <v>-835.9161376369849</v>
      </c>
      <c r="R1090" t="s">
        <v>18772</v>
      </c>
      <c r="S1090" t="s">
        <v>18773</v>
      </c>
      <c r="T1090" t="s">
        <v>18774</v>
      </c>
      <c r="U1090" t="s">
        <v>18775</v>
      </c>
      <c r="V1090" t="s">
        <v>18776</v>
      </c>
      <c r="W1090" t="s">
        <v>18777</v>
      </c>
      <c r="X1090" t="s">
        <v>18778</v>
      </c>
      <c r="Y1090" t="s">
        <v>18779</v>
      </c>
    </row>
    <row r="1091" spans="1:25" x14ac:dyDescent="0.3">
      <c r="A1091">
        <v>54500</v>
      </c>
      <c r="B1091" t="s">
        <v>18780</v>
      </c>
      <c r="C1091" t="s">
        <v>18781</v>
      </c>
      <c r="D1091" t="s">
        <v>18782</v>
      </c>
      <c r="E1091" t="s">
        <v>18783</v>
      </c>
      <c r="F1091" t="s">
        <v>18784</v>
      </c>
      <c r="G1091" t="s">
        <v>18785</v>
      </c>
      <c r="H1091" t="s">
        <v>18786</v>
      </c>
      <c r="I1091" t="s">
        <v>18787</v>
      </c>
      <c r="J1091" t="s">
        <v>18788</v>
      </c>
      <c r="K1091" t="s">
        <v>18789</v>
      </c>
      <c r="L1091" t="s">
        <v>18790</v>
      </c>
      <c r="M1091" t="s">
        <v>18791</v>
      </c>
      <c r="N1091" t="s">
        <v>18792</v>
      </c>
      <c r="O1091">
        <f>-594.5495453852 -61.1261972645277 -737.531424816002</f>
        <v>-1393.2071674657295</v>
      </c>
      <c r="P1091">
        <f>-614.926513317096 -47.1840490025797 -421.97379100957</f>
        <v>-1084.0843533292457</v>
      </c>
      <c r="Q1091">
        <f>-354.999119287633 -55.4036724740242 -425.474047821919</f>
        <v>-835.87683958357616</v>
      </c>
      <c r="R1091" t="s">
        <v>18793</v>
      </c>
      <c r="S1091" t="s">
        <v>18794</v>
      </c>
      <c r="T1091" t="s">
        <v>18795</v>
      </c>
      <c r="U1091" t="s">
        <v>18796</v>
      </c>
      <c r="V1091" t="s">
        <v>18797</v>
      </c>
      <c r="W1091" t="s">
        <v>18798</v>
      </c>
      <c r="X1091" t="s">
        <v>18799</v>
      </c>
      <c r="Y1091" t="s">
        <v>18800</v>
      </c>
    </row>
    <row r="1092" spans="1:25" x14ac:dyDescent="0.3">
      <c r="A1092">
        <v>54550</v>
      </c>
      <c r="B1092" t="s">
        <v>18801</v>
      </c>
      <c r="C1092" t="s">
        <v>18802</v>
      </c>
      <c r="D1092" t="s">
        <v>18803</v>
      </c>
      <c r="E1092" t="s">
        <v>18804</v>
      </c>
      <c r="F1092" t="s">
        <v>18805</v>
      </c>
      <c r="G1092" t="s">
        <v>18806</v>
      </c>
      <c r="H1092" t="s">
        <v>18807</v>
      </c>
      <c r="I1092" t="s">
        <v>18808</v>
      </c>
      <c r="J1092" t="s">
        <v>18809</v>
      </c>
      <c r="K1092" t="s">
        <v>18810</v>
      </c>
      <c r="L1092" t="s">
        <v>18811</v>
      </c>
      <c r="M1092" t="s">
        <v>18812</v>
      </c>
      <c r="N1092" t="s">
        <v>18813</v>
      </c>
      <c r="O1092">
        <f>-594.611472913348 -60.7582198671096 -737.919937995102</f>
        <v>-1393.2896307755595</v>
      </c>
      <c r="P1092">
        <f>-615.342933962448 -47.3719816778712 -422.361393467271</f>
        <v>-1085.0763091075901</v>
      </c>
      <c r="Q1092">
        <f>-355.388997982743 -54.972417844489 -425.229522400775</f>
        <v>-835.59093822800696</v>
      </c>
      <c r="R1092" t="s">
        <v>18814</v>
      </c>
      <c r="S1092" t="s">
        <v>18815</v>
      </c>
      <c r="T1092" t="s">
        <v>18816</v>
      </c>
      <c r="U1092" t="s">
        <v>18817</v>
      </c>
      <c r="V1092" t="s">
        <v>18818</v>
      </c>
      <c r="W1092" t="s">
        <v>18819</v>
      </c>
      <c r="X1092" t="s">
        <v>18820</v>
      </c>
      <c r="Y1092" t="s">
        <v>18821</v>
      </c>
    </row>
    <row r="1093" spans="1:25" x14ac:dyDescent="0.3">
      <c r="A1093">
        <v>54600</v>
      </c>
      <c r="B1093" t="s">
        <v>18822</v>
      </c>
      <c r="C1093" t="s">
        <v>18823</v>
      </c>
      <c r="D1093" t="s">
        <v>18824</v>
      </c>
      <c r="E1093" t="s">
        <v>18825</v>
      </c>
      <c r="F1093" t="s">
        <v>18826</v>
      </c>
      <c r="G1093" t="s">
        <v>18827</v>
      </c>
      <c r="H1093" t="s">
        <v>18828</v>
      </c>
      <c r="I1093" t="s">
        <v>18829</v>
      </c>
      <c r="J1093" t="s">
        <v>18830</v>
      </c>
      <c r="K1093" t="s">
        <v>18831</v>
      </c>
      <c r="L1093" t="s">
        <v>18832</v>
      </c>
      <c r="M1093" t="s">
        <v>18833</v>
      </c>
      <c r="N1093" t="s">
        <v>18834</v>
      </c>
      <c r="O1093">
        <f>-594.762682053842 -60.6895810255508 -738.070644802268</f>
        <v>-1393.5229078816608</v>
      </c>
      <c r="P1093">
        <f>-615.734577108734 -47.4304277414985 -422.522589100226</f>
        <v>-1085.6875939504584</v>
      </c>
      <c r="Q1093">
        <f>-355.776079950076 -54.9366292913523 -425.221268996843</f>
        <v>-835.93397823827127</v>
      </c>
      <c r="R1093" t="s">
        <v>18835</v>
      </c>
      <c r="S1093" t="s">
        <v>18836</v>
      </c>
      <c r="T1093" t="s">
        <v>18837</v>
      </c>
      <c r="U1093" t="s">
        <v>18838</v>
      </c>
      <c r="V1093" t="s">
        <v>18839</v>
      </c>
      <c r="W1093" t="s">
        <v>18840</v>
      </c>
      <c r="X1093" t="s">
        <v>18841</v>
      </c>
      <c r="Y1093" t="s">
        <v>18842</v>
      </c>
    </row>
    <row r="1094" spans="1:25" x14ac:dyDescent="0.3">
      <c r="A1094">
        <v>54650</v>
      </c>
      <c r="B1094" t="s">
        <v>18843</v>
      </c>
      <c r="C1094" t="s">
        <v>18844</v>
      </c>
      <c r="D1094" t="s">
        <v>18845</v>
      </c>
      <c r="E1094" t="s">
        <v>18846</v>
      </c>
      <c r="F1094" t="s">
        <v>18847</v>
      </c>
      <c r="G1094" t="s">
        <v>18848</v>
      </c>
      <c r="H1094" t="s">
        <v>18849</v>
      </c>
      <c r="I1094" t="s">
        <v>18850</v>
      </c>
      <c r="J1094" t="s">
        <v>18851</v>
      </c>
      <c r="K1094" t="s">
        <v>18852</v>
      </c>
      <c r="L1094" t="s">
        <v>18853</v>
      </c>
      <c r="M1094" t="s">
        <v>18854</v>
      </c>
      <c r="N1094" t="s">
        <v>18855</v>
      </c>
      <c r="O1094">
        <f>-595.072514042377 -60.588819056416 -738.2134164203</f>
        <v>-1393.8747495190928</v>
      </c>
      <c r="P1094">
        <f>-616.311985085805 -47.4504662403615 -422.678353444173</f>
        <v>-1086.4408047703396</v>
      </c>
      <c r="Q1094">
        <f>-356.360125409642 -55.3103479826671 -424.984396276911</f>
        <v>-836.65486966922015</v>
      </c>
      <c r="R1094" t="s">
        <v>18856</v>
      </c>
      <c r="S1094" t="s">
        <v>18857</v>
      </c>
      <c r="T1094" t="s">
        <v>18858</v>
      </c>
      <c r="U1094" t="s">
        <v>18859</v>
      </c>
      <c r="V1094" t="s">
        <v>18860</v>
      </c>
      <c r="W1094" t="s">
        <v>18861</v>
      </c>
      <c r="X1094" t="s">
        <v>18862</v>
      </c>
      <c r="Y1094" t="s">
        <v>18863</v>
      </c>
    </row>
    <row r="1095" spans="1:25" x14ac:dyDescent="0.3">
      <c r="A1095">
        <v>54700</v>
      </c>
      <c r="B1095" t="s">
        <v>18864</v>
      </c>
      <c r="C1095" t="s">
        <v>18865</v>
      </c>
      <c r="D1095" t="s">
        <v>18866</v>
      </c>
      <c r="E1095" t="s">
        <v>18867</v>
      </c>
      <c r="F1095" t="s">
        <v>18868</v>
      </c>
      <c r="G1095" t="s">
        <v>18869</v>
      </c>
      <c r="H1095" t="s">
        <v>18870</v>
      </c>
      <c r="I1095" t="s">
        <v>18871</v>
      </c>
      <c r="J1095" t="s">
        <v>18872</v>
      </c>
      <c r="K1095" t="s">
        <v>18873</v>
      </c>
      <c r="L1095" t="s">
        <v>18874</v>
      </c>
      <c r="M1095" t="s">
        <v>18875</v>
      </c>
      <c r="N1095" t="s">
        <v>18876</v>
      </c>
      <c r="O1095">
        <f>-595.618389154428 -60.4008913581754 -738.406637890943</f>
        <v>-1394.4259184035463</v>
      </c>
      <c r="P1095">
        <f>-616.788303806285 -47.4023230637331 -422.861062808627</f>
        <v>-1087.0516896786451</v>
      </c>
      <c r="Q1095">
        <f>-356.849150551819 -55.7256692651188 -424.966211023807</f>
        <v>-837.54103084074472</v>
      </c>
      <c r="R1095" t="s">
        <v>18877</v>
      </c>
      <c r="S1095" t="s">
        <v>18878</v>
      </c>
      <c r="T1095" t="s">
        <v>18879</v>
      </c>
      <c r="U1095" t="s">
        <v>18880</v>
      </c>
      <c r="V1095" t="s">
        <v>18881</v>
      </c>
      <c r="W1095" t="s">
        <v>18882</v>
      </c>
      <c r="X1095" t="s">
        <v>18883</v>
      </c>
      <c r="Y1095" t="s">
        <v>18884</v>
      </c>
    </row>
    <row r="1096" spans="1:25" x14ac:dyDescent="0.3">
      <c r="A1096">
        <v>54750</v>
      </c>
      <c r="B1096" t="s">
        <v>18885</v>
      </c>
      <c r="C1096" t="s">
        <v>18886</v>
      </c>
      <c r="D1096" t="s">
        <v>18887</v>
      </c>
      <c r="E1096" t="s">
        <v>18888</v>
      </c>
      <c r="F1096" t="s">
        <v>18889</v>
      </c>
      <c r="G1096" t="s">
        <v>18890</v>
      </c>
      <c r="H1096" t="s">
        <v>18891</v>
      </c>
      <c r="I1096" t="s">
        <v>18892</v>
      </c>
      <c r="J1096" t="s">
        <v>18893</v>
      </c>
      <c r="K1096" t="s">
        <v>18894</v>
      </c>
      <c r="L1096" t="s">
        <v>18895</v>
      </c>
      <c r="M1096" t="s">
        <v>18896</v>
      </c>
      <c r="N1096" t="s">
        <v>18897</v>
      </c>
      <c r="O1096">
        <f>-595.820788282319 -60.2562630355608 -738.450013825225</f>
        <v>-1394.5270651431047</v>
      </c>
      <c r="P1096">
        <f>-616.979873170906 -47.3497509107196 -422.899881882039</f>
        <v>-1087.2295059636647</v>
      </c>
      <c r="Q1096">
        <f>-357.046235737515 -55.8328682741831 -425.04150113907</f>
        <v>-837.9206051507681</v>
      </c>
      <c r="R1096" t="s">
        <v>18898</v>
      </c>
      <c r="S1096" t="s">
        <v>18899</v>
      </c>
      <c r="T1096" t="s">
        <v>18900</v>
      </c>
      <c r="U1096" t="s">
        <v>18901</v>
      </c>
      <c r="V1096" t="s">
        <v>18902</v>
      </c>
      <c r="W1096" t="s">
        <v>18903</v>
      </c>
      <c r="X1096" t="s">
        <v>18904</v>
      </c>
      <c r="Y1096" t="s">
        <v>18905</v>
      </c>
    </row>
    <row r="1097" spans="1:25" x14ac:dyDescent="0.3">
      <c r="A1097">
        <v>54800</v>
      </c>
      <c r="B1097" t="s">
        <v>18906</v>
      </c>
      <c r="C1097" t="s">
        <v>18907</v>
      </c>
      <c r="D1097" t="s">
        <v>18908</v>
      </c>
      <c r="E1097" t="s">
        <v>18909</v>
      </c>
      <c r="F1097" t="s">
        <v>18910</v>
      </c>
      <c r="G1097" t="s">
        <v>18911</v>
      </c>
      <c r="H1097" t="s">
        <v>18912</v>
      </c>
      <c r="I1097" t="s">
        <v>18913</v>
      </c>
      <c r="J1097" t="s">
        <v>18914</v>
      </c>
      <c r="K1097" t="s">
        <v>18915</v>
      </c>
      <c r="L1097" t="s">
        <v>18916</v>
      </c>
      <c r="M1097" t="s">
        <v>18917</v>
      </c>
      <c r="N1097" t="s">
        <v>18918</v>
      </c>
      <c r="O1097">
        <f>-596.05650796231 -60.1028423943922 -738.476190002594</f>
        <v>-1394.6355403592961</v>
      </c>
      <c r="P1097">
        <f>-617.121648430845 -47.3104051153491 -422.915070862721</f>
        <v>-1087.3471244089151</v>
      </c>
      <c r="Q1097">
        <f>-357.194587930119 -55.9923234041105 -425.057105288516</f>
        <v>-838.24401662274545</v>
      </c>
      <c r="R1097" t="s">
        <v>18919</v>
      </c>
      <c r="S1097" t="s">
        <v>18920</v>
      </c>
      <c r="T1097" t="s">
        <v>18921</v>
      </c>
      <c r="U1097" t="s">
        <v>18922</v>
      </c>
      <c r="V1097" t="s">
        <v>18923</v>
      </c>
      <c r="W1097" t="s">
        <v>18924</v>
      </c>
      <c r="X1097" t="s">
        <v>18925</v>
      </c>
      <c r="Y1097" t="s">
        <v>18926</v>
      </c>
    </row>
    <row r="1098" spans="1:25" x14ac:dyDescent="0.3">
      <c r="A1098">
        <v>54850</v>
      </c>
      <c r="B1098" t="s">
        <v>18927</v>
      </c>
      <c r="C1098" t="s">
        <v>18928</v>
      </c>
      <c r="D1098" t="s">
        <v>18929</v>
      </c>
      <c r="E1098" t="s">
        <v>18930</v>
      </c>
      <c r="F1098" t="s">
        <v>18931</v>
      </c>
      <c r="G1098" t="s">
        <v>18932</v>
      </c>
      <c r="H1098" t="s">
        <v>18933</v>
      </c>
      <c r="I1098" t="s">
        <v>18934</v>
      </c>
      <c r="J1098" t="s">
        <v>18935</v>
      </c>
      <c r="K1098" t="s">
        <v>18936</v>
      </c>
      <c r="L1098" t="s">
        <v>18937</v>
      </c>
      <c r="M1098" t="s">
        <v>18938</v>
      </c>
      <c r="N1098" t="s">
        <v>18939</v>
      </c>
      <c r="O1098">
        <f>-596.568607095296 -59.7557155842212 -738.476055888987</f>
        <v>-1394.8003785685041</v>
      </c>
      <c r="P1098">
        <f>-617.440802639831 -46.884416409926 -422.905276741858</f>
        <v>-1087.2304957916149</v>
      </c>
      <c r="Q1098">
        <f>-357.538869815012 -56.2385719149754 -425.257523669188</f>
        <v>-839.03496539917546</v>
      </c>
      <c r="R1098" t="s">
        <v>18940</v>
      </c>
      <c r="S1098" t="s">
        <v>18941</v>
      </c>
      <c r="T1098" t="s">
        <v>18942</v>
      </c>
      <c r="U1098" t="s">
        <v>18943</v>
      </c>
      <c r="V1098" t="s">
        <v>18944</v>
      </c>
      <c r="W1098" t="s">
        <v>18945</v>
      </c>
      <c r="X1098" t="s">
        <v>18946</v>
      </c>
      <c r="Y1098" t="s">
        <v>18947</v>
      </c>
    </row>
    <row r="1099" spans="1:25" x14ac:dyDescent="0.3">
      <c r="A1099">
        <v>54900</v>
      </c>
      <c r="B1099" t="s">
        <v>18948</v>
      </c>
      <c r="C1099" t="s">
        <v>18949</v>
      </c>
      <c r="D1099" t="s">
        <v>18950</v>
      </c>
      <c r="E1099" t="s">
        <v>18951</v>
      </c>
      <c r="F1099" t="s">
        <v>18952</v>
      </c>
      <c r="G1099" t="s">
        <v>18953</v>
      </c>
      <c r="H1099" t="s">
        <v>18954</v>
      </c>
      <c r="I1099" t="s">
        <v>18955</v>
      </c>
      <c r="J1099" t="s">
        <v>18956</v>
      </c>
      <c r="K1099" t="s">
        <v>18957</v>
      </c>
      <c r="L1099" t="s">
        <v>18958</v>
      </c>
      <c r="M1099" t="s">
        <v>18959</v>
      </c>
      <c r="N1099" t="s">
        <v>18960</v>
      </c>
      <c r="O1099">
        <f>-596.609748189628 -59.4583879196778 -738.455974335583</f>
        <v>-1394.5241104448887</v>
      </c>
      <c r="P1099">
        <f>-617.442720361208 -46.5643088033785 -422.883700786483</f>
        <v>-1086.8907299510695</v>
      </c>
      <c r="Q1099">
        <f>-357.556120831225 -56.2729141224504 -425.483095100204</f>
        <v>-839.3121300538794</v>
      </c>
      <c r="R1099" t="s">
        <v>18961</v>
      </c>
      <c r="S1099" t="s">
        <v>18962</v>
      </c>
      <c r="T1099" t="s">
        <v>18963</v>
      </c>
      <c r="U1099" t="s">
        <v>18964</v>
      </c>
      <c r="V1099" t="s">
        <v>18965</v>
      </c>
      <c r="W1099" t="s">
        <v>18966</v>
      </c>
      <c r="X1099" t="s">
        <v>18967</v>
      </c>
      <c r="Y1099" t="s">
        <v>18968</v>
      </c>
    </row>
    <row r="1100" spans="1:25" x14ac:dyDescent="0.3">
      <c r="A1100">
        <v>54950</v>
      </c>
      <c r="B1100" t="s">
        <v>18969</v>
      </c>
      <c r="C1100" t="s">
        <v>18970</v>
      </c>
      <c r="D1100" t="s">
        <v>18971</v>
      </c>
      <c r="E1100" t="s">
        <v>18972</v>
      </c>
      <c r="F1100" t="s">
        <v>18973</v>
      </c>
      <c r="G1100" t="s">
        <v>18974</v>
      </c>
      <c r="H1100" t="s">
        <v>18975</v>
      </c>
      <c r="I1100" t="s">
        <v>18976</v>
      </c>
      <c r="J1100" t="s">
        <v>18977</v>
      </c>
      <c r="K1100" t="s">
        <v>18978</v>
      </c>
      <c r="L1100" t="s">
        <v>18979</v>
      </c>
      <c r="M1100" t="s">
        <v>18980</v>
      </c>
      <c r="N1100" t="s">
        <v>18981</v>
      </c>
      <c r="O1100">
        <f>-596.483356449929 -58.9429258149598 -738.428011676574</f>
        <v>-1393.8542939414629</v>
      </c>
      <c r="P1100">
        <f>-617.473994479843 -46.1009253537252 -422.863985819384</f>
        <v>-1086.4389056529521</v>
      </c>
      <c r="Q1100">
        <f>-357.596808318816 -56.0431638451244 -425.519782277843</f>
        <v>-839.15975444178343</v>
      </c>
      <c r="R1100" t="s">
        <v>18982</v>
      </c>
      <c r="S1100" t="s">
        <v>18983</v>
      </c>
      <c r="T1100" t="s">
        <v>18984</v>
      </c>
      <c r="U1100" t="s">
        <v>18985</v>
      </c>
      <c r="V1100" t="s">
        <v>18986</v>
      </c>
      <c r="W1100" t="s">
        <v>18987</v>
      </c>
      <c r="X1100" t="s">
        <v>18988</v>
      </c>
      <c r="Y1100" t="s">
        <v>18989</v>
      </c>
    </row>
    <row r="1101" spans="1:25" x14ac:dyDescent="0.3">
      <c r="A1101">
        <v>55000</v>
      </c>
      <c r="B1101" t="s">
        <v>18990</v>
      </c>
      <c r="C1101" t="s">
        <v>18991</v>
      </c>
      <c r="D1101" t="s">
        <v>18992</v>
      </c>
      <c r="E1101" t="s">
        <v>18993</v>
      </c>
      <c r="F1101" t="s">
        <v>18994</v>
      </c>
      <c r="G1101" t="s">
        <v>18995</v>
      </c>
      <c r="H1101" t="s">
        <v>18996</v>
      </c>
      <c r="I1101" t="s">
        <v>18997</v>
      </c>
      <c r="J1101" t="s">
        <v>18998</v>
      </c>
      <c r="K1101" t="s">
        <v>18999</v>
      </c>
      <c r="L1101" t="s">
        <v>19000</v>
      </c>
      <c r="M1101" t="s">
        <v>19001</v>
      </c>
      <c r="N1101" t="s">
        <v>19002</v>
      </c>
      <c r="O1101">
        <f>-596.38219605669 -58.7183882764364 -738.380702413687</f>
        <v>-1393.4812867468133</v>
      </c>
      <c r="P1101">
        <f>-617.595180245041 -45.8631599679672 -422.83195584721</f>
        <v>-1086.2902960602182</v>
      </c>
      <c r="Q1101">
        <f>-357.726350451517 -56.0351157195596 -425.435545749259</f>
        <v>-839.19701192033563</v>
      </c>
      <c r="R1101" t="s">
        <v>19003</v>
      </c>
      <c r="S1101" t="s">
        <v>19004</v>
      </c>
      <c r="T1101" t="s">
        <v>19005</v>
      </c>
      <c r="U1101" t="s">
        <v>19006</v>
      </c>
      <c r="V1101" t="s">
        <v>19007</v>
      </c>
      <c r="W1101" t="s">
        <v>19008</v>
      </c>
      <c r="X1101" t="s">
        <v>19009</v>
      </c>
      <c r="Y1101" t="s">
        <v>19010</v>
      </c>
    </row>
    <row r="1102" spans="1:25" x14ac:dyDescent="0.3">
      <c r="A1102">
        <v>55050</v>
      </c>
      <c r="B1102" t="s">
        <v>19011</v>
      </c>
      <c r="C1102" t="s">
        <v>19012</v>
      </c>
      <c r="D1102" t="s">
        <v>19013</v>
      </c>
      <c r="E1102" t="s">
        <v>19014</v>
      </c>
      <c r="F1102" t="s">
        <v>19015</v>
      </c>
      <c r="G1102" t="s">
        <v>19016</v>
      </c>
      <c r="H1102" t="s">
        <v>19017</v>
      </c>
      <c r="I1102" t="s">
        <v>19018</v>
      </c>
      <c r="J1102" t="s">
        <v>19019</v>
      </c>
      <c r="K1102" t="s">
        <v>19020</v>
      </c>
      <c r="L1102" t="s">
        <v>19021</v>
      </c>
      <c r="M1102" t="s">
        <v>19022</v>
      </c>
      <c r="N1102" t="s">
        <v>19023</v>
      </c>
      <c r="O1102">
        <f>-596.084744089283 -58.2418221539085 -738.253913501131</f>
        <v>-1392.5804797443225</v>
      </c>
      <c r="P1102">
        <f>-617.558108862395 -45.3606799787451 -422.723947604855</f>
        <v>-1085.6427364459951</v>
      </c>
      <c r="Q1102">
        <f>-357.711897957747 -56.1430896974819 -425.121242011177</f>
        <v>-838.97622966640597</v>
      </c>
      <c r="R1102" t="s">
        <v>19024</v>
      </c>
      <c r="S1102" t="s">
        <v>19025</v>
      </c>
      <c r="T1102" t="s">
        <v>19026</v>
      </c>
      <c r="U1102" t="s">
        <v>19027</v>
      </c>
      <c r="V1102" t="s">
        <v>19028</v>
      </c>
      <c r="W1102" t="s">
        <v>19029</v>
      </c>
      <c r="X1102" t="s">
        <v>19030</v>
      </c>
      <c r="Y1102" t="s">
        <v>19031</v>
      </c>
    </row>
    <row r="1103" spans="1:25" x14ac:dyDescent="0.3">
      <c r="A1103">
        <v>55100</v>
      </c>
      <c r="B1103" t="s">
        <v>19032</v>
      </c>
      <c r="C1103" t="s">
        <v>19033</v>
      </c>
      <c r="D1103" t="s">
        <v>19034</v>
      </c>
      <c r="E1103" t="s">
        <v>19035</v>
      </c>
      <c r="F1103" t="s">
        <v>19036</v>
      </c>
      <c r="G1103" t="s">
        <v>19037</v>
      </c>
      <c r="H1103" t="s">
        <v>19038</v>
      </c>
      <c r="I1103" t="s">
        <v>19039</v>
      </c>
      <c r="J1103" t="s">
        <v>19040</v>
      </c>
      <c r="K1103" t="s">
        <v>19041</v>
      </c>
      <c r="L1103" t="s">
        <v>19042</v>
      </c>
      <c r="M1103" t="s">
        <v>19043</v>
      </c>
      <c r="N1103" t="s">
        <v>19044</v>
      </c>
      <c r="O1103">
        <f>-596.071219614026 -57.8550723384774 -738.237558546652</f>
        <v>-1392.1638504991554</v>
      </c>
      <c r="P1103">
        <f>-617.691156143908 -44.9056719408811 -422.720265316712</f>
        <v>-1085.3170934015011</v>
      </c>
      <c r="Q1103">
        <f>-357.850648774053 -55.8732997551458 -424.883382628685</f>
        <v>-838.60733115788389</v>
      </c>
      <c r="R1103" t="s">
        <v>19045</v>
      </c>
      <c r="S1103" t="s">
        <v>19046</v>
      </c>
      <c r="T1103" t="s">
        <v>19047</v>
      </c>
      <c r="U1103" t="s">
        <v>19048</v>
      </c>
      <c r="V1103" t="s">
        <v>19049</v>
      </c>
      <c r="W1103" t="s">
        <v>19050</v>
      </c>
      <c r="X1103" t="s">
        <v>19051</v>
      </c>
      <c r="Y1103" t="s">
        <v>19052</v>
      </c>
    </row>
    <row r="1104" spans="1:25" x14ac:dyDescent="0.3">
      <c r="A1104">
        <v>55150</v>
      </c>
      <c r="B1104" t="s">
        <v>19053</v>
      </c>
      <c r="C1104" t="s">
        <v>19054</v>
      </c>
      <c r="D1104" t="s">
        <v>19055</v>
      </c>
      <c r="E1104" t="s">
        <v>19056</v>
      </c>
      <c r="F1104" t="s">
        <v>19057</v>
      </c>
      <c r="G1104" t="s">
        <v>19058</v>
      </c>
      <c r="H1104" t="s">
        <v>19059</v>
      </c>
      <c r="I1104" t="s">
        <v>19060</v>
      </c>
      <c r="J1104" t="s">
        <v>19061</v>
      </c>
      <c r="K1104" t="s">
        <v>19062</v>
      </c>
      <c r="L1104" t="s">
        <v>19063</v>
      </c>
      <c r="M1104" t="s">
        <v>19064</v>
      </c>
      <c r="N1104" t="s">
        <v>19065</v>
      </c>
      <c r="O1104">
        <f>-595.669092930026 -56.8591759281735 -738.346420406139</f>
        <v>-1390.8746892643385</v>
      </c>
      <c r="P1104">
        <f>-617.784677006703 -43.8720675747966 -422.865144274196</f>
        <v>-1084.5218888556956</v>
      </c>
      <c r="Q1104">
        <f>-357.933500662599 -54.7819214101125 -423.495571601752</f>
        <v>-836.21099367446345</v>
      </c>
      <c r="R1104" t="s">
        <v>19066</v>
      </c>
      <c r="S1104" t="s">
        <v>19067</v>
      </c>
      <c r="T1104" t="s">
        <v>19068</v>
      </c>
      <c r="U1104" t="s">
        <v>19069</v>
      </c>
      <c r="V1104" t="s">
        <v>19070</v>
      </c>
      <c r="W1104" t="s">
        <v>19071</v>
      </c>
      <c r="X1104" t="s">
        <v>19072</v>
      </c>
      <c r="Y1104" t="s">
        <v>19073</v>
      </c>
    </row>
    <row r="1105" spans="1:25" x14ac:dyDescent="0.3">
      <c r="A1105">
        <v>55200</v>
      </c>
      <c r="B1105" t="s">
        <v>19074</v>
      </c>
      <c r="C1105" t="s">
        <v>19075</v>
      </c>
      <c r="D1105" t="s">
        <v>19076</v>
      </c>
      <c r="E1105" t="s">
        <v>19077</v>
      </c>
      <c r="F1105" t="s">
        <v>19078</v>
      </c>
      <c r="G1105" t="s">
        <v>19079</v>
      </c>
      <c r="H1105" t="s">
        <v>19080</v>
      </c>
      <c r="I1105" t="s">
        <v>19081</v>
      </c>
      <c r="J1105" t="s">
        <v>19082</v>
      </c>
      <c r="K1105" t="s">
        <v>19083</v>
      </c>
      <c r="L1105" t="s">
        <v>19084</v>
      </c>
      <c r="M1105" t="s">
        <v>19085</v>
      </c>
      <c r="N1105" t="s">
        <v>19086</v>
      </c>
      <c r="O1105">
        <f>-595.357469293289 -56.3579770046633 -738.396913259016</f>
        <v>-1390.1123595569684</v>
      </c>
      <c r="P1105">
        <f>-618.021277067792 -43.0911301398162 -422.966233163419</f>
        <v>-1084.0786403710272</v>
      </c>
      <c r="Q1105">
        <f>-358.138666761985 -53.2394811083652 -423.255670054866</f>
        <v>-834.63381792521614</v>
      </c>
      <c r="R1105" t="s">
        <v>19087</v>
      </c>
      <c r="S1105" t="s">
        <v>19088</v>
      </c>
      <c r="T1105" t="s">
        <v>19089</v>
      </c>
      <c r="U1105" t="s">
        <v>19090</v>
      </c>
      <c r="V1105" t="s">
        <v>19091</v>
      </c>
      <c r="W1105" t="s">
        <v>19092</v>
      </c>
      <c r="X1105" t="s">
        <v>19093</v>
      </c>
      <c r="Y1105" t="s">
        <v>19094</v>
      </c>
    </row>
    <row r="1106" spans="1:25" x14ac:dyDescent="0.3">
      <c r="A1106">
        <v>55250</v>
      </c>
      <c r="B1106" t="s">
        <v>19095</v>
      </c>
      <c r="C1106" t="s">
        <v>19096</v>
      </c>
      <c r="D1106" t="s">
        <v>19097</v>
      </c>
      <c r="E1106" t="s">
        <v>19098</v>
      </c>
      <c r="F1106" t="s">
        <v>19099</v>
      </c>
      <c r="G1106" t="s">
        <v>19100</v>
      </c>
      <c r="H1106" t="s">
        <v>19101</v>
      </c>
      <c r="I1106" t="s">
        <v>19102</v>
      </c>
      <c r="J1106" t="s">
        <v>19103</v>
      </c>
      <c r="K1106" t="s">
        <v>19104</v>
      </c>
      <c r="L1106" t="s">
        <v>19105</v>
      </c>
      <c r="M1106" t="s">
        <v>19106</v>
      </c>
      <c r="N1106" t="s">
        <v>19107</v>
      </c>
      <c r="O1106">
        <f>-595.229568372796 -55.6156613881083 -738.352548720488</f>
        <v>-1389.1977784813923</v>
      </c>
      <c r="P1106">
        <f>-618.12245921364 -41.1993850508411 -422.988719387337</f>
        <v>-1082.310563651818</v>
      </c>
      <c r="Q1106">
        <f>-358.280142340334 -52.2792931794343 -424.107197994326</f>
        <v>-834.66663351409431</v>
      </c>
      <c r="R1106" t="s">
        <v>19108</v>
      </c>
      <c r="S1106" t="s">
        <v>19109</v>
      </c>
      <c r="T1106" t="s">
        <v>19110</v>
      </c>
      <c r="U1106" t="s">
        <v>19111</v>
      </c>
      <c r="V1106" t="s">
        <v>19112</v>
      </c>
      <c r="W1106" t="s">
        <v>19113</v>
      </c>
      <c r="X1106" t="s">
        <v>19114</v>
      </c>
      <c r="Y1106" t="s">
        <v>19115</v>
      </c>
    </row>
    <row r="1107" spans="1:25" x14ac:dyDescent="0.3">
      <c r="A1107">
        <v>55300</v>
      </c>
      <c r="B1107" t="s">
        <v>19116</v>
      </c>
      <c r="C1107" t="s">
        <v>19117</v>
      </c>
      <c r="D1107" t="s">
        <v>19118</v>
      </c>
      <c r="E1107" t="s">
        <v>19119</v>
      </c>
      <c r="F1107" t="s">
        <v>19120</v>
      </c>
      <c r="G1107" t="s">
        <v>19121</v>
      </c>
      <c r="H1107" t="s">
        <v>19122</v>
      </c>
      <c r="I1107" t="s">
        <v>19123</v>
      </c>
      <c r="J1107" t="s">
        <v>19124</v>
      </c>
      <c r="K1107" t="s">
        <v>19125</v>
      </c>
      <c r="L1107" t="s">
        <v>19126</v>
      </c>
      <c r="M1107" t="s">
        <v>19127</v>
      </c>
      <c r="N1107" t="s">
        <v>19128</v>
      </c>
      <c r="O1107">
        <f>-595.359149737148 -55.3855792175143 -738.305498263133</f>
        <v>-1389.0502272177953</v>
      </c>
      <c r="P1107">
        <f>-618.371173022418 -40.57912747044 -422.968535073449</f>
        <v>-1081.9188355663071</v>
      </c>
      <c r="Q1107">
        <f>-358.540816531705 -51.574983742265 -426.023752841458</f>
        <v>-836.13955311542804</v>
      </c>
      <c r="R1107" t="s">
        <v>19129</v>
      </c>
      <c r="S1107" t="s">
        <v>19130</v>
      </c>
      <c r="T1107" t="s">
        <v>19131</v>
      </c>
      <c r="U1107" t="s">
        <v>19132</v>
      </c>
      <c r="V1107" t="s">
        <v>19133</v>
      </c>
      <c r="W1107" t="s">
        <v>19134</v>
      </c>
      <c r="X1107" t="s">
        <v>19135</v>
      </c>
      <c r="Y1107" t="s">
        <v>19136</v>
      </c>
    </row>
    <row r="1108" spans="1:25" x14ac:dyDescent="0.3">
      <c r="A1108">
        <v>55350</v>
      </c>
      <c r="B1108" t="s">
        <v>19137</v>
      </c>
      <c r="C1108" t="s">
        <v>19138</v>
      </c>
      <c r="D1108" t="s">
        <v>19139</v>
      </c>
      <c r="E1108" t="s">
        <v>19140</v>
      </c>
      <c r="F1108" t="s">
        <v>19141</v>
      </c>
      <c r="G1108" t="s">
        <v>19142</v>
      </c>
      <c r="H1108" t="s">
        <v>19143</v>
      </c>
      <c r="I1108" t="s">
        <v>19144</v>
      </c>
      <c r="J1108" t="s">
        <v>19145</v>
      </c>
      <c r="K1108" t="s">
        <v>19146</v>
      </c>
      <c r="L1108" t="s">
        <v>19147</v>
      </c>
      <c r="M1108" t="s">
        <v>19148</v>
      </c>
      <c r="N1108" t="s">
        <v>19149</v>
      </c>
      <c r="O1108">
        <f>-596.208180983147 -55.1323876818717 -738.234483500401</f>
        <v>-1389.5750521654197</v>
      </c>
      <c r="P1108">
        <f>-618.604706591359 -38.5848907274631 -422.939781832101</f>
        <v>-1080.1293791509231</v>
      </c>
      <c r="Q1108">
        <f>-358.914792446818 -49.4590250623035 -432.156858803426</f>
        <v>-840.53067631254748</v>
      </c>
      <c r="R1108" t="s">
        <v>19150</v>
      </c>
      <c r="S1108" t="s">
        <v>19151</v>
      </c>
      <c r="T1108" t="s">
        <v>19152</v>
      </c>
      <c r="U1108" t="s">
        <v>19153</v>
      </c>
      <c r="V1108" t="s">
        <v>19154</v>
      </c>
      <c r="W1108" t="s">
        <v>19155</v>
      </c>
      <c r="X1108" t="s">
        <v>19156</v>
      </c>
      <c r="Y1108" t="s">
        <v>19157</v>
      </c>
    </row>
    <row r="1109" spans="1:25" x14ac:dyDescent="0.3">
      <c r="A1109">
        <v>55400</v>
      </c>
      <c r="B1109" t="s">
        <v>19158</v>
      </c>
      <c r="C1109" t="s">
        <v>19159</v>
      </c>
      <c r="D1109" t="s">
        <v>19160</v>
      </c>
      <c r="E1109" t="s">
        <v>19161</v>
      </c>
      <c r="F1109" t="s">
        <v>19162</v>
      </c>
      <c r="G1109" t="s">
        <v>19163</v>
      </c>
      <c r="H1109" t="s">
        <v>19164</v>
      </c>
      <c r="I1109" t="s">
        <v>19165</v>
      </c>
      <c r="J1109" t="s">
        <v>19166</v>
      </c>
      <c r="K1109" t="s">
        <v>19167</v>
      </c>
      <c r="L1109" t="s">
        <v>19168</v>
      </c>
      <c r="M1109" t="s">
        <v>19169</v>
      </c>
      <c r="N1109" t="s">
        <v>19170</v>
      </c>
      <c r="O1109">
        <f>-597.058894817152 -55.0105624148882 -738.090193199445</f>
        <v>-1390.1596504314853</v>
      </c>
      <c r="P1109">
        <f>-618.743899588426 -37.6660523513945 -422.788494593551</f>
        <v>-1079.1984465333715</v>
      </c>
      <c r="Q1109">
        <f>-359.186077210325 -49.0874169296783 -434.677781611442</f>
        <v>-842.95127575144534</v>
      </c>
      <c r="R1109" t="s">
        <v>19171</v>
      </c>
      <c r="S1109" t="s">
        <v>19172</v>
      </c>
      <c r="T1109" t="s">
        <v>19173</v>
      </c>
      <c r="U1109" t="s">
        <v>19174</v>
      </c>
      <c r="V1109" t="s">
        <v>19175</v>
      </c>
      <c r="W1109" t="s">
        <v>19176</v>
      </c>
      <c r="X1109" t="s">
        <v>19177</v>
      </c>
      <c r="Y1109" t="s">
        <v>19178</v>
      </c>
    </row>
    <row r="1110" spans="1:25" x14ac:dyDescent="0.3">
      <c r="A1110">
        <v>55450</v>
      </c>
      <c r="B1110" t="s">
        <v>19179</v>
      </c>
      <c r="C1110" t="s">
        <v>19180</v>
      </c>
      <c r="D1110" t="s">
        <v>19181</v>
      </c>
      <c r="E1110" t="s">
        <v>19182</v>
      </c>
      <c r="F1110" t="s">
        <v>19183</v>
      </c>
      <c r="G1110" t="s">
        <v>19184</v>
      </c>
      <c r="H1110" t="s">
        <v>19185</v>
      </c>
      <c r="I1110" t="s">
        <v>19186</v>
      </c>
      <c r="J1110" t="s">
        <v>19187</v>
      </c>
      <c r="K1110" t="s">
        <v>19188</v>
      </c>
      <c r="L1110" t="s">
        <v>19189</v>
      </c>
      <c r="M1110" t="s">
        <v>19190</v>
      </c>
      <c r="N1110" t="s">
        <v>19191</v>
      </c>
      <c r="O1110">
        <f>-598.894087882871 -54.5772127356261 -738.043854715758</f>
        <v>-1391.515155334255</v>
      </c>
      <c r="P1110">
        <f>-618.699425870483 -36.3793237910766 -422.666656969265</f>
        <v>-1077.7454066308246</v>
      </c>
      <c r="Q1110">
        <f>-359.256561648882 -49.0290272573802 -435.760368829774</f>
        <v>-844.04595773603614</v>
      </c>
      <c r="R1110" t="s">
        <v>19192</v>
      </c>
      <c r="S1110" t="s">
        <v>19193</v>
      </c>
      <c r="T1110" t="s">
        <v>19194</v>
      </c>
      <c r="U1110" t="s">
        <v>19195</v>
      </c>
      <c r="V1110" t="s">
        <v>19196</v>
      </c>
      <c r="W1110" t="s">
        <v>19197</v>
      </c>
      <c r="X1110" t="s">
        <v>19198</v>
      </c>
      <c r="Y1110" t="s">
        <v>19199</v>
      </c>
    </row>
    <row r="1111" spans="1:25" x14ac:dyDescent="0.3">
      <c r="A1111">
        <v>55500</v>
      </c>
      <c r="B1111" t="s">
        <v>19200</v>
      </c>
      <c r="C1111" t="s">
        <v>19201</v>
      </c>
      <c r="D1111" t="s">
        <v>19202</v>
      </c>
      <c r="E1111" t="s">
        <v>19203</v>
      </c>
      <c r="F1111" t="s">
        <v>19204</v>
      </c>
      <c r="G1111" t="s">
        <v>19205</v>
      </c>
      <c r="H1111" t="s">
        <v>19206</v>
      </c>
      <c r="I1111" t="s">
        <v>19207</v>
      </c>
      <c r="J1111" t="s">
        <v>19208</v>
      </c>
      <c r="K1111" t="s">
        <v>19209</v>
      </c>
      <c r="L1111" t="s">
        <v>19210</v>
      </c>
      <c r="M1111" t="s">
        <v>19211</v>
      </c>
      <c r="N1111" t="s">
        <v>19212</v>
      </c>
      <c r="O1111">
        <f>-599.642549879627 -54.1836256015276 -738.004584233295</f>
        <v>-1391.8307597144496</v>
      </c>
      <c r="P1111">
        <f>-618.712830035742 -36.2842034548305 -422.565023250101</f>
        <v>-1077.5620567406734</v>
      </c>
      <c r="Q1111">
        <f>-359.263131833922 -48.7567698014107 -435.693232598539</f>
        <v>-843.71313423387164</v>
      </c>
      <c r="R1111" t="s">
        <v>19213</v>
      </c>
      <c r="S1111" t="s">
        <v>19214</v>
      </c>
      <c r="T1111" t="s">
        <v>19215</v>
      </c>
      <c r="U1111" t="s">
        <v>19216</v>
      </c>
      <c r="V1111" t="s">
        <v>19217</v>
      </c>
      <c r="W1111" t="s">
        <v>19218</v>
      </c>
      <c r="X1111" t="s">
        <v>19219</v>
      </c>
      <c r="Y1111" t="s">
        <v>19220</v>
      </c>
    </row>
    <row r="1112" spans="1:25" x14ac:dyDescent="0.3">
      <c r="A1112">
        <v>55550</v>
      </c>
      <c r="B1112" t="s">
        <v>19221</v>
      </c>
      <c r="C1112" t="s">
        <v>19222</v>
      </c>
      <c r="D1112" t="s">
        <v>19223</v>
      </c>
      <c r="E1112" t="s">
        <v>19224</v>
      </c>
      <c r="F1112" t="s">
        <v>19225</v>
      </c>
      <c r="G1112" t="s">
        <v>19226</v>
      </c>
      <c r="H1112" t="s">
        <v>19227</v>
      </c>
      <c r="I1112" t="s">
        <v>19228</v>
      </c>
      <c r="J1112" t="s">
        <v>19229</v>
      </c>
      <c r="K1112" t="s">
        <v>19230</v>
      </c>
      <c r="L1112" t="s">
        <v>19231</v>
      </c>
      <c r="M1112" t="s">
        <v>19232</v>
      </c>
      <c r="N1112" t="s">
        <v>19233</v>
      </c>
      <c r="O1112">
        <f>-600.575835498842 -53.3765833994728 -737.939136702797</f>
        <v>-1391.8915556011118</v>
      </c>
      <c r="P1112">
        <f>-619.490110215481 -37.6636575221057 -422.37369816038</f>
        <v>-1079.5274658979667</v>
      </c>
      <c r="Q1112">
        <f>-360.029283904269 -49.0415223537377 -436.254287790434</f>
        <v>-845.32509404844063</v>
      </c>
      <c r="R1112" t="s">
        <v>19234</v>
      </c>
      <c r="S1112" t="s">
        <v>19235</v>
      </c>
      <c r="T1112" t="s">
        <v>19236</v>
      </c>
      <c r="U1112" t="s">
        <v>19237</v>
      </c>
      <c r="V1112" t="s">
        <v>19238</v>
      </c>
      <c r="W1112" t="s">
        <v>19239</v>
      </c>
      <c r="X1112" t="s">
        <v>19240</v>
      </c>
      <c r="Y1112" t="s">
        <v>19241</v>
      </c>
    </row>
    <row r="1113" spans="1:25" x14ac:dyDescent="0.3">
      <c r="A1113">
        <v>55600</v>
      </c>
      <c r="B1113" t="s">
        <v>19242</v>
      </c>
      <c r="C1113" t="s">
        <v>19243</v>
      </c>
      <c r="D1113" t="s">
        <v>19244</v>
      </c>
      <c r="E1113" t="s">
        <v>19245</v>
      </c>
      <c r="F1113" t="s">
        <v>19246</v>
      </c>
      <c r="G1113" t="s">
        <v>19247</v>
      </c>
      <c r="H1113" t="s">
        <v>19248</v>
      </c>
      <c r="I1113" t="s">
        <v>19249</v>
      </c>
      <c r="J1113" t="s">
        <v>19250</v>
      </c>
      <c r="K1113" t="s">
        <v>19251</v>
      </c>
      <c r="L1113" t="s">
        <v>19252</v>
      </c>
      <c r="M1113" t="s">
        <v>19253</v>
      </c>
      <c r="N1113" t="s">
        <v>19254</v>
      </c>
      <c r="O1113">
        <f>-601.070060756916 -52.7616604835093 -738.053439697812</f>
        <v>-1391.8851609382373</v>
      </c>
      <c r="P1113">
        <f>-619.438223819891 -37.5637427844588 -422.430488237083</f>
        <v>-1079.4324548414329</v>
      </c>
      <c r="Q1113">
        <f>-359.973793827967 -49.0232595024015 -436.175177754682</f>
        <v>-845.1722310850505</v>
      </c>
      <c r="R1113" t="s">
        <v>19255</v>
      </c>
      <c r="S1113" t="s">
        <v>19256</v>
      </c>
      <c r="T1113" t="s">
        <v>19257</v>
      </c>
      <c r="U1113" t="s">
        <v>19258</v>
      </c>
      <c r="V1113" t="s">
        <v>19259</v>
      </c>
      <c r="W1113" t="s">
        <v>19260</v>
      </c>
      <c r="X1113" t="s">
        <v>19261</v>
      </c>
      <c r="Y1113" t="s">
        <v>19262</v>
      </c>
    </row>
    <row r="1114" spans="1:25" x14ac:dyDescent="0.3">
      <c r="A1114">
        <v>55650</v>
      </c>
      <c r="B1114" t="s">
        <v>19263</v>
      </c>
      <c r="C1114" t="s">
        <v>19264</v>
      </c>
      <c r="D1114" t="s">
        <v>19265</v>
      </c>
      <c r="E1114" t="s">
        <v>19266</v>
      </c>
      <c r="F1114" t="s">
        <v>19267</v>
      </c>
      <c r="G1114" t="s">
        <v>19268</v>
      </c>
      <c r="H1114" t="s">
        <v>19269</v>
      </c>
      <c r="I1114" t="s">
        <v>19270</v>
      </c>
      <c r="J1114" t="s">
        <v>19271</v>
      </c>
      <c r="K1114" t="s">
        <v>19272</v>
      </c>
      <c r="L1114" t="s">
        <v>19273</v>
      </c>
      <c r="M1114" t="s">
        <v>19274</v>
      </c>
      <c r="N1114" t="s">
        <v>19275</v>
      </c>
      <c r="O1114">
        <f>-601.66021729861 -51.9115778288219 -737.999688667225</f>
        <v>-1391.5714837946568</v>
      </c>
      <c r="P1114">
        <f>-619.634018923864 -36.5388163968416 -422.362651848759</f>
        <v>-1078.5354871694647</v>
      </c>
      <c r="Q1114">
        <f>-360.187154086477 -49.0096309083931 -435.547985740961</f>
        <v>-844.74477073583103</v>
      </c>
      <c r="R1114" t="s">
        <v>19276</v>
      </c>
      <c r="S1114" t="s">
        <v>19277</v>
      </c>
      <c r="T1114" t="s">
        <v>19278</v>
      </c>
      <c r="U1114" t="s">
        <v>19279</v>
      </c>
      <c r="V1114" t="s">
        <v>19280</v>
      </c>
      <c r="W1114" t="s">
        <v>19281</v>
      </c>
      <c r="X1114" t="s">
        <v>19282</v>
      </c>
      <c r="Y1114" t="s">
        <v>19283</v>
      </c>
    </row>
    <row r="1115" spans="1:25" x14ac:dyDescent="0.3">
      <c r="A1115">
        <v>55700</v>
      </c>
      <c r="B1115" t="s">
        <v>19284</v>
      </c>
      <c r="C1115" t="s">
        <v>19285</v>
      </c>
      <c r="D1115" t="s">
        <v>19286</v>
      </c>
      <c r="E1115" t="s">
        <v>19287</v>
      </c>
      <c r="F1115" t="s">
        <v>19288</v>
      </c>
      <c r="G1115" t="s">
        <v>19289</v>
      </c>
      <c r="H1115" t="s">
        <v>19290</v>
      </c>
      <c r="I1115" t="s">
        <v>19291</v>
      </c>
      <c r="J1115" t="s">
        <v>19292</v>
      </c>
      <c r="K1115" t="s">
        <v>19293</v>
      </c>
      <c r="L1115" t="s">
        <v>19294</v>
      </c>
      <c r="M1115" t="s">
        <v>19295</v>
      </c>
      <c r="N1115" t="s">
        <v>19296</v>
      </c>
      <c r="O1115">
        <f>-601.868130866616 -51.7142798364087 -737.925641971945</f>
        <v>-1391.5080526749696</v>
      </c>
      <c r="P1115">
        <f>-620.004952855439 -36.5281997672791 -422.288859093849</f>
        <v>-1078.8220117165672</v>
      </c>
      <c r="Q1115">
        <f>-360.542575166958 -48.6021408035945 -435.538794216113</f>
        <v>-844.68351018666544</v>
      </c>
      <c r="R1115" t="s">
        <v>19297</v>
      </c>
      <c r="S1115" t="s">
        <v>19298</v>
      </c>
      <c r="T1115" t="s">
        <v>19299</v>
      </c>
      <c r="U1115" t="s">
        <v>19300</v>
      </c>
      <c r="V1115" t="s">
        <v>19301</v>
      </c>
      <c r="W1115" t="s">
        <v>19302</v>
      </c>
      <c r="X1115" t="s">
        <v>19303</v>
      </c>
      <c r="Y1115" t="s">
        <v>19304</v>
      </c>
    </row>
    <row r="1116" spans="1:25" x14ac:dyDescent="0.3">
      <c r="A1116">
        <v>55750</v>
      </c>
      <c r="B1116" t="s">
        <v>19305</v>
      </c>
      <c r="C1116" t="s">
        <v>19306</v>
      </c>
      <c r="D1116" t="s">
        <v>19307</v>
      </c>
      <c r="E1116" t="s">
        <v>19308</v>
      </c>
      <c r="F1116" t="s">
        <v>19309</v>
      </c>
      <c r="G1116" t="s">
        <v>19310</v>
      </c>
      <c r="H1116" t="s">
        <v>19311</v>
      </c>
      <c r="I1116" t="s">
        <v>19312</v>
      </c>
      <c r="J1116" t="s">
        <v>19313</v>
      </c>
      <c r="K1116" t="s">
        <v>19314</v>
      </c>
      <c r="L1116" t="s">
        <v>19315</v>
      </c>
      <c r="M1116" t="s">
        <v>19316</v>
      </c>
      <c r="N1116" t="s">
        <v>19317</v>
      </c>
      <c r="O1116">
        <f>-601.980874641205 -51.3933520919406 -737.946886703719</f>
        <v>-1391.3211134368646</v>
      </c>
      <c r="P1116">
        <f>-620.617434740929 -36.0612243093124 -422.346179178435</f>
        <v>-1079.0248382286763</v>
      </c>
      <c r="Q1116">
        <f>-361.047461431486 -47.34180482285 -434.103584361936</f>
        <v>-842.49285061627199</v>
      </c>
      <c r="R1116" t="s">
        <v>19318</v>
      </c>
      <c r="S1116" t="s">
        <v>19319</v>
      </c>
      <c r="T1116" t="s">
        <v>19320</v>
      </c>
      <c r="U1116" t="s">
        <v>19321</v>
      </c>
      <c r="V1116" t="s">
        <v>19322</v>
      </c>
      <c r="W1116" t="s">
        <v>19323</v>
      </c>
      <c r="X1116" t="s">
        <v>19324</v>
      </c>
      <c r="Y1116" t="s">
        <v>19325</v>
      </c>
    </row>
    <row r="1117" spans="1:25" x14ac:dyDescent="0.3">
      <c r="A1117">
        <v>55800</v>
      </c>
      <c r="B1117" t="s">
        <v>19326</v>
      </c>
      <c r="C1117" t="s">
        <v>19327</v>
      </c>
      <c r="D1117" t="s">
        <v>19328</v>
      </c>
      <c r="E1117" t="s">
        <v>19329</v>
      </c>
      <c r="F1117" t="s">
        <v>19330</v>
      </c>
      <c r="G1117" t="s">
        <v>19331</v>
      </c>
      <c r="H1117" t="s">
        <v>19332</v>
      </c>
      <c r="I1117" t="s">
        <v>19333</v>
      </c>
      <c r="J1117" t="s">
        <v>19334</v>
      </c>
      <c r="K1117" t="s">
        <v>19335</v>
      </c>
      <c r="L1117" t="s">
        <v>19336</v>
      </c>
      <c r="M1117" t="s">
        <v>19337</v>
      </c>
      <c r="N1117" t="s">
        <v>19338</v>
      </c>
      <c r="O1117">
        <f>-601.962933856007 -51.2905058355157 -737.877204332445</f>
        <v>-1391.1306440239678</v>
      </c>
      <c r="P1117">
        <f>-620.969212399805 -35.6410400736281 -422.314210435303</f>
        <v>-1078.9244629087361</v>
      </c>
      <c r="Q1117">
        <f>-361.376423140599 -46.6420223602709 -433.829378004006</f>
        <v>-841.84782350487592</v>
      </c>
      <c r="R1117" t="s">
        <v>19339</v>
      </c>
      <c r="S1117" t="s">
        <v>19340</v>
      </c>
      <c r="T1117" t="s">
        <v>19341</v>
      </c>
      <c r="U1117" t="s">
        <v>19342</v>
      </c>
      <c r="V1117" t="s">
        <v>19343</v>
      </c>
      <c r="W1117" t="s">
        <v>19344</v>
      </c>
      <c r="X1117" t="s">
        <v>19345</v>
      </c>
      <c r="Y1117" t="s">
        <v>19346</v>
      </c>
    </row>
    <row r="1118" spans="1:25" x14ac:dyDescent="0.3">
      <c r="A1118">
        <v>55850</v>
      </c>
      <c r="B1118" t="s">
        <v>19347</v>
      </c>
      <c r="C1118" t="s">
        <v>19348</v>
      </c>
      <c r="D1118" t="s">
        <v>19349</v>
      </c>
      <c r="E1118" t="s">
        <v>19350</v>
      </c>
      <c r="F1118" t="s">
        <v>19351</v>
      </c>
      <c r="G1118" t="s">
        <v>19352</v>
      </c>
      <c r="H1118" t="s">
        <v>19353</v>
      </c>
      <c r="I1118" t="s">
        <v>19354</v>
      </c>
      <c r="J1118" t="s">
        <v>19355</v>
      </c>
      <c r="K1118" t="s">
        <v>19356</v>
      </c>
      <c r="L1118" t="s">
        <v>19357</v>
      </c>
      <c r="M1118" t="s">
        <v>19358</v>
      </c>
      <c r="N1118" t="s">
        <v>19359</v>
      </c>
      <c r="O1118">
        <f>-601.972845808412 -50.9179488207787 -737.761083778276</f>
        <v>-1390.6518784074667</v>
      </c>
      <c r="P1118">
        <f>-620.923686446533 -34.5665110860614 -422.230237087073</f>
        <v>-1077.7204346196675</v>
      </c>
      <c r="Q1118">
        <f>-361.32454864465 -45.6020273330123 -433.56933129522</f>
        <v>-840.49590727288228</v>
      </c>
      <c r="R1118" t="s">
        <v>19360</v>
      </c>
      <c r="S1118" t="s">
        <v>19361</v>
      </c>
      <c r="T1118" t="s">
        <v>19362</v>
      </c>
      <c r="U1118" t="s">
        <v>19363</v>
      </c>
      <c r="V1118" t="s">
        <v>19364</v>
      </c>
      <c r="W1118" t="s">
        <v>19365</v>
      </c>
      <c r="X1118" t="s">
        <v>19366</v>
      </c>
      <c r="Y1118" t="s">
        <v>19367</v>
      </c>
    </row>
    <row r="1119" spans="1:25" x14ac:dyDescent="0.3">
      <c r="A1119">
        <v>55900</v>
      </c>
      <c r="B1119" t="s">
        <v>19368</v>
      </c>
      <c r="C1119" t="s">
        <v>19369</v>
      </c>
      <c r="D1119" t="s">
        <v>19370</v>
      </c>
      <c r="E1119" t="s">
        <v>19371</v>
      </c>
      <c r="F1119" t="s">
        <v>19372</v>
      </c>
      <c r="G1119" t="s">
        <v>19373</v>
      </c>
      <c r="H1119" t="s">
        <v>19374</v>
      </c>
      <c r="I1119" t="s">
        <v>19375</v>
      </c>
      <c r="J1119" t="s">
        <v>19376</v>
      </c>
      <c r="K1119" t="s">
        <v>19377</v>
      </c>
      <c r="L1119" t="s">
        <v>19378</v>
      </c>
      <c r="M1119" t="s">
        <v>19379</v>
      </c>
      <c r="N1119" t="s">
        <v>19380</v>
      </c>
      <c r="O1119">
        <f>-601.935898039555 -50.7429444192512 -737.803301415993</f>
        <v>-1390.4821438747992</v>
      </c>
      <c r="P1119">
        <f>-621.104067203392 -34.6622255182344 -422.271691811191</f>
        <v>-1078.0379845328175</v>
      </c>
      <c r="Q1119">
        <f>-361.489482792129 -45.1799949516314 -433.747245893176</f>
        <v>-840.41672363693647</v>
      </c>
      <c r="R1119" t="s">
        <v>19381</v>
      </c>
      <c r="S1119" t="s">
        <v>19382</v>
      </c>
      <c r="T1119" t="s">
        <v>19383</v>
      </c>
      <c r="U1119" t="s">
        <v>19384</v>
      </c>
      <c r="V1119" t="s">
        <v>19385</v>
      </c>
      <c r="W1119" t="s">
        <v>19386</v>
      </c>
      <c r="X1119" t="s">
        <v>19387</v>
      </c>
      <c r="Y1119" t="s">
        <v>19388</v>
      </c>
    </row>
    <row r="1120" spans="1:25" x14ac:dyDescent="0.3">
      <c r="A1120">
        <v>55950</v>
      </c>
      <c r="B1120" t="s">
        <v>19389</v>
      </c>
      <c r="C1120" t="s">
        <v>19390</v>
      </c>
      <c r="D1120" t="s">
        <v>19391</v>
      </c>
      <c r="E1120" t="s">
        <v>19392</v>
      </c>
      <c r="F1120" t="s">
        <v>19393</v>
      </c>
      <c r="G1120" t="s">
        <v>19394</v>
      </c>
      <c r="H1120" t="s">
        <v>19395</v>
      </c>
      <c r="I1120" t="s">
        <v>19396</v>
      </c>
      <c r="J1120" t="s">
        <v>19397</v>
      </c>
      <c r="K1120" t="s">
        <v>19398</v>
      </c>
      <c r="L1120" t="s">
        <v>19399</v>
      </c>
      <c r="M1120" t="s">
        <v>19400</v>
      </c>
      <c r="N1120" t="s">
        <v>19401</v>
      </c>
      <c r="O1120">
        <f>-601.840387224077 -49.7813353751469 -738.261902013944</f>
        <v>-1389.8836246131677</v>
      </c>
      <c r="P1120">
        <f>-621.150738621295 -34.6830951213524 -422.690343434523</f>
        <v>-1078.5241771771703</v>
      </c>
      <c r="Q1120">
        <f>-361.515713054561 -44.9335755950622 -433.943436315377</f>
        <v>-840.3927249650003</v>
      </c>
      <c r="R1120" t="s">
        <v>19402</v>
      </c>
      <c r="S1120" t="s">
        <v>19403</v>
      </c>
      <c r="T1120" t="s">
        <v>19404</v>
      </c>
      <c r="U1120" t="s">
        <v>19405</v>
      </c>
      <c r="V1120" t="s">
        <v>19406</v>
      </c>
      <c r="W1120" t="s">
        <v>19407</v>
      </c>
      <c r="X1120" t="s">
        <v>19408</v>
      </c>
      <c r="Y1120" t="s">
        <v>19409</v>
      </c>
    </row>
    <row r="1121" spans="1:25" x14ac:dyDescent="0.3">
      <c r="A1121">
        <v>56000</v>
      </c>
      <c r="B1121" t="s">
        <v>19410</v>
      </c>
      <c r="C1121" t="s">
        <v>19411</v>
      </c>
      <c r="D1121" t="s">
        <v>19412</v>
      </c>
      <c r="E1121" t="s">
        <v>19413</v>
      </c>
      <c r="F1121" t="s">
        <v>19414</v>
      </c>
      <c r="G1121" t="s">
        <v>19415</v>
      </c>
      <c r="H1121" t="s">
        <v>19416</v>
      </c>
      <c r="I1121" t="s">
        <v>19417</v>
      </c>
      <c r="J1121" t="s">
        <v>19418</v>
      </c>
      <c r="K1121" t="s">
        <v>19419</v>
      </c>
      <c r="L1121" t="s">
        <v>19420</v>
      </c>
      <c r="M1121" t="s">
        <v>19421</v>
      </c>
      <c r="N1121" t="s">
        <v>19422</v>
      </c>
      <c r="O1121">
        <f>-601.714450982635 -49.1418735086895 -738.581623595732</f>
        <v>-1389.4379480870566</v>
      </c>
      <c r="P1121">
        <f>-621.310090129105 -34.5352784226004 -423.004588668915</f>
        <v>-1078.8499572206204</v>
      </c>
      <c r="Q1121">
        <f>-361.670526578354 -44.9482292535374 -434.001691946369</f>
        <v>-840.62044777826043</v>
      </c>
      <c r="R1121" t="s">
        <v>19423</v>
      </c>
      <c r="S1121" t="s">
        <v>19424</v>
      </c>
      <c r="T1121" t="s">
        <v>19425</v>
      </c>
      <c r="U1121" t="s">
        <v>19426</v>
      </c>
      <c r="V1121" t="s">
        <v>19427</v>
      </c>
      <c r="W1121" t="s">
        <v>19428</v>
      </c>
      <c r="X1121" t="s">
        <v>19429</v>
      </c>
      <c r="Y1121" t="s">
        <v>19430</v>
      </c>
    </row>
    <row r="1122" spans="1:25" x14ac:dyDescent="0.3">
      <c r="A1122">
        <v>56050</v>
      </c>
      <c r="B1122" t="s">
        <v>19431</v>
      </c>
      <c r="C1122" t="s">
        <v>19432</v>
      </c>
      <c r="D1122" t="s">
        <v>19433</v>
      </c>
      <c r="E1122" t="s">
        <v>19434</v>
      </c>
      <c r="F1122" t="s">
        <v>19435</v>
      </c>
      <c r="G1122" t="s">
        <v>19436</v>
      </c>
      <c r="H1122" t="s">
        <v>19437</v>
      </c>
      <c r="I1122" t="s">
        <v>19438</v>
      </c>
      <c r="J1122" t="s">
        <v>19439</v>
      </c>
      <c r="K1122" t="s">
        <v>19440</v>
      </c>
      <c r="L1122" t="s">
        <v>19441</v>
      </c>
      <c r="M1122" t="s">
        <v>19442</v>
      </c>
      <c r="N1122" t="s">
        <v>19443</v>
      </c>
      <c r="O1122">
        <f>-601.150316084119 -47.9762113700424 -739.124137219921</f>
        <v>-1388.2506646740824</v>
      </c>
      <c r="P1122">
        <f>-620.892063470056 -34.476589515948 -423.507031475677</f>
        <v>-1078.875684461681</v>
      </c>
      <c r="Q1122">
        <f>-361.250348120039 -45.7090919690395 -433.609630143968</f>
        <v>-840.56907023304643</v>
      </c>
      <c r="R1122" t="s">
        <v>19444</v>
      </c>
      <c r="S1122" t="s">
        <v>19445</v>
      </c>
      <c r="T1122" t="s">
        <v>19446</v>
      </c>
      <c r="U1122" t="s">
        <v>19447</v>
      </c>
      <c r="V1122" t="s">
        <v>19448</v>
      </c>
      <c r="W1122" t="s">
        <v>19449</v>
      </c>
      <c r="X1122" t="s">
        <v>19450</v>
      </c>
      <c r="Y1122" t="s">
        <v>19451</v>
      </c>
    </row>
    <row r="1123" spans="1:25" x14ac:dyDescent="0.3">
      <c r="A1123">
        <v>56100</v>
      </c>
      <c r="B1123" t="s">
        <v>19452</v>
      </c>
      <c r="C1123" t="s">
        <v>19453</v>
      </c>
      <c r="D1123" t="s">
        <v>19454</v>
      </c>
      <c r="E1123" t="s">
        <v>19455</v>
      </c>
      <c r="F1123" t="s">
        <v>19456</v>
      </c>
      <c r="G1123" t="s">
        <v>19457</v>
      </c>
      <c r="H1123" t="s">
        <v>19458</v>
      </c>
      <c r="I1123" t="s">
        <v>19459</v>
      </c>
      <c r="J1123" t="s">
        <v>19460</v>
      </c>
      <c r="K1123" t="s">
        <v>19461</v>
      </c>
      <c r="L1123" t="s">
        <v>19462</v>
      </c>
      <c r="M1123" t="s">
        <v>19463</v>
      </c>
      <c r="N1123" t="s">
        <v>19464</v>
      </c>
      <c r="O1123">
        <f>-600.789242368828 -47.5134404463543 -739.402432462154</f>
        <v>-1387.7051152773363</v>
      </c>
      <c r="P1123">
        <f>-620.716237529895 -34.6634539185609 -423.769714634172</f>
        <v>-1079.1494060826278</v>
      </c>
      <c r="Q1123">
        <f>-361.072208637009 -46.1650647576873 -433.502335666302</f>
        <v>-840.73960906099819</v>
      </c>
      <c r="R1123" t="s">
        <v>19465</v>
      </c>
      <c r="S1123" t="s">
        <v>19466</v>
      </c>
      <c r="T1123" t="s">
        <v>19467</v>
      </c>
      <c r="U1123" t="s">
        <v>19468</v>
      </c>
      <c r="V1123" t="s">
        <v>19469</v>
      </c>
      <c r="W1123" t="s">
        <v>19470</v>
      </c>
      <c r="X1123" t="s">
        <v>19471</v>
      </c>
      <c r="Y1123" t="s">
        <v>19472</v>
      </c>
    </row>
    <row r="1124" spans="1:25" x14ac:dyDescent="0.3">
      <c r="A1124">
        <v>56150</v>
      </c>
      <c r="B1124" t="s">
        <v>19473</v>
      </c>
      <c r="C1124" t="s">
        <v>19474</v>
      </c>
      <c r="D1124" t="s">
        <v>19475</v>
      </c>
      <c r="E1124" t="s">
        <v>19476</v>
      </c>
      <c r="F1124" t="s">
        <v>19477</v>
      </c>
      <c r="G1124" t="s">
        <v>19478</v>
      </c>
      <c r="H1124" t="s">
        <v>19479</v>
      </c>
      <c r="I1124" t="s">
        <v>19480</v>
      </c>
      <c r="J1124" t="s">
        <v>19481</v>
      </c>
      <c r="K1124" t="s">
        <v>19482</v>
      </c>
      <c r="L1124" t="s">
        <v>19483</v>
      </c>
      <c r="M1124" t="s">
        <v>19484</v>
      </c>
      <c r="N1124" t="s">
        <v>19485</v>
      </c>
      <c r="O1124">
        <f>-600.092197685918 -46.6329824314078 -739.964864792795</f>
        <v>-1386.6900449101208</v>
      </c>
      <c r="P1124">
        <f>-620.12902941388 -34.4904452840437 -424.311160784408</f>
        <v>-1078.9306354823316</v>
      </c>
      <c r="Q1124">
        <f>-360.4867961836 -46.5731599968706 -433.364989720946</f>
        <v>-840.42494590141666</v>
      </c>
      <c r="R1124" t="s">
        <v>19486</v>
      </c>
      <c r="S1124" t="s">
        <v>19487</v>
      </c>
      <c r="T1124" t="s">
        <v>19488</v>
      </c>
      <c r="U1124" t="s">
        <v>19489</v>
      </c>
      <c r="V1124" t="s">
        <v>19490</v>
      </c>
      <c r="W1124" t="s">
        <v>19491</v>
      </c>
      <c r="X1124" t="s">
        <v>19492</v>
      </c>
      <c r="Y1124" t="s">
        <v>19493</v>
      </c>
    </row>
    <row r="1125" spans="1:25" x14ac:dyDescent="0.3">
      <c r="A1125">
        <v>56200</v>
      </c>
      <c r="B1125" t="s">
        <v>19494</v>
      </c>
      <c r="C1125" t="s">
        <v>19495</v>
      </c>
      <c r="D1125" t="s">
        <v>19496</v>
      </c>
      <c r="E1125" t="s">
        <v>19497</v>
      </c>
      <c r="F1125" t="s">
        <v>19498</v>
      </c>
      <c r="G1125" t="s">
        <v>19499</v>
      </c>
      <c r="H1125" t="s">
        <v>19500</v>
      </c>
      <c r="I1125" t="s">
        <v>19501</v>
      </c>
      <c r="J1125" t="s">
        <v>19502</v>
      </c>
      <c r="K1125" t="s">
        <v>19503</v>
      </c>
      <c r="L1125" t="s">
        <v>19504</v>
      </c>
      <c r="M1125" t="s">
        <v>19505</v>
      </c>
      <c r="N1125" t="s">
        <v>19506</v>
      </c>
      <c r="O1125">
        <f>-599.739832448869 -46.3297792036617 -740.169439260383</f>
        <v>-1386.2390509129136</v>
      </c>
      <c r="P1125">
        <f>-619.928685667787 -34.3614738492586 -424.518754521394</f>
        <v>-1078.8089140384395</v>
      </c>
      <c r="Q1125">
        <f>-360.294307522568 -46.7866298273768 -433.332293757877</f>
        <v>-840.41323110782173</v>
      </c>
      <c r="R1125" t="s">
        <v>19507</v>
      </c>
      <c r="S1125" t="s">
        <v>19508</v>
      </c>
      <c r="T1125" t="s">
        <v>19509</v>
      </c>
      <c r="U1125" t="s">
        <v>19510</v>
      </c>
      <c r="V1125" t="s">
        <v>19511</v>
      </c>
      <c r="W1125" t="s">
        <v>19512</v>
      </c>
      <c r="X1125" t="s">
        <v>19513</v>
      </c>
      <c r="Y1125" t="s">
        <v>19514</v>
      </c>
    </row>
    <row r="1126" spans="1:25" x14ac:dyDescent="0.3">
      <c r="A1126">
        <v>56250</v>
      </c>
      <c r="B1126" t="s">
        <v>19515</v>
      </c>
      <c r="C1126" t="s">
        <v>19516</v>
      </c>
      <c r="D1126" t="s">
        <v>19517</v>
      </c>
      <c r="E1126" t="s">
        <v>19518</v>
      </c>
      <c r="F1126" t="s">
        <v>19519</v>
      </c>
      <c r="G1126" t="s">
        <v>19520</v>
      </c>
      <c r="H1126" t="s">
        <v>19521</v>
      </c>
      <c r="I1126" t="s">
        <v>19522</v>
      </c>
      <c r="J1126" t="s">
        <v>19523</v>
      </c>
      <c r="K1126" t="s">
        <v>19524</v>
      </c>
      <c r="L1126" t="s">
        <v>19525</v>
      </c>
      <c r="M1126" t="s">
        <v>19526</v>
      </c>
      <c r="N1126" t="s">
        <v>19527</v>
      </c>
      <c r="O1126">
        <f>-598.906123844744 -45.9884571942605 -740.463972686506</f>
        <v>-1385.3585537255105</v>
      </c>
      <c r="P1126">
        <f>-619.199476322069 -33.9865640840826 -424.821208377653</f>
        <v>-1078.0072487838047</v>
      </c>
      <c r="Q1126">
        <f>-359.559886623777 -46.7477696521005 -432.974400799478</f>
        <v>-839.28205707535551</v>
      </c>
      <c r="R1126" t="s">
        <v>19528</v>
      </c>
      <c r="S1126" t="s">
        <v>19529</v>
      </c>
      <c r="T1126" t="s">
        <v>19530</v>
      </c>
      <c r="U1126" t="s">
        <v>19531</v>
      </c>
      <c r="V1126" t="s">
        <v>19532</v>
      </c>
      <c r="W1126" t="s">
        <v>19533</v>
      </c>
      <c r="X1126" t="s">
        <v>19534</v>
      </c>
      <c r="Y1126" t="s">
        <v>19535</v>
      </c>
    </row>
    <row r="1127" spans="1:25" x14ac:dyDescent="0.3">
      <c r="A1127">
        <v>56300</v>
      </c>
      <c r="B1127" t="s">
        <v>19536</v>
      </c>
      <c r="C1127" t="s">
        <v>19537</v>
      </c>
      <c r="D1127" t="s">
        <v>19538</v>
      </c>
      <c r="E1127" t="s">
        <v>19539</v>
      </c>
      <c r="F1127" t="s">
        <v>19540</v>
      </c>
      <c r="G1127" t="s">
        <v>19541</v>
      </c>
      <c r="H1127" t="s">
        <v>19542</v>
      </c>
      <c r="I1127" t="s">
        <v>19543</v>
      </c>
      <c r="J1127" t="s">
        <v>19544</v>
      </c>
      <c r="K1127" t="s">
        <v>19545</v>
      </c>
      <c r="L1127" t="s">
        <v>19546</v>
      </c>
      <c r="M1127" t="s">
        <v>19547</v>
      </c>
      <c r="N1127" t="s">
        <v>19548</v>
      </c>
      <c r="O1127">
        <f>-598.499292532441 -45.9884178049397 -740.498837958172</f>
        <v>-1384.9865482955527</v>
      </c>
      <c r="P1127">
        <f>-619.13171165566 -34.0517725721043 -424.875499707623</f>
        <v>-1078.0589839353872</v>
      </c>
      <c r="Q1127">
        <f>-359.487913932502 -46.8218426458061 -432.879073027593</f>
        <v>-839.18882960590111</v>
      </c>
      <c r="R1127" t="s">
        <v>19549</v>
      </c>
      <c r="S1127" t="s">
        <v>19550</v>
      </c>
      <c r="T1127" t="s">
        <v>19551</v>
      </c>
      <c r="U1127" t="s">
        <v>19552</v>
      </c>
      <c r="V1127" t="s">
        <v>19553</v>
      </c>
      <c r="W1127" t="s">
        <v>19554</v>
      </c>
      <c r="X1127" t="s">
        <v>19555</v>
      </c>
      <c r="Y1127" t="s">
        <v>19556</v>
      </c>
    </row>
    <row r="1128" spans="1:25" x14ac:dyDescent="0.3">
      <c r="A1128">
        <v>56350</v>
      </c>
      <c r="B1128" t="s">
        <v>19557</v>
      </c>
      <c r="C1128" t="s">
        <v>19558</v>
      </c>
      <c r="D1128" t="s">
        <v>19559</v>
      </c>
      <c r="E1128" t="s">
        <v>19560</v>
      </c>
      <c r="F1128" t="s">
        <v>19561</v>
      </c>
      <c r="G1128" t="s">
        <v>19562</v>
      </c>
      <c r="H1128" t="s">
        <v>19563</v>
      </c>
      <c r="I1128" t="s">
        <v>19564</v>
      </c>
      <c r="J1128" t="s">
        <v>19565</v>
      </c>
      <c r="K1128" t="s">
        <v>19566</v>
      </c>
      <c r="L1128" t="s">
        <v>19567</v>
      </c>
      <c r="M1128" t="s">
        <v>19568</v>
      </c>
      <c r="N1128" t="s">
        <v>19569</v>
      </c>
      <c r="O1128">
        <f>-597.404245558283 -45.7525745506539 -740.624964805918</f>
        <v>-1383.7817849148551</v>
      </c>
      <c r="P1128">
        <f>-618.224980375244 -33.6872363611496 -425.018958814299</f>
        <v>-1076.9311755506926</v>
      </c>
      <c r="Q1128">
        <f>-358.566162742557 -46.3452138433597 -432.708977649399</f>
        <v>-837.62035423531574</v>
      </c>
      <c r="R1128" t="s">
        <v>19570</v>
      </c>
      <c r="S1128" t="s">
        <v>19571</v>
      </c>
      <c r="T1128" t="s">
        <v>19572</v>
      </c>
      <c r="U1128" t="s">
        <v>19573</v>
      </c>
      <c r="V1128" t="s">
        <v>19574</v>
      </c>
      <c r="W1128" t="s">
        <v>19575</v>
      </c>
      <c r="X1128" t="s">
        <v>19576</v>
      </c>
      <c r="Y1128" t="s">
        <v>19577</v>
      </c>
    </row>
    <row r="1129" spans="1:25" x14ac:dyDescent="0.3">
      <c r="A1129">
        <v>56400</v>
      </c>
      <c r="B1129" t="s">
        <v>19578</v>
      </c>
      <c r="C1129" t="s">
        <v>19579</v>
      </c>
      <c r="D1129" t="s">
        <v>19580</v>
      </c>
      <c r="E1129" t="s">
        <v>19581</v>
      </c>
      <c r="F1129" t="s">
        <v>19582</v>
      </c>
      <c r="G1129" t="s">
        <v>19583</v>
      </c>
      <c r="H1129" t="s">
        <v>19584</v>
      </c>
      <c r="I1129" t="s">
        <v>19585</v>
      </c>
      <c r="J1129" t="s">
        <v>19586</v>
      </c>
      <c r="K1129" t="s">
        <v>19587</v>
      </c>
      <c r="L1129" t="s">
        <v>19588</v>
      </c>
      <c r="M1129" t="s">
        <v>19589</v>
      </c>
      <c r="N1129" t="s">
        <v>19590</v>
      </c>
      <c r="O1129">
        <f>-596.940652618849 -45.6840276141613 -740.61693486827</f>
        <v>-1383.2416151012803</v>
      </c>
      <c r="P1129">
        <f>-617.837785146063 -33.5640826102126 -425.018022924081</f>
        <v>-1076.4198906803565</v>
      </c>
      <c r="Q1129">
        <f>-358.180343162518 -46.3615112611133 -432.519973648838</f>
        <v>-837.06182807246932</v>
      </c>
      <c r="R1129" t="s">
        <v>19591</v>
      </c>
      <c r="S1129" t="s">
        <v>19592</v>
      </c>
      <c r="T1129" t="s">
        <v>19593</v>
      </c>
      <c r="U1129" t="s">
        <v>19594</v>
      </c>
      <c r="V1129" t="s">
        <v>19595</v>
      </c>
      <c r="W1129" t="s">
        <v>19596</v>
      </c>
      <c r="X1129" t="s">
        <v>19597</v>
      </c>
      <c r="Y1129" t="s">
        <v>19598</v>
      </c>
    </row>
    <row r="1130" spans="1:25" x14ac:dyDescent="0.3">
      <c r="A1130">
        <v>56450</v>
      </c>
      <c r="B1130" t="s">
        <v>19599</v>
      </c>
      <c r="C1130" t="s">
        <v>19600</v>
      </c>
      <c r="D1130" t="s">
        <v>19601</v>
      </c>
      <c r="E1130" t="s">
        <v>19602</v>
      </c>
      <c r="F1130" t="s">
        <v>19603</v>
      </c>
      <c r="G1130" t="s">
        <v>19604</v>
      </c>
      <c r="H1130" t="s">
        <v>19605</v>
      </c>
      <c r="I1130" t="s">
        <v>19606</v>
      </c>
      <c r="J1130" t="s">
        <v>19607</v>
      </c>
      <c r="K1130" t="s">
        <v>19608</v>
      </c>
      <c r="L1130" t="s">
        <v>19609</v>
      </c>
      <c r="M1130" t="s">
        <v>19610</v>
      </c>
      <c r="N1130" t="s">
        <v>19611</v>
      </c>
      <c r="O1130">
        <f>-596.457633589493 -45.5856493382246 -740.472002903222</f>
        <v>-1382.5152858309395</v>
      </c>
      <c r="P1130">
        <f>-617.370311364242 -33.2297210184493 -424.883440251461</f>
        <v>-1075.4834726341523</v>
      </c>
      <c r="Q1130">
        <f>-357.720323377017 -46.4164963121734 -431.956422148513</f>
        <v>-836.09324183770343</v>
      </c>
      <c r="R1130" t="s">
        <v>19612</v>
      </c>
      <c r="S1130" t="s">
        <v>19613</v>
      </c>
      <c r="T1130" t="s">
        <v>19614</v>
      </c>
      <c r="U1130" t="s">
        <v>19615</v>
      </c>
      <c r="V1130" t="s">
        <v>19616</v>
      </c>
      <c r="W1130" t="s">
        <v>19617</v>
      </c>
      <c r="X1130" t="s">
        <v>19618</v>
      </c>
      <c r="Y1130" t="s">
        <v>19619</v>
      </c>
    </row>
    <row r="1131" spans="1:25" x14ac:dyDescent="0.3">
      <c r="A1131">
        <v>56500</v>
      </c>
      <c r="B1131" t="s">
        <v>19620</v>
      </c>
      <c r="C1131" t="s">
        <v>19621</v>
      </c>
      <c r="D1131" t="s">
        <v>19622</v>
      </c>
      <c r="E1131" t="s">
        <v>19623</v>
      </c>
      <c r="F1131" t="s">
        <v>19624</v>
      </c>
      <c r="G1131" t="s">
        <v>19625</v>
      </c>
      <c r="H1131" t="s">
        <v>19626</v>
      </c>
      <c r="I1131" t="s">
        <v>19627</v>
      </c>
      <c r="J1131" t="s">
        <v>19628</v>
      </c>
      <c r="K1131" t="s">
        <v>19629</v>
      </c>
      <c r="L1131" t="s">
        <v>19630</v>
      </c>
      <c r="M1131" t="s">
        <v>19631</v>
      </c>
      <c r="N1131" t="s">
        <v>19632</v>
      </c>
      <c r="O1131">
        <f>-596.091203909295 -45.642093757222 -740.413663489789</f>
        <v>-1382.1469611563061</v>
      </c>
      <c r="P1131">
        <f>-617.013370518275 -33.1466274572972 -424.83110805232</f>
        <v>-1074.9911060278923</v>
      </c>
      <c r="Q1131">
        <f>-357.384276603091 -46.7397198028909 -431.903703980657</f>
        <v>-836.0277003866388</v>
      </c>
      <c r="R1131" t="s">
        <v>19633</v>
      </c>
      <c r="S1131" t="s">
        <v>19634</v>
      </c>
      <c r="T1131" t="s">
        <v>19635</v>
      </c>
      <c r="U1131" t="s">
        <v>19636</v>
      </c>
      <c r="V1131" t="s">
        <v>19637</v>
      </c>
      <c r="W1131" t="s">
        <v>19638</v>
      </c>
      <c r="X1131" t="s">
        <v>19639</v>
      </c>
      <c r="Y1131" t="s">
        <v>19640</v>
      </c>
    </row>
    <row r="1132" spans="1:25" x14ac:dyDescent="0.3">
      <c r="A1132">
        <v>56550</v>
      </c>
      <c r="B1132" t="s">
        <v>19641</v>
      </c>
      <c r="C1132" t="s">
        <v>19642</v>
      </c>
      <c r="D1132" t="s">
        <v>19643</v>
      </c>
      <c r="E1132" t="s">
        <v>19644</v>
      </c>
      <c r="F1132" t="s">
        <v>19645</v>
      </c>
      <c r="G1132" t="s">
        <v>19646</v>
      </c>
      <c r="H1132" t="s">
        <v>19647</v>
      </c>
      <c r="I1132" t="s">
        <v>19648</v>
      </c>
      <c r="J1132" t="s">
        <v>19649</v>
      </c>
      <c r="K1132" t="s">
        <v>19650</v>
      </c>
      <c r="L1132" t="s">
        <v>19651</v>
      </c>
      <c r="M1132" t="s">
        <v>19652</v>
      </c>
      <c r="N1132" t="s">
        <v>19653</v>
      </c>
      <c r="O1132">
        <f>-595.777538732186 -45.4285120388035 -740.263915715364</f>
        <v>-1381.4699664863535</v>
      </c>
      <c r="P1132">
        <f>-616.75553850345 -33.0011437276676 -424.68238979078</f>
        <v>-1074.4390720218976</v>
      </c>
      <c r="Q1132">
        <f>-357.166583299771 -47.2875157246167 -431.860428201681</f>
        <v>-836.31452722606866</v>
      </c>
      <c r="R1132" t="s">
        <v>19654</v>
      </c>
      <c r="S1132" t="s">
        <v>19655</v>
      </c>
      <c r="T1132" t="s">
        <v>19656</v>
      </c>
      <c r="U1132" t="s">
        <v>19657</v>
      </c>
      <c r="V1132" t="s">
        <v>19658</v>
      </c>
      <c r="W1132" t="s">
        <v>19659</v>
      </c>
      <c r="X1132" t="s">
        <v>19660</v>
      </c>
      <c r="Y1132" t="s">
        <v>19661</v>
      </c>
    </row>
    <row r="1133" spans="1:25" x14ac:dyDescent="0.3">
      <c r="A1133">
        <v>56600</v>
      </c>
      <c r="B1133" t="s">
        <v>19662</v>
      </c>
      <c r="C1133" t="s">
        <v>19663</v>
      </c>
      <c r="D1133" t="s">
        <v>19664</v>
      </c>
      <c r="E1133" t="s">
        <v>19665</v>
      </c>
      <c r="F1133" t="s">
        <v>19666</v>
      </c>
      <c r="G1133" t="s">
        <v>19667</v>
      </c>
      <c r="H1133" t="s">
        <v>19668</v>
      </c>
      <c r="I1133" t="s">
        <v>19669</v>
      </c>
      <c r="J1133" t="s">
        <v>19670</v>
      </c>
      <c r="K1133" t="s">
        <v>19671</v>
      </c>
      <c r="L1133" t="s">
        <v>19672</v>
      </c>
      <c r="M1133" t="s">
        <v>19673</v>
      </c>
      <c r="N1133" t="s">
        <v>19674</v>
      </c>
      <c r="O1133">
        <f>-595.583143305389 -45.1684955252479 -740.251764449999</f>
        <v>-1381.0034032806357</v>
      </c>
      <c r="P1133">
        <f>-616.666924140319 -32.8764082700015 -424.672036807406</f>
        <v>-1074.2153692177267</v>
      </c>
      <c r="Q1133">
        <f>-357.077574961464 -47.1747000131106 -431.813632374438</f>
        <v>-836.0659073490126</v>
      </c>
      <c r="R1133" t="s">
        <v>19675</v>
      </c>
      <c r="S1133" t="s">
        <v>19676</v>
      </c>
      <c r="T1133" t="s">
        <v>19677</v>
      </c>
      <c r="U1133" t="s">
        <v>19678</v>
      </c>
      <c r="V1133" t="s">
        <v>19679</v>
      </c>
      <c r="W1133" t="s">
        <v>19680</v>
      </c>
      <c r="X1133" t="s">
        <v>19681</v>
      </c>
      <c r="Y1133" t="s">
        <v>19682</v>
      </c>
    </row>
    <row r="1134" spans="1:25" x14ac:dyDescent="0.3">
      <c r="A1134">
        <v>56650</v>
      </c>
      <c r="B1134" t="s">
        <v>19683</v>
      </c>
      <c r="C1134" t="s">
        <v>19684</v>
      </c>
      <c r="D1134" t="s">
        <v>19685</v>
      </c>
      <c r="E1134" t="s">
        <v>19686</v>
      </c>
      <c r="F1134" t="s">
        <v>19687</v>
      </c>
      <c r="G1134" t="s">
        <v>19688</v>
      </c>
      <c r="H1134" t="s">
        <v>19689</v>
      </c>
      <c r="I1134" t="s">
        <v>19690</v>
      </c>
      <c r="J1134" t="s">
        <v>19691</v>
      </c>
      <c r="K1134" t="s">
        <v>19692</v>
      </c>
      <c r="L1134" t="s">
        <v>19693</v>
      </c>
      <c r="M1134" t="s">
        <v>19694</v>
      </c>
      <c r="N1134" t="s">
        <v>19695</v>
      </c>
      <c r="O1134">
        <f>-595.344147109392 -44.7381893904821 -740.21673840009</f>
        <v>-1380.2990748999641</v>
      </c>
      <c r="P1134">
        <f>-616.55664671875 -32.1216458508895 -424.658394328426</f>
        <v>-1073.3366868980656</v>
      </c>
      <c r="Q1134">
        <f>-356.978781414425 -46.6644667041803 -431.720676973625</f>
        <v>-835.36392509223037</v>
      </c>
      <c r="R1134" t="s">
        <v>19696</v>
      </c>
      <c r="S1134" t="s">
        <v>19697</v>
      </c>
      <c r="T1134" t="s">
        <v>19698</v>
      </c>
      <c r="U1134" t="s">
        <v>19699</v>
      </c>
      <c r="V1134" t="s">
        <v>19700</v>
      </c>
      <c r="W1134" t="s">
        <v>19701</v>
      </c>
      <c r="X1134" t="s">
        <v>19702</v>
      </c>
      <c r="Y1134" t="s">
        <v>19703</v>
      </c>
    </row>
    <row r="1135" spans="1:25" x14ac:dyDescent="0.3">
      <c r="A1135">
        <v>56700</v>
      </c>
      <c r="B1135" t="s">
        <v>19704</v>
      </c>
      <c r="C1135" t="s">
        <v>19705</v>
      </c>
      <c r="D1135" t="s">
        <v>19706</v>
      </c>
      <c r="E1135" t="s">
        <v>19707</v>
      </c>
      <c r="F1135" t="s">
        <v>19708</v>
      </c>
      <c r="G1135" t="s">
        <v>19709</v>
      </c>
      <c r="H1135" t="s">
        <v>19710</v>
      </c>
      <c r="I1135" t="s">
        <v>19711</v>
      </c>
      <c r="J1135" t="s">
        <v>19712</v>
      </c>
      <c r="K1135" t="s">
        <v>19713</v>
      </c>
      <c r="L1135" t="s">
        <v>19714</v>
      </c>
      <c r="M1135" t="s">
        <v>19715</v>
      </c>
      <c r="N1135" t="s">
        <v>19716</v>
      </c>
      <c r="O1135">
        <f>-595.386202006839 -44.7356388912972 -740.126383277362</f>
        <v>-1380.2482241754983</v>
      </c>
      <c r="P1135">
        <f>-616.572328235672 -31.8665168197358 -424.57659292993</f>
        <v>-1073.0154379853377</v>
      </c>
      <c r="Q1135">
        <f>-357.002323882337 -46.6381362507132 -431.451576395082</f>
        <v>-835.09203652813221</v>
      </c>
      <c r="R1135" t="s">
        <v>19717</v>
      </c>
      <c r="S1135" t="s">
        <v>19718</v>
      </c>
      <c r="T1135" t="s">
        <v>19719</v>
      </c>
      <c r="U1135" t="s">
        <v>19720</v>
      </c>
      <c r="V1135" t="s">
        <v>19721</v>
      </c>
      <c r="W1135" t="s">
        <v>19722</v>
      </c>
      <c r="X1135" t="s">
        <v>19723</v>
      </c>
      <c r="Y1135" t="s">
        <v>19724</v>
      </c>
    </row>
    <row r="1136" spans="1:25" x14ac:dyDescent="0.3">
      <c r="A1136">
        <v>56750</v>
      </c>
      <c r="B1136" t="s">
        <v>19725</v>
      </c>
      <c r="C1136" t="s">
        <v>19726</v>
      </c>
      <c r="D1136" t="s">
        <v>19727</v>
      </c>
      <c r="E1136" t="s">
        <v>19728</v>
      </c>
      <c r="F1136" t="s">
        <v>19729</v>
      </c>
      <c r="G1136" t="s">
        <v>19730</v>
      </c>
      <c r="H1136" t="s">
        <v>19731</v>
      </c>
      <c r="I1136" t="s">
        <v>19732</v>
      </c>
      <c r="J1136" t="s">
        <v>19733</v>
      </c>
      <c r="K1136" t="s">
        <v>19734</v>
      </c>
      <c r="L1136" t="s">
        <v>19735</v>
      </c>
      <c r="M1136" t="s">
        <v>19736</v>
      </c>
      <c r="N1136" t="s">
        <v>19737</v>
      </c>
      <c r="O1136">
        <f>-595.62505791477 -44.5455384344482 -740.009049353655</f>
        <v>-1380.1796457028731</v>
      </c>
      <c r="P1136">
        <f>-617.090624067234 -31.2665188721769 -424.495055901876</f>
        <v>-1072.852198841287</v>
      </c>
      <c r="Q1136">
        <f>-357.52700004629 -46.2167525935638 -431.222748459986</f>
        <v>-834.96650109983989</v>
      </c>
      <c r="R1136" t="s">
        <v>19738</v>
      </c>
      <c r="S1136" t="s">
        <v>19739</v>
      </c>
      <c r="T1136" t="s">
        <v>19740</v>
      </c>
      <c r="U1136" t="s">
        <v>19741</v>
      </c>
      <c r="V1136" t="s">
        <v>19742</v>
      </c>
      <c r="W1136" t="s">
        <v>19743</v>
      </c>
      <c r="X1136" t="s">
        <v>19744</v>
      </c>
      <c r="Y1136" t="s">
        <v>19745</v>
      </c>
    </row>
    <row r="1137" spans="1:25" x14ac:dyDescent="0.3">
      <c r="A1137">
        <v>56800</v>
      </c>
      <c r="B1137" t="s">
        <v>19746</v>
      </c>
      <c r="C1137" t="s">
        <v>19747</v>
      </c>
      <c r="D1137" t="s">
        <v>19748</v>
      </c>
      <c r="E1137" t="s">
        <v>19749</v>
      </c>
      <c r="F1137" t="s">
        <v>19750</v>
      </c>
      <c r="G1137" t="s">
        <v>19751</v>
      </c>
      <c r="H1137" t="s">
        <v>19752</v>
      </c>
      <c r="I1137" t="s">
        <v>19753</v>
      </c>
      <c r="J1137" t="s">
        <v>19754</v>
      </c>
      <c r="K1137" t="s">
        <v>19755</v>
      </c>
      <c r="L1137" t="s">
        <v>19756</v>
      </c>
      <c r="M1137" t="s">
        <v>19757</v>
      </c>
      <c r="N1137" t="s">
        <v>19758</v>
      </c>
      <c r="O1137">
        <f>-595.678346466088 -44.4057235320004 -739.972113444697</f>
        <v>-1380.0561834427854</v>
      </c>
      <c r="P1137">
        <f>-617.220474021419 -31.0284093186478 -424.467496648562</f>
        <v>-1072.7163799886289</v>
      </c>
      <c r="Q1137">
        <f>-357.645159726702 -45.9142689122339 -430.880964368926</f>
        <v>-834.44039300786199</v>
      </c>
      <c r="R1137" t="s">
        <v>19759</v>
      </c>
      <c r="S1137" t="s">
        <v>19760</v>
      </c>
      <c r="T1137" t="s">
        <v>19761</v>
      </c>
      <c r="U1137" t="s">
        <v>19762</v>
      </c>
      <c r="V1137" t="s">
        <v>19763</v>
      </c>
      <c r="W1137" t="s">
        <v>19764</v>
      </c>
      <c r="X1137" t="s">
        <v>19765</v>
      </c>
      <c r="Y1137" t="s">
        <v>19766</v>
      </c>
    </row>
    <row r="1138" spans="1:25" x14ac:dyDescent="0.3">
      <c r="A1138">
        <v>56850</v>
      </c>
      <c r="B1138" t="s">
        <v>19767</v>
      </c>
      <c r="C1138" t="s">
        <v>19768</v>
      </c>
      <c r="D1138" t="s">
        <v>19769</v>
      </c>
      <c r="E1138" t="s">
        <v>19770</v>
      </c>
      <c r="F1138" t="s">
        <v>19771</v>
      </c>
      <c r="G1138" t="s">
        <v>19772</v>
      </c>
      <c r="H1138" t="s">
        <v>19773</v>
      </c>
      <c r="I1138" t="s">
        <v>19774</v>
      </c>
      <c r="J1138" t="s">
        <v>19775</v>
      </c>
      <c r="K1138" t="s">
        <v>19776</v>
      </c>
      <c r="L1138" t="s">
        <v>19777</v>
      </c>
      <c r="M1138" t="s">
        <v>19778</v>
      </c>
      <c r="N1138" t="s">
        <v>19779</v>
      </c>
      <c r="O1138">
        <f>-596.040428053523 -44.4897983837204 -739.923931326638</f>
        <v>-1380.4541577638815</v>
      </c>
      <c r="P1138">
        <f>-618.034140041652 -30.8400848050815 -424.462111913203</f>
        <v>-1073.3363367599363</v>
      </c>
      <c r="Q1138">
        <f>-358.456816966601 -45.8622002257391 -430.462161369518</f>
        <v>-834.78117856185816</v>
      </c>
      <c r="R1138" t="s">
        <v>19780</v>
      </c>
      <c r="S1138" t="s">
        <v>19781</v>
      </c>
      <c r="T1138" t="s">
        <v>19782</v>
      </c>
      <c r="U1138" t="s">
        <v>19783</v>
      </c>
      <c r="V1138" t="s">
        <v>19784</v>
      </c>
      <c r="W1138" t="s">
        <v>19785</v>
      </c>
      <c r="X1138" t="s">
        <v>19786</v>
      </c>
      <c r="Y1138" t="s">
        <v>19787</v>
      </c>
    </row>
    <row r="1139" spans="1:25" x14ac:dyDescent="0.3">
      <c r="A1139">
        <v>56900</v>
      </c>
      <c r="B1139" t="s">
        <v>19788</v>
      </c>
      <c r="C1139" t="s">
        <v>19789</v>
      </c>
      <c r="D1139" t="s">
        <v>19790</v>
      </c>
      <c r="E1139" t="s">
        <v>19791</v>
      </c>
      <c r="F1139" t="s">
        <v>19792</v>
      </c>
      <c r="G1139" t="s">
        <v>19793</v>
      </c>
      <c r="H1139" t="s">
        <v>19794</v>
      </c>
      <c r="I1139" t="s">
        <v>19795</v>
      </c>
      <c r="J1139" t="s">
        <v>19796</v>
      </c>
      <c r="K1139" t="s">
        <v>19797</v>
      </c>
      <c r="L1139" t="s">
        <v>19798</v>
      </c>
      <c r="M1139" t="s">
        <v>19799</v>
      </c>
      <c r="N1139" t="s">
        <v>19800</v>
      </c>
      <c r="O1139">
        <f>-596.385789654938 -44.4123940220866 -740.017973676202</f>
        <v>-1380.8161573532266</v>
      </c>
      <c r="P1139">
        <f>-618.071136316694 -30.5147431945381 -424.545735608089</f>
        <v>-1073.1316151193212</v>
      </c>
      <c r="Q1139">
        <f>-358.486903952159 -45.5955434182242 -430.084703984391</f>
        <v>-834.16715135477421</v>
      </c>
      <c r="R1139" t="s">
        <v>19801</v>
      </c>
      <c r="S1139" t="s">
        <v>19802</v>
      </c>
      <c r="T1139" t="s">
        <v>19803</v>
      </c>
      <c r="U1139" t="s">
        <v>19804</v>
      </c>
      <c r="V1139" t="s">
        <v>19805</v>
      </c>
      <c r="W1139" t="s">
        <v>19806</v>
      </c>
      <c r="X1139" t="s">
        <v>19807</v>
      </c>
      <c r="Y1139" t="s">
        <v>19808</v>
      </c>
    </row>
    <row r="1140" spans="1:25" x14ac:dyDescent="0.3">
      <c r="A1140">
        <v>56950</v>
      </c>
      <c r="B1140" t="s">
        <v>19809</v>
      </c>
      <c r="C1140" t="s">
        <v>19810</v>
      </c>
      <c r="D1140" t="s">
        <v>19811</v>
      </c>
      <c r="E1140" t="s">
        <v>19812</v>
      </c>
      <c r="F1140" t="s">
        <v>19813</v>
      </c>
      <c r="G1140" t="s">
        <v>19814</v>
      </c>
      <c r="H1140" t="s">
        <v>19815</v>
      </c>
      <c r="I1140" t="s">
        <v>19816</v>
      </c>
      <c r="J1140" t="s">
        <v>19817</v>
      </c>
      <c r="K1140" t="s">
        <v>19818</v>
      </c>
      <c r="L1140" t="s">
        <v>19819</v>
      </c>
      <c r="M1140" t="s">
        <v>19820</v>
      </c>
      <c r="N1140" t="s">
        <v>19821</v>
      </c>
      <c r="O1140">
        <f>-597.531858430159 -44.7608517917968 -740.211827989717</f>
        <v>-1382.5045382116728</v>
      </c>
      <c r="P1140">
        <f>-619.153317002118 -30.3321830133316 -424.758939808584</f>
        <v>-1074.2444398240336</v>
      </c>
      <c r="Q1140">
        <f>-359.599197280419 -45.867740446278 -430.44764438362</f>
        <v>-835.91458211031704</v>
      </c>
      <c r="R1140" t="s">
        <v>19822</v>
      </c>
      <c r="S1140" t="s">
        <v>19823</v>
      </c>
      <c r="T1140" t="s">
        <v>19824</v>
      </c>
      <c r="U1140" t="s">
        <v>19825</v>
      </c>
      <c r="V1140" t="s">
        <v>19826</v>
      </c>
      <c r="W1140" t="s">
        <v>19827</v>
      </c>
      <c r="X1140" t="s">
        <v>19828</v>
      </c>
      <c r="Y1140" t="s">
        <v>19829</v>
      </c>
    </row>
    <row r="1141" spans="1:25" x14ac:dyDescent="0.3">
      <c r="A1141">
        <v>57000</v>
      </c>
      <c r="B1141" t="s">
        <v>19830</v>
      </c>
      <c r="C1141" t="s">
        <v>19831</v>
      </c>
      <c r="D1141" t="s">
        <v>19832</v>
      </c>
      <c r="E1141" t="s">
        <v>19833</v>
      </c>
      <c r="F1141" t="s">
        <v>19834</v>
      </c>
      <c r="G1141" t="s">
        <v>19835</v>
      </c>
      <c r="H1141" t="s">
        <v>19836</v>
      </c>
      <c r="I1141" t="s">
        <v>19837</v>
      </c>
      <c r="J1141" t="s">
        <v>19838</v>
      </c>
      <c r="K1141" t="s">
        <v>19839</v>
      </c>
      <c r="L1141" t="s">
        <v>19840</v>
      </c>
      <c r="M1141" t="s">
        <v>19841</v>
      </c>
      <c r="N1141" t="s">
        <v>19842</v>
      </c>
      <c r="O1141">
        <f>-598.118878873761 -44.7913198596859 -740.320328638766</f>
        <v>-1383.2305273722129</v>
      </c>
      <c r="P1141">
        <f>-619.396608632928 -30.322068381593 -424.845986820538</f>
        <v>-1074.564663835059</v>
      </c>
      <c r="Q1141">
        <f>-359.848973192498 -46.0174155527777 -430.38993348484</f>
        <v>-836.25632223011576</v>
      </c>
      <c r="R1141" t="s">
        <v>19843</v>
      </c>
      <c r="S1141" t="s">
        <v>19844</v>
      </c>
      <c r="T1141" t="s">
        <v>19845</v>
      </c>
      <c r="U1141" t="s">
        <v>19846</v>
      </c>
      <c r="V1141" t="s">
        <v>19847</v>
      </c>
      <c r="W1141" t="s">
        <v>19848</v>
      </c>
      <c r="X1141" t="s">
        <v>19849</v>
      </c>
      <c r="Y1141" t="s">
        <v>19850</v>
      </c>
    </row>
    <row r="1142" spans="1:25" x14ac:dyDescent="0.3">
      <c r="A1142">
        <v>57050</v>
      </c>
      <c r="B1142" t="s">
        <v>19851</v>
      </c>
      <c r="C1142" t="s">
        <v>19852</v>
      </c>
      <c r="D1142" t="s">
        <v>19853</v>
      </c>
      <c r="E1142" t="s">
        <v>19854</v>
      </c>
      <c r="F1142" t="s">
        <v>19855</v>
      </c>
      <c r="G1142" t="s">
        <v>19856</v>
      </c>
      <c r="H1142" t="s">
        <v>19857</v>
      </c>
      <c r="I1142" t="s">
        <v>19858</v>
      </c>
      <c r="J1142" t="s">
        <v>19859</v>
      </c>
      <c r="K1142" t="s">
        <v>19860</v>
      </c>
      <c r="L1142" t="s">
        <v>19861</v>
      </c>
      <c r="M1142" t="s">
        <v>19862</v>
      </c>
      <c r="N1142" t="s">
        <v>19863</v>
      </c>
      <c r="O1142">
        <f>-598.930175948306 -45.2812458618464 -740.381674458435</f>
        <v>-1384.5930962685875</v>
      </c>
      <c r="P1142">
        <f>-620.448114085671 -30.2218725396681 -424.951221499267</f>
        <v>-1075.621208124606</v>
      </c>
      <c r="Q1142">
        <f>-360.960425108576 -46.7379818243139 -430.902625826938</f>
        <v>-838.60103275982783</v>
      </c>
      <c r="R1142" t="s">
        <v>19864</v>
      </c>
      <c r="S1142" t="s">
        <v>19865</v>
      </c>
      <c r="T1142" t="s">
        <v>19866</v>
      </c>
      <c r="U1142" t="s">
        <v>19867</v>
      </c>
      <c r="V1142" t="s">
        <v>19868</v>
      </c>
      <c r="W1142" t="s">
        <v>19869</v>
      </c>
      <c r="X1142" t="s">
        <v>19870</v>
      </c>
      <c r="Y1142" t="s">
        <v>19871</v>
      </c>
    </row>
    <row r="1143" spans="1:25" x14ac:dyDescent="0.3">
      <c r="A1143">
        <v>57100</v>
      </c>
      <c r="B1143" t="s">
        <v>19872</v>
      </c>
      <c r="C1143" t="s">
        <v>19873</v>
      </c>
      <c r="D1143" t="s">
        <v>19874</v>
      </c>
      <c r="E1143" t="s">
        <v>19875</v>
      </c>
      <c r="F1143" t="s">
        <v>19876</v>
      </c>
      <c r="G1143" t="s">
        <v>19877</v>
      </c>
      <c r="H1143" t="s">
        <v>19878</v>
      </c>
      <c r="I1143" t="s">
        <v>19879</v>
      </c>
      <c r="J1143" t="s">
        <v>19880</v>
      </c>
      <c r="K1143" t="s">
        <v>19881</v>
      </c>
      <c r="L1143" t="s">
        <v>19882</v>
      </c>
      <c r="M1143" t="s">
        <v>19883</v>
      </c>
      <c r="N1143" t="s">
        <v>19884</v>
      </c>
      <c r="O1143">
        <f>-599.403015118308 -45.5675363810321 -740.272269948338</f>
        <v>-1385.2428214476781</v>
      </c>
      <c r="P1143">
        <f>-620.736889132008 -30.106034178759 -424.848779730603</f>
        <v>-1075.6917030413699</v>
      </c>
      <c r="Q1143">
        <f>-361.327020216961 -47.6554298736771 -431.219056530392</f>
        <v>-840.20150662103015</v>
      </c>
      <c r="R1143" t="s">
        <v>19885</v>
      </c>
      <c r="S1143" t="s">
        <v>19886</v>
      </c>
      <c r="T1143" t="s">
        <v>19887</v>
      </c>
      <c r="U1143" t="s">
        <v>19888</v>
      </c>
      <c r="V1143" t="s">
        <v>19889</v>
      </c>
      <c r="W1143" t="s">
        <v>19890</v>
      </c>
      <c r="X1143" t="s">
        <v>19891</v>
      </c>
      <c r="Y1143" t="s">
        <v>19892</v>
      </c>
    </row>
    <row r="1144" spans="1:25" x14ac:dyDescent="0.3">
      <c r="A1144">
        <v>57150</v>
      </c>
      <c r="B1144" t="s">
        <v>19893</v>
      </c>
      <c r="C1144" t="s">
        <v>19894</v>
      </c>
      <c r="D1144" t="s">
        <v>19895</v>
      </c>
      <c r="E1144" t="s">
        <v>19896</v>
      </c>
      <c r="F1144" t="s">
        <v>19897</v>
      </c>
      <c r="G1144" t="s">
        <v>19898</v>
      </c>
      <c r="H1144" t="s">
        <v>19899</v>
      </c>
      <c r="I1144" t="s">
        <v>19900</v>
      </c>
      <c r="J1144" t="s">
        <v>19901</v>
      </c>
      <c r="K1144" t="s">
        <v>19902</v>
      </c>
      <c r="L1144" t="s">
        <v>19903</v>
      </c>
      <c r="M1144" t="s">
        <v>19904</v>
      </c>
      <c r="N1144" t="s">
        <v>19905</v>
      </c>
      <c r="O1144">
        <f>-599.257733132464 -46.6490470691717 -740.023320900572</f>
        <v>-1385.9301011022076</v>
      </c>
      <c r="P1144">
        <f>-620.697225106092 -30.9377220484057 -424.619344217844</f>
        <v>-1076.2542913723416</v>
      </c>
      <c r="Q1144">
        <f>-361.436007905628 -50.1857619864384 -432.04820986957</f>
        <v>-843.66997976163634</v>
      </c>
      <c r="R1144" t="s">
        <v>19906</v>
      </c>
      <c r="S1144" t="s">
        <v>19907</v>
      </c>
      <c r="T1144" t="s">
        <v>19908</v>
      </c>
      <c r="U1144" t="s">
        <v>19909</v>
      </c>
      <c r="V1144" t="s">
        <v>19910</v>
      </c>
      <c r="W1144" t="s">
        <v>19911</v>
      </c>
      <c r="X1144" t="s">
        <v>19912</v>
      </c>
      <c r="Y1144" t="s">
        <v>19913</v>
      </c>
    </row>
    <row r="1145" spans="1:25" x14ac:dyDescent="0.3">
      <c r="A1145">
        <v>57200</v>
      </c>
      <c r="B1145" t="s">
        <v>19914</v>
      </c>
      <c r="C1145" t="s">
        <v>19915</v>
      </c>
      <c r="D1145" t="s">
        <v>19916</v>
      </c>
      <c r="E1145" t="s">
        <v>19917</v>
      </c>
      <c r="F1145" t="s">
        <v>19918</v>
      </c>
      <c r="G1145" t="s">
        <v>19919</v>
      </c>
      <c r="H1145" t="s">
        <v>19920</v>
      </c>
      <c r="I1145" t="s">
        <v>19921</v>
      </c>
      <c r="J1145" t="s">
        <v>19922</v>
      </c>
      <c r="K1145" t="s">
        <v>19923</v>
      </c>
      <c r="L1145" t="s">
        <v>19924</v>
      </c>
      <c r="M1145" t="s">
        <v>19925</v>
      </c>
      <c r="N1145" t="s">
        <v>19926</v>
      </c>
      <c r="O1145">
        <f>-599.074392906048 -47.2441845953322 -739.79258457119</f>
        <v>-1386.1111620725701</v>
      </c>
      <c r="P1145">
        <f>-620.43969366795 -31.7072755573963 -424.374968680845</f>
        <v>-1076.5219379061914</v>
      </c>
      <c r="Q1145">
        <f>-361.234884769847 -51.5638668663969 -432.161859001127</f>
        <v>-844.96061063737091</v>
      </c>
      <c r="R1145" t="s">
        <v>19927</v>
      </c>
      <c r="S1145" t="s">
        <v>19928</v>
      </c>
      <c r="T1145" t="s">
        <v>19929</v>
      </c>
      <c r="U1145" t="s">
        <v>19930</v>
      </c>
      <c r="V1145" t="s">
        <v>19931</v>
      </c>
      <c r="W1145" t="s">
        <v>19932</v>
      </c>
      <c r="X1145" t="s">
        <v>19933</v>
      </c>
      <c r="Y1145" t="s">
        <v>19934</v>
      </c>
    </row>
    <row r="1146" spans="1:25" x14ac:dyDescent="0.3">
      <c r="A1146">
        <v>57250</v>
      </c>
      <c r="B1146" t="s">
        <v>19935</v>
      </c>
      <c r="C1146" t="s">
        <v>19936</v>
      </c>
      <c r="D1146" t="s">
        <v>19937</v>
      </c>
      <c r="E1146" t="s">
        <v>19938</v>
      </c>
      <c r="F1146" t="s">
        <v>19939</v>
      </c>
      <c r="G1146" t="s">
        <v>19940</v>
      </c>
      <c r="H1146" t="s">
        <v>19941</v>
      </c>
      <c r="I1146" t="s">
        <v>19942</v>
      </c>
      <c r="J1146" t="s">
        <v>19943</v>
      </c>
      <c r="K1146" t="s">
        <v>19944</v>
      </c>
      <c r="L1146" t="s">
        <v>19945</v>
      </c>
      <c r="M1146" t="s">
        <v>19946</v>
      </c>
      <c r="N1146" t="s">
        <v>19947</v>
      </c>
      <c r="O1146">
        <f>-598.41659248323 -48.3626216509826 -739.500163059941</f>
        <v>-1386.2793771941538</v>
      </c>
      <c r="P1146">
        <f>-620.098112681342 -32.9818759982816 -424.096520139709</f>
        <v>-1077.1765088193324</v>
      </c>
      <c r="Q1146">
        <f>-360.960716000743 -53.538362233016 -432.300277849786</f>
        <v>-846.79935608354504</v>
      </c>
      <c r="R1146" t="s">
        <v>19948</v>
      </c>
      <c r="S1146" t="s">
        <v>19949</v>
      </c>
      <c r="T1146" t="s">
        <v>19950</v>
      </c>
      <c r="U1146" t="s">
        <v>19951</v>
      </c>
      <c r="V1146" t="s">
        <v>19952</v>
      </c>
      <c r="W1146" t="s">
        <v>19953</v>
      </c>
      <c r="X1146" t="s">
        <v>19954</v>
      </c>
      <c r="Y1146" t="s">
        <v>19955</v>
      </c>
    </row>
    <row r="1147" spans="1:25" x14ac:dyDescent="0.3">
      <c r="A1147">
        <v>57300</v>
      </c>
      <c r="B1147" t="s">
        <v>19956</v>
      </c>
      <c r="C1147" t="s">
        <v>19957</v>
      </c>
      <c r="D1147" t="s">
        <v>19958</v>
      </c>
      <c r="E1147" t="s">
        <v>19959</v>
      </c>
      <c r="F1147" t="s">
        <v>19960</v>
      </c>
      <c r="G1147" t="s">
        <v>19961</v>
      </c>
      <c r="H1147" t="s">
        <v>19962</v>
      </c>
      <c r="I1147" t="s">
        <v>19963</v>
      </c>
      <c r="J1147" t="s">
        <v>19964</v>
      </c>
      <c r="K1147" t="s">
        <v>19965</v>
      </c>
      <c r="L1147" t="s">
        <v>19966</v>
      </c>
      <c r="M1147" t="s">
        <v>19967</v>
      </c>
      <c r="N1147" t="s">
        <v>19968</v>
      </c>
      <c r="O1147">
        <f>-598.352839543155 -48.2528435804691 -739.528162909521</f>
        <v>-1386.1338460331451</v>
      </c>
      <c r="P1147">
        <f>-619.86159479526 -33.2861962495299 -424.092712648185</f>
        <v>-1077.2405036929749</v>
      </c>
      <c r="Q1147">
        <f>-360.708764655269 -53.5617156625235 -432.505345392484</f>
        <v>-846.77582571027654</v>
      </c>
      <c r="R1147" t="s">
        <v>19969</v>
      </c>
      <c r="S1147" t="s">
        <v>19970</v>
      </c>
      <c r="T1147" t="s">
        <v>19971</v>
      </c>
      <c r="U1147" t="s">
        <v>19972</v>
      </c>
      <c r="V1147" t="s">
        <v>19973</v>
      </c>
      <c r="W1147" t="s">
        <v>19974</v>
      </c>
      <c r="X1147" t="s">
        <v>19975</v>
      </c>
      <c r="Y1147" t="s">
        <v>19976</v>
      </c>
    </row>
    <row r="1148" spans="1:25" x14ac:dyDescent="0.3">
      <c r="A1148">
        <v>57350</v>
      </c>
      <c r="B1148" t="s">
        <v>19977</v>
      </c>
      <c r="C1148" t="s">
        <v>19978</v>
      </c>
      <c r="D1148" t="s">
        <v>19979</v>
      </c>
      <c r="E1148" t="s">
        <v>19980</v>
      </c>
      <c r="F1148" t="s">
        <v>19981</v>
      </c>
      <c r="G1148" t="s">
        <v>19982</v>
      </c>
      <c r="H1148" t="s">
        <v>19983</v>
      </c>
      <c r="I1148" t="s">
        <v>19984</v>
      </c>
      <c r="J1148" t="s">
        <v>19985</v>
      </c>
      <c r="K1148" t="s">
        <v>19986</v>
      </c>
      <c r="L1148" t="s">
        <v>19987</v>
      </c>
      <c r="M1148" t="s">
        <v>19988</v>
      </c>
      <c r="N1148" t="s">
        <v>19989</v>
      </c>
      <c r="O1148">
        <f>-598.529956232238 -47.5626719708148 -739.96523486941</f>
        <v>-1386.0578630724626</v>
      </c>
      <c r="P1148">
        <f>-619.643471039865 -33.5796266266859 -424.457881909458</f>
        <v>-1077.6809795760089</v>
      </c>
      <c r="Q1148">
        <f>-360.364186144057 -51.9600506778386 -433.315108810312</f>
        <v>-845.63934563220755</v>
      </c>
      <c r="R1148" t="s">
        <v>19990</v>
      </c>
      <c r="S1148" t="s">
        <v>19991</v>
      </c>
      <c r="T1148" t="s">
        <v>19992</v>
      </c>
      <c r="U1148" t="s">
        <v>19993</v>
      </c>
      <c r="V1148" t="s">
        <v>19994</v>
      </c>
      <c r="W1148" t="s">
        <v>19995</v>
      </c>
      <c r="X1148" t="s">
        <v>19996</v>
      </c>
      <c r="Y1148" t="s">
        <v>19997</v>
      </c>
    </row>
    <row r="1149" spans="1:25" x14ac:dyDescent="0.3">
      <c r="A1149">
        <v>57400</v>
      </c>
      <c r="B1149" t="s">
        <v>19998</v>
      </c>
      <c r="C1149" t="s">
        <v>19999</v>
      </c>
      <c r="D1149" t="s">
        <v>20000</v>
      </c>
      <c r="E1149" t="s">
        <v>20001</v>
      </c>
      <c r="F1149" t="s">
        <v>20002</v>
      </c>
      <c r="G1149" t="s">
        <v>20003</v>
      </c>
      <c r="H1149" t="s">
        <v>20004</v>
      </c>
      <c r="I1149" t="s">
        <v>20005</v>
      </c>
      <c r="J1149" t="s">
        <v>20006</v>
      </c>
      <c r="K1149" t="s">
        <v>20007</v>
      </c>
      <c r="L1149" t="s">
        <v>20008</v>
      </c>
      <c r="M1149" t="s">
        <v>20009</v>
      </c>
      <c r="N1149" t="s">
        <v>20010</v>
      </c>
      <c r="O1149">
        <f>-598.664822733751 -46.891628522729 -740.192920239253</f>
        <v>-1385.7493714957329</v>
      </c>
      <c r="P1149">
        <f>-619.359409310071 -33.2038299125932 -424.64498085042</f>
        <v>-1077.2082200730842</v>
      </c>
      <c r="Q1149">
        <f>-360.007584008408 -50.5240706339562 -433.515717804851</f>
        <v>-844.04737244721514</v>
      </c>
      <c r="R1149" t="s">
        <v>20011</v>
      </c>
      <c r="S1149" t="s">
        <v>20012</v>
      </c>
      <c r="T1149" t="s">
        <v>20013</v>
      </c>
      <c r="U1149" t="s">
        <v>20014</v>
      </c>
      <c r="V1149" t="s">
        <v>20015</v>
      </c>
      <c r="W1149" t="s">
        <v>20016</v>
      </c>
      <c r="X1149" t="s">
        <v>20017</v>
      </c>
      <c r="Y1149" t="s">
        <v>20018</v>
      </c>
    </row>
    <row r="1150" spans="1:25" x14ac:dyDescent="0.3">
      <c r="A1150">
        <v>57450</v>
      </c>
      <c r="B1150" t="s">
        <v>20019</v>
      </c>
      <c r="C1150" t="s">
        <v>20020</v>
      </c>
      <c r="D1150" t="s">
        <v>20021</v>
      </c>
      <c r="E1150" t="s">
        <v>20022</v>
      </c>
      <c r="F1150" t="s">
        <v>20023</v>
      </c>
      <c r="G1150" t="s">
        <v>20024</v>
      </c>
      <c r="H1150" t="s">
        <v>20025</v>
      </c>
      <c r="I1150" t="s">
        <v>20026</v>
      </c>
      <c r="J1150" t="s">
        <v>20027</v>
      </c>
      <c r="K1150" t="s">
        <v>20028</v>
      </c>
      <c r="L1150" t="s">
        <v>20029</v>
      </c>
      <c r="M1150" t="s">
        <v>20030</v>
      </c>
      <c r="N1150" t="s">
        <v>20031</v>
      </c>
      <c r="O1150">
        <f>-598.164621221453 -46.578801879682 -740.246014793373</f>
        <v>-1384.989437894508</v>
      </c>
      <c r="P1150">
        <f>-618.763205311448 -33.36324543858 -424.671574322552</f>
        <v>-1076.79802507258</v>
      </c>
      <c r="Q1150">
        <f>-359.288102869652 -48.2868695982052 -434.263559847513</f>
        <v>-841.83853231537023</v>
      </c>
      <c r="R1150" t="s">
        <v>20032</v>
      </c>
      <c r="S1150" t="s">
        <v>20033</v>
      </c>
      <c r="T1150" t="s">
        <v>20034</v>
      </c>
      <c r="U1150" t="s">
        <v>20035</v>
      </c>
      <c r="V1150" t="s">
        <v>20036</v>
      </c>
      <c r="W1150" t="s">
        <v>20037</v>
      </c>
      <c r="X1150" t="s">
        <v>20038</v>
      </c>
      <c r="Y1150" t="s">
        <v>20039</v>
      </c>
    </row>
    <row r="1151" spans="1:25" x14ac:dyDescent="0.3">
      <c r="A1151">
        <v>57500</v>
      </c>
      <c r="B1151" t="s">
        <v>20040</v>
      </c>
      <c r="C1151" t="s">
        <v>20041</v>
      </c>
      <c r="D1151" t="s">
        <v>20042</v>
      </c>
      <c r="E1151" t="s">
        <v>20043</v>
      </c>
      <c r="F1151" t="s">
        <v>20044</v>
      </c>
      <c r="G1151" t="s">
        <v>20045</v>
      </c>
      <c r="H1151" t="s">
        <v>20046</v>
      </c>
      <c r="I1151" t="s">
        <v>20047</v>
      </c>
      <c r="J1151" t="s">
        <v>20048</v>
      </c>
      <c r="K1151" t="s">
        <v>20049</v>
      </c>
      <c r="L1151" t="s">
        <v>20050</v>
      </c>
      <c r="M1151" t="s">
        <v>20051</v>
      </c>
      <c r="N1151" t="s">
        <v>20052</v>
      </c>
      <c r="O1151">
        <f>-597.989107393568 -46.3776632405088 -740.300187868381</f>
        <v>-1384.6669585024579</v>
      </c>
      <c r="P1151">
        <f>-618.171758296818 -33.2747267004463 -424.694157522234</f>
        <v>-1076.1406425194982</v>
      </c>
      <c r="Q1151">
        <f>-358.623721850382 -46.938644223904 -434.190664817938</f>
        <v>-839.75303089222405</v>
      </c>
      <c r="R1151" t="s">
        <v>20053</v>
      </c>
      <c r="S1151" t="s">
        <v>20054</v>
      </c>
      <c r="T1151" t="s">
        <v>20055</v>
      </c>
      <c r="U1151" t="s">
        <v>20056</v>
      </c>
      <c r="V1151" t="s">
        <v>20057</v>
      </c>
      <c r="W1151" t="s">
        <v>20058</v>
      </c>
      <c r="X1151" t="s">
        <v>20059</v>
      </c>
      <c r="Y1151" t="s">
        <v>20060</v>
      </c>
    </row>
    <row r="1152" spans="1:25" x14ac:dyDescent="0.3">
      <c r="A1152">
        <v>57550</v>
      </c>
      <c r="B1152" t="s">
        <v>20061</v>
      </c>
      <c r="C1152" t="s">
        <v>20062</v>
      </c>
      <c r="D1152" t="s">
        <v>20063</v>
      </c>
      <c r="E1152" t="s">
        <v>20064</v>
      </c>
      <c r="F1152" t="s">
        <v>20065</v>
      </c>
      <c r="G1152" t="s">
        <v>20066</v>
      </c>
      <c r="H1152" t="s">
        <v>20067</v>
      </c>
      <c r="I1152" t="s">
        <v>20068</v>
      </c>
      <c r="J1152" t="s">
        <v>20069</v>
      </c>
      <c r="K1152" t="s">
        <v>20070</v>
      </c>
      <c r="L1152" t="s">
        <v>20071</v>
      </c>
      <c r="M1152" t="s">
        <v>20072</v>
      </c>
      <c r="N1152" t="s">
        <v>20073</v>
      </c>
      <c r="O1152">
        <f>-598.141455457033 -46.1253649081852 -740.131924884303</f>
        <v>-1384.3987452495212</v>
      </c>
      <c r="P1152">
        <f>-617.373032932912 -33.2256207554649 -424.458010454157</f>
        <v>-1075.0566641425339</v>
      </c>
      <c r="Q1152">
        <f>-357.752841425252 -44.913928279057 -434.596991376741</f>
        <v>-837.26376108105001</v>
      </c>
      <c r="R1152" t="s">
        <v>20074</v>
      </c>
      <c r="S1152" t="s">
        <v>20075</v>
      </c>
      <c r="T1152" t="s">
        <v>20076</v>
      </c>
      <c r="U1152" t="s">
        <v>20077</v>
      </c>
      <c r="V1152" t="s">
        <v>20078</v>
      </c>
      <c r="W1152" t="s">
        <v>20079</v>
      </c>
      <c r="X1152" t="s">
        <v>20080</v>
      </c>
      <c r="Y1152" t="s">
        <v>20081</v>
      </c>
    </row>
    <row r="1153" spans="1:25" x14ac:dyDescent="0.3">
      <c r="A1153">
        <v>57600</v>
      </c>
      <c r="B1153" t="s">
        <v>20082</v>
      </c>
      <c r="C1153" t="s">
        <v>20083</v>
      </c>
      <c r="D1153" t="s">
        <v>20084</v>
      </c>
      <c r="E1153" t="s">
        <v>20085</v>
      </c>
      <c r="F1153" t="s">
        <v>20086</v>
      </c>
      <c r="G1153" t="s">
        <v>20087</v>
      </c>
      <c r="H1153" t="s">
        <v>20088</v>
      </c>
      <c r="I1153" t="s">
        <v>20089</v>
      </c>
      <c r="J1153" t="s">
        <v>20090</v>
      </c>
      <c r="K1153" t="s">
        <v>20091</v>
      </c>
      <c r="L1153" t="s">
        <v>20092</v>
      </c>
      <c r="M1153" t="s">
        <v>20093</v>
      </c>
      <c r="N1153" t="s">
        <v>20094</v>
      </c>
      <c r="O1153">
        <f>-598.167900261025 -45.7454520439364 -739.870988073978</f>
        <v>-1383.7843403789393</v>
      </c>
      <c r="P1153">
        <f>-616.734116607412 -32.4072444404608 -424.175678805448</f>
        <v>-1073.3170398533207</v>
      </c>
      <c r="Q1153">
        <f>-357.106995405514 -43.272310190539 -435.027155281526</f>
        <v>-835.40646087757898</v>
      </c>
      <c r="R1153" t="s">
        <v>20095</v>
      </c>
      <c r="S1153" t="s">
        <v>20096</v>
      </c>
      <c r="T1153" t="s">
        <v>20097</v>
      </c>
      <c r="U1153" t="s">
        <v>20098</v>
      </c>
      <c r="V1153" t="s">
        <v>20099</v>
      </c>
      <c r="W1153" t="s">
        <v>20100</v>
      </c>
      <c r="X1153" t="s">
        <v>20101</v>
      </c>
      <c r="Y1153" t="s">
        <v>20102</v>
      </c>
    </row>
    <row r="1154" spans="1:25" x14ac:dyDescent="0.3">
      <c r="A1154">
        <v>57650</v>
      </c>
      <c r="B1154" t="s">
        <v>20103</v>
      </c>
      <c r="C1154" t="s">
        <v>20104</v>
      </c>
      <c r="D1154" t="s">
        <v>20105</v>
      </c>
      <c r="E1154" t="s">
        <v>20106</v>
      </c>
      <c r="F1154" t="s">
        <v>20107</v>
      </c>
      <c r="G1154" t="s">
        <v>20108</v>
      </c>
      <c r="H1154" t="s">
        <v>20109</v>
      </c>
      <c r="I1154" t="s">
        <v>20110</v>
      </c>
      <c r="J1154" t="s">
        <v>20111</v>
      </c>
      <c r="K1154" t="s">
        <v>20112</v>
      </c>
      <c r="L1154" t="s">
        <v>20113</v>
      </c>
      <c r="M1154" t="s">
        <v>20114</v>
      </c>
      <c r="N1154" t="s">
        <v>20115</v>
      </c>
      <c r="O1154">
        <f>-598.371767033777 -45.6263754150216 -739.523320149113</f>
        <v>-1383.5214625979115</v>
      </c>
      <c r="P1154">
        <f>-616.903291801156 -32.2387121645691 -423.827986788567</f>
        <v>-1072.969990754292</v>
      </c>
      <c r="Q1154">
        <f>-357.319788980149 -42.8172656554166 -435.933869333143</f>
        <v>-836.07092396870848</v>
      </c>
      <c r="R1154" t="s">
        <v>20116</v>
      </c>
      <c r="S1154" t="s">
        <v>20117</v>
      </c>
      <c r="T1154" t="s">
        <v>20118</v>
      </c>
      <c r="U1154" t="s">
        <v>20119</v>
      </c>
      <c r="V1154" t="s">
        <v>20120</v>
      </c>
      <c r="W1154" t="s">
        <v>20121</v>
      </c>
      <c r="X1154" t="s">
        <v>20122</v>
      </c>
      <c r="Y1154" t="s">
        <v>20123</v>
      </c>
    </row>
    <row r="1155" spans="1:25" x14ac:dyDescent="0.3">
      <c r="A1155">
        <v>57700</v>
      </c>
      <c r="B1155" t="s">
        <v>20124</v>
      </c>
      <c r="C1155" t="s">
        <v>20125</v>
      </c>
      <c r="D1155" t="s">
        <v>20126</v>
      </c>
      <c r="E1155" t="s">
        <v>20127</v>
      </c>
      <c r="F1155" t="s">
        <v>20128</v>
      </c>
      <c r="G1155" t="s">
        <v>20129</v>
      </c>
      <c r="H1155" t="s">
        <v>20130</v>
      </c>
      <c r="I1155" t="s">
        <v>20131</v>
      </c>
      <c r="J1155" t="s">
        <v>20132</v>
      </c>
      <c r="K1155" t="s">
        <v>20133</v>
      </c>
      <c r="L1155" t="s">
        <v>20134</v>
      </c>
      <c r="M1155" t="s">
        <v>20135</v>
      </c>
      <c r="N1155" t="s">
        <v>20136</v>
      </c>
      <c r="O1155">
        <f>-598.468939625748 -45.5611077289229 -739.419741120724</f>
        <v>-1383.4497884753951</v>
      </c>
      <c r="P1155">
        <f>-616.838593465807 -32.1383775955835 -423.716380433555</f>
        <v>-1072.6933514949455</v>
      </c>
      <c r="Q1155">
        <f>-357.273528658003 -42.7646549018641 -436.171235771966</f>
        <v>-836.20941933183303</v>
      </c>
      <c r="R1155" t="s">
        <v>20137</v>
      </c>
      <c r="S1155" t="s">
        <v>20138</v>
      </c>
      <c r="T1155" t="s">
        <v>20139</v>
      </c>
      <c r="U1155" t="s">
        <v>20140</v>
      </c>
      <c r="V1155" t="s">
        <v>20141</v>
      </c>
      <c r="W1155" t="s">
        <v>20142</v>
      </c>
      <c r="X1155" t="s">
        <v>20143</v>
      </c>
      <c r="Y1155" t="s">
        <v>20144</v>
      </c>
    </row>
    <row r="1156" spans="1:25" x14ac:dyDescent="0.3">
      <c r="A1156">
        <v>57750</v>
      </c>
      <c r="B1156" t="s">
        <v>20145</v>
      </c>
      <c r="C1156" t="s">
        <v>20146</v>
      </c>
      <c r="D1156" t="s">
        <v>20147</v>
      </c>
      <c r="E1156" t="s">
        <v>20148</v>
      </c>
      <c r="F1156" t="s">
        <v>20149</v>
      </c>
      <c r="G1156" t="s">
        <v>20150</v>
      </c>
      <c r="H1156" t="s">
        <v>20151</v>
      </c>
      <c r="I1156" t="s">
        <v>20152</v>
      </c>
      <c r="J1156" t="s">
        <v>20153</v>
      </c>
      <c r="K1156" t="s">
        <v>20154</v>
      </c>
      <c r="L1156" t="s">
        <v>20155</v>
      </c>
      <c r="M1156" t="s">
        <v>20156</v>
      </c>
      <c r="N1156" t="s">
        <v>20157</v>
      </c>
      <c r="O1156">
        <f>-599.274332665338 -45.0834442915757 -739.052721765122</f>
        <v>-1383.4104987220358</v>
      </c>
      <c r="P1156">
        <f>-617.00554729655 -31.7826025708766 -423.307725762735</f>
        <v>-1072.0958756301616</v>
      </c>
      <c r="Q1156">
        <f>-357.514677891728 -42.0149243992985 -437.514963707418</f>
        <v>-837.04456599844457</v>
      </c>
      <c r="R1156" t="s">
        <v>20158</v>
      </c>
      <c r="S1156" t="s">
        <v>20159</v>
      </c>
      <c r="T1156" t="s">
        <v>20160</v>
      </c>
      <c r="U1156" t="s">
        <v>20161</v>
      </c>
      <c r="V1156" t="s">
        <v>20162</v>
      </c>
      <c r="W1156" t="s">
        <v>20163</v>
      </c>
      <c r="X1156" t="s">
        <v>20164</v>
      </c>
      <c r="Y1156" t="s">
        <v>20165</v>
      </c>
    </row>
    <row r="1157" spans="1:25" x14ac:dyDescent="0.3">
      <c r="A1157">
        <v>57800</v>
      </c>
      <c r="B1157" t="s">
        <v>20166</v>
      </c>
      <c r="C1157" t="s">
        <v>20167</v>
      </c>
      <c r="D1157" t="s">
        <v>20168</v>
      </c>
      <c r="E1157" t="s">
        <v>20169</v>
      </c>
      <c r="F1157" t="s">
        <v>20170</v>
      </c>
      <c r="G1157" t="s">
        <v>20171</v>
      </c>
      <c r="H1157" t="s">
        <v>20172</v>
      </c>
      <c r="I1157" t="s">
        <v>20173</v>
      </c>
      <c r="J1157" t="s">
        <v>20174</v>
      </c>
      <c r="K1157" t="s">
        <v>20175</v>
      </c>
      <c r="L1157" t="s">
        <v>20176</v>
      </c>
      <c r="M1157" t="s">
        <v>20177</v>
      </c>
      <c r="N1157" t="s">
        <v>20178</v>
      </c>
      <c r="O1157">
        <f>-599.857452605944 -44.8311529557918 -738.871972177691</f>
        <v>-1383.5605777394267</v>
      </c>
      <c r="P1157">
        <f>-617.248809210091 -31.2639407897561 -423.119451941361</f>
        <v>-1071.6322019412082</v>
      </c>
      <c r="Q1157">
        <f>-357.829495792784 -42.4719532320437 -437.886229439741</f>
        <v>-838.18767846456865</v>
      </c>
      <c r="R1157" t="s">
        <v>20179</v>
      </c>
      <c r="S1157" t="s">
        <v>20180</v>
      </c>
      <c r="T1157" t="s">
        <v>20181</v>
      </c>
      <c r="U1157" t="s">
        <v>20182</v>
      </c>
      <c r="V1157" t="s">
        <v>20183</v>
      </c>
      <c r="W1157" t="s">
        <v>20184</v>
      </c>
      <c r="X1157" t="s">
        <v>20185</v>
      </c>
      <c r="Y1157" t="s">
        <v>20186</v>
      </c>
    </row>
    <row r="1158" spans="1:25" x14ac:dyDescent="0.3">
      <c r="A1158">
        <v>57850</v>
      </c>
      <c r="B1158" t="s">
        <v>20187</v>
      </c>
      <c r="C1158" t="s">
        <v>20188</v>
      </c>
      <c r="D1158" t="s">
        <v>20189</v>
      </c>
      <c r="E1158" t="s">
        <v>20190</v>
      </c>
      <c r="F1158" t="s">
        <v>20191</v>
      </c>
      <c r="G1158" t="s">
        <v>20192</v>
      </c>
      <c r="H1158" t="s">
        <v>20193</v>
      </c>
      <c r="I1158" t="s">
        <v>20194</v>
      </c>
      <c r="J1158" t="s">
        <v>20195</v>
      </c>
      <c r="K1158" t="s">
        <v>20196</v>
      </c>
      <c r="L1158" t="s">
        <v>20197</v>
      </c>
      <c r="M1158" t="s">
        <v>20198</v>
      </c>
      <c r="N1158" t="s">
        <v>20199</v>
      </c>
      <c r="O1158">
        <f>-600.942573686855 -44.2789324296505 -738.46572015742</f>
        <v>-1383.6872262739255</v>
      </c>
      <c r="P1158">
        <f>-617.173987194924 -30.0491973588289 -422.680712606683</f>
        <v>-1069.9038971604359</v>
      </c>
      <c r="Q1158">
        <f>-357.823934372588 -42.7586598326377 -437.448491681498</f>
        <v>-838.03108588672376</v>
      </c>
      <c r="R1158" t="s">
        <v>20200</v>
      </c>
      <c r="S1158" t="s">
        <v>20201</v>
      </c>
      <c r="T1158" t="s">
        <v>20202</v>
      </c>
      <c r="U1158" t="s">
        <v>20203</v>
      </c>
      <c r="V1158" t="s">
        <v>20204</v>
      </c>
      <c r="W1158" t="s">
        <v>20205</v>
      </c>
      <c r="X1158" t="s">
        <v>20206</v>
      </c>
      <c r="Y1158" t="s">
        <v>20207</v>
      </c>
    </row>
    <row r="1159" spans="1:25" x14ac:dyDescent="0.3">
      <c r="A1159">
        <v>57900</v>
      </c>
      <c r="B1159" t="s">
        <v>20208</v>
      </c>
      <c r="C1159" t="s">
        <v>20209</v>
      </c>
      <c r="D1159" t="s">
        <v>20210</v>
      </c>
      <c r="E1159" t="s">
        <v>20211</v>
      </c>
      <c r="F1159" t="s">
        <v>20212</v>
      </c>
      <c r="G1159" t="s">
        <v>20213</v>
      </c>
      <c r="H1159" t="s">
        <v>20214</v>
      </c>
      <c r="I1159" t="s">
        <v>20215</v>
      </c>
      <c r="J1159" t="s">
        <v>20216</v>
      </c>
      <c r="K1159" t="s">
        <v>20217</v>
      </c>
      <c r="L1159" t="s">
        <v>20218</v>
      </c>
      <c r="M1159" t="s">
        <v>20219</v>
      </c>
      <c r="N1159" t="s">
        <v>20220</v>
      </c>
      <c r="O1159">
        <f>-601.405250148821 -44.2748751599772 -738.195148788114</f>
        <v>-1383.8752740969121</v>
      </c>
      <c r="P1159">
        <f>-617.883844790449 -29.6884145880153 -422.439047325813</f>
        <v>-1070.0113067042773</v>
      </c>
      <c r="Q1159">
        <f>-358.544328999764 -42.8319413987872 -437.010635105845</f>
        <v>-838.38690550439617</v>
      </c>
      <c r="R1159" t="s">
        <v>20221</v>
      </c>
      <c r="S1159" t="s">
        <v>20222</v>
      </c>
      <c r="T1159" t="s">
        <v>20223</v>
      </c>
      <c r="U1159" t="s">
        <v>20224</v>
      </c>
      <c r="V1159" t="s">
        <v>20225</v>
      </c>
      <c r="W1159" t="s">
        <v>20226</v>
      </c>
      <c r="X1159" t="s">
        <v>20227</v>
      </c>
      <c r="Y1159" t="s">
        <v>20228</v>
      </c>
    </row>
    <row r="1160" spans="1:25" x14ac:dyDescent="0.3">
      <c r="A1160">
        <v>57950</v>
      </c>
      <c r="B1160" t="s">
        <v>20229</v>
      </c>
      <c r="C1160" t="s">
        <v>20230</v>
      </c>
      <c r="D1160" t="s">
        <v>20231</v>
      </c>
      <c r="E1160" t="s">
        <v>20232</v>
      </c>
      <c r="F1160" t="s">
        <v>20233</v>
      </c>
      <c r="G1160" t="s">
        <v>20234</v>
      </c>
      <c r="H1160" t="s">
        <v>20235</v>
      </c>
      <c r="I1160" t="s">
        <v>20236</v>
      </c>
      <c r="J1160" t="s">
        <v>20237</v>
      </c>
      <c r="K1160" t="s">
        <v>20238</v>
      </c>
      <c r="L1160" t="s">
        <v>20239</v>
      </c>
      <c r="M1160" t="s">
        <v>20240</v>
      </c>
      <c r="N1160" t="s">
        <v>20241</v>
      </c>
      <c r="O1160">
        <f>-602.493294074017 -44.312321333404 -737.694004369134</f>
        <v>-1384.4996197765549</v>
      </c>
      <c r="P1160">
        <f>-618.823383354443 -29.2943179168194 -421.950572435843</f>
        <v>-1070.0682737071054</v>
      </c>
      <c r="Q1160">
        <f>-359.436678998818 -42.1569186389011 -435.920372237827</f>
        <v>-837.51396987554608</v>
      </c>
      <c r="R1160" t="s">
        <v>20242</v>
      </c>
      <c r="S1160" t="s">
        <v>20243</v>
      </c>
      <c r="T1160" t="s">
        <v>20244</v>
      </c>
      <c r="U1160" t="s">
        <v>20245</v>
      </c>
      <c r="V1160" t="s">
        <v>20246</v>
      </c>
      <c r="W1160" t="s">
        <v>20247</v>
      </c>
      <c r="X1160" t="s">
        <v>20248</v>
      </c>
      <c r="Y1160" t="s">
        <v>20249</v>
      </c>
    </row>
    <row r="1161" spans="1:25" x14ac:dyDescent="0.3">
      <c r="A1161">
        <v>58000</v>
      </c>
      <c r="B1161" t="s">
        <v>20250</v>
      </c>
      <c r="C1161" t="s">
        <v>20251</v>
      </c>
      <c r="D1161" t="s">
        <v>20252</v>
      </c>
      <c r="E1161" t="s">
        <v>20253</v>
      </c>
      <c r="F1161" t="s">
        <v>20254</v>
      </c>
      <c r="G1161" t="s">
        <v>20255</v>
      </c>
      <c r="H1161" t="s">
        <v>20256</v>
      </c>
      <c r="I1161" t="s">
        <v>20257</v>
      </c>
      <c r="J1161" t="s">
        <v>20258</v>
      </c>
      <c r="K1161" t="s">
        <v>20259</v>
      </c>
      <c r="L1161" t="s">
        <v>20260</v>
      </c>
      <c r="M1161" t="s">
        <v>20261</v>
      </c>
      <c r="N1161" t="s">
        <v>20262</v>
      </c>
      <c r="O1161">
        <f>-603.063655155283 -44.2416580404379 -737.470046514724</f>
        <v>-1384.7753597104447</v>
      </c>
      <c r="P1161">
        <f>-619.461568860928 -28.4814922398841 -421.76618777464</f>
        <v>-1069.709248875452</v>
      </c>
      <c r="Q1161">
        <f>-360.06589668212 -41.8883007787908 -435.039900761866</f>
        <v>-836.99409822277676</v>
      </c>
      <c r="R1161" t="s">
        <v>20263</v>
      </c>
      <c r="S1161" t="s">
        <v>20264</v>
      </c>
      <c r="T1161" t="s">
        <v>20265</v>
      </c>
      <c r="U1161" t="s">
        <v>20266</v>
      </c>
      <c r="V1161" t="s">
        <v>20267</v>
      </c>
      <c r="W1161" t="s">
        <v>20268</v>
      </c>
      <c r="X1161" t="s">
        <v>20269</v>
      </c>
      <c r="Y1161" t="s">
        <v>20270</v>
      </c>
    </row>
    <row r="1162" spans="1:25" x14ac:dyDescent="0.3">
      <c r="A1162">
        <v>58050</v>
      </c>
      <c r="B1162" t="s">
        <v>20271</v>
      </c>
      <c r="C1162" t="s">
        <v>20272</v>
      </c>
      <c r="D1162" t="s">
        <v>20273</v>
      </c>
      <c r="E1162" t="s">
        <v>20274</v>
      </c>
      <c r="F1162" t="s">
        <v>20275</v>
      </c>
      <c r="G1162" t="s">
        <v>20276</v>
      </c>
      <c r="H1162" t="s">
        <v>20277</v>
      </c>
      <c r="I1162" t="s">
        <v>20278</v>
      </c>
      <c r="J1162" t="s">
        <v>20279</v>
      </c>
      <c r="K1162" t="s">
        <v>20280</v>
      </c>
      <c r="L1162" t="s">
        <v>20281</v>
      </c>
      <c r="M1162" t="s">
        <v>20282</v>
      </c>
      <c r="N1162" t="s">
        <v>20283</v>
      </c>
      <c r="O1162">
        <f>-604.336736363809 -44.215152041075 -737.059543314399</f>
        <v>-1385.611431719283</v>
      </c>
      <c r="P1162">
        <f>-620.835619338805 -27.3736327830788 -421.41679738351</f>
        <v>-1069.6260495053939</v>
      </c>
      <c r="Q1162">
        <f>-361.452093667948 -41.5248942903302 -434.144089596123</f>
        <v>-837.12107755440127</v>
      </c>
      <c r="R1162" t="s">
        <v>20284</v>
      </c>
      <c r="S1162" t="s">
        <v>20285</v>
      </c>
      <c r="T1162" t="s">
        <v>20286</v>
      </c>
      <c r="U1162" t="s">
        <v>20287</v>
      </c>
      <c r="V1162" t="s">
        <v>20288</v>
      </c>
      <c r="W1162" t="s">
        <v>20289</v>
      </c>
      <c r="X1162" t="s">
        <v>20290</v>
      </c>
      <c r="Y1162" t="s">
        <v>20291</v>
      </c>
    </row>
    <row r="1163" spans="1:25" x14ac:dyDescent="0.3">
      <c r="A1163">
        <v>58100</v>
      </c>
      <c r="B1163" t="s">
        <v>20292</v>
      </c>
      <c r="C1163" t="s">
        <v>20293</v>
      </c>
      <c r="D1163" t="s">
        <v>20294</v>
      </c>
      <c r="E1163" t="s">
        <v>20295</v>
      </c>
      <c r="F1163" t="s">
        <v>20296</v>
      </c>
      <c r="G1163" t="s">
        <v>20297</v>
      </c>
      <c r="H1163" t="s">
        <v>20298</v>
      </c>
      <c r="I1163" t="s">
        <v>20299</v>
      </c>
      <c r="J1163" t="s">
        <v>20300</v>
      </c>
      <c r="K1163" t="s">
        <v>20301</v>
      </c>
      <c r="L1163" t="s">
        <v>20302</v>
      </c>
      <c r="M1163" t="s">
        <v>20303</v>
      </c>
      <c r="N1163" t="s">
        <v>20304</v>
      </c>
      <c r="O1163">
        <f>-604.832193523143 -44.0353799070824 -736.941421469907</f>
        <v>-1385.8089949001323</v>
      </c>
      <c r="P1163">
        <f>-621.482732214202 -26.8852173054686 -421.323270129325</f>
        <v>-1069.6912196489957</v>
      </c>
      <c r="Q1163">
        <f>-362.115778372417 -41.4534099885186 -433.917501731483</f>
        <v>-837.48669009241871</v>
      </c>
      <c r="R1163" t="s">
        <v>20305</v>
      </c>
      <c r="S1163" t="s">
        <v>20306</v>
      </c>
      <c r="T1163" t="s">
        <v>20307</v>
      </c>
      <c r="U1163" t="s">
        <v>20308</v>
      </c>
      <c r="V1163" t="s">
        <v>20309</v>
      </c>
      <c r="W1163" t="s">
        <v>20310</v>
      </c>
      <c r="X1163" t="s">
        <v>20311</v>
      </c>
      <c r="Y1163" t="s">
        <v>20312</v>
      </c>
    </row>
    <row r="1164" spans="1:25" x14ac:dyDescent="0.3">
      <c r="A1164">
        <v>58150</v>
      </c>
      <c r="B1164" t="s">
        <v>20313</v>
      </c>
      <c r="C1164" t="s">
        <v>20314</v>
      </c>
      <c r="D1164" t="s">
        <v>20315</v>
      </c>
      <c r="E1164" t="s">
        <v>20316</v>
      </c>
      <c r="F1164" t="s">
        <v>20317</v>
      </c>
      <c r="G1164" t="s">
        <v>20318</v>
      </c>
      <c r="H1164" t="s">
        <v>20319</v>
      </c>
      <c r="I1164" t="s">
        <v>20320</v>
      </c>
      <c r="J1164" t="s">
        <v>20321</v>
      </c>
      <c r="K1164" t="s">
        <v>20322</v>
      </c>
      <c r="L1164" t="s">
        <v>20323</v>
      </c>
      <c r="M1164" t="s">
        <v>20324</v>
      </c>
      <c r="N1164" t="s">
        <v>20325</v>
      </c>
      <c r="O1164">
        <f>-606.168733359107 -43.7358280660483 -736.627368931786</f>
        <v>-1386.5319303569413</v>
      </c>
      <c r="P1164">
        <f>-622.893374874645 -26.2668193031029 -421.030662087066</f>
        <v>-1070.1908562648139</v>
      </c>
      <c r="Q1164">
        <f>-363.612771446529 -42.0294944904933 -433.960603908854</f>
        <v>-839.60286984587628</v>
      </c>
      <c r="R1164" t="s">
        <v>20326</v>
      </c>
      <c r="S1164" t="s">
        <v>20327</v>
      </c>
      <c r="T1164" t="s">
        <v>20328</v>
      </c>
      <c r="U1164" t="s">
        <v>20329</v>
      </c>
      <c r="V1164" t="s">
        <v>20330</v>
      </c>
      <c r="W1164" t="s">
        <v>20331</v>
      </c>
      <c r="X1164" t="s">
        <v>20332</v>
      </c>
      <c r="Y1164" t="s">
        <v>20333</v>
      </c>
    </row>
    <row r="1165" spans="1:25" x14ac:dyDescent="0.3">
      <c r="A1165">
        <v>58200</v>
      </c>
      <c r="B1165" t="s">
        <v>20334</v>
      </c>
      <c r="C1165" t="s">
        <v>20335</v>
      </c>
      <c r="D1165" t="s">
        <v>20336</v>
      </c>
      <c r="E1165" t="s">
        <v>20337</v>
      </c>
      <c r="F1165" t="s">
        <v>20338</v>
      </c>
      <c r="G1165" t="s">
        <v>20339</v>
      </c>
      <c r="H1165" t="s">
        <v>20340</v>
      </c>
      <c r="I1165" t="s">
        <v>20341</v>
      </c>
      <c r="J1165" t="s">
        <v>20342</v>
      </c>
      <c r="K1165" t="s">
        <v>20343</v>
      </c>
      <c r="L1165" t="s">
        <v>20344</v>
      </c>
      <c r="M1165" t="s">
        <v>20345</v>
      </c>
      <c r="N1165" t="s">
        <v>20346</v>
      </c>
      <c r="O1165">
        <f>-607.089649853439 -43.4948702955271 -736.539615015029</f>
        <v>-1387.1241351639951</v>
      </c>
      <c r="P1165">
        <f>-623.354588974755 -26.1773056823179 -420.910555921267</f>
        <v>-1070.44245057834</v>
      </c>
      <c r="Q1165">
        <f>-364.110570393279 -42.1221507427867 -434.340235663972</f>
        <v>-840.57295680003767</v>
      </c>
      <c r="R1165" t="s">
        <v>20347</v>
      </c>
      <c r="S1165" t="s">
        <v>20348</v>
      </c>
      <c r="T1165" t="s">
        <v>20349</v>
      </c>
      <c r="U1165" t="s">
        <v>20350</v>
      </c>
      <c r="V1165" t="s">
        <v>20351</v>
      </c>
      <c r="W1165" t="s">
        <v>20352</v>
      </c>
      <c r="X1165" t="s">
        <v>20353</v>
      </c>
      <c r="Y1165" t="s">
        <v>20354</v>
      </c>
    </row>
    <row r="1166" spans="1:25" x14ac:dyDescent="0.3">
      <c r="A1166">
        <v>58250</v>
      </c>
      <c r="B1166" t="s">
        <v>20355</v>
      </c>
      <c r="C1166" t="s">
        <v>20356</v>
      </c>
      <c r="D1166" t="s">
        <v>20357</v>
      </c>
      <c r="E1166" t="s">
        <v>20358</v>
      </c>
      <c r="F1166" t="s">
        <v>20359</v>
      </c>
      <c r="G1166" t="s">
        <v>20360</v>
      </c>
      <c r="H1166" t="s">
        <v>20361</v>
      </c>
      <c r="I1166" t="s">
        <v>20362</v>
      </c>
      <c r="J1166" t="s">
        <v>20363</v>
      </c>
      <c r="K1166" t="s">
        <v>20364</v>
      </c>
      <c r="L1166" t="s">
        <v>20365</v>
      </c>
      <c r="M1166" t="s">
        <v>20366</v>
      </c>
      <c r="N1166" t="s">
        <v>20367</v>
      </c>
      <c r="O1166">
        <f>-608.710709111365 -43.4477856178801 -736.335181795478</f>
        <v>-1388.493676524723</v>
      </c>
      <c r="P1166">
        <f>-624.238195394005 -26.2339705328186 -420.663258369595</f>
        <v>-1071.1354242964185</v>
      </c>
      <c r="Q1166">
        <f>-365.085212139619 -42.7759940670628 -435.090015374809</f>
        <v>-842.95122158149081</v>
      </c>
      <c r="R1166" t="s">
        <v>20368</v>
      </c>
      <c r="S1166" t="s">
        <v>20369</v>
      </c>
      <c r="T1166" t="s">
        <v>20370</v>
      </c>
      <c r="U1166" t="s">
        <v>20371</v>
      </c>
      <c r="V1166" t="s">
        <v>20372</v>
      </c>
      <c r="W1166" t="s">
        <v>20373</v>
      </c>
      <c r="X1166" t="s">
        <v>20374</v>
      </c>
      <c r="Y1166" t="s">
        <v>20375</v>
      </c>
    </row>
    <row r="1167" spans="1:25" x14ac:dyDescent="0.3">
      <c r="A1167">
        <v>58300</v>
      </c>
      <c r="B1167" t="s">
        <v>20376</v>
      </c>
      <c r="C1167" t="s">
        <v>20377</v>
      </c>
      <c r="D1167" t="s">
        <v>20378</v>
      </c>
      <c r="E1167" t="s">
        <v>20379</v>
      </c>
      <c r="F1167" t="s">
        <v>20380</v>
      </c>
      <c r="G1167" t="s">
        <v>20381</v>
      </c>
      <c r="H1167" t="s">
        <v>20382</v>
      </c>
      <c r="I1167" t="s">
        <v>20383</v>
      </c>
      <c r="J1167" t="s">
        <v>20384</v>
      </c>
      <c r="K1167" t="s">
        <v>20385</v>
      </c>
      <c r="L1167" t="s">
        <v>20386</v>
      </c>
      <c r="M1167" t="s">
        <v>20387</v>
      </c>
      <c r="N1167" t="s">
        <v>20388</v>
      </c>
      <c r="O1167">
        <f>-609.490690160002 -43.6122137678531 -736.19981492354</f>
        <v>-1389.3027188513952</v>
      </c>
      <c r="P1167">
        <f>-624.645253391507 -26.4615662418348 -420.506269199699</f>
        <v>-1071.6130888330408</v>
      </c>
      <c r="Q1167">
        <f>-365.523117816367 -43.1255654266247 -435.341576389621</f>
        <v>-843.99025963261272</v>
      </c>
      <c r="R1167" t="s">
        <v>20389</v>
      </c>
      <c r="S1167" t="s">
        <v>20390</v>
      </c>
      <c r="T1167" t="s">
        <v>20391</v>
      </c>
      <c r="U1167" t="s">
        <v>20392</v>
      </c>
      <c r="V1167" t="s">
        <v>20393</v>
      </c>
      <c r="W1167" t="s">
        <v>20394</v>
      </c>
      <c r="X1167" t="s">
        <v>20395</v>
      </c>
      <c r="Y1167" t="s">
        <v>20396</v>
      </c>
    </row>
    <row r="1168" spans="1:25" x14ac:dyDescent="0.3">
      <c r="A1168">
        <v>58350</v>
      </c>
      <c r="B1168" t="s">
        <v>20397</v>
      </c>
      <c r="C1168" t="s">
        <v>20398</v>
      </c>
      <c r="D1168" t="s">
        <v>20399</v>
      </c>
      <c r="E1168" t="s">
        <v>20400</v>
      </c>
      <c r="F1168" t="s">
        <v>20401</v>
      </c>
      <c r="G1168" t="s">
        <v>20402</v>
      </c>
      <c r="H1168" t="s">
        <v>20403</v>
      </c>
      <c r="I1168" t="s">
        <v>20404</v>
      </c>
      <c r="J1168" t="s">
        <v>20405</v>
      </c>
      <c r="K1168" t="s">
        <v>20406</v>
      </c>
      <c r="L1168" t="s">
        <v>20407</v>
      </c>
      <c r="M1168" t="s">
        <v>20408</v>
      </c>
      <c r="N1168" t="s">
        <v>20409</v>
      </c>
      <c r="O1168">
        <f>-610.977754382006 -44.0755924279206 -735.88949081602</f>
        <v>-1390.9428376259466</v>
      </c>
      <c r="P1168">
        <f>-625.649755407927 -26.8868138032387 -420.175250810642</f>
        <v>-1072.7118200218079</v>
      </c>
      <c r="Q1168">
        <f>-366.51077189149 -43.3289343945771 -434.963536632248</f>
        <v>-844.80324291831516</v>
      </c>
      <c r="R1168" t="s">
        <v>20410</v>
      </c>
      <c r="S1168" t="s">
        <v>20411</v>
      </c>
      <c r="T1168" t="s">
        <v>20412</v>
      </c>
      <c r="U1168" t="s">
        <v>20413</v>
      </c>
      <c r="V1168" t="s">
        <v>20414</v>
      </c>
      <c r="W1168" t="s">
        <v>20415</v>
      </c>
      <c r="X1168" t="s">
        <v>20416</v>
      </c>
      <c r="Y1168" t="s">
        <v>20417</v>
      </c>
    </row>
    <row r="1169" spans="1:25" x14ac:dyDescent="0.3">
      <c r="A1169">
        <v>58400</v>
      </c>
      <c r="B1169" t="s">
        <v>20418</v>
      </c>
      <c r="C1169" t="s">
        <v>20419</v>
      </c>
      <c r="D1169" t="s">
        <v>20420</v>
      </c>
      <c r="E1169" t="s">
        <v>20421</v>
      </c>
      <c r="F1169" t="s">
        <v>20422</v>
      </c>
      <c r="G1169" t="s">
        <v>20423</v>
      </c>
      <c r="H1169" t="s">
        <v>20424</v>
      </c>
      <c r="I1169" t="s">
        <v>20425</v>
      </c>
      <c r="J1169" t="s">
        <v>20426</v>
      </c>
      <c r="K1169" t="s">
        <v>20427</v>
      </c>
      <c r="L1169" t="s">
        <v>20428</v>
      </c>
      <c r="M1169" t="s">
        <v>20429</v>
      </c>
      <c r="N1169" t="s">
        <v>20430</v>
      </c>
      <c r="O1169">
        <f>-611.684401256676 -44.2965108110595 -735.723051544706</f>
        <v>-1391.7039636124414</v>
      </c>
      <c r="P1169">
        <f>-626.318847130058 -26.9743567315156 -420.01447942888</f>
        <v>-1073.3076832904535</v>
      </c>
      <c r="Q1169">
        <f>-367.147954632055 -43.1361504706515 -434.550844301073</f>
        <v>-844.83494940377955</v>
      </c>
      <c r="R1169" t="s">
        <v>20431</v>
      </c>
      <c r="S1169" t="s">
        <v>20432</v>
      </c>
      <c r="T1169" t="s">
        <v>20433</v>
      </c>
      <c r="U1169" t="s">
        <v>20434</v>
      </c>
      <c r="V1169" t="s">
        <v>20435</v>
      </c>
      <c r="W1169" t="s">
        <v>20436</v>
      </c>
      <c r="X1169" t="s">
        <v>20437</v>
      </c>
      <c r="Y1169" t="s">
        <v>20438</v>
      </c>
    </row>
    <row r="1170" spans="1:25" x14ac:dyDescent="0.3">
      <c r="A1170">
        <v>58450</v>
      </c>
      <c r="B1170" t="s">
        <v>20439</v>
      </c>
      <c r="C1170" t="s">
        <v>20440</v>
      </c>
      <c r="D1170" t="s">
        <v>20441</v>
      </c>
      <c r="E1170" t="s">
        <v>20442</v>
      </c>
      <c r="F1170" t="s">
        <v>20443</v>
      </c>
      <c r="G1170" t="s">
        <v>20444</v>
      </c>
      <c r="H1170" t="s">
        <v>20445</v>
      </c>
      <c r="I1170" t="s">
        <v>20446</v>
      </c>
      <c r="J1170" t="s">
        <v>20447</v>
      </c>
      <c r="K1170" t="s">
        <v>20448</v>
      </c>
      <c r="L1170" t="s">
        <v>20449</v>
      </c>
      <c r="M1170" t="s">
        <v>20450</v>
      </c>
      <c r="N1170" t="s">
        <v>20451</v>
      </c>
      <c r="O1170">
        <f>-612.872502054969 -44.5863389874601 -735.564131427014</f>
        <v>-1393.0229724694432</v>
      </c>
      <c r="P1170">
        <f>-627.386469230854 -26.9853461858854 -419.865232210903</f>
        <v>-1074.2370476276424</v>
      </c>
      <c r="Q1170">
        <f>-368.16726090207 -42.6673744005868 -434.061893943256</f>
        <v>-844.8965292459128</v>
      </c>
      <c r="R1170" t="s">
        <v>20452</v>
      </c>
      <c r="S1170" t="s">
        <v>20453</v>
      </c>
      <c r="T1170" t="s">
        <v>20454</v>
      </c>
      <c r="U1170" t="s">
        <v>20455</v>
      </c>
      <c r="V1170" t="s">
        <v>20456</v>
      </c>
      <c r="W1170" t="s">
        <v>20457</v>
      </c>
      <c r="X1170" t="s">
        <v>20458</v>
      </c>
      <c r="Y1170" t="s">
        <v>20459</v>
      </c>
    </row>
    <row r="1171" spans="1:25" x14ac:dyDescent="0.3">
      <c r="A1171">
        <v>58500</v>
      </c>
      <c r="B1171" t="s">
        <v>20460</v>
      </c>
      <c r="C1171" t="s">
        <v>20461</v>
      </c>
      <c r="D1171" t="s">
        <v>20462</v>
      </c>
      <c r="E1171" t="s">
        <v>20463</v>
      </c>
      <c r="F1171" t="s">
        <v>20464</v>
      </c>
      <c r="G1171" t="s">
        <v>20465</v>
      </c>
      <c r="H1171" t="s">
        <v>20466</v>
      </c>
      <c r="I1171" t="s">
        <v>20467</v>
      </c>
      <c r="J1171" t="s">
        <v>20468</v>
      </c>
      <c r="K1171" t="s">
        <v>20469</v>
      </c>
      <c r="L1171" t="s">
        <v>20470</v>
      </c>
      <c r="M1171" t="s">
        <v>20471</v>
      </c>
      <c r="N1171" t="s">
        <v>20472</v>
      </c>
      <c r="O1171">
        <f>-613.570043450386 -44.7256674908044 -735.528903235307</f>
        <v>-1393.8246141764976</v>
      </c>
      <c r="P1171">
        <f>-628.012098023547 -27.0057998622376 -419.833463921917</f>
        <v>-1074.8513618077016</v>
      </c>
      <c r="Q1171">
        <f>-368.769404136832 -42.4268411813471 -433.886057288856</f>
        <v>-845.0823026070351</v>
      </c>
      <c r="R1171" t="s">
        <v>20473</v>
      </c>
      <c r="S1171" t="s">
        <v>20474</v>
      </c>
      <c r="T1171" t="s">
        <v>20475</v>
      </c>
      <c r="U1171" t="s">
        <v>20476</v>
      </c>
      <c r="V1171" t="s">
        <v>20477</v>
      </c>
      <c r="W1171" t="s">
        <v>20478</v>
      </c>
      <c r="X1171" t="s">
        <v>20479</v>
      </c>
      <c r="Y1171" t="s">
        <v>20480</v>
      </c>
    </row>
    <row r="1172" spans="1:25" x14ac:dyDescent="0.3">
      <c r="A1172">
        <v>58550</v>
      </c>
      <c r="B1172" t="s">
        <v>20481</v>
      </c>
      <c r="C1172" t="s">
        <v>20482</v>
      </c>
      <c r="D1172" t="s">
        <v>20483</v>
      </c>
      <c r="E1172" t="s">
        <v>20484</v>
      </c>
      <c r="F1172" t="s">
        <v>20485</v>
      </c>
      <c r="G1172" t="s">
        <v>20486</v>
      </c>
      <c r="H1172" t="s">
        <v>20487</v>
      </c>
      <c r="I1172" t="s">
        <v>20488</v>
      </c>
      <c r="J1172" t="s">
        <v>20489</v>
      </c>
      <c r="K1172" t="s">
        <v>20490</v>
      </c>
      <c r="L1172" t="s">
        <v>20491</v>
      </c>
      <c r="M1172" t="s">
        <v>20492</v>
      </c>
      <c r="N1172" t="s">
        <v>20493</v>
      </c>
      <c r="O1172">
        <f>-614.820627653068 -45.0334125848622 -735.499440233957</f>
        <v>-1395.353480471887</v>
      </c>
      <c r="P1172">
        <f>-628.720136712732 -27.104606869922 -419.79140509714</f>
        <v>-1075.6161486797942</v>
      </c>
      <c r="Q1172">
        <f>-369.476816468055 -42.6764809298058 -433.665008227627</f>
        <v>-845.81830562548782</v>
      </c>
      <c r="R1172" t="s">
        <v>20494</v>
      </c>
      <c r="S1172" t="s">
        <v>20495</v>
      </c>
      <c r="T1172" t="s">
        <v>20496</v>
      </c>
      <c r="U1172" t="s">
        <v>20497</v>
      </c>
      <c r="V1172" t="s">
        <v>20498</v>
      </c>
      <c r="W1172" t="s">
        <v>20499</v>
      </c>
      <c r="X1172" t="s">
        <v>20500</v>
      </c>
      <c r="Y1172" t="s">
        <v>20501</v>
      </c>
    </row>
    <row r="1173" spans="1:25" x14ac:dyDescent="0.3">
      <c r="A1173">
        <v>58600</v>
      </c>
      <c r="B1173" t="s">
        <v>20502</v>
      </c>
      <c r="C1173" t="s">
        <v>20503</v>
      </c>
      <c r="D1173" t="s">
        <v>20504</v>
      </c>
      <c r="E1173" t="s">
        <v>20505</v>
      </c>
      <c r="F1173" t="s">
        <v>20506</v>
      </c>
      <c r="G1173" t="s">
        <v>20507</v>
      </c>
      <c r="H1173" t="s">
        <v>20508</v>
      </c>
      <c r="I1173" t="s">
        <v>20509</v>
      </c>
      <c r="J1173" t="s">
        <v>20510</v>
      </c>
      <c r="K1173" t="s">
        <v>20511</v>
      </c>
      <c r="L1173" t="s">
        <v>20512</v>
      </c>
      <c r="M1173" t="s">
        <v>20513</v>
      </c>
      <c r="N1173" t="s">
        <v>20514</v>
      </c>
      <c r="O1173">
        <f>-615.283801180467 -45.0166089649667 -735.531927574316</f>
        <v>-1395.8323377197498</v>
      </c>
      <c r="P1173">
        <f>-628.809079316854 -27.0454009220396 -419.810024642298</f>
        <v>-1075.6645048811915</v>
      </c>
      <c r="Q1173">
        <f>-369.572644661263 -42.7085162299866 -433.709750164322</f>
        <v>-845.99091105557159</v>
      </c>
      <c r="R1173" t="s">
        <v>20515</v>
      </c>
      <c r="S1173" t="s">
        <v>20516</v>
      </c>
      <c r="T1173" t="s">
        <v>20517</v>
      </c>
      <c r="U1173" t="s">
        <v>20518</v>
      </c>
      <c r="V1173" t="s">
        <v>20519</v>
      </c>
      <c r="W1173" t="s">
        <v>20520</v>
      </c>
      <c r="X1173" t="s">
        <v>20521</v>
      </c>
      <c r="Y1173" t="s">
        <v>20522</v>
      </c>
    </row>
    <row r="1174" spans="1:25" x14ac:dyDescent="0.3">
      <c r="A1174">
        <v>58650</v>
      </c>
      <c r="B1174" t="s">
        <v>20523</v>
      </c>
      <c r="C1174" t="s">
        <v>20524</v>
      </c>
      <c r="D1174" t="s">
        <v>20525</v>
      </c>
      <c r="E1174" t="s">
        <v>20526</v>
      </c>
      <c r="F1174" t="s">
        <v>20527</v>
      </c>
      <c r="G1174" t="s">
        <v>20528</v>
      </c>
      <c r="H1174" t="s">
        <v>20529</v>
      </c>
      <c r="I1174" t="s">
        <v>20530</v>
      </c>
      <c r="J1174" t="s">
        <v>20531</v>
      </c>
      <c r="K1174" t="s">
        <v>20532</v>
      </c>
      <c r="L1174" t="s">
        <v>20533</v>
      </c>
      <c r="M1174" t="s">
        <v>20534</v>
      </c>
      <c r="N1174" t="s">
        <v>20535</v>
      </c>
      <c r="O1174">
        <f>-615.958101826905 -45.3216216081282 -735.532686908703</f>
        <v>-1396.8124103437362</v>
      </c>
      <c r="P1174">
        <f>-629.077751898328 -27.6615732130929 -419.776186482606</f>
        <v>-1076.515511594027</v>
      </c>
      <c r="Q1174">
        <f>-369.872324623554 -43.833491441357 -433.671082390688</f>
        <v>-847.37689845559908</v>
      </c>
      <c r="R1174" t="s">
        <v>20536</v>
      </c>
      <c r="S1174" t="s">
        <v>20537</v>
      </c>
      <c r="T1174" t="s">
        <v>20538</v>
      </c>
      <c r="U1174" t="s">
        <v>20539</v>
      </c>
      <c r="V1174" t="s">
        <v>20540</v>
      </c>
      <c r="W1174" t="s">
        <v>20541</v>
      </c>
      <c r="X1174" t="s">
        <v>20542</v>
      </c>
      <c r="Y1174" t="s">
        <v>20543</v>
      </c>
    </row>
    <row r="1175" spans="1:25" x14ac:dyDescent="0.3">
      <c r="A1175">
        <v>58700</v>
      </c>
      <c r="B1175" t="s">
        <v>20544</v>
      </c>
      <c r="C1175" t="s">
        <v>20545</v>
      </c>
      <c r="D1175" t="s">
        <v>20546</v>
      </c>
      <c r="E1175" t="s">
        <v>20547</v>
      </c>
      <c r="F1175" t="s">
        <v>20548</v>
      </c>
      <c r="G1175" t="s">
        <v>20549</v>
      </c>
      <c r="H1175" t="s">
        <v>20550</v>
      </c>
      <c r="I1175" t="s">
        <v>20551</v>
      </c>
      <c r="J1175" t="s">
        <v>20552</v>
      </c>
      <c r="K1175" t="s">
        <v>20553</v>
      </c>
      <c r="L1175" t="s">
        <v>20554</v>
      </c>
      <c r="M1175" t="s">
        <v>20555</v>
      </c>
      <c r="N1175" t="s">
        <v>20556</v>
      </c>
      <c r="O1175">
        <f>-616.235355487966 -45.530908315375 -735.495041951871</f>
        <v>-1397.2613057552121</v>
      </c>
      <c r="P1175">
        <f>-629.285196062525 -27.9807265206816 -419.729379531952</f>
        <v>-1076.9953021151587</v>
      </c>
      <c r="Q1175">
        <f>-370.086415236572 -44.1694368634867 -433.728464698455</f>
        <v>-847.98431679851365</v>
      </c>
      <c r="R1175" t="s">
        <v>20557</v>
      </c>
      <c r="S1175" t="s">
        <v>20558</v>
      </c>
      <c r="T1175" t="s">
        <v>20559</v>
      </c>
      <c r="U1175" t="s">
        <v>20560</v>
      </c>
      <c r="V1175" t="s">
        <v>20561</v>
      </c>
      <c r="W1175" t="s">
        <v>20562</v>
      </c>
      <c r="X1175" t="s">
        <v>20563</v>
      </c>
      <c r="Y1175" t="s">
        <v>20564</v>
      </c>
    </row>
    <row r="1176" spans="1:25" x14ac:dyDescent="0.3">
      <c r="A1176">
        <v>58750</v>
      </c>
      <c r="B1176" t="s">
        <v>20565</v>
      </c>
      <c r="C1176" t="s">
        <v>20566</v>
      </c>
      <c r="D1176" t="s">
        <v>20567</v>
      </c>
      <c r="E1176" t="s">
        <v>20568</v>
      </c>
      <c r="F1176" t="s">
        <v>20569</v>
      </c>
      <c r="G1176" t="s">
        <v>20570</v>
      </c>
      <c r="H1176" t="s">
        <v>20571</v>
      </c>
      <c r="I1176" t="s">
        <v>20572</v>
      </c>
      <c r="J1176" t="s">
        <v>20573</v>
      </c>
      <c r="K1176" t="s">
        <v>20574</v>
      </c>
      <c r="L1176" t="s">
        <v>20575</v>
      </c>
      <c r="M1176" t="s">
        <v>20576</v>
      </c>
      <c r="N1176" t="s">
        <v>20577</v>
      </c>
      <c r="O1176">
        <f>-616.680354168168 -45.7841345362704 -735.442521132607</f>
        <v>-1397.9070098370453</v>
      </c>
      <c r="P1176">
        <f>-629.533919249741 -28.4847069904902 -419.655114267282</f>
        <v>-1077.6737405075132</v>
      </c>
      <c r="Q1176">
        <f>-370.346155726202 -44.5724232277973 -433.970652072745</f>
        <v>-848.88923102674426</v>
      </c>
      <c r="R1176" t="s">
        <v>20578</v>
      </c>
      <c r="S1176" t="s">
        <v>20579</v>
      </c>
      <c r="T1176" t="s">
        <v>20580</v>
      </c>
      <c r="U1176" t="s">
        <v>20581</v>
      </c>
      <c r="V1176" t="s">
        <v>20582</v>
      </c>
      <c r="W1176" t="s">
        <v>20583</v>
      </c>
      <c r="X1176" t="s">
        <v>20584</v>
      </c>
      <c r="Y1176" t="s">
        <v>20585</v>
      </c>
    </row>
    <row r="1177" spans="1:25" x14ac:dyDescent="0.3">
      <c r="A1177">
        <v>58800</v>
      </c>
      <c r="B1177" t="s">
        <v>20586</v>
      </c>
      <c r="C1177" t="s">
        <v>20587</v>
      </c>
      <c r="D1177" t="s">
        <v>20588</v>
      </c>
      <c r="E1177" t="s">
        <v>20589</v>
      </c>
      <c r="F1177" t="s">
        <v>20590</v>
      </c>
      <c r="G1177" t="s">
        <v>20591</v>
      </c>
      <c r="H1177" t="s">
        <v>20592</v>
      </c>
      <c r="I1177" t="s">
        <v>20593</v>
      </c>
      <c r="J1177" t="s">
        <v>20594</v>
      </c>
      <c r="K1177" t="s">
        <v>20595</v>
      </c>
      <c r="L1177" t="s">
        <v>20596</v>
      </c>
      <c r="M1177" t="s">
        <v>20597</v>
      </c>
      <c r="N1177" t="s">
        <v>20598</v>
      </c>
      <c r="O1177">
        <f>-616.990235467094 -45.956406098378 -735.383135822615</f>
        <v>-1398.329777388087</v>
      </c>
      <c r="P1177">
        <f>-629.773371555784 -28.5508561271745 -419.598703523598</f>
        <v>-1077.9229312065565</v>
      </c>
      <c r="Q1177">
        <f>-370.594781846586 -44.7559289700346 -433.948076730828</f>
        <v>-849.29878754744857</v>
      </c>
      <c r="R1177" t="s">
        <v>20599</v>
      </c>
      <c r="S1177" t="s">
        <v>20600</v>
      </c>
      <c r="T1177" t="s">
        <v>20601</v>
      </c>
      <c r="U1177" t="s">
        <v>20602</v>
      </c>
      <c r="V1177" t="s">
        <v>20603</v>
      </c>
      <c r="W1177" t="s">
        <v>20604</v>
      </c>
      <c r="X1177" t="s">
        <v>20605</v>
      </c>
      <c r="Y1177" t="s">
        <v>20606</v>
      </c>
    </row>
    <row r="1178" spans="1:25" x14ac:dyDescent="0.3">
      <c r="A1178">
        <v>58850</v>
      </c>
      <c r="B1178" t="s">
        <v>20607</v>
      </c>
      <c r="C1178" t="s">
        <v>20608</v>
      </c>
      <c r="D1178" t="s">
        <v>20609</v>
      </c>
      <c r="E1178" t="s">
        <v>20610</v>
      </c>
      <c r="F1178" t="s">
        <v>20611</v>
      </c>
      <c r="G1178" t="s">
        <v>20612</v>
      </c>
      <c r="H1178" t="s">
        <v>20613</v>
      </c>
      <c r="I1178" t="s">
        <v>20614</v>
      </c>
      <c r="J1178" t="s">
        <v>20615</v>
      </c>
      <c r="K1178" t="s">
        <v>20616</v>
      </c>
      <c r="L1178" t="s">
        <v>20617</v>
      </c>
      <c r="M1178" t="s">
        <v>20618</v>
      </c>
      <c r="N1178" t="s">
        <v>20619</v>
      </c>
      <c r="O1178">
        <f>-617.328366932372 -46.5270121258475 -735.249260593971</f>
        <v>-1399.1046396521906</v>
      </c>
      <c r="P1178">
        <f>-630.123574475054 -29.2743615526219 -419.457008442129</f>
        <v>-1078.8549444698051</v>
      </c>
      <c r="Q1178">
        <f>-370.912157083882 -45.1187991427844 -433.61497808193</f>
        <v>-849.64593430859645</v>
      </c>
      <c r="R1178" t="s">
        <v>20620</v>
      </c>
      <c r="S1178" t="s">
        <v>20621</v>
      </c>
      <c r="T1178" t="s">
        <v>20622</v>
      </c>
      <c r="U1178" t="s">
        <v>20623</v>
      </c>
      <c r="V1178" t="s">
        <v>20624</v>
      </c>
      <c r="W1178" t="s">
        <v>20625</v>
      </c>
      <c r="X1178" t="s">
        <v>20626</v>
      </c>
      <c r="Y1178" t="s">
        <v>20627</v>
      </c>
    </row>
    <row r="1179" spans="1:25" x14ac:dyDescent="0.3">
      <c r="A1179">
        <v>58900</v>
      </c>
      <c r="B1179" t="s">
        <v>20628</v>
      </c>
      <c r="C1179" t="s">
        <v>20629</v>
      </c>
      <c r="D1179" t="s">
        <v>20630</v>
      </c>
      <c r="E1179" t="s">
        <v>20631</v>
      </c>
      <c r="F1179" t="s">
        <v>20632</v>
      </c>
      <c r="G1179" t="s">
        <v>20633</v>
      </c>
      <c r="H1179" t="s">
        <v>20634</v>
      </c>
      <c r="I1179" t="s">
        <v>20635</v>
      </c>
      <c r="J1179" t="s">
        <v>20636</v>
      </c>
      <c r="K1179" t="s">
        <v>20637</v>
      </c>
      <c r="L1179" t="s">
        <v>20638</v>
      </c>
      <c r="M1179" t="s">
        <v>20639</v>
      </c>
      <c r="N1179" t="s">
        <v>20640</v>
      </c>
      <c r="O1179">
        <f>-617.556015088101 -46.7148477985654 -735.194568020377</f>
        <v>-1399.4654309070434</v>
      </c>
      <c r="P1179">
        <f>-630.417989185962 -29.6067662493708 -419.397064536699</f>
        <v>-1079.4218199720319</v>
      </c>
      <c r="Q1179">
        <f>-371.174035029536 -44.9725282144361 -433.486972692269</f>
        <v>-849.63353593624106</v>
      </c>
      <c r="R1179" t="s">
        <v>20641</v>
      </c>
      <c r="S1179" t="s">
        <v>20642</v>
      </c>
      <c r="T1179" t="s">
        <v>20643</v>
      </c>
      <c r="U1179" t="s">
        <v>20644</v>
      </c>
      <c r="V1179" t="s">
        <v>20645</v>
      </c>
      <c r="W1179" t="s">
        <v>20646</v>
      </c>
      <c r="X1179" t="s">
        <v>20647</v>
      </c>
      <c r="Y1179" t="s">
        <v>20648</v>
      </c>
    </row>
    <row r="1180" spans="1:25" x14ac:dyDescent="0.3">
      <c r="A1180">
        <v>58950</v>
      </c>
      <c r="B1180" t="s">
        <v>20649</v>
      </c>
      <c r="C1180" t="s">
        <v>20650</v>
      </c>
      <c r="D1180" t="s">
        <v>20651</v>
      </c>
      <c r="E1180" t="s">
        <v>20652</v>
      </c>
      <c r="F1180" t="s">
        <v>20653</v>
      </c>
      <c r="G1180" t="s">
        <v>20654</v>
      </c>
      <c r="H1180" t="s">
        <v>20655</v>
      </c>
      <c r="I1180" t="s">
        <v>20656</v>
      </c>
      <c r="J1180" t="s">
        <v>20657</v>
      </c>
      <c r="K1180" t="s">
        <v>20658</v>
      </c>
      <c r="L1180" t="s">
        <v>20659</v>
      </c>
      <c r="M1180" t="s">
        <v>20660</v>
      </c>
      <c r="N1180" t="s">
        <v>20661</v>
      </c>
      <c r="O1180">
        <f>-617.997305950006 -46.8794416981393 -735.114161725667</f>
        <v>-1399.9909093738124</v>
      </c>
      <c r="P1180">
        <f>-631.006915777205 -29.9255910387178 -419.314454331298</f>
        <v>-1080.2469611472209</v>
      </c>
      <c r="Q1180">
        <f>-371.734698237434 -44.7449294769717 -433.469150301645</f>
        <v>-849.94877801605071</v>
      </c>
      <c r="R1180" t="s">
        <v>20662</v>
      </c>
      <c r="S1180" t="s">
        <v>20663</v>
      </c>
      <c r="T1180" t="s">
        <v>20664</v>
      </c>
      <c r="U1180" t="s">
        <v>20665</v>
      </c>
      <c r="V1180" t="s">
        <v>20666</v>
      </c>
      <c r="W1180" t="s">
        <v>20667</v>
      </c>
      <c r="X1180" t="s">
        <v>20668</v>
      </c>
      <c r="Y1180" t="s">
        <v>20669</v>
      </c>
    </row>
    <row r="1181" spans="1:25" x14ac:dyDescent="0.3">
      <c r="A1181">
        <v>59000</v>
      </c>
      <c r="B1181" t="s">
        <v>20670</v>
      </c>
      <c r="C1181" t="s">
        <v>20671</v>
      </c>
      <c r="D1181" t="s">
        <v>20672</v>
      </c>
      <c r="E1181" t="s">
        <v>20673</v>
      </c>
      <c r="F1181" t="s">
        <v>20674</v>
      </c>
      <c r="G1181" t="s">
        <v>20675</v>
      </c>
      <c r="H1181" t="s">
        <v>20676</v>
      </c>
      <c r="I1181" t="s">
        <v>20677</v>
      </c>
      <c r="J1181" t="s">
        <v>20678</v>
      </c>
      <c r="K1181" t="s">
        <v>20679</v>
      </c>
      <c r="L1181" t="s">
        <v>20680</v>
      </c>
      <c r="M1181" t="s">
        <v>20681</v>
      </c>
      <c r="N1181" t="s">
        <v>20682</v>
      </c>
      <c r="O1181">
        <f>-618.303761933405 -47.0172421557913 -735.060380504417</f>
        <v>-1400.3813845936133</v>
      </c>
      <c r="P1181">
        <f>-631.341357017455 -30.0307808167254 -419.263545863412</f>
        <v>-1080.6356836975924</v>
      </c>
      <c r="Q1181">
        <f>-372.063536120065 -44.8534025709143 -433.312915135814</f>
        <v>-850.22985382679326</v>
      </c>
      <c r="R1181" t="s">
        <v>20683</v>
      </c>
      <c r="S1181" t="s">
        <v>20684</v>
      </c>
      <c r="T1181" t="s">
        <v>20685</v>
      </c>
      <c r="U1181" t="s">
        <v>20686</v>
      </c>
      <c r="V1181" t="s">
        <v>20687</v>
      </c>
      <c r="W1181" t="s">
        <v>20688</v>
      </c>
      <c r="X1181" t="s">
        <v>20689</v>
      </c>
      <c r="Y1181" t="s">
        <v>20690</v>
      </c>
    </row>
    <row r="1182" spans="1:25" x14ac:dyDescent="0.3">
      <c r="A1182">
        <v>59050</v>
      </c>
      <c r="B1182" t="s">
        <v>20691</v>
      </c>
      <c r="C1182" t="s">
        <v>20692</v>
      </c>
      <c r="D1182" t="s">
        <v>20693</v>
      </c>
      <c r="E1182" t="s">
        <v>20694</v>
      </c>
      <c r="F1182" t="s">
        <v>20695</v>
      </c>
      <c r="G1182" t="s">
        <v>20696</v>
      </c>
      <c r="H1182" t="s">
        <v>20697</v>
      </c>
      <c r="I1182" t="s">
        <v>20698</v>
      </c>
      <c r="J1182" t="s">
        <v>20699</v>
      </c>
      <c r="K1182" t="s">
        <v>20700</v>
      </c>
      <c r="L1182" t="s">
        <v>20701</v>
      </c>
      <c r="M1182" t="s">
        <v>20702</v>
      </c>
      <c r="N1182" t="s">
        <v>20703</v>
      </c>
      <c r="O1182">
        <f>-618.866309940761 -47.3165496388297 -734.975503057832</f>
        <v>-1401.1583626374227</v>
      </c>
      <c r="P1182">
        <f>-631.803613282651 -30.305788419575 -419.175923927603</f>
        <v>-1081.285325629829</v>
      </c>
      <c r="Q1182">
        <f>-372.50058044006 -44.912351609612 -432.983665243619</f>
        <v>-850.39659729329105</v>
      </c>
      <c r="R1182" t="s">
        <v>20704</v>
      </c>
      <c r="S1182" t="s">
        <v>20705</v>
      </c>
      <c r="T1182" t="s">
        <v>20706</v>
      </c>
      <c r="U1182" t="s">
        <v>20707</v>
      </c>
      <c r="V1182" t="s">
        <v>20708</v>
      </c>
      <c r="W1182" t="s">
        <v>20709</v>
      </c>
      <c r="X1182" t="s">
        <v>20710</v>
      </c>
      <c r="Y1182" t="s">
        <v>20711</v>
      </c>
    </row>
    <row r="1183" spans="1:25" x14ac:dyDescent="0.3">
      <c r="A1183">
        <v>59100</v>
      </c>
      <c r="B1183" t="s">
        <v>20712</v>
      </c>
      <c r="C1183" t="s">
        <v>20713</v>
      </c>
      <c r="D1183" t="s">
        <v>20714</v>
      </c>
      <c r="E1183" t="s">
        <v>20715</v>
      </c>
      <c r="F1183" t="s">
        <v>20716</v>
      </c>
      <c r="G1183" t="s">
        <v>20717</v>
      </c>
      <c r="H1183" t="s">
        <v>20718</v>
      </c>
      <c r="I1183" t="s">
        <v>20719</v>
      </c>
      <c r="J1183" t="s">
        <v>20720</v>
      </c>
      <c r="K1183" t="s">
        <v>20721</v>
      </c>
      <c r="L1183" t="s">
        <v>20722</v>
      </c>
      <c r="M1183" t="s">
        <v>20723</v>
      </c>
      <c r="N1183" t="s">
        <v>20724</v>
      </c>
      <c r="O1183">
        <f>-619.009412611662 -47.6451651497546 -734.895891734849</f>
        <v>-1401.5504694962656</v>
      </c>
      <c r="P1183">
        <f>-632.00184001518 -30.6035717870743 -419.100270722603</f>
        <v>-1081.7056825248574</v>
      </c>
      <c r="Q1183">
        <f>-372.698677780657 -45.212173667958 -432.903568269232</f>
        <v>-850.81441971784693</v>
      </c>
      <c r="R1183" t="s">
        <v>20725</v>
      </c>
      <c r="S1183" t="s">
        <v>20726</v>
      </c>
      <c r="T1183" t="s">
        <v>20727</v>
      </c>
      <c r="U1183" t="s">
        <v>20728</v>
      </c>
      <c r="V1183" t="s">
        <v>20729</v>
      </c>
      <c r="W1183" t="s">
        <v>20730</v>
      </c>
      <c r="X1183" t="s">
        <v>20731</v>
      </c>
      <c r="Y1183" t="s">
        <v>20732</v>
      </c>
    </row>
    <row r="1184" spans="1:25" x14ac:dyDescent="0.3">
      <c r="A1184">
        <v>59150</v>
      </c>
      <c r="B1184" t="s">
        <v>20733</v>
      </c>
      <c r="C1184" t="s">
        <v>20734</v>
      </c>
      <c r="D1184" t="s">
        <v>20735</v>
      </c>
      <c r="E1184" t="s">
        <v>20736</v>
      </c>
      <c r="F1184" t="s">
        <v>20737</v>
      </c>
      <c r="G1184" t="s">
        <v>20738</v>
      </c>
      <c r="H1184" t="s">
        <v>20739</v>
      </c>
      <c r="I1184" t="s">
        <v>20740</v>
      </c>
      <c r="J1184" t="s">
        <v>20741</v>
      </c>
      <c r="K1184" t="s">
        <v>20742</v>
      </c>
      <c r="L1184" t="s">
        <v>20743</v>
      </c>
      <c r="M1184" t="s">
        <v>20744</v>
      </c>
      <c r="N1184" t="s">
        <v>20745</v>
      </c>
      <c r="O1184">
        <f>-619.724264696497 -48.0228971472729 -734.652639797396</f>
        <v>-1402.3998016411661</v>
      </c>
      <c r="P1184">
        <f>-632.512593751447 -30.7410162197882 -418.861585936697</f>
        <v>-1082.115195907932</v>
      </c>
      <c r="Q1184">
        <f>-373.232491526628 -45.5301892076818 -432.903787526004</f>
        <v>-851.66646826031388</v>
      </c>
      <c r="R1184" t="s">
        <v>20746</v>
      </c>
      <c r="S1184" t="s">
        <v>20747</v>
      </c>
      <c r="T1184" t="s">
        <v>20748</v>
      </c>
      <c r="U1184" t="s">
        <v>20749</v>
      </c>
      <c r="V1184" t="s">
        <v>20750</v>
      </c>
      <c r="W1184" t="s">
        <v>20751</v>
      </c>
      <c r="X1184" t="s">
        <v>20752</v>
      </c>
      <c r="Y1184" t="s">
        <v>20753</v>
      </c>
    </row>
    <row r="1185" spans="1:25" x14ac:dyDescent="0.3">
      <c r="A1185">
        <v>59200</v>
      </c>
      <c r="B1185" t="s">
        <v>20754</v>
      </c>
      <c r="C1185" t="s">
        <v>20755</v>
      </c>
      <c r="D1185" t="s">
        <v>20756</v>
      </c>
      <c r="E1185" t="s">
        <v>20757</v>
      </c>
      <c r="F1185" t="s">
        <v>20758</v>
      </c>
      <c r="G1185" t="s">
        <v>20759</v>
      </c>
      <c r="H1185" t="s">
        <v>20760</v>
      </c>
      <c r="I1185" t="s">
        <v>20761</v>
      </c>
      <c r="J1185" t="s">
        <v>20762</v>
      </c>
      <c r="K1185" t="s">
        <v>20763</v>
      </c>
      <c r="L1185" t="s">
        <v>20764</v>
      </c>
      <c r="M1185" t="s">
        <v>20765</v>
      </c>
      <c r="N1185" t="s">
        <v>20766</v>
      </c>
      <c r="O1185">
        <f>-619.920241056081 -48.1845890362738 -734.529315794723</f>
        <v>-1402.6341458870777</v>
      </c>
      <c r="P1185">
        <f>-632.471182051343 -30.7374832793287 -418.737761341923</f>
        <v>-1081.9464266725947</v>
      </c>
      <c r="Q1185">
        <f>-373.212212946149 -45.7460931101562 -432.935146680128</f>
        <v>-851.89345273643323</v>
      </c>
      <c r="R1185" t="s">
        <v>20767</v>
      </c>
      <c r="S1185" t="s">
        <v>20768</v>
      </c>
      <c r="T1185" t="s">
        <v>20769</v>
      </c>
      <c r="U1185" t="s">
        <v>20770</v>
      </c>
      <c r="V1185" t="s">
        <v>20771</v>
      </c>
      <c r="W1185" t="s">
        <v>20772</v>
      </c>
      <c r="X1185" t="s">
        <v>20773</v>
      </c>
      <c r="Y1185" t="s">
        <v>20774</v>
      </c>
    </row>
    <row r="1186" spans="1:25" x14ac:dyDescent="0.3">
      <c r="A1186">
        <v>59250</v>
      </c>
      <c r="B1186" t="s">
        <v>20775</v>
      </c>
      <c r="C1186" t="s">
        <v>20776</v>
      </c>
      <c r="D1186" t="s">
        <v>20777</v>
      </c>
      <c r="E1186" t="s">
        <v>20778</v>
      </c>
      <c r="F1186" t="s">
        <v>20779</v>
      </c>
      <c r="G1186" t="s">
        <v>20780</v>
      </c>
      <c r="H1186" t="s">
        <v>20781</v>
      </c>
      <c r="I1186" t="s">
        <v>20782</v>
      </c>
      <c r="J1186" t="s">
        <v>20783</v>
      </c>
      <c r="K1186" t="s">
        <v>20784</v>
      </c>
      <c r="L1186" t="s">
        <v>20785</v>
      </c>
      <c r="M1186" t="s">
        <v>20786</v>
      </c>
      <c r="N1186" t="s">
        <v>20787</v>
      </c>
      <c r="O1186">
        <f>-620.517157874417 -48.1968156441681 -734.439493752075</f>
        <v>-1403.15346727066</v>
      </c>
      <c r="P1186">
        <f>-632.755867624778 -30.4212912443277 -418.654160015622</f>
        <v>-1081.8313188847278</v>
      </c>
      <c r="Q1186">
        <f>-373.537063940654 -45.7847868444203 -433.201546205497</f>
        <v>-852.5233969905712</v>
      </c>
      <c r="R1186" t="s">
        <v>20788</v>
      </c>
      <c r="S1186" t="s">
        <v>20789</v>
      </c>
      <c r="T1186" t="s">
        <v>20790</v>
      </c>
      <c r="U1186" t="s">
        <v>20791</v>
      </c>
      <c r="V1186" t="s">
        <v>20792</v>
      </c>
      <c r="W1186" t="s">
        <v>20793</v>
      </c>
      <c r="X1186" t="s">
        <v>20794</v>
      </c>
      <c r="Y1186" t="s">
        <v>20795</v>
      </c>
    </row>
    <row r="1187" spans="1:25" x14ac:dyDescent="0.3">
      <c r="A1187">
        <v>59300</v>
      </c>
      <c r="B1187" t="s">
        <v>20796</v>
      </c>
      <c r="C1187" t="s">
        <v>20797</v>
      </c>
      <c r="D1187" t="s">
        <v>20798</v>
      </c>
      <c r="E1187" t="s">
        <v>20799</v>
      </c>
      <c r="F1187" t="s">
        <v>20800</v>
      </c>
      <c r="G1187" t="s">
        <v>20801</v>
      </c>
      <c r="H1187" t="s">
        <v>20802</v>
      </c>
      <c r="I1187" t="s">
        <v>20803</v>
      </c>
      <c r="J1187" t="s">
        <v>20804</v>
      </c>
      <c r="K1187" t="s">
        <v>20805</v>
      </c>
      <c r="L1187" t="s">
        <v>20806</v>
      </c>
      <c r="M1187" t="s">
        <v>20807</v>
      </c>
      <c r="N1187" t="s">
        <v>20808</v>
      </c>
      <c r="O1187">
        <f>-620.760315479768 -48.1418229753876 -734.439426222327</f>
        <v>-1403.3415646774827</v>
      </c>
      <c r="P1187">
        <f>-632.879635379591 -30.1954737354097 -418.659013401782</f>
        <v>-1081.7341225167827</v>
      </c>
      <c r="Q1187">
        <f>-373.682575673618 -45.8218506547701 -433.313828217444</f>
        <v>-852.81825454583213</v>
      </c>
      <c r="R1187" t="s">
        <v>20809</v>
      </c>
      <c r="S1187" t="s">
        <v>20810</v>
      </c>
      <c r="T1187" t="s">
        <v>20811</v>
      </c>
      <c r="U1187" t="s">
        <v>20812</v>
      </c>
      <c r="V1187" t="s">
        <v>20813</v>
      </c>
      <c r="W1187" t="s">
        <v>20814</v>
      </c>
      <c r="X1187" t="s">
        <v>20815</v>
      </c>
      <c r="Y1187" t="s">
        <v>20816</v>
      </c>
    </row>
    <row r="1188" spans="1:25" x14ac:dyDescent="0.3">
      <c r="A1188">
        <v>59350</v>
      </c>
      <c r="B1188" t="s">
        <v>20817</v>
      </c>
      <c r="C1188" t="s">
        <v>20818</v>
      </c>
      <c r="D1188" t="s">
        <v>20819</v>
      </c>
      <c r="E1188" t="s">
        <v>20820</v>
      </c>
      <c r="F1188" t="s">
        <v>20821</v>
      </c>
      <c r="G1188" t="s">
        <v>20822</v>
      </c>
      <c r="H1188" t="s">
        <v>20823</v>
      </c>
      <c r="I1188" t="s">
        <v>20824</v>
      </c>
      <c r="J1188" t="s">
        <v>20825</v>
      </c>
      <c r="K1188" t="s">
        <v>20826</v>
      </c>
      <c r="L1188" t="s">
        <v>20827</v>
      </c>
      <c r="M1188" t="s">
        <v>20828</v>
      </c>
      <c r="N1188" t="s">
        <v>20829</v>
      </c>
      <c r="O1188">
        <f>-621.092534080446 -48.1211717632157 -734.422457127152</f>
        <v>-1403.6361629708135</v>
      </c>
      <c r="P1188">
        <f>-632.904008593434 -29.9418532362179 -418.643704561202</f>
        <v>-1081.489566390854</v>
      </c>
      <c r="Q1188">
        <f>-373.740437942848 -46.07053584047 -433.34629955725</f>
        <v>-853.15727334056805</v>
      </c>
      <c r="R1188" t="s">
        <v>20830</v>
      </c>
      <c r="S1188" t="s">
        <v>20831</v>
      </c>
      <c r="T1188" t="s">
        <v>20832</v>
      </c>
      <c r="U1188" t="s">
        <v>20833</v>
      </c>
      <c r="V1188" t="s">
        <v>20834</v>
      </c>
      <c r="W1188" t="s">
        <v>20835</v>
      </c>
      <c r="X1188" t="s">
        <v>20836</v>
      </c>
      <c r="Y1188" t="s">
        <v>20837</v>
      </c>
    </row>
    <row r="1189" spans="1:25" x14ac:dyDescent="0.3">
      <c r="A1189">
        <v>59400</v>
      </c>
      <c r="B1189" t="s">
        <v>20838</v>
      </c>
      <c r="C1189" t="s">
        <v>20839</v>
      </c>
      <c r="D1189" t="s">
        <v>20840</v>
      </c>
      <c r="E1189" t="s">
        <v>20841</v>
      </c>
      <c r="F1189" t="s">
        <v>20842</v>
      </c>
      <c r="G1189" t="s">
        <v>20843</v>
      </c>
      <c r="H1189" t="s">
        <v>20844</v>
      </c>
      <c r="I1189" t="s">
        <v>20845</v>
      </c>
      <c r="J1189" t="s">
        <v>20846</v>
      </c>
      <c r="K1189" t="s">
        <v>20847</v>
      </c>
      <c r="L1189" t="s">
        <v>20848</v>
      </c>
      <c r="M1189" t="s">
        <v>20849</v>
      </c>
      <c r="N1189" t="s">
        <v>20850</v>
      </c>
      <c r="O1189">
        <f>-621.342519702206 -48.398317159792 -734.377144076852</f>
        <v>-1404.11798093885</v>
      </c>
      <c r="P1189">
        <f>-633.258542253443 -30.2225155148376 -418.60222772037</f>
        <v>-1082.0832854886507</v>
      </c>
      <c r="Q1189">
        <f>-374.098050822072 -46.1547592215229 -433.571100488905</f>
        <v>-853.82391053249989</v>
      </c>
      <c r="R1189" t="s">
        <v>20851</v>
      </c>
      <c r="S1189" t="s">
        <v>20852</v>
      </c>
      <c r="T1189" t="s">
        <v>20853</v>
      </c>
      <c r="U1189" t="s">
        <v>20854</v>
      </c>
      <c r="V1189" t="s">
        <v>20855</v>
      </c>
      <c r="W1189" t="s">
        <v>20856</v>
      </c>
      <c r="X1189" t="s">
        <v>20857</v>
      </c>
      <c r="Y1189" t="s">
        <v>20858</v>
      </c>
    </row>
    <row r="1190" spans="1:25" x14ac:dyDescent="0.3">
      <c r="A1190">
        <v>59450</v>
      </c>
      <c r="B1190" t="s">
        <v>20859</v>
      </c>
      <c r="C1190" t="s">
        <v>20860</v>
      </c>
      <c r="D1190" t="s">
        <v>20861</v>
      </c>
      <c r="E1190" t="s">
        <v>20862</v>
      </c>
      <c r="F1190" t="s">
        <v>20863</v>
      </c>
      <c r="G1190" t="s">
        <v>20864</v>
      </c>
      <c r="H1190" t="s">
        <v>20865</v>
      </c>
      <c r="I1190" t="s">
        <v>20866</v>
      </c>
      <c r="J1190" t="s">
        <v>20867</v>
      </c>
      <c r="K1190" t="s">
        <v>20868</v>
      </c>
      <c r="L1190" t="s">
        <v>20869</v>
      </c>
      <c r="M1190" t="s">
        <v>20870</v>
      </c>
      <c r="N1190" t="s">
        <v>20871</v>
      </c>
      <c r="O1190">
        <f>-621.857410588306 -48.7024632236985 -734.463767759832</f>
        <v>-1405.0236415718364</v>
      </c>
      <c r="P1190">
        <f>-633.545244065117 -30.162912353446 -418.701428475402</f>
        <v>-1082.4095848939651</v>
      </c>
      <c r="Q1190">
        <f>-374.378274379305 -46.1710548618053 -433.476117246567</f>
        <v>-854.0254464876773</v>
      </c>
      <c r="R1190" t="s">
        <v>20872</v>
      </c>
      <c r="S1190" t="s">
        <v>20873</v>
      </c>
      <c r="T1190" t="s">
        <v>20874</v>
      </c>
      <c r="U1190" t="s">
        <v>20875</v>
      </c>
      <c r="V1190" t="s">
        <v>20876</v>
      </c>
      <c r="W1190" t="s">
        <v>20877</v>
      </c>
      <c r="X1190" t="s">
        <v>20878</v>
      </c>
      <c r="Y1190" t="s">
        <v>20879</v>
      </c>
    </row>
    <row r="1191" spans="1:25" x14ac:dyDescent="0.3">
      <c r="A1191">
        <v>59500</v>
      </c>
      <c r="B1191" t="s">
        <v>20880</v>
      </c>
      <c r="C1191" t="s">
        <v>20881</v>
      </c>
      <c r="D1191" t="s">
        <v>20882</v>
      </c>
      <c r="E1191" t="s">
        <v>20883</v>
      </c>
      <c r="F1191" t="s">
        <v>20884</v>
      </c>
      <c r="G1191" t="s">
        <v>20885</v>
      </c>
      <c r="H1191" t="s">
        <v>20886</v>
      </c>
      <c r="I1191" t="s">
        <v>20887</v>
      </c>
      <c r="J1191" t="s">
        <v>20888</v>
      </c>
      <c r="K1191" t="s">
        <v>20889</v>
      </c>
      <c r="L1191" t="s">
        <v>20890</v>
      </c>
      <c r="M1191" t="s">
        <v>20891</v>
      </c>
      <c r="N1191" t="s">
        <v>20892</v>
      </c>
      <c r="O1191">
        <f>-621.989847476066 -49.0361034728717 -734.411530678084</f>
        <v>-1405.4374816270215</v>
      </c>
      <c r="P1191">
        <f>-633.620825229503 -30.1517420853254 -418.667537434096</f>
        <v>-1082.4401047489243</v>
      </c>
      <c r="Q1191">
        <f>-374.476672995064 -46.5601535749331 -433.402700523632</f>
        <v>-854.43952709362907</v>
      </c>
      <c r="R1191" t="s">
        <v>20893</v>
      </c>
      <c r="S1191" t="s">
        <v>20894</v>
      </c>
      <c r="T1191" t="s">
        <v>20895</v>
      </c>
      <c r="U1191" t="s">
        <v>20896</v>
      </c>
      <c r="V1191" t="s">
        <v>20897</v>
      </c>
      <c r="W1191" t="s">
        <v>20898</v>
      </c>
      <c r="X1191" t="s">
        <v>20899</v>
      </c>
      <c r="Y1191" t="s">
        <v>20900</v>
      </c>
    </row>
    <row r="1192" spans="1:25" x14ac:dyDescent="0.3">
      <c r="A1192">
        <v>59550</v>
      </c>
      <c r="B1192" t="s">
        <v>20901</v>
      </c>
      <c r="C1192" t="s">
        <v>20902</v>
      </c>
      <c r="D1192" t="s">
        <v>20903</v>
      </c>
      <c r="E1192" t="s">
        <v>20904</v>
      </c>
      <c r="F1192" t="s">
        <v>20905</v>
      </c>
      <c r="G1192" t="s">
        <v>20906</v>
      </c>
      <c r="H1192" t="s">
        <v>20907</v>
      </c>
      <c r="I1192" t="s">
        <v>20908</v>
      </c>
      <c r="J1192" t="s">
        <v>20909</v>
      </c>
      <c r="K1192" t="s">
        <v>20910</v>
      </c>
      <c r="L1192" t="s">
        <v>20911</v>
      </c>
      <c r="M1192" t="s">
        <v>20912</v>
      </c>
      <c r="N1192" t="s">
        <v>20913</v>
      </c>
      <c r="O1192">
        <f>-622.373792563546 -49.9013349012423 -734.121267312093</f>
        <v>-1406.3963947768812</v>
      </c>
      <c r="P1192">
        <f>-633.902984810336 -29.9876121433706 -418.436749339407</f>
        <v>-1082.3273462931136</v>
      </c>
      <c r="Q1192">
        <f>-374.852790528362 -47.8981769668867 -433.074288922193</f>
        <v>-855.82525641744166</v>
      </c>
      <c r="R1192" t="s">
        <v>20914</v>
      </c>
      <c r="S1192" t="s">
        <v>20915</v>
      </c>
      <c r="T1192" t="s">
        <v>20916</v>
      </c>
      <c r="U1192" t="s">
        <v>20917</v>
      </c>
      <c r="V1192" t="s">
        <v>20918</v>
      </c>
      <c r="W1192" t="s">
        <v>20919</v>
      </c>
      <c r="X1192" t="s">
        <v>20920</v>
      </c>
      <c r="Y1192" t="s">
        <v>20921</v>
      </c>
    </row>
    <row r="1193" spans="1:25" x14ac:dyDescent="0.3">
      <c r="A1193">
        <v>59600</v>
      </c>
      <c r="B1193" t="s">
        <v>20922</v>
      </c>
      <c r="C1193" t="s">
        <v>20923</v>
      </c>
      <c r="D1193" t="s">
        <v>20924</v>
      </c>
      <c r="E1193" t="s">
        <v>20925</v>
      </c>
      <c r="F1193" t="s">
        <v>20926</v>
      </c>
      <c r="G1193" t="s">
        <v>20927</v>
      </c>
      <c r="H1193" t="s">
        <v>20928</v>
      </c>
      <c r="I1193" t="s">
        <v>20929</v>
      </c>
      <c r="J1193" t="s">
        <v>20930</v>
      </c>
      <c r="K1193" t="s">
        <v>20931</v>
      </c>
      <c r="L1193" t="s">
        <v>20932</v>
      </c>
      <c r="M1193" t="s">
        <v>20933</v>
      </c>
      <c r="N1193" t="s">
        <v>20934</v>
      </c>
      <c r="O1193">
        <f>-622.849069954804 -50.1914235315576 -734.009241261054</f>
        <v>-1407.0497347474156</v>
      </c>
      <c r="P1193">
        <f>-634.153121300858 -29.662576518471 -418.356037309121</f>
        <v>-1082.1717351284501</v>
      </c>
      <c r="Q1193">
        <f>-375.144273851004 -48.4108474210802 -432.67258240102</f>
        <v>-856.2277036731042</v>
      </c>
      <c r="R1193" t="s">
        <v>20935</v>
      </c>
      <c r="S1193" t="s">
        <v>20936</v>
      </c>
      <c r="T1193" t="s">
        <v>20937</v>
      </c>
      <c r="U1193" t="s">
        <v>20938</v>
      </c>
      <c r="V1193" t="s">
        <v>20939</v>
      </c>
      <c r="W1193" t="s">
        <v>20940</v>
      </c>
      <c r="X1193" t="s">
        <v>20941</v>
      </c>
      <c r="Y1193" t="s">
        <v>20942</v>
      </c>
    </row>
    <row r="1194" spans="1:25" x14ac:dyDescent="0.3">
      <c r="A1194">
        <v>59650</v>
      </c>
      <c r="B1194" t="s">
        <v>20943</v>
      </c>
      <c r="C1194" t="s">
        <v>20944</v>
      </c>
      <c r="D1194" t="s">
        <v>20945</v>
      </c>
      <c r="E1194" t="s">
        <v>20946</v>
      </c>
      <c r="F1194" t="s">
        <v>20947</v>
      </c>
      <c r="G1194" t="s">
        <v>20948</v>
      </c>
      <c r="H1194" t="s">
        <v>20949</v>
      </c>
      <c r="I1194" t="s">
        <v>20950</v>
      </c>
      <c r="J1194" t="s">
        <v>20951</v>
      </c>
      <c r="K1194" t="s">
        <v>20952</v>
      </c>
      <c r="L1194" t="s">
        <v>20953</v>
      </c>
      <c r="M1194" t="s">
        <v>20954</v>
      </c>
      <c r="N1194" t="s">
        <v>20955</v>
      </c>
      <c r="O1194">
        <f>-623.815665418448 -50.7973154959393 -733.725476130063</f>
        <v>-1408.3384570444505</v>
      </c>
      <c r="P1194">
        <f>-635.112303982041 -30.1060059737629 -418.082728506399</f>
        <v>-1083.301038462203</v>
      </c>
      <c r="Q1194">
        <f>-376.176092194712 -49.6782180540367 -432.608887689952</f>
        <v>-858.46319793870066</v>
      </c>
      <c r="R1194" t="s">
        <v>20956</v>
      </c>
      <c r="S1194" t="s">
        <v>20957</v>
      </c>
      <c r="T1194" t="s">
        <v>20958</v>
      </c>
      <c r="U1194" t="s">
        <v>20959</v>
      </c>
      <c r="V1194" t="s">
        <v>20960</v>
      </c>
      <c r="W1194" t="s">
        <v>20961</v>
      </c>
      <c r="X1194" t="s">
        <v>20962</v>
      </c>
      <c r="Y1194" t="s">
        <v>20963</v>
      </c>
    </row>
    <row r="1195" spans="1:25" x14ac:dyDescent="0.3">
      <c r="A1195">
        <v>59700</v>
      </c>
      <c r="B1195" t="s">
        <v>20964</v>
      </c>
      <c r="C1195" t="s">
        <v>20965</v>
      </c>
      <c r="D1195" t="s">
        <v>20966</v>
      </c>
      <c r="E1195" t="s">
        <v>20967</v>
      </c>
      <c r="F1195" t="s">
        <v>20968</v>
      </c>
      <c r="G1195" t="s">
        <v>20969</v>
      </c>
      <c r="H1195" t="s">
        <v>20970</v>
      </c>
      <c r="I1195" t="s">
        <v>20971</v>
      </c>
      <c r="J1195" t="s">
        <v>20972</v>
      </c>
      <c r="K1195" t="s">
        <v>20973</v>
      </c>
      <c r="L1195" t="s">
        <v>20974</v>
      </c>
      <c r="M1195" t="s">
        <v>20975</v>
      </c>
      <c r="N1195" t="s">
        <v>20976</v>
      </c>
      <c r="O1195">
        <f>-624.361422700089 -50.7336205561876 -733.721889604278</f>
        <v>-1408.8169328605545</v>
      </c>
      <c r="P1195">
        <f>-635.315264949255 -30.0900024960756 -418.06368693038</f>
        <v>-1083.4689543757106</v>
      </c>
      <c r="Q1195">
        <f>-376.420576214926 -50.0423804083116 -432.811380892246</f>
        <v>-859.27433751548358</v>
      </c>
      <c r="R1195" t="s">
        <v>20977</v>
      </c>
      <c r="S1195" t="s">
        <v>20978</v>
      </c>
      <c r="T1195" t="s">
        <v>20979</v>
      </c>
      <c r="U1195" t="s">
        <v>20980</v>
      </c>
      <c r="V1195" t="s">
        <v>20981</v>
      </c>
      <c r="W1195" t="s">
        <v>20982</v>
      </c>
      <c r="X1195" t="s">
        <v>20983</v>
      </c>
      <c r="Y1195" t="s">
        <v>20984</v>
      </c>
    </row>
    <row r="1196" spans="1:25" x14ac:dyDescent="0.3">
      <c r="A1196">
        <v>59750</v>
      </c>
      <c r="B1196" t="s">
        <v>20985</v>
      </c>
      <c r="C1196" t="s">
        <v>20986</v>
      </c>
      <c r="D1196" t="s">
        <v>20987</v>
      </c>
      <c r="E1196" t="s">
        <v>20988</v>
      </c>
      <c r="F1196" t="s">
        <v>20989</v>
      </c>
      <c r="G1196" t="s">
        <v>20990</v>
      </c>
      <c r="H1196" t="s">
        <v>20991</v>
      </c>
      <c r="I1196" t="s">
        <v>20992</v>
      </c>
      <c r="J1196" t="s">
        <v>20993</v>
      </c>
      <c r="K1196" t="s">
        <v>20994</v>
      </c>
      <c r="L1196" t="s">
        <v>20995</v>
      </c>
      <c r="M1196" t="s">
        <v>20996</v>
      </c>
      <c r="N1196" t="s">
        <v>20997</v>
      </c>
      <c r="O1196">
        <f>-625.319246629905 -50.7658634599186 -733.650612851021</f>
        <v>-1409.7357229408447</v>
      </c>
      <c r="P1196">
        <f>-635.373413277931 -30.4806419225297 -417.939223322826</f>
        <v>-1083.7932785232867</v>
      </c>
      <c r="Q1196">
        <f>-376.557909272243 -50.7613502214415 -433.600802115962</f>
        <v>-860.9200616096465</v>
      </c>
      <c r="R1196" t="s">
        <v>20998</v>
      </c>
      <c r="S1196" t="s">
        <v>20999</v>
      </c>
      <c r="T1196" t="s">
        <v>21000</v>
      </c>
      <c r="U1196" t="s">
        <v>21001</v>
      </c>
      <c r="V1196" t="s">
        <v>21002</v>
      </c>
      <c r="W1196" t="s">
        <v>21003</v>
      </c>
      <c r="X1196" t="s">
        <v>21004</v>
      </c>
      <c r="Y1196" t="s">
        <v>21005</v>
      </c>
    </row>
    <row r="1197" spans="1:25" x14ac:dyDescent="0.3">
      <c r="A1197">
        <v>59800</v>
      </c>
      <c r="B1197" t="s">
        <v>21006</v>
      </c>
      <c r="C1197" t="s">
        <v>21007</v>
      </c>
      <c r="D1197" t="s">
        <v>21008</v>
      </c>
      <c r="E1197" t="s">
        <v>21009</v>
      </c>
      <c r="F1197" t="s">
        <v>21010</v>
      </c>
      <c r="G1197" t="s">
        <v>21011</v>
      </c>
      <c r="H1197" t="s">
        <v>21012</v>
      </c>
      <c r="I1197" t="s">
        <v>21013</v>
      </c>
      <c r="J1197" t="s">
        <v>21014</v>
      </c>
      <c r="K1197" t="s">
        <v>21015</v>
      </c>
      <c r="L1197" t="s">
        <v>21016</v>
      </c>
      <c r="M1197" t="s">
        <v>21017</v>
      </c>
      <c r="N1197" t="s">
        <v>21018</v>
      </c>
      <c r="O1197">
        <f>-625.81171638727 -50.8383691163351 -733.626258743318</f>
        <v>-1410.2763442469231</v>
      </c>
      <c r="P1197">
        <f>-635.282988127854 -30.6368459546629 -417.891529970515</f>
        <v>-1083.8113640530319</v>
      </c>
      <c r="Q1197">
        <f>-376.502781180647 -50.931541533638 -434.108802202505</f>
        <v>-861.54312491679002</v>
      </c>
      <c r="R1197" t="s">
        <v>21019</v>
      </c>
      <c r="S1197" t="s">
        <v>21020</v>
      </c>
      <c r="T1197" t="s">
        <v>21021</v>
      </c>
      <c r="U1197" t="s">
        <v>21022</v>
      </c>
      <c r="V1197" t="s">
        <v>21023</v>
      </c>
      <c r="W1197" t="s">
        <v>21024</v>
      </c>
      <c r="X1197" t="s">
        <v>21025</v>
      </c>
      <c r="Y1197" t="s">
        <v>21026</v>
      </c>
    </row>
    <row r="1198" spans="1:25" x14ac:dyDescent="0.3">
      <c r="A1198">
        <v>59850</v>
      </c>
      <c r="B1198" t="s">
        <v>21027</v>
      </c>
      <c r="C1198" t="s">
        <v>21028</v>
      </c>
      <c r="D1198" t="s">
        <v>21029</v>
      </c>
      <c r="E1198" t="s">
        <v>21030</v>
      </c>
      <c r="F1198" t="s">
        <v>21031</v>
      </c>
      <c r="G1198" t="s">
        <v>21032</v>
      </c>
      <c r="H1198" t="s">
        <v>21033</v>
      </c>
      <c r="I1198" t="s">
        <v>21034</v>
      </c>
      <c r="J1198" t="s">
        <v>21035</v>
      </c>
      <c r="K1198" t="s">
        <v>21036</v>
      </c>
      <c r="L1198" t="s">
        <v>21037</v>
      </c>
      <c r="M1198" t="s">
        <v>21038</v>
      </c>
      <c r="N1198" t="s">
        <v>21039</v>
      </c>
      <c r="O1198">
        <f>-626.254580530628 -50.8008030394128 -733.62831768109</f>
        <v>-1410.683701251131</v>
      </c>
      <c r="P1198">
        <f>-635.01147628047 -30.6681065777407 -417.868609206378</f>
        <v>-1083.5481920645886</v>
      </c>
      <c r="Q1198">
        <f>-376.260575254096 -50.8837968940065 -434.64197729579</f>
        <v>-861.7863494438925</v>
      </c>
      <c r="R1198" t="s">
        <v>21040</v>
      </c>
      <c r="S1198" t="s">
        <v>21041</v>
      </c>
      <c r="T1198" t="s">
        <v>21042</v>
      </c>
      <c r="U1198" t="s">
        <v>21043</v>
      </c>
      <c r="V1198" t="s">
        <v>21044</v>
      </c>
      <c r="W1198" t="s">
        <v>21045</v>
      </c>
      <c r="X1198" t="s">
        <v>21046</v>
      </c>
      <c r="Y1198" t="s">
        <v>21047</v>
      </c>
    </row>
    <row r="1199" spans="1:25" x14ac:dyDescent="0.3">
      <c r="A1199">
        <v>59900</v>
      </c>
      <c r="B1199" t="s">
        <v>21048</v>
      </c>
      <c r="C1199" t="s">
        <v>21049</v>
      </c>
      <c r="D1199" t="s">
        <v>21050</v>
      </c>
      <c r="E1199" t="s">
        <v>21051</v>
      </c>
      <c r="F1199" t="s">
        <v>21052</v>
      </c>
      <c r="G1199" t="s">
        <v>21053</v>
      </c>
      <c r="H1199" t="s">
        <v>21054</v>
      </c>
      <c r="I1199" t="s">
        <v>21055</v>
      </c>
      <c r="J1199" t="s">
        <v>21056</v>
      </c>
      <c r="K1199" t="s">
        <v>21057</v>
      </c>
      <c r="L1199" t="s">
        <v>21058</v>
      </c>
      <c r="M1199" t="s">
        <v>21059</v>
      </c>
      <c r="N1199" t="s">
        <v>21060</v>
      </c>
      <c r="O1199">
        <f>-626.546860168717 -50.8077015240915 -733.604618552683</f>
        <v>-1410.9591802454916</v>
      </c>
      <c r="P1199">
        <f>-634.682370699646 -30.8305834921925 -417.818473044074</f>
        <v>-1083.3314272359125</v>
      </c>
      <c r="Q1199">
        <f>-375.96553522949 -50.6664380632137 -435.544017241935</f>
        <v>-862.17599053463869</v>
      </c>
      <c r="R1199" t="s">
        <v>21061</v>
      </c>
      <c r="S1199" t="s">
        <v>21062</v>
      </c>
      <c r="T1199" t="s">
        <v>21063</v>
      </c>
      <c r="U1199" t="s">
        <v>21064</v>
      </c>
      <c r="V1199" t="s">
        <v>21065</v>
      </c>
      <c r="W1199" t="s">
        <v>21066</v>
      </c>
      <c r="X1199" t="s">
        <v>21067</v>
      </c>
      <c r="Y1199" t="s">
        <v>21068</v>
      </c>
    </row>
    <row r="1200" spans="1:25" x14ac:dyDescent="0.3">
      <c r="A1200">
        <v>59950</v>
      </c>
      <c r="B1200" t="s">
        <v>21069</v>
      </c>
      <c r="C1200" t="s">
        <v>21070</v>
      </c>
      <c r="D1200" t="s">
        <v>21071</v>
      </c>
      <c r="E1200" t="s">
        <v>21072</v>
      </c>
      <c r="F1200" t="s">
        <v>21073</v>
      </c>
      <c r="G1200" t="s">
        <v>21074</v>
      </c>
      <c r="H1200" t="s">
        <v>21075</v>
      </c>
      <c r="I1200" t="s">
        <v>21076</v>
      </c>
      <c r="J1200" t="s">
        <v>21077</v>
      </c>
      <c r="K1200" t="s">
        <v>21078</v>
      </c>
      <c r="L1200" t="s">
        <v>21079</v>
      </c>
      <c r="M1200" t="s">
        <v>21080</v>
      </c>
      <c r="N1200" t="s">
        <v>21081</v>
      </c>
      <c r="O1200">
        <f>-626.369894755916 -50.6036640896473 -733.472709029433</f>
        <v>-1410.4462678749962</v>
      </c>
      <c r="P1200">
        <f>-633.046381792362 -30.4059617231078 -417.666444961984</f>
        <v>-1081.1187884774538</v>
      </c>
      <c r="Q1200">
        <f>-374.399358649422 -50.0212110458413 -436.613936627506</f>
        <v>-861.0345063227694</v>
      </c>
      <c r="R1200" t="s">
        <v>21082</v>
      </c>
      <c r="S1200" t="s">
        <v>21083</v>
      </c>
      <c r="T1200" t="s">
        <v>21084</v>
      </c>
      <c r="U1200" t="s">
        <v>21085</v>
      </c>
      <c r="V1200" t="s">
        <v>21086</v>
      </c>
      <c r="W1200" t="s">
        <v>21087</v>
      </c>
      <c r="X1200" t="s">
        <v>21088</v>
      </c>
      <c r="Y1200" t="s">
        <v>21089</v>
      </c>
    </row>
    <row r="1201" spans="1:25" x14ac:dyDescent="0.3">
      <c r="A1201">
        <v>60000</v>
      </c>
      <c r="B1201" t="s">
        <v>21090</v>
      </c>
      <c r="C1201" t="s">
        <v>21091</v>
      </c>
      <c r="D1201" t="s">
        <v>21092</v>
      </c>
      <c r="E1201" t="s">
        <v>21093</v>
      </c>
      <c r="F1201" t="s">
        <v>21094</v>
      </c>
      <c r="G1201" t="s">
        <v>21095</v>
      </c>
      <c r="H1201" t="s">
        <v>21096</v>
      </c>
      <c r="I1201" t="s">
        <v>21097</v>
      </c>
      <c r="J1201" t="s">
        <v>21098</v>
      </c>
      <c r="K1201" t="s">
        <v>21099</v>
      </c>
      <c r="L1201" t="s">
        <v>21100</v>
      </c>
      <c r="M1201" t="s">
        <v>21101</v>
      </c>
      <c r="N1201" t="s">
        <v>21102</v>
      </c>
      <c r="O1201">
        <f>-626.104043276105 -50.4172223654878 -733.451484000037</f>
        <v>-1409.9727496416299</v>
      </c>
      <c r="P1201">
        <f>-632.326258059531 -30.0406442347705 -417.647377271256</f>
        <v>-1080.0142795655574</v>
      </c>
      <c r="Q1201">
        <f>-373.679762739212 -49.6845047764193 -436.572281602939</f>
        <v>-859.93654911857027</v>
      </c>
      <c r="R1201" t="s">
        <v>21103</v>
      </c>
      <c r="S1201" t="s">
        <v>21104</v>
      </c>
      <c r="T1201" t="s">
        <v>21105</v>
      </c>
      <c r="U1201" t="s">
        <v>21106</v>
      </c>
      <c r="V1201" t="s">
        <v>21107</v>
      </c>
      <c r="W1201" t="s">
        <v>21108</v>
      </c>
      <c r="X1201" t="s">
        <v>21109</v>
      </c>
      <c r="Y1201" t="s">
        <v>21110</v>
      </c>
    </row>
    <row r="1202" spans="1:25" x14ac:dyDescent="0.3">
      <c r="A1202">
        <v>60050</v>
      </c>
      <c r="B1202" t="s">
        <v>21111</v>
      </c>
      <c r="C1202" t="s">
        <v>21112</v>
      </c>
      <c r="D1202" t="s">
        <v>21113</v>
      </c>
      <c r="E1202" t="s">
        <v>21114</v>
      </c>
      <c r="F1202" t="s">
        <v>21115</v>
      </c>
      <c r="G1202" t="s">
        <v>21116</v>
      </c>
      <c r="H1202" t="s">
        <v>21117</v>
      </c>
      <c r="I1202" t="s">
        <v>21118</v>
      </c>
      <c r="J1202" t="s">
        <v>21119</v>
      </c>
      <c r="K1202" t="s">
        <v>21120</v>
      </c>
      <c r="L1202" t="s">
        <v>21121</v>
      </c>
      <c r="M1202" t="s">
        <v>21122</v>
      </c>
      <c r="N1202" t="s">
        <v>21123</v>
      </c>
      <c r="O1202">
        <f>-625.172829630988 -50.2759407422564 -733.540131987986</f>
        <v>-1408.9889023612304</v>
      </c>
      <c r="P1202">
        <f>-630.699883954325 -29.7303492275228 -417.733896588113</f>
        <v>-1078.1641297699607</v>
      </c>
      <c r="Q1202">
        <f>-372.013880510992 -48.6295309811371 -436.876049798359</f>
        <v>-857.51946129048815</v>
      </c>
      <c r="R1202" t="s">
        <v>21124</v>
      </c>
      <c r="S1202" t="s">
        <v>21125</v>
      </c>
      <c r="T1202" t="s">
        <v>21126</v>
      </c>
      <c r="U1202" t="s">
        <v>21127</v>
      </c>
      <c r="V1202" t="s">
        <v>21128</v>
      </c>
      <c r="W1202" t="s">
        <v>21129</v>
      </c>
      <c r="X1202" t="s">
        <v>21130</v>
      </c>
      <c r="Y1202" t="s">
        <v>21131</v>
      </c>
    </row>
    <row r="1203" spans="1:25" x14ac:dyDescent="0.3">
      <c r="A1203">
        <v>60100</v>
      </c>
      <c r="B1203" t="s">
        <v>21132</v>
      </c>
      <c r="C1203" t="s">
        <v>21133</v>
      </c>
      <c r="D1203" t="s">
        <v>21134</v>
      </c>
      <c r="E1203" t="s">
        <v>21135</v>
      </c>
      <c r="F1203" t="s">
        <v>21136</v>
      </c>
      <c r="G1203" t="s">
        <v>21137</v>
      </c>
      <c r="H1203" t="s">
        <v>21138</v>
      </c>
      <c r="I1203" t="s">
        <v>21139</v>
      </c>
      <c r="J1203" t="s">
        <v>21140</v>
      </c>
      <c r="K1203" t="s">
        <v>21141</v>
      </c>
      <c r="L1203" t="s">
        <v>21142</v>
      </c>
      <c r="M1203" t="s">
        <v>21143</v>
      </c>
      <c r="N1203" t="s">
        <v>21144</v>
      </c>
      <c r="O1203">
        <f>-624.9383093383 -50.2262148765158 -733.616495901335</f>
        <v>-1408.7810201161508</v>
      </c>
      <c r="P1203">
        <f>-630.085837491495 -29.8581528945438 -417.792430525095</f>
        <v>-1077.7364209111338</v>
      </c>
      <c r="Q1203">
        <f>-371.392771397555 -48.4308089054239 -437.157474031671</f>
        <v>-856.98105433464991</v>
      </c>
      <c r="R1203" t="s">
        <v>21145</v>
      </c>
      <c r="S1203" t="s">
        <v>21146</v>
      </c>
      <c r="T1203" t="s">
        <v>21147</v>
      </c>
      <c r="U1203" t="s">
        <v>21148</v>
      </c>
      <c r="V1203" t="s">
        <v>21149</v>
      </c>
      <c r="W1203" t="s">
        <v>21150</v>
      </c>
      <c r="X1203" t="s">
        <v>21151</v>
      </c>
      <c r="Y1203" t="s">
        <v>21152</v>
      </c>
    </row>
    <row r="1204" spans="1:25" x14ac:dyDescent="0.3">
      <c r="A1204">
        <v>60150</v>
      </c>
      <c r="B1204" t="s">
        <v>21153</v>
      </c>
      <c r="C1204" t="s">
        <v>21154</v>
      </c>
      <c r="D1204" t="s">
        <v>21155</v>
      </c>
      <c r="E1204" t="s">
        <v>21156</v>
      </c>
      <c r="F1204" t="s">
        <v>21157</v>
      </c>
      <c r="G1204" t="s">
        <v>21158</v>
      </c>
      <c r="H1204" t="s">
        <v>21159</v>
      </c>
      <c r="I1204" t="s">
        <v>21160</v>
      </c>
      <c r="J1204" t="s">
        <v>21161</v>
      </c>
      <c r="K1204" t="s">
        <v>21162</v>
      </c>
      <c r="L1204" t="s">
        <v>21163</v>
      </c>
      <c r="M1204" t="s">
        <v>21164</v>
      </c>
      <c r="N1204" t="s">
        <v>21165</v>
      </c>
      <c r="O1204">
        <f>-624.615007090398 -50.3539347630237 -733.731461291837</f>
        <v>-1408.7004031452589</v>
      </c>
      <c r="P1204">
        <f>-628.861531946212 -30.6483214738923 -417.851964478882</f>
        <v>-1077.3618178989864</v>
      </c>
      <c r="Q1204">
        <f>-370.167917283074 -48.5388496623013 -437.842019388813</f>
        <v>-856.54878633418832</v>
      </c>
      <c r="R1204" t="s">
        <v>21166</v>
      </c>
      <c r="S1204" t="s">
        <v>21167</v>
      </c>
      <c r="T1204" t="s">
        <v>21168</v>
      </c>
      <c r="U1204" t="s">
        <v>21169</v>
      </c>
      <c r="V1204" t="s">
        <v>21170</v>
      </c>
      <c r="W1204" t="s">
        <v>21171</v>
      </c>
      <c r="X1204" t="s">
        <v>21172</v>
      </c>
      <c r="Y1204" t="s">
        <v>21173</v>
      </c>
    </row>
    <row r="1205" spans="1:25" x14ac:dyDescent="0.3">
      <c r="A1205">
        <v>60200</v>
      </c>
      <c r="B1205" t="s">
        <v>21174</v>
      </c>
      <c r="C1205" t="s">
        <v>21175</v>
      </c>
      <c r="D1205" t="s">
        <v>21176</v>
      </c>
      <c r="E1205" t="s">
        <v>21177</v>
      </c>
      <c r="F1205" t="s">
        <v>21178</v>
      </c>
      <c r="G1205" t="s">
        <v>21179</v>
      </c>
      <c r="H1205" t="s">
        <v>21180</v>
      </c>
      <c r="I1205" t="s">
        <v>21181</v>
      </c>
      <c r="J1205" t="s">
        <v>21182</v>
      </c>
      <c r="K1205" t="s">
        <v>21183</v>
      </c>
      <c r="L1205" t="s">
        <v>21184</v>
      </c>
      <c r="M1205" t="s">
        <v>21185</v>
      </c>
      <c r="N1205" t="s">
        <v>21186</v>
      </c>
      <c r="O1205">
        <f>-624.43419478013 -50.4683882066324 -733.818312811428</f>
        <v>-1408.7208957981904</v>
      </c>
      <c r="P1205">
        <f>-628.122615938597 -31.0726916051099 -417.912631253217</f>
        <v>-1077.1079387969239</v>
      </c>
      <c r="Q1205">
        <f>-369.417117283397 -48.6875086868072 -437.993404048216</f>
        <v>-856.0980300184201</v>
      </c>
      <c r="R1205" t="s">
        <v>21187</v>
      </c>
      <c r="S1205" t="s">
        <v>21188</v>
      </c>
      <c r="T1205" t="s">
        <v>21189</v>
      </c>
      <c r="U1205" t="s">
        <v>21190</v>
      </c>
      <c r="V1205" t="s">
        <v>21191</v>
      </c>
      <c r="W1205" t="s">
        <v>21192</v>
      </c>
      <c r="X1205" t="s">
        <v>21193</v>
      </c>
      <c r="Y1205" t="s">
        <v>21194</v>
      </c>
    </row>
    <row r="1206" spans="1:25" x14ac:dyDescent="0.3">
      <c r="A1206">
        <v>60250</v>
      </c>
      <c r="B1206" t="s">
        <v>21195</v>
      </c>
      <c r="C1206" t="s">
        <v>21196</v>
      </c>
      <c r="D1206" t="s">
        <v>21197</v>
      </c>
      <c r="E1206" t="s">
        <v>21198</v>
      </c>
      <c r="F1206" t="s">
        <v>21199</v>
      </c>
      <c r="G1206" t="s">
        <v>21200</v>
      </c>
      <c r="H1206" t="s">
        <v>21201</v>
      </c>
      <c r="I1206" t="s">
        <v>21202</v>
      </c>
      <c r="J1206" t="s">
        <v>21203</v>
      </c>
      <c r="K1206" t="s">
        <v>21204</v>
      </c>
      <c r="L1206" t="s">
        <v>21205</v>
      </c>
      <c r="M1206" t="s">
        <v>21206</v>
      </c>
      <c r="N1206" t="s">
        <v>21207</v>
      </c>
      <c r="O1206">
        <f>-624.535404279208 -50.7387407429517 -733.897735188519</f>
        <v>-1409.1718802106789</v>
      </c>
      <c r="P1206">
        <f>-627.751966362396 -31.7168614866152 -417.964227676057</f>
        <v>-1077.4330555250683</v>
      </c>
      <c r="Q1206">
        <f>-369.124712207533 -49.9758363928506 -438.472380150018</f>
        <v>-857.57292875040162</v>
      </c>
      <c r="R1206" t="s">
        <v>21208</v>
      </c>
      <c r="S1206" t="s">
        <v>21209</v>
      </c>
      <c r="T1206" t="s">
        <v>21210</v>
      </c>
      <c r="U1206" t="s">
        <v>21211</v>
      </c>
      <c r="V1206" t="s">
        <v>21212</v>
      </c>
      <c r="W1206" t="s">
        <v>21213</v>
      </c>
      <c r="X1206" t="s">
        <v>21214</v>
      </c>
      <c r="Y1206" t="s">
        <v>21215</v>
      </c>
    </row>
    <row r="1207" spans="1:25" x14ac:dyDescent="0.3">
      <c r="A1207">
        <v>60300</v>
      </c>
      <c r="B1207" t="s">
        <v>21216</v>
      </c>
      <c r="C1207" t="s">
        <v>21217</v>
      </c>
      <c r="D1207" t="s">
        <v>21218</v>
      </c>
      <c r="E1207" t="s">
        <v>21219</v>
      </c>
      <c r="F1207" t="s">
        <v>21220</v>
      </c>
      <c r="G1207" t="s">
        <v>21221</v>
      </c>
      <c r="H1207" t="s">
        <v>21222</v>
      </c>
      <c r="I1207" t="s">
        <v>21223</v>
      </c>
      <c r="J1207" t="s">
        <v>21224</v>
      </c>
      <c r="K1207" t="s">
        <v>21225</v>
      </c>
      <c r="L1207" t="s">
        <v>21226</v>
      </c>
      <c r="M1207" t="s">
        <v>21227</v>
      </c>
      <c r="N1207" t="s">
        <v>21228</v>
      </c>
      <c r="O1207">
        <f>-624.943733989824 -50.8544073274174 -733.928660655563</f>
        <v>-1409.7268019728044</v>
      </c>
      <c r="P1207">
        <f>-627.511419483631 -31.8852906641428 -417.98599315812</f>
        <v>-1077.3827033058938</v>
      </c>
      <c r="Q1207">
        <f>-368.956772565502 -51.2063679217522 -438.437089903137</f>
        <v>-858.60023039039118</v>
      </c>
      <c r="R1207" t="s">
        <v>21229</v>
      </c>
      <c r="S1207" t="s">
        <v>21230</v>
      </c>
      <c r="T1207" t="s">
        <v>21231</v>
      </c>
      <c r="U1207" t="s">
        <v>21232</v>
      </c>
      <c r="V1207" t="s">
        <v>21233</v>
      </c>
      <c r="W1207" t="s">
        <v>21234</v>
      </c>
      <c r="X1207" t="s">
        <v>21235</v>
      </c>
      <c r="Y1207" t="s">
        <v>21236</v>
      </c>
    </row>
    <row r="1208" spans="1:25" x14ac:dyDescent="0.3">
      <c r="A1208">
        <v>60350</v>
      </c>
      <c r="B1208" t="s">
        <v>21237</v>
      </c>
      <c r="C1208" t="s">
        <v>21238</v>
      </c>
      <c r="D1208" t="s">
        <v>21239</v>
      </c>
      <c r="E1208" t="s">
        <v>21240</v>
      </c>
      <c r="F1208" t="s">
        <v>21241</v>
      </c>
      <c r="G1208" t="s">
        <v>21242</v>
      </c>
      <c r="H1208" t="s">
        <v>21243</v>
      </c>
      <c r="I1208" t="s">
        <v>21244</v>
      </c>
      <c r="J1208" t="s">
        <v>21245</v>
      </c>
      <c r="K1208" t="s">
        <v>21246</v>
      </c>
      <c r="L1208" t="s">
        <v>21247</v>
      </c>
      <c r="M1208" t="s">
        <v>21248</v>
      </c>
      <c r="N1208" t="s">
        <v>21249</v>
      </c>
      <c r="O1208">
        <f>-625.396669831544 -51.4729644894232 -733.947461341898</f>
        <v>-1410.8170956628653</v>
      </c>
      <c r="P1208">
        <f>-626.266979034068 -32.822639726294 -417.976537668167</f>
        <v>-1077.066156428529</v>
      </c>
      <c r="Q1208">
        <f>-367.914589740051 -54.8397806062237 -438.258227055556</f>
        <v>-861.0125974018307</v>
      </c>
      <c r="R1208" t="s">
        <v>21250</v>
      </c>
      <c r="S1208" t="s">
        <v>21251</v>
      </c>
      <c r="T1208" t="s">
        <v>21252</v>
      </c>
      <c r="U1208" t="s">
        <v>21253</v>
      </c>
      <c r="V1208" t="s">
        <v>21254</v>
      </c>
      <c r="W1208" t="s">
        <v>21255</v>
      </c>
      <c r="X1208" t="s">
        <v>21256</v>
      </c>
      <c r="Y1208" t="s">
        <v>21257</v>
      </c>
    </row>
    <row r="1209" spans="1:25" x14ac:dyDescent="0.3">
      <c r="A1209">
        <v>60400</v>
      </c>
      <c r="B1209" t="s">
        <v>21258</v>
      </c>
      <c r="C1209" t="s">
        <v>21259</v>
      </c>
      <c r="D1209" t="s">
        <v>21260</v>
      </c>
      <c r="E1209" t="s">
        <v>21261</v>
      </c>
      <c r="F1209" t="s">
        <v>21262</v>
      </c>
      <c r="G1209" t="s">
        <v>21263</v>
      </c>
      <c r="H1209" t="s">
        <v>21264</v>
      </c>
      <c r="I1209" t="s">
        <v>21265</v>
      </c>
      <c r="J1209" t="s">
        <v>21266</v>
      </c>
      <c r="K1209" t="s">
        <v>21267</v>
      </c>
      <c r="L1209" t="s">
        <v>21268</v>
      </c>
      <c r="M1209" t="s">
        <v>21269</v>
      </c>
      <c r="N1209" t="s">
        <v>21270</v>
      </c>
      <c r="O1209">
        <f>-625.347986664468 -51.841793358672 -733.944312685613</f>
        <v>-1411.1340927087531</v>
      </c>
      <c r="P1209">
        <f>-626.37442571194 -34.5997322696398 -417.893845749184</f>
        <v>-1078.8680037307638</v>
      </c>
      <c r="Q1209">
        <f>-368.008362524353 -55.6842049315776 -438.97646450122</f>
        <v>-862.66903195715054</v>
      </c>
      <c r="R1209" t="s">
        <v>21271</v>
      </c>
      <c r="S1209" t="s">
        <v>21272</v>
      </c>
      <c r="T1209" t="s">
        <v>21273</v>
      </c>
      <c r="U1209" t="s">
        <v>21274</v>
      </c>
      <c r="V1209" t="s">
        <v>21275</v>
      </c>
      <c r="W1209" t="s">
        <v>21276</v>
      </c>
      <c r="X1209" t="s">
        <v>21277</v>
      </c>
      <c r="Y1209" t="s">
        <v>21278</v>
      </c>
    </row>
    <row r="1210" spans="1:25" x14ac:dyDescent="0.3">
      <c r="A1210">
        <v>60450</v>
      </c>
      <c r="B1210" t="s">
        <v>21279</v>
      </c>
      <c r="C1210" t="s">
        <v>21280</v>
      </c>
      <c r="D1210" t="s">
        <v>21281</v>
      </c>
      <c r="E1210" t="s">
        <v>21282</v>
      </c>
      <c r="F1210" t="s">
        <v>21283</v>
      </c>
      <c r="G1210" t="s">
        <v>21284</v>
      </c>
      <c r="H1210" t="s">
        <v>21285</v>
      </c>
      <c r="I1210" t="s">
        <v>21286</v>
      </c>
      <c r="J1210" t="s">
        <v>21287</v>
      </c>
      <c r="K1210" t="s">
        <v>21288</v>
      </c>
      <c r="L1210" t="s">
        <v>21289</v>
      </c>
      <c r="M1210" t="s">
        <v>21290</v>
      </c>
      <c r="N1210" t="s">
        <v>21291</v>
      </c>
      <c r="O1210">
        <f>-625.055561949573 -51.7289167117503 -734.27813402109</f>
        <v>-1411.0626126824131</v>
      </c>
      <c r="P1210">
        <f>-626.404584878964 -35.3270386851709 -418.184155091505</f>
        <v>-1079.9157786556398</v>
      </c>
      <c r="Q1210">
        <f>-367.776967813976 -55.5428632793887 -436.761859751494</f>
        <v>-860.08169084485871</v>
      </c>
      <c r="R1210" t="s">
        <v>21292</v>
      </c>
      <c r="S1210" t="s">
        <v>21293</v>
      </c>
      <c r="T1210" t="s">
        <v>21294</v>
      </c>
      <c r="U1210" t="s">
        <v>21295</v>
      </c>
      <c r="V1210" t="s">
        <v>21296</v>
      </c>
      <c r="W1210" t="s">
        <v>21297</v>
      </c>
      <c r="X1210" t="s">
        <v>21298</v>
      </c>
      <c r="Y1210" t="s">
        <v>21299</v>
      </c>
    </row>
    <row r="1211" spans="1:25" x14ac:dyDescent="0.3">
      <c r="A1211">
        <v>60500</v>
      </c>
      <c r="B1211" t="s">
        <v>21300</v>
      </c>
      <c r="C1211" t="s">
        <v>21301</v>
      </c>
      <c r="D1211" t="s">
        <v>21302</v>
      </c>
      <c r="E1211" t="s">
        <v>21303</v>
      </c>
      <c r="F1211" t="s">
        <v>21304</v>
      </c>
      <c r="G1211" t="s">
        <v>21305</v>
      </c>
      <c r="H1211" t="s">
        <v>21306</v>
      </c>
      <c r="I1211" t="s">
        <v>21307</v>
      </c>
      <c r="J1211" t="s">
        <v>21308</v>
      </c>
      <c r="K1211" t="s">
        <v>21309</v>
      </c>
      <c r="L1211" t="s">
        <v>21310</v>
      </c>
      <c r="M1211" t="s">
        <v>21311</v>
      </c>
      <c r="N1211" t="s">
        <v>21312</v>
      </c>
      <c r="O1211">
        <f>-624.639996380881 -51.9129407369817 -734.31443142871</f>
        <v>-1410.8673685465728</v>
      </c>
      <c r="P1211">
        <f>-626.944406520873 -36.0377581048417 -418.199136062592</f>
        <v>-1081.1813006883067</v>
      </c>
      <c r="Q1211">
        <f>-368.261986095061 -55.7405167106247 -436.563779442277</f>
        <v>-860.5662822479627</v>
      </c>
      <c r="R1211" t="s">
        <v>21313</v>
      </c>
      <c r="S1211" t="s">
        <v>21314</v>
      </c>
      <c r="T1211" t="s">
        <v>21315</v>
      </c>
      <c r="U1211" t="s">
        <v>21316</v>
      </c>
      <c r="V1211" t="s">
        <v>21317</v>
      </c>
      <c r="W1211" t="s">
        <v>21318</v>
      </c>
      <c r="X1211" t="s">
        <v>21319</v>
      </c>
      <c r="Y1211" t="s">
        <v>21320</v>
      </c>
    </row>
    <row r="1212" spans="1:25" x14ac:dyDescent="0.3">
      <c r="A1212">
        <v>60550</v>
      </c>
      <c r="B1212" t="s">
        <v>21321</v>
      </c>
      <c r="C1212" t="s">
        <v>21322</v>
      </c>
      <c r="D1212" t="s">
        <v>21323</v>
      </c>
      <c r="E1212" t="s">
        <v>21324</v>
      </c>
      <c r="F1212" t="s">
        <v>21325</v>
      </c>
      <c r="G1212" t="s">
        <v>21326</v>
      </c>
      <c r="H1212" t="s">
        <v>21327</v>
      </c>
      <c r="I1212" t="s">
        <v>21328</v>
      </c>
      <c r="J1212" t="s">
        <v>21329</v>
      </c>
      <c r="K1212" t="s">
        <v>21330</v>
      </c>
      <c r="L1212" t="s">
        <v>21331</v>
      </c>
      <c r="M1212" t="s">
        <v>21332</v>
      </c>
      <c r="N1212" t="s">
        <v>21333</v>
      </c>
      <c r="O1212">
        <f>-624.488286629968 -52.1945500698 -734.485255453686</f>
        <v>-1411.1680921534539</v>
      </c>
      <c r="P1212">
        <f>-626.184844368777 -36.723976978217 -418.346012190568</f>
        <v>-1081.254833537562</v>
      </c>
      <c r="Q1212">
        <f>-367.326551863607 -55.5289793219933 -435.103322374636</f>
        <v>-857.95885356023632</v>
      </c>
      <c r="R1212" t="s">
        <v>21334</v>
      </c>
      <c r="S1212" t="s">
        <v>21335</v>
      </c>
      <c r="T1212" t="s">
        <v>21336</v>
      </c>
      <c r="U1212" t="s">
        <v>21337</v>
      </c>
      <c r="V1212" t="s">
        <v>21338</v>
      </c>
      <c r="W1212" t="s">
        <v>21339</v>
      </c>
      <c r="X1212" t="s">
        <v>21340</v>
      </c>
      <c r="Y1212" t="s">
        <v>21341</v>
      </c>
    </row>
    <row r="1213" spans="1:25" x14ac:dyDescent="0.3">
      <c r="A1213">
        <v>60600</v>
      </c>
      <c r="B1213" t="s">
        <v>21342</v>
      </c>
      <c r="C1213" t="s">
        <v>21343</v>
      </c>
      <c r="D1213" t="s">
        <v>21344</v>
      </c>
      <c r="E1213" t="s">
        <v>21345</v>
      </c>
      <c r="F1213" t="s">
        <v>21346</v>
      </c>
      <c r="G1213" t="s">
        <v>21347</v>
      </c>
      <c r="H1213" t="s">
        <v>21348</v>
      </c>
      <c r="I1213" t="s">
        <v>21349</v>
      </c>
      <c r="J1213" t="s">
        <v>21350</v>
      </c>
      <c r="K1213" t="s">
        <v>21351</v>
      </c>
      <c r="L1213" t="s">
        <v>21352</v>
      </c>
      <c r="M1213" t="s">
        <v>21353</v>
      </c>
      <c r="N1213" t="s">
        <v>21354</v>
      </c>
      <c r="O1213">
        <f>-624.269008640782 -52.5770160871771 -734.486268716468</f>
        <v>-1411.332293444427</v>
      </c>
      <c r="P1213">
        <f>-626.534149475343 -36.6627013260709 -418.37268991298</f>
        <v>-1081.569540714394</v>
      </c>
      <c r="Q1213">
        <f>-367.624493998492 -54.9615686444806 -434.895389879271</f>
        <v>-857.48145252224367</v>
      </c>
      <c r="R1213" t="s">
        <v>21355</v>
      </c>
      <c r="S1213" t="s">
        <v>21356</v>
      </c>
      <c r="T1213" t="s">
        <v>21357</v>
      </c>
      <c r="U1213" t="s">
        <v>21358</v>
      </c>
      <c r="V1213" t="s">
        <v>21359</v>
      </c>
      <c r="W1213" t="s">
        <v>21360</v>
      </c>
      <c r="X1213" t="s">
        <v>21361</v>
      </c>
      <c r="Y1213" t="s">
        <v>21362</v>
      </c>
    </row>
    <row r="1214" spans="1:25" x14ac:dyDescent="0.3">
      <c r="A1214">
        <v>60650</v>
      </c>
      <c r="B1214" t="s">
        <v>21363</v>
      </c>
      <c r="C1214" t="s">
        <v>21364</v>
      </c>
      <c r="D1214" t="s">
        <v>21365</v>
      </c>
      <c r="E1214" t="s">
        <v>21366</v>
      </c>
      <c r="F1214" t="s">
        <v>21367</v>
      </c>
      <c r="G1214" t="s">
        <v>21368</v>
      </c>
      <c r="H1214" t="s">
        <v>21369</v>
      </c>
      <c r="I1214" t="s">
        <v>21370</v>
      </c>
      <c r="J1214" t="s">
        <v>21371</v>
      </c>
      <c r="K1214" t="s">
        <v>21372</v>
      </c>
      <c r="L1214" t="s">
        <v>21373</v>
      </c>
      <c r="M1214" t="s">
        <v>21374</v>
      </c>
      <c r="N1214" t="s">
        <v>21375</v>
      </c>
      <c r="O1214">
        <f>-623.374468472609 -53.7486234515814 -734.292946067919</f>
        <v>-1411.4160379921095</v>
      </c>
      <c r="P1214">
        <f>-627.239628750094 -36.5702654401132 -418.261103036692</f>
        <v>-1082.0709972268992</v>
      </c>
      <c r="Q1214">
        <f>-368.425222578409 -54.943296226432 -436.13805183671</f>
        <v>-859.50657064155098</v>
      </c>
      <c r="R1214" t="s">
        <v>21376</v>
      </c>
      <c r="S1214" t="s">
        <v>21377</v>
      </c>
      <c r="T1214" t="s">
        <v>21378</v>
      </c>
      <c r="U1214" t="s">
        <v>21379</v>
      </c>
      <c r="V1214" t="s">
        <v>21380</v>
      </c>
      <c r="W1214" t="s">
        <v>21381</v>
      </c>
      <c r="X1214" t="s">
        <v>21382</v>
      </c>
      <c r="Y1214" t="s">
        <v>21383</v>
      </c>
    </row>
    <row r="1215" spans="1:25" x14ac:dyDescent="0.3">
      <c r="A1215">
        <v>60700</v>
      </c>
      <c r="B1215" t="s">
        <v>21384</v>
      </c>
      <c r="C1215" t="s">
        <v>21385</v>
      </c>
      <c r="D1215" t="s">
        <v>21386</v>
      </c>
      <c r="E1215" t="s">
        <v>21387</v>
      </c>
      <c r="F1215" t="s">
        <v>21388</v>
      </c>
      <c r="G1215" t="s">
        <v>21389</v>
      </c>
      <c r="H1215" t="s">
        <v>21390</v>
      </c>
      <c r="I1215" t="s">
        <v>21391</v>
      </c>
      <c r="J1215" t="s">
        <v>21392</v>
      </c>
      <c r="K1215" t="s">
        <v>21393</v>
      </c>
      <c r="L1215" t="s">
        <v>21394</v>
      </c>
      <c r="M1215" t="s">
        <v>21395</v>
      </c>
      <c r="N1215" t="s">
        <v>21396</v>
      </c>
      <c r="O1215">
        <f>-623.395740209609 -54.3600327093181 -734.114898171982</f>
        <v>-1411.8706710909091</v>
      </c>
      <c r="P1215">
        <f>-627.212199278312 -36.4637612495192 -418.122320442448</f>
        <v>-1081.7982809702792</v>
      </c>
      <c r="Q1215">
        <f>-368.550466677034 -55.3230232756805 -437.628822132707</f>
        <v>-861.50231208542152</v>
      </c>
      <c r="R1215" t="s">
        <v>21397</v>
      </c>
      <c r="S1215" t="s">
        <v>21398</v>
      </c>
      <c r="T1215" t="s">
        <v>21399</v>
      </c>
      <c r="U1215" t="s">
        <v>21400</v>
      </c>
      <c r="V1215" t="s">
        <v>21401</v>
      </c>
      <c r="W1215" t="s">
        <v>21402</v>
      </c>
      <c r="X1215" t="s">
        <v>21403</v>
      </c>
      <c r="Y1215" t="s">
        <v>21404</v>
      </c>
    </row>
    <row r="1216" spans="1:25" x14ac:dyDescent="0.3">
      <c r="A1216">
        <v>60750</v>
      </c>
      <c r="B1216" t="s">
        <v>21405</v>
      </c>
      <c r="C1216" t="s">
        <v>21406</v>
      </c>
      <c r="D1216" t="s">
        <v>21407</v>
      </c>
      <c r="E1216" t="s">
        <v>21408</v>
      </c>
      <c r="F1216" t="s">
        <v>21409</v>
      </c>
      <c r="G1216" t="s">
        <v>21410</v>
      </c>
      <c r="H1216" t="s">
        <v>21411</v>
      </c>
      <c r="I1216" t="s">
        <v>21412</v>
      </c>
      <c r="J1216" t="s">
        <v>21413</v>
      </c>
      <c r="K1216" t="s">
        <v>21414</v>
      </c>
      <c r="L1216" t="s">
        <v>21415</v>
      </c>
      <c r="M1216" t="s">
        <v>21416</v>
      </c>
      <c r="N1216" t="s">
        <v>21417</v>
      </c>
      <c r="O1216">
        <f>-623.952505766564 -55.9639074913639 -733.438052618541</f>
        <v>-1413.3544658764688</v>
      </c>
      <c r="P1216">
        <f>-627.336969426033 -37.2220092164414 -417.489521813621</f>
        <v>-1082.0485004560953</v>
      </c>
      <c r="Q1216">
        <f>-369.128521171506 -54.5083509752483 -443.405480980665</f>
        <v>-867.04235312741935</v>
      </c>
      <c r="R1216" t="s">
        <v>21418</v>
      </c>
      <c r="S1216" t="s">
        <v>21419</v>
      </c>
      <c r="T1216" t="s">
        <v>21420</v>
      </c>
      <c r="U1216" t="s">
        <v>21421</v>
      </c>
      <c r="V1216" t="s">
        <v>21422</v>
      </c>
      <c r="W1216" t="s">
        <v>21423</v>
      </c>
      <c r="X1216" t="s">
        <v>21424</v>
      </c>
      <c r="Y1216" t="s">
        <v>21425</v>
      </c>
    </row>
    <row r="1217" spans="1:25" x14ac:dyDescent="0.3">
      <c r="A1217">
        <v>60800</v>
      </c>
      <c r="B1217" t="s">
        <v>21426</v>
      </c>
      <c r="C1217" t="s">
        <v>21427</v>
      </c>
      <c r="D1217" t="s">
        <v>21428</v>
      </c>
      <c r="E1217" t="s">
        <v>21429</v>
      </c>
      <c r="F1217" t="s">
        <v>21430</v>
      </c>
      <c r="G1217" t="s">
        <v>21431</v>
      </c>
      <c r="H1217" t="s">
        <v>21432</v>
      </c>
      <c r="I1217" t="s">
        <v>21433</v>
      </c>
      <c r="J1217" t="s">
        <v>21434</v>
      </c>
      <c r="K1217" t="s">
        <v>21435</v>
      </c>
      <c r="L1217" t="s">
        <v>21436</v>
      </c>
      <c r="M1217" t="s">
        <v>21437</v>
      </c>
      <c r="N1217" t="s">
        <v>21438</v>
      </c>
      <c r="O1217">
        <f>-624.454506359107 -56.8016946531789 -732.988675279242</f>
        <v>-1414.2448762915278</v>
      </c>
      <c r="P1217">
        <f>-626.957549692078 -37.32103525311 -417.076637976215</f>
        <v>-1081.3552229214031</v>
      </c>
      <c r="Q1217">
        <f>-369.162095735684 -54.2068566191297 -447.050222857496</f>
        <v>-870.41917521230971</v>
      </c>
      <c r="R1217" t="s">
        <v>21439</v>
      </c>
      <c r="S1217" t="s">
        <v>21440</v>
      </c>
      <c r="T1217" t="s">
        <v>21441</v>
      </c>
      <c r="U1217" t="s">
        <v>21442</v>
      </c>
      <c r="V1217" t="s">
        <v>21443</v>
      </c>
      <c r="W1217" t="s">
        <v>21444</v>
      </c>
      <c r="X1217" t="s">
        <v>21445</v>
      </c>
      <c r="Y1217" t="s">
        <v>21446</v>
      </c>
    </row>
    <row r="1218" spans="1:25" x14ac:dyDescent="0.3">
      <c r="A1218">
        <v>60850</v>
      </c>
      <c r="B1218" t="s">
        <v>21447</v>
      </c>
      <c r="C1218" t="s">
        <v>21448</v>
      </c>
      <c r="D1218" t="s">
        <v>21449</v>
      </c>
      <c r="E1218" t="s">
        <v>21450</v>
      </c>
      <c r="F1218" t="s">
        <v>21451</v>
      </c>
      <c r="G1218" t="s">
        <v>21452</v>
      </c>
      <c r="H1218" t="s">
        <v>21453</v>
      </c>
      <c r="I1218" t="s">
        <v>21454</v>
      </c>
      <c r="J1218" t="s">
        <v>21455</v>
      </c>
      <c r="K1218" t="s">
        <v>21456</v>
      </c>
      <c r="L1218" t="s">
        <v>21457</v>
      </c>
      <c r="M1218" t="s">
        <v>21458</v>
      </c>
      <c r="N1218" t="s">
        <v>21459</v>
      </c>
      <c r="O1218">
        <f>-625.398628348448 -57.649812882039 -732.605824838543</f>
        <v>-1415.65426606903</v>
      </c>
      <c r="P1218">
        <f>-625.566433534245 -39.0660889156475 -416.629843038302</f>
        <v>-1081.2623654881945</v>
      </c>
      <c r="Q1218">
        <f>-368.566267746007 -53.7952413360165 -453.724447155698</f>
        <v>-876.08595623772146</v>
      </c>
      <c r="R1218" t="s">
        <v>21460</v>
      </c>
      <c r="S1218" t="s">
        <v>21461</v>
      </c>
      <c r="T1218" t="s">
        <v>21462</v>
      </c>
      <c r="U1218" t="s">
        <v>21463</v>
      </c>
      <c r="V1218" t="s">
        <v>21464</v>
      </c>
      <c r="W1218" t="s">
        <v>21465</v>
      </c>
      <c r="X1218" t="s">
        <v>21466</v>
      </c>
      <c r="Y1218" t="s">
        <v>21467</v>
      </c>
    </row>
    <row r="1219" spans="1:25" x14ac:dyDescent="0.3">
      <c r="A1219">
        <v>60900</v>
      </c>
      <c r="B1219" t="s">
        <v>21468</v>
      </c>
      <c r="C1219" t="s">
        <v>21469</v>
      </c>
      <c r="D1219" t="s">
        <v>21470</v>
      </c>
      <c r="E1219" t="s">
        <v>21471</v>
      </c>
      <c r="F1219" t="s">
        <v>21472</v>
      </c>
      <c r="G1219" t="s">
        <v>21473</v>
      </c>
      <c r="H1219" t="s">
        <v>21474</v>
      </c>
      <c r="I1219" t="s">
        <v>21475</v>
      </c>
      <c r="J1219" t="s">
        <v>21476</v>
      </c>
      <c r="K1219" t="s">
        <v>21477</v>
      </c>
      <c r="L1219" t="s">
        <v>21478</v>
      </c>
      <c r="M1219" t="s">
        <v>21479</v>
      </c>
      <c r="N1219" t="s">
        <v>21480</v>
      </c>
      <c r="O1219">
        <f>-625.890664834948 -58.2064318190437 -732.381508612696</f>
        <v>-1416.4786052666877</v>
      </c>
      <c r="P1219">
        <f>-624.551033537525 -39.6018701064929 -416.409592248229</f>
        <v>-1080.5624958922469</v>
      </c>
      <c r="Q1219">
        <f>-367.864355082723 -53.3384611172282 -455.973680792621</f>
        <v>-877.1764969925722</v>
      </c>
      <c r="R1219" t="s">
        <v>21481</v>
      </c>
      <c r="S1219" t="s">
        <v>21482</v>
      </c>
      <c r="T1219" t="s">
        <v>21483</v>
      </c>
      <c r="U1219" t="s">
        <v>21484</v>
      </c>
      <c r="V1219" t="s">
        <v>21485</v>
      </c>
      <c r="W1219" t="s">
        <v>21486</v>
      </c>
      <c r="X1219" t="s">
        <v>21487</v>
      </c>
      <c r="Y1219" t="s">
        <v>21488</v>
      </c>
    </row>
    <row r="1220" spans="1:25" x14ac:dyDescent="0.3">
      <c r="A1220">
        <v>60950</v>
      </c>
      <c r="B1220" t="s">
        <v>21489</v>
      </c>
      <c r="C1220" t="s">
        <v>21490</v>
      </c>
      <c r="D1220" t="s">
        <v>21491</v>
      </c>
      <c r="E1220" t="s">
        <v>21492</v>
      </c>
      <c r="F1220" t="s">
        <v>21493</v>
      </c>
      <c r="G1220" t="s">
        <v>21494</v>
      </c>
      <c r="H1220" t="s">
        <v>21495</v>
      </c>
      <c r="I1220" t="s">
        <v>21496</v>
      </c>
      <c r="J1220" t="s">
        <v>21497</v>
      </c>
      <c r="K1220" t="s">
        <v>21498</v>
      </c>
      <c r="L1220" t="s">
        <v>21499</v>
      </c>
      <c r="M1220" t="s">
        <v>21500</v>
      </c>
      <c r="N1220" t="s">
        <v>21501</v>
      </c>
      <c r="O1220">
        <f>-625.917475468526 -59.2360550997994 -731.880884786191</f>
        <v>-1417.0344153545166</v>
      </c>
      <c r="P1220">
        <f>-623.11382835849 -39.1998463105012 -416.006070729306</f>
        <v>-1078.3197453982971</v>
      </c>
      <c r="Q1220">
        <f>-367.013852877175 -52.4897330450151 -459.34463612791</f>
        <v>-878.84822205010005</v>
      </c>
      <c r="R1220" t="s">
        <v>21502</v>
      </c>
      <c r="S1220" t="s">
        <v>21503</v>
      </c>
      <c r="T1220" t="s">
        <v>21504</v>
      </c>
      <c r="U1220" t="s">
        <v>21505</v>
      </c>
      <c r="V1220" t="s">
        <v>21506</v>
      </c>
      <c r="W1220" t="s">
        <v>21507</v>
      </c>
      <c r="X1220" t="s">
        <v>21508</v>
      </c>
      <c r="Y1220" t="s">
        <v>21509</v>
      </c>
    </row>
    <row r="1221" spans="1:25" x14ac:dyDescent="0.3">
      <c r="A1221">
        <v>61000</v>
      </c>
      <c r="B1221" t="s">
        <v>21510</v>
      </c>
      <c r="C1221" t="s">
        <v>21511</v>
      </c>
      <c r="D1221" t="s">
        <v>21512</v>
      </c>
      <c r="E1221" t="s">
        <v>21513</v>
      </c>
      <c r="F1221" t="s">
        <v>21514</v>
      </c>
      <c r="G1221" t="s">
        <v>21515</v>
      </c>
      <c r="H1221" t="s">
        <v>21516</v>
      </c>
      <c r="I1221" t="s">
        <v>21517</v>
      </c>
      <c r="J1221" t="s">
        <v>21518</v>
      </c>
      <c r="K1221" t="s">
        <v>21519</v>
      </c>
      <c r="L1221" t="s">
        <v>21520</v>
      </c>
      <c r="M1221" t="s">
        <v>21521</v>
      </c>
      <c r="N1221" t="s">
        <v>21522</v>
      </c>
      <c r="O1221">
        <f>-625.383664918127 -59.4013257339532 -731.62279448222</f>
        <v>-1416.4077851343002</v>
      </c>
      <c r="P1221">
        <f>-622.903659762544 -38.2194830231142 -415.82010927042</f>
        <v>-1076.9432520560781</v>
      </c>
      <c r="Q1221">
        <f>-367.178452216076 -52.0467179213449 -461.157492023004</f>
        <v>-880.38266216042484</v>
      </c>
      <c r="R1221" t="s">
        <v>21523</v>
      </c>
      <c r="S1221" t="s">
        <v>21524</v>
      </c>
      <c r="T1221" t="s">
        <v>21525</v>
      </c>
      <c r="U1221" t="s">
        <v>21526</v>
      </c>
      <c r="V1221" t="s">
        <v>21527</v>
      </c>
      <c r="W1221" t="s">
        <v>21528</v>
      </c>
      <c r="X1221" t="s">
        <v>21529</v>
      </c>
      <c r="Y1221" t="s">
        <v>21530</v>
      </c>
    </row>
    <row r="1222" spans="1:25" x14ac:dyDescent="0.3">
      <c r="A1222">
        <v>61050</v>
      </c>
      <c r="B1222" t="s">
        <v>21531</v>
      </c>
      <c r="C1222" t="s">
        <v>21532</v>
      </c>
      <c r="D1222" t="s">
        <v>21533</v>
      </c>
      <c r="E1222" t="s">
        <v>21534</v>
      </c>
      <c r="F1222" t="s">
        <v>21535</v>
      </c>
      <c r="G1222" t="s">
        <v>21536</v>
      </c>
      <c r="H1222" t="s">
        <v>21537</v>
      </c>
      <c r="I1222" t="s">
        <v>21538</v>
      </c>
      <c r="J1222" t="s">
        <v>21539</v>
      </c>
      <c r="K1222" t="s">
        <v>21540</v>
      </c>
      <c r="L1222" t="s">
        <v>21541</v>
      </c>
      <c r="M1222" t="s">
        <v>21542</v>
      </c>
      <c r="N1222" t="s">
        <v>21543</v>
      </c>
      <c r="O1222">
        <f>-622.801088507386 -60.1969913688015 -730.963213180744</f>
        <v>-1413.9612930569315</v>
      </c>
      <c r="P1222">
        <f>-625.500629984642 -39.0523193437868 -415.159829014365</f>
        <v>-1079.7127783427939</v>
      </c>
      <c r="Q1222">
        <f>-370.772804050551 -52.3128966337986 -465.952964593103</f>
        <v>-889.03866527745254</v>
      </c>
      <c r="R1222" t="s">
        <v>21544</v>
      </c>
      <c r="S1222" t="s">
        <v>21545</v>
      </c>
      <c r="T1222" t="s">
        <v>21546</v>
      </c>
      <c r="U1222" t="s">
        <v>21547</v>
      </c>
      <c r="V1222" t="s">
        <v>21548</v>
      </c>
      <c r="W1222" t="s">
        <v>21549</v>
      </c>
      <c r="X1222" t="s">
        <v>21550</v>
      </c>
      <c r="Y1222" t="s">
        <v>21551</v>
      </c>
    </row>
    <row r="1223" spans="1:25" x14ac:dyDescent="0.3">
      <c r="A1223">
        <v>61100</v>
      </c>
      <c r="B1223" t="s">
        <v>21552</v>
      </c>
      <c r="C1223" t="s">
        <v>21553</v>
      </c>
      <c r="D1223" t="s">
        <v>21554</v>
      </c>
      <c r="E1223" t="s">
        <v>21555</v>
      </c>
      <c r="F1223" t="s">
        <v>21556</v>
      </c>
      <c r="G1223" t="s">
        <v>21557</v>
      </c>
      <c r="H1223" t="s">
        <v>21558</v>
      </c>
      <c r="I1223" t="s">
        <v>21559</v>
      </c>
      <c r="J1223" t="s">
        <v>21560</v>
      </c>
      <c r="K1223" t="s">
        <v>21561</v>
      </c>
      <c r="L1223" t="s">
        <v>21562</v>
      </c>
      <c r="M1223" t="s">
        <v>21563</v>
      </c>
      <c r="N1223" t="s">
        <v>21564</v>
      </c>
      <c r="O1223">
        <f>-621.727781918289 -59.9499293002771 -730.932951082759</f>
        <v>-1412.6106623013252</v>
      </c>
      <c r="P1223">
        <f>-627.390946314339 -39.7004110517225 -415.110088974163</f>
        <v>-1082.2014463402245</v>
      </c>
      <c r="Q1223">
        <f>-372.945354197933 -51.7934793999632 -467.581572935212</f>
        <v>-892.32040653310821</v>
      </c>
      <c r="R1223" t="s">
        <v>21565</v>
      </c>
      <c r="S1223" t="s">
        <v>21566</v>
      </c>
      <c r="T1223" t="s">
        <v>21567</v>
      </c>
      <c r="U1223" t="s">
        <v>21568</v>
      </c>
      <c r="V1223" t="s">
        <v>21569</v>
      </c>
      <c r="W1223" t="s">
        <v>21570</v>
      </c>
      <c r="X1223" t="s">
        <v>21571</v>
      </c>
      <c r="Y1223" t="s">
        <v>21572</v>
      </c>
    </row>
    <row r="1224" spans="1:25" x14ac:dyDescent="0.3">
      <c r="A1224">
        <v>61150</v>
      </c>
      <c r="B1224" t="s">
        <v>21573</v>
      </c>
      <c r="C1224" t="s">
        <v>21574</v>
      </c>
      <c r="D1224" t="s">
        <v>21575</v>
      </c>
      <c r="E1224" t="s">
        <v>21576</v>
      </c>
      <c r="F1224" t="s">
        <v>21577</v>
      </c>
      <c r="G1224" t="s">
        <v>21578</v>
      </c>
      <c r="H1224" t="s">
        <v>21579</v>
      </c>
      <c r="I1224" t="s">
        <v>21580</v>
      </c>
      <c r="J1224" t="s">
        <v>21581</v>
      </c>
      <c r="K1224" t="s">
        <v>21582</v>
      </c>
      <c r="L1224" t="s">
        <v>21583</v>
      </c>
      <c r="M1224" t="s">
        <v>21584</v>
      </c>
      <c r="N1224" t="s">
        <v>21585</v>
      </c>
      <c r="O1224">
        <f>-620.555490074461 -58.1506945205138 -731.514625746457</f>
        <v>-1410.2208103414318</v>
      </c>
      <c r="P1224">
        <f>-628.91086741672 -38.4027724847958 -415.719845250863</f>
        <v>-1083.0334851523787</v>
      </c>
      <c r="Q1224">
        <f>-374.907141138495 -49.1570806781126 -470.569477946795</f>
        <v>-894.63369976340255</v>
      </c>
      <c r="R1224" t="s">
        <v>21586</v>
      </c>
      <c r="S1224" t="s">
        <v>21587</v>
      </c>
      <c r="T1224" t="s">
        <v>21588</v>
      </c>
      <c r="U1224" t="s">
        <v>21589</v>
      </c>
      <c r="V1224" t="s">
        <v>21590</v>
      </c>
      <c r="W1224" t="s">
        <v>21591</v>
      </c>
      <c r="X1224" t="s">
        <v>21592</v>
      </c>
      <c r="Y1224" t="s">
        <v>21593</v>
      </c>
    </row>
    <row r="1225" spans="1:25" x14ac:dyDescent="0.3">
      <c r="A1225">
        <v>61200</v>
      </c>
      <c r="B1225" t="s">
        <v>21594</v>
      </c>
      <c r="C1225" t="s">
        <v>21595</v>
      </c>
      <c r="D1225" t="s">
        <v>21596</v>
      </c>
      <c r="E1225" t="s">
        <v>21597</v>
      </c>
      <c r="F1225" t="s">
        <v>21598</v>
      </c>
      <c r="G1225" t="s">
        <v>21599</v>
      </c>
      <c r="H1225" t="s">
        <v>21600</v>
      </c>
      <c r="I1225" t="s">
        <v>21601</v>
      </c>
      <c r="J1225" t="s">
        <v>21602</v>
      </c>
      <c r="K1225" t="s">
        <v>21603</v>
      </c>
      <c r="L1225" t="s">
        <v>21604</v>
      </c>
      <c r="M1225" t="s">
        <v>21605</v>
      </c>
      <c r="N1225" t="s">
        <v>21606</v>
      </c>
      <c r="O1225">
        <f>-620.226045724563 -57.841038074796 -731.556055897348</f>
        <v>-1409.6231396967069</v>
      </c>
      <c r="P1225">
        <f>-629.082611183009 -38.1730777188955 -415.76991227256</f>
        <v>-1083.0256011744646</v>
      </c>
      <c r="Q1225">
        <f>-374.996304017574 -49.8849182337392 -470.038121372759</f>
        <v>-894.91934362407221</v>
      </c>
      <c r="R1225" t="s">
        <v>21607</v>
      </c>
      <c r="S1225" t="s">
        <v>21608</v>
      </c>
      <c r="T1225" t="s">
        <v>21609</v>
      </c>
      <c r="U1225" t="s">
        <v>21610</v>
      </c>
      <c r="V1225" t="s">
        <v>21611</v>
      </c>
      <c r="W1225" t="s">
        <v>21612</v>
      </c>
      <c r="X1225" t="s">
        <v>21613</v>
      </c>
      <c r="Y1225" t="s">
        <v>21614</v>
      </c>
    </row>
    <row r="1226" spans="1:25" x14ac:dyDescent="0.3">
      <c r="A1226">
        <v>61250</v>
      </c>
      <c r="B1226" t="s">
        <v>21615</v>
      </c>
      <c r="C1226" t="s">
        <v>21616</v>
      </c>
      <c r="D1226" t="s">
        <v>21617</v>
      </c>
      <c r="E1226" t="s">
        <v>21618</v>
      </c>
      <c r="F1226" t="s">
        <v>21619</v>
      </c>
      <c r="G1226" t="s">
        <v>21620</v>
      </c>
      <c r="H1226" t="s">
        <v>21621</v>
      </c>
      <c r="I1226" t="s">
        <v>21622</v>
      </c>
      <c r="J1226" t="s">
        <v>21623</v>
      </c>
      <c r="K1226" t="s">
        <v>21624</v>
      </c>
      <c r="L1226" t="s">
        <v>21625</v>
      </c>
      <c r="M1226" t="s">
        <v>21626</v>
      </c>
      <c r="N1226" t="s">
        <v>21627</v>
      </c>
      <c r="O1226">
        <f>-620.122684465021 -57.5432748347064 -731.614220761843</f>
        <v>-1409.2801800615703</v>
      </c>
      <c r="P1226">
        <f>-630.004114577989 -39.4641768783899 -415.763374864596</f>
        <v>-1085.2316663209749</v>
      </c>
      <c r="Q1226">
        <f>-375.751706616164 -51.674296722709 -469.136478090703</f>
        <v>-896.562481429576</v>
      </c>
      <c r="R1226" t="s">
        <v>21628</v>
      </c>
      <c r="S1226" t="s">
        <v>21629</v>
      </c>
      <c r="T1226" t="s">
        <v>21630</v>
      </c>
      <c r="U1226" t="s">
        <v>21631</v>
      </c>
      <c r="V1226" t="s">
        <v>21632</v>
      </c>
      <c r="W1226" t="s">
        <v>21633</v>
      </c>
      <c r="X1226" t="s">
        <v>21634</v>
      </c>
      <c r="Y1226" t="s">
        <v>21635</v>
      </c>
    </row>
    <row r="1227" spans="1:25" x14ac:dyDescent="0.3">
      <c r="A1227">
        <v>61300</v>
      </c>
      <c r="B1227" t="s">
        <v>21636</v>
      </c>
      <c r="C1227" t="s">
        <v>21637</v>
      </c>
      <c r="D1227" t="s">
        <v>21638</v>
      </c>
      <c r="E1227" t="s">
        <v>21639</v>
      </c>
      <c r="F1227" t="s">
        <v>21640</v>
      </c>
      <c r="G1227" t="s">
        <v>21641</v>
      </c>
      <c r="H1227" t="s">
        <v>21642</v>
      </c>
      <c r="I1227" t="s">
        <v>21643</v>
      </c>
      <c r="J1227" t="s">
        <v>21644</v>
      </c>
      <c r="K1227" t="s">
        <v>21645</v>
      </c>
      <c r="L1227" t="s">
        <v>21646</v>
      </c>
      <c r="M1227" t="s">
        <v>21647</v>
      </c>
      <c r="N1227" t="s">
        <v>21648</v>
      </c>
      <c r="O1227">
        <f>-620.175089868892 -57.0931064890999 -731.763398797513</f>
        <v>-1409.0315951555049</v>
      </c>
      <c r="P1227">
        <f>-629.903068658927 -38.5125089427531 -415.936999725762</f>
        <v>-1084.3525773274423</v>
      </c>
      <c r="Q1227">
        <f>-375.367927759132 -52.3588520008525 -467.533458856878</f>
        <v>-895.26023861686247</v>
      </c>
      <c r="R1227" t="s">
        <v>21649</v>
      </c>
      <c r="S1227" t="s">
        <v>21650</v>
      </c>
      <c r="T1227" t="s">
        <v>21651</v>
      </c>
      <c r="U1227" t="s">
        <v>21652</v>
      </c>
      <c r="V1227" t="s">
        <v>21653</v>
      </c>
      <c r="W1227" t="s">
        <v>21654</v>
      </c>
      <c r="X1227" t="s">
        <v>21655</v>
      </c>
      <c r="Y1227" t="s">
        <v>21656</v>
      </c>
    </row>
    <row r="1228" spans="1:25" x14ac:dyDescent="0.3">
      <c r="A1228">
        <v>61350</v>
      </c>
      <c r="B1228" t="s">
        <v>21657</v>
      </c>
      <c r="C1228" t="s">
        <v>21658</v>
      </c>
      <c r="D1228" t="s">
        <v>21659</v>
      </c>
      <c r="E1228" t="s">
        <v>21660</v>
      </c>
      <c r="F1228" t="s">
        <v>21661</v>
      </c>
      <c r="G1228" t="s">
        <v>21662</v>
      </c>
      <c r="H1228" t="s">
        <v>21663</v>
      </c>
      <c r="I1228" t="s">
        <v>21664</v>
      </c>
      <c r="J1228" t="s">
        <v>21665</v>
      </c>
      <c r="K1228" t="s">
        <v>21666</v>
      </c>
      <c r="L1228" t="s">
        <v>21667</v>
      </c>
      <c r="M1228" t="s">
        <v>21668</v>
      </c>
      <c r="N1228" t="s">
        <v>21669</v>
      </c>
      <c r="O1228">
        <f>-620.396404371022 -56.904332942072 -731.557453175176</f>
        <v>-1408.8581904882699</v>
      </c>
      <c r="P1228">
        <f>-631.334386197753 -37.2782065077863 -415.83403480073</f>
        <v>-1084.4466275062694</v>
      </c>
      <c r="Q1228">
        <f>-376.548557264683 -53.049556521906 -465.608415006909</f>
        <v>-895.20652879349802</v>
      </c>
      <c r="R1228" t="s">
        <v>21670</v>
      </c>
      <c r="S1228" t="s">
        <v>21671</v>
      </c>
      <c r="T1228" t="s">
        <v>21672</v>
      </c>
      <c r="U1228" t="s">
        <v>21673</v>
      </c>
      <c r="V1228" t="s">
        <v>21674</v>
      </c>
      <c r="W1228" t="s">
        <v>21675</v>
      </c>
      <c r="X1228" t="s">
        <v>21676</v>
      </c>
      <c r="Y1228" t="s">
        <v>21677</v>
      </c>
    </row>
    <row r="1229" spans="1:25" x14ac:dyDescent="0.3">
      <c r="A1229">
        <v>61400</v>
      </c>
      <c r="B1229" t="s">
        <v>21678</v>
      </c>
      <c r="C1229" t="s">
        <v>21679</v>
      </c>
      <c r="D1229" t="s">
        <v>21680</v>
      </c>
      <c r="E1229" t="s">
        <v>21681</v>
      </c>
      <c r="F1229" t="s">
        <v>21682</v>
      </c>
      <c r="G1229" t="s">
        <v>21683</v>
      </c>
      <c r="H1229" t="s">
        <v>21684</v>
      </c>
      <c r="I1229" t="s">
        <v>21685</v>
      </c>
      <c r="J1229" t="s">
        <v>21686</v>
      </c>
      <c r="K1229" t="s">
        <v>21687</v>
      </c>
      <c r="L1229" t="s">
        <v>21688</v>
      </c>
      <c r="M1229" t="s">
        <v>21689</v>
      </c>
      <c r="N1229" t="s">
        <v>21690</v>
      </c>
      <c r="O1229">
        <f>-620.536130778956 -56.8620012322399 -731.446084778766</f>
        <v>-1408.844216789962</v>
      </c>
      <c r="P1229">
        <f>-631.977657889861 -36.9923596633755 -415.755734329951</f>
        <v>-1084.7257518831875</v>
      </c>
      <c r="Q1229">
        <f>-377.070963943735 -52.9278435700242 -464.854424817642</f>
        <v>-894.85323233140116</v>
      </c>
      <c r="R1229" t="s">
        <v>21691</v>
      </c>
      <c r="S1229" t="s">
        <v>21692</v>
      </c>
      <c r="T1229" t="s">
        <v>21693</v>
      </c>
      <c r="U1229" t="s">
        <v>21694</v>
      </c>
      <c r="V1229" t="s">
        <v>21695</v>
      </c>
      <c r="W1229" t="s">
        <v>21696</v>
      </c>
      <c r="X1229" t="s">
        <v>21697</v>
      </c>
      <c r="Y1229" t="s">
        <v>21698</v>
      </c>
    </row>
    <row r="1230" spans="1:25" x14ac:dyDescent="0.3">
      <c r="A1230">
        <v>61450</v>
      </c>
      <c r="B1230" t="s">
        <v>21699</v>
      </c>
      <c r="C1230" t="s">
        <v>21700</v>
      </c>
      <c r="D1230" t="s">
        <v>21701</v>
      </c>
      <c r="E1230" t="s">
        <v>21702</v>
      </c>
      <c r="F1230" t="s">
        <v>21703</v>
      </c>
      <c r="G1230" t="s">
        <v>21704</v>
      </c>
      <c r="H1230" t="s">
        <v>21705</v>
      </c>
      <c r="I1230" t="s">
        <v>21706</v>
      </c>
      <c r="J1230" t="s">
        <v>21707</v>
      </c>
      <c r="K1230" t="s">
        <v>21708</v>
      </c>
      <c r="L1230" t="s">
        <v>21709</v>
      </c>
      <c r="M1230" t="s">
        <v>21710</v>
      </c>
      <c r="N1230" t="s">
        <v>21711</v>
      </c>
      <c r="O1230">
        <f>-620.933039991095 -56.5670912824651 -731.399584131823</f>
        <v>-1408.8997154053832</v>
      </c>
      <c r="P1230">
        <f>-634.010006754903 -37.261586571324 -415.737526644827</f>
        <v>-1087.0091199710539</v>
      </c>
      <c r="Q1230">
        <f>-378.658752143425 -51.9267151888266 -462.883513054685</f>
        <v>-893.46898038693666</v>
      </c>
      <c r="R1230" t="s">
        <v>21712</v>
      </c>
      <c r="S1230" t="s">
        <v>21713</v>
      </c>
      <c r="T1230" t="s">
        <v>21714</v>
      </c>
      <c r="U1230" t="s">
        <v>21715</v>
      </c>
      <c r="V1230" t="s">
        <v>21716</v>
      </c>
      <c r="W1230" t="s">
        <v>21717</v>
      </c>
      <c r="X1230" t="s">
        <v>21718</v>
      </c>
      <c r="Y1230" t="s">
        <v>21719</v>
      </c>
    </row>
    <row r="1231" spans="1:25" x14ac:dyDescent="0.3">
      <c r="A1231">
        <v>61500</v>
      </c>
      <c r="B1231" t="s">
        <v>21720</v>
      </c>
      <c r="C1231" t="s">
        <v>21721</v>
      </c>
      <c r="D1231" t="s">
        <v>21722</v>
      </c>
      <c r="E1231" t="s">
        <v>21723</v>
      </c>
      <c r="F1231" t="s">
        <v>21724</v>
      </c>
      <c r="G1231" t="s">
        <v>21725</v>
      </c>
      <c r="H1231" t="s">
        <v>21726</v>
      </c>
      <c r="I1231" t="s">
        <v>21727</v>
      </c>
      <c r="J1231" t="s">
        <v>21728</v>
      </c>
      <c r="K1231" t="s">
        <v>21729</v>
      </c>
      <c r="L1231" t="s">
        <v>21730</v>
      </c>
      <c r="M1231" t="s">
        <v>21731</v>
      </c>
      <c r="N1231" t="s">
        <v>21732</v>
      </c>
      <c r="O1231">
        <f>-621.174252571579 -56.3778236024586 -731.433652167297</f>
        <v>-1408.9857283413348</v>
      </c>
      <c r="P1231">
        <f>-635.214511773283 -36.8803272273176 -415.824849715312</f>
        <v>-1087.9196887159126</v>
      </c>
      <c r="Q1231">
        <f>-379.628339292269 -51.3734251094545 -461.734675124206</f>
        <v>-892.73643952592943</v>
      </c>
      <c r="R1231" t="s">
        <v>21733</v>
      </c>
      <c r="S1231" t="s">
        <v>21734</v>
      </c>
      <c r="T1231" t="s">
        <v>21735</v>
      </c>
      <c r="U1231" t="s">
        <v>21736</v>
      </c>
      <c r="V1231" t="s">
        <v>21737</v>
      </c>
      <c r="W1231" t="s">
        <v>21738</v>
      </c>
      <c r="X1231" t="s">
        <v>21739</v>
      </c>
      <c r="Y1231" t="s">
        <v>21740</v>
      </c>
    </row>
    <row r="1232" spans="1:25" x14ac:dyDescent="0.3">
      <c r="A1232">
        <v>61550</v>
      </c>
      <c r="B1232" t="s">
        <v>21741</v>
      </c>
      <c r="C1232" t="s">
        <v>21742</v>
      </c>
      <c r="D1232" t="s">
        <v>21743</v>
      </c>
      <c r="E1232" t="s">
        <v>21744</v>
      </c>
      <c r="F1232" t="s">
        <v>21745</v>
      </c>
      <c r="G1232" t="s">
        <v>21746</v>
      </c>
      <c r="H1232" t="s">
        <v>21747</v>
      </c>
      <c r="I1232" t="s">
        <v>21748</v>
      </c>
      <c r="J1232" t="s">
        <v>21749</v>
      </c>
      <c r="K1232" t="s">
        <v>21750</v>
      </c>
      <c r="L1232" t="s">
        <v>21751</v>
      </c>
      <c r="M1232" t="s">
        <v>21752</v>
      </c>
      <c r="N1232" t="s">
        <v>21753</v>
      </c>
      <c r="O1232">
        <f>-621.57544418512 -56.0599384057386 -731.34272227376</f>
        <v>-1408.9781048646187</v>
      </c>
      <c r="P1232">
        <f>-636.735806428518 -36.2305158844661 -415.806371136698</f>
        <v>-1088.772693449682</v>
      </c>
      <c r="Q1232">
        <f>-380.685199427176 -50.8481977542244 -459.009264527355</f>
        <v>-890.5426617087553</v>
      </c>
      <c r="R1232" t="s">
        <v>21754</v>
      </c>
      <c r="S1232" t="s">
        <v>21755</v>
      </c>
      <c r="T1232" t="s">
        <v>21756</v>
      </c>
      <c r="U1232" t="s">
        <v>21757</v>
      </c>
      <c r="V1232" t="s">
        <v>21758</v>
      </c>
      <c r="W1232" t="s">
        <v>21759</v>
      </c>
      <c r="X1232" t="s">
        <v>21760</v>
      </c>
      <c r="Y1232" t="s">
        <v>21761</v>
      </c>
    </row>
    <row r="1233" spans="1:25" x14ac:dyDescent="0.3">
      <c r="A1233">
        <v>61600</v>
      </c>
      <c r="B1233" t="s">
        <v>21762</v>
      </c>
      <c r="C1233" t="s">
        <v>21763</v>
      </c>
      <c r="D1233" t="s">
        <v>21764</v>
      </c>
      <c r="E1233" t="s">
        <v>21765</v>
      </c>
      <c r="F1233" t="s">
        <v>21766</v>
      </c>
      <c r="G1233" t="s">
        <v>21767</v>
      </c>
      <c r="H1233" t="s">
        <v>21768</v>
      </c>
      <c r="I1233" t="s">
        <v>21769</v>
      </c>
      <c r="J1233" t="s">
        <v>21770</v>
      </c>
      <c r="K1233" t="s">
        <v>21771</v>
      </c>
      <c r="L1233" t="s">
        <v>21772</v>
      </c>
      <c r="M1233" t="s">
        <v>21773</v>
      </c>
      <c r="N1233" t="s">
        <v>21774</v>
      </c>
      <c r="O1233">
        <f>-621.74884029679 -56.1543921767077 -731.283041472293</f>
        <v>-1409.1862739457906</v>
      </c>
      <c r="P1233">
        <f>-637.651695134887 -36.0884495402941 -415.798117940808</f>
        <v>-1089.538262615989</v>
      </c>
      <c r="Q1233">
        <f>-381.44020591732 -50.5368810290404 -458.09428385671</f>
        <v>-890.07137080307029</v>
      </c>
      <c r="R1233" t="s">
        <v>21775</v>
      </c>
      <c r="S1233" t="s">
        <v>21776</v>
      </c>
      <c r="T1233" t="s">
        <v>21777</v>
      </c>
      <c r="U1233" t="s">
        <v>21778</v>
      </c>
      <c r="V1233" t="s">
        <v>21779</v>
      </c>
      <c r="W1233" t="s">
        <v>21780</v>
      </c>
      <c r="X1233" t="s">
        <v>21781</v>
      </c>
      <c r="Y1233" t="s">
        <v>21782</v>
      </c>
    </row>
    <row r="1234" spans="1:25" x14ac:dyDescent="0.3">
      <c r="A1234">
        <v>61650</v>
      </c>
      <c r="B1234" t="s">
        <v>21783</v>
      </c>
      <c r="C1234" t="s">
        <v>21784</v>
      </c>
      <c r="D1234" t="s">
        <v>21785</v>
      </c>
      <c r="E1234" t="s">
        <v>21786</v>
      </c>
      <c r="F1234" t="s">
        <v>21787</v>
      </c>
      <c r="G1234" t="s">
        <v>21788</v>
      </c>
      <c r="H1234" t="s">
        <v>21789</v>
      </c>
      <c r="I1234" t="s">
        <v>21790</v>
      </c>
      <c r="J1234" t="s">
        <v>21791</v>
      </c>
      <c r="K1234" t="s">
        <v>21792</v>
      </c>
      <c r="L1234" t="s">
        <v>21793</v>
      </c>
      <c r="M1234" t="s">
        <v>21794</v>
      </c>
      <c r="N1234" t="s">
        <v>21795</v>
      </c>
      <c r="O1234">
        <f>-622.041111551507 -56.3159197573839 -731.096365749445</f>
        <v>-1409.4533970583359</v>
      </c>
      <c r="P1234">
        <f>-638.719473512784 -36.6129626753598 -415.628753784593</f>
        <v>-1090.9611899727367</v>
      </c>
      <c r="Q1234">
        <f>-382.255963250906 -50.0590850134597 -456.710602703494</f>
        <v>-889.02565096785975</v>
      </c>
      <c r="R1234" t="s">
        <v>21796</v>
      </c>
      <c r="S1234" t="s">
        <v>21797</v>
      </c>
      <c r="T1234" t="s">
        <v>21798</v>
      </c>
      <c r="U1234" t="s">
        <v>21799</v>
      </c>
      <c r="V1234" t="s">
        <v>21800</v>
      </c>
      <c r="W1234" t="s">
        <v>21801</v>
      </c>
      <c r="X1234" t="s">
        <v>21802</v>
      </c>
      <c r="Y1234" t="s">
        <v>21803</v>
      </c>
    </row>
    <row r="1235" spans="1:25" x14ac:dyDescent="0.3">
      <c r="A1235">
        <v>61700</v>
      </c>
      <c r="B1235" t="s">
        <v>21804</v>
      </c>
      <c r="C1235" t="s">
        <v>21805</v>
      </c>
      <c r="D1235" t="s">
        <v>21806</v>
      </c>
      <c r="E1235" t="s">
        <v>21807</v>
      </c>
      <c r="F1235" t="s">
        <v>21808</v>
      </c>
      <c r="G1235" t="s">
        <v>21809</v>
      </c>
      <c r="H1235" t="s">
        <v>21810</v>
      </c>
      <c r="I1235" t="s">
        <v>21811</v>
      </c>
      <c r="J1235" t="s">
        <v>21812</v>
      </c>
      <c r="K1235" t="s">
        <v>21813</v>
      </c>
      <c r="L1235" t="s">
        <v>21814</v>
      </c>
      <c r="M1235" t="s">
        <v>21815</v>
      </c>
      <c r="N1235" t="s">
        <v>21816</v>
      </c>
      <c r="O1235">
        <f>-622.405156606012 -56.1862286747869 -731.157676230651</f>
        <v>-1409.7490615114498</v>
      </c>
      <c r="P1235">
        <f>-639.142287256403 -36.8255333450181 -415.671957964887</f>
        <v>-1091.6397785663082</v>
      </c>
      <c r="Q1235">
        <f>-382.630683420705 -49.5125930619538 -456.69496657538</f>
        <v>-888.83824305803887</v>
      </c>
      <c r="R1235" t="s">
        <v>21817</v>
      </c>
      <c r="S1235" t="s">
        <v>21818</v>
      </c>
      <c r="T1235" t="s">
        <v>21819</v>
      </c>
      <c r="U1235" t="s">
        <v>21820</v>
      </c>
      <c r="V1235" t="s">
        <v>21821</v>
      </c>
      <c r="W1235" t="s">
        <v>21822</v>
      </c>
      <c r="X1235" t="s">
        <v>21823</v>
      </c>
      <c r="Y1235" t="s">
        <v>21824</v>
      </c>
    </row>
    <row r="1236" spans="1:25" x14ac:dyDescent="0.3">
      <c r="A1236">
        <v>61750</v>
      </c>
      <c r="B1236" t="s">
        <v>21825</v>
      </c>
      <c r="C1236" t="s">
        <v>21826</v>
      </c>
      <c r="D1236" t="s">
        <v>21827</v>
      </c>
      <c r="E1236" t="s">
        <v>21828</v>
      </c>
      <c r="F1236" t="s">
        <v>21829</v>
      </c>
      <c r="G1236" t="s">
        <v>21830</v>
      </c>
      <c r="H1236" t="s">
        <v>21831</v>
      </c>
      <c r="I1236" t="s">
        <v>21832</v>
      </c>
      <c r="J1236" t="s">
        <v>21833</v>
      </c>
      <c r="K1236" t="s">
        <v>21834</v>
      </c>
      <c r="L1236" t="s">
        <v>21835</v>
      </c>
      <c r="M1236" t="s">
        <v>21836</v>
      </c>
      <c r="N1236" t="s">
        <v>21837</v>
      </c>
      <c r="O1236">
        <f>-623.217858691158 -55.4973469424253 -731.412450454794</f>
        <v>-1410.1276560883773</v>
      </c>
      <c r="P1236">
        <f>-639.864230228112 -36.6786621293552 -415.889058923273</f>
        <v>-1092.4319512807401</v>
      </c>
      <c r="Q1236">
        <f>-383.300923051869 -48.7023999695716 -456.788581544599</f>
        <v>-888.79190456603965</v>
      </c>
      <c r="R1236" t="s">
        <v>21838</v>
      </c>
      <c r="S1236" t="s">
        <v>21839</v>
      </c>
      <c r="T1236" t="s">
        <v>21840</v>
      </c>
      <c r="U1236" t="s">
        <v>21841</v>
      </c>
      <c r="V1236" t="s">
        <v>21842</v>
      </c>
      <c r="W1236" t="s">
        <v>21843</v>
      </c>
      <c r="X1236" t="s">
        <v>21844</v>
      </c>
      <c r="Y1236" t="s">
        <v>21845</v>
      </c>
    </row>
    <row r="1237" spans="1:25" x14ac:dyDescent="0.3">
      <c r="A1237">
        <v>61800</v>
      </c>
      <c r="B1237" t="s">
        <v>21846</v>
      </c>
      <c r="C1237" t="s">
        <v>21847</v>
      </c>
      <c r="D1237" t="s">
        <v>21848</v>
      </c>
      <c r="E1237" t="s">
        <v>21849</v>
      </c>
      <c r="F1237" t="s">
        <v>21850</v>
      </c>
      <c r="G1237" t="s">
        <v>21851</v>
      </c>
      <c r="H1237" t="s">
        <v>21852</v>
      </c>
      <c r="I1237" t="s">
        <v>21853</v>
      </c>
      <c r="J1237" t="s">
        <v>21854</v>
      </c>
      <c r="K1237" t="s">
        <v>21855</v>
      </c>
      <c r="L1237" t="s">
        <v>21856</v>
      </c>
      <c r="M1237" t="s">
        <v>21857</v>
      </c>
      <c r="N1237" t="s">
        <v>21858</v>
      </c>
      <c r="O1237">
        <f>-623.539539747646 -55.0140712463165 -731.590292808789</f>
        <v>-1410.1439038027515</v>
      </c>
      <c r="P1237">
        <f>-640.068533530003 -36.4074370778985 -416.048354217226</f>
        <v>-1092.5243248251277</v>
      </c>
      <c r="Q1237">
        <f>-383.483137780934 -48.4255117640596 -456.810600027351</f>
        <v>-888.71924957234455</v>
      </c>
      <c r="R1237" t="s">
        <v>21859</v>
      </c>
      <c r="S1237" t="s">
        <v>21860</v>
      </c>
      <c r="T1237" t="s">
        <v>21861</v>
      </c>
      <c r="U1237" t="s">
        <v>21862</v>
      </c>
      <c r="V1237" t="s">
        <v>21863</v>
      </c>
      <c r="W1237" t="s">
        <v>21864</v>
      </c>
      <c r="X1237" t="s">
        <v>21865</v>
      </c>
      <c r="Y1237" t="s">
        <v>21866</v>
      </c>
    </row>
    <row r="1238" spans="1:25" x14ac:dyDescent="0.3">
      <c r="A1238">
        <v>61850</v>
      </c>
      <c r="B1238" t="s">
        <v>21867</v>
      </c>
      <c r="C1238" t="s">
        <v>21868</v>
      </c>
      <c r="D1238" t="s">
        <v>21869</v>
      </c>
      <c r="E1238" t="s">
        <v>21870</v>
      </c>
      <c r="F1238" t="s">
        <v>21871</v>
      </c>
      <c r="G1238" t="s">
        <v>21872</v>
      </c>
      <c r="H1238" t="s">
        <v>21873</v>
      </c>
      <c r="I1238" t="s">
        <v>21874</v>
      </c>
      <c r="J1238" t="s">
        <v>21875</v>
      </c>
      <c r="K1238" t="s">
        <v>21876</v>
      </c>
      <c r="L1238" t="s">
        <v>21877</v>
      </c>
      <c r="M1238" t="s">
        <v>21878</v>
      </c>
      <c r="N1238" t="s">
        <v>21879</v>
      </c>
      <c r="O1238">
        <f>-624.165751531817 -54.3640259558185 -731.782824839779</f>
        <v>-1410.3126023274144</v>
      </c>
      <c r="P1238">
        <f>-640.581118278409 -35.9730901022581 -416.222241262247</f>
        <v>-1092.776449642914</v>
      </c>
      <c r="Q1238">
        <f>-383.938006212234 -48.6418076556226 -456.420194075067</f>
        <v>-889.0000079429235</v>
      </c>
      <c r="R1238" t="s">
        <v>21880</v>
      </c>
      <c r="S1238" t="s">
        <v>21881</v>
      </c>
      <c r="T1238" t="s">
        <v>21882</v>
      </c>
      <c r="U1238" t="s">
        <v>21883</v>
      </c>
      <c r="V1238" t="s">
        <v>21884</v>
      </c>
      <c r="W1238" t="s">
        <v>21885</v>
      </c>
      <c r="X1238" t="s">
        <v>21886</v>
      </c>
      <c r="Y1238" t="s">
        <v>21887</v>
      </c>
    </row>
    <row r="1239" spans="1:25" x14ac:dyDescent="0.3">
      <c r="A1239">
        <v>61900</v>
      </c>
      <c r="B1239" t="s">
        <v>21888</v>
      </c>
      <c r="C1239" t="s">
        <v>21889</v>
      </c>
      <c r="D1239" t="s">
        <v>21890</v>
      </c>
      <c r="E1239" t="s">
        <v>21891</v>
      </c>
      <c r="F1239" t="s">
        <v>21892</v>
      </c>
      <c r="G1239" t="s">
        <v>21893</v>
      </c>
      <c r="H1239" t="s">
        <v>21894</v>
      </c>
      <c r="I1239" t="s">
        <v>21895</v>
      </c>
      <c r="J1239" t="s">
        <v>21896</v>
      </c>
      <c r="K1239" t="s">
        <v>21897</v>
      </c>
      <c r="L1239" t="s">
        <v>21898</v>
      </c>
      <c r="M1239" t="s">
        <v>21899</v>
      </c>
      <c r="N1239" t="s">
        <v>21900</v>
      </c>
      <c r="O1239">
        <f>-624.537638568208 -54.0859893906577 -731.868375721304</f>
        <v>-1410.4920036801695</v>
      </c>
      <c r="P1239">
        <f>-641.127598965817 -35.8788555073261 -416.306367984375</f>
        <v>-1093.312822457518</v>
      </c>
      <c r="Q1239">
        <f>-384.421540738671 -48.7545064534677 -456.03388129627</f>
        <v>-889.20992848840865</v>
      </c>
      <c r="R1239" t="s">
        <v>21901</v>
      </c>
      <c r="S1239" t="s">
        <v>21902</v>
      </c>
      <c r="T1239" t="s">
        <v>21903</v>
      </c>
      <c r="U1239" t="s">
        <v>21904</v>
      </c>
      <c r="V1239" t="s">
        <v>21905</v>
      </c>
      <c r="W1239" t="s">
        <v>21906</v>
      </c>
      <c r="X1239" t="s">
        <v>21907</v>
      </c>
      <c r="Y1239" t="s">
        <v>21908</v>
      </c>
    </row>
    <row r="1240" spans="1:25" x14ac:dyDescent="0.3">
      <c r="A1240">
        <v>61950</v>
      </c>
      <c r="B1240" t="s">
        <v>21909</v>
      </c>
      <c r="C1240" t="s">
        <v>21910</v>
      </c>
      <c r="D1240" t="s">
        <v>21911</v>
      </c>
      <c r="E1240" t="s">
        <v>21912</v>
      </c>
      <c r="F1240" t="s">
        <v>21913</v>
      </c>
      <c r="G1240" t="s">
        <v>21914</v>
      </c>
      <c r="H1240" t="s">
        <v>21915</v>
      </c>
      <c r="I1240" t="s">
        <v>21916</v>
      </c>
      <c r="J1240" t="s">
        <v>21917</v>
      </c>
      <c r="K1240" t="s">
        <v>21918</v>
      </c>
      <c r="L1240" t="s">
        <v>21919</v>
      </c>
      <c r="M1240" t="s">
        <v>21920</v>
      </c>
      <c r="N1240" t="s">
        <v>21921</v>
      </c>
      <c r="O1240">
        <f>-625.32268787233 -53.6377517340964 -732.106634339387</f>
        <v>-1411.0670739458133</v>
      </c>
      <c r="P1240">
        <f>-642.370599667437 -35.5560339248814 -416.561728585832</f>
        <v>-1094.4883621781503</v>
      </c>
      <c r="Q1240">
        <f>-385.488920133277 -49.3663392049816 -454.812863261835</f>
        <v>-889.66812260009362</v>
      </c>
      <c r="R1240" t="s">
        <v>21922</v>
      </c>
      <c r="S1240" t="s">
        <v>21923</v>
      </c>
      <c r="T1240" t="s">
        <v>21924</v>
      </c>
      <c r="U1240" t="s">
        <v>21925</v>
      </c>
      <c r="V1240" t="s">
        <v>21926</v>
      </c>
      <c r="W1240" t="s">
        <v>21927</v>
      </c>
      <c r="X1240" t="s">
        <v>21928</v>
      </c>
      <c r="Y1240" t="s">
        <v>21929</v>
      </c>
    </row>
    <row r="1241" spans="1:25" x14ac:dyDescent="0.3">
      <c r="A1241">
        <v>62000</v>
      </c>
      <c r="B1241" t="s">
        <v>21930</v>
      </c>
      <c r="C1241" t="s">
        <v>21931</v>
      </c>
      <c r="D1241" t="s">
        <v>21932</v>
      </c>
      <c r="E1241" t="s">
        <v>21933</v>
      </c>
      <c r="F1241" t="s">
        <v>21934</v>
      </c>
      <c r="G1241" t="s">
        <v>21935</v>
      </c>
      <c r="H1241" t="s">
        <v>21936</v>
      </c>
      <c r="I1241" t="s">
        <v>21937</v>
      </c>
      <c r="J1241" t="s">
        <v>21938</v>
      </c>
      <c r="K1241" t="s">
        <v>21939</v>
      </c>
      <c r="L1241" t="s">
        <v>21940</v>
      </c>
      <c r="M1241" t="s">
        <v>21941</v>
      </c>
      <c r="N1241" t="s">
        <v>21942</v>
      </c>
      <c r="O1241">
        <f>-625.77338660535 -53.4546785001726 -732.22731068185</f>
        <v>-1411.4553757873725</v>
      </c>
      <c r="P1241">
        <f>-643.003717696202 -35.2547517286955 -416.69919855992</f>
        <v>-1094.9576679848174</v>
      </c>
      <c r="Q1241">
        <f>-386.068487960678 -49.530053073601 -454.416329117814</f>
        <v>-890.01487015209295</v>
      </c>
      <c r="R1241" t="s">
        <v>21943</v>
      </c>
      <c r="S1241" t="s">
        <v>21944</v>
      </c>
      <c r="T1241" t="s">
        <v>21945</v>
      </c>
      <c r="U1241" t="s">
        <v>21946</v>
      </c>
      <c r="V1241" t="s">
        <v>21947</v>
      </c>
      <c r="W1241" t="s">
        <v>21948</v>
      </c>
      <c r="X1241" t="s">
        <v>21949</v>
      </c>
      <c r="Y1241" t="s">
        <v>21950</v>
      </c>
    </row>
    <row r="1242" spans="1:25" x14ac:dyDescent="0.3">
      <c r="A1242">
        <v>62050</v>
      </c>
      <c r="B1242" t="s">
        <v>21951</v>
      </c>
      <c r="C1242" t="s">
        <v>21952</v>
      </c>
      <c r="D1242" t="s">
        <v>21953</v>
      </c>
      <c r="E1242" t="s">
        <v>21954</v>
      </c>
      <c r="F1242" t="s">
        <v>21955</v>
      </c>
      <c r="G1242" t="s">
        <v>21956</v>
      </c>
      <c r="H1242" t="s">
        <v>21957</v>
      </c>
      <c r="I1242" t="s">
        <v>21958</v>
      </c>
      <c r="J1242" t="s">
        <v>21959</v>
      </c>
      <c r="K1242" t="s">
        <v>21960</v>
      </c>
      <c r="L1242" t="s">
        <v>21961</v>
      </c>
      <c r="M1242" t="s">
        <v>21962</v>
      </c>
      <c r="N1242" t="s">
        <v>21963</v>
      </c>
      <c r="O1242">
        <f>-626.717583429854 -53.1810560885149 -732.411271606074</f>
        <v>-1412.3099111244428</v>
      </c>
      <c r="P1242">
        <f>-644.326870277638 -35.160750617672 -416.893756726493</f>
        <v>-1096.381377621803</v>
      </c>
      <c r="Q1242">
        <f>-387.283714062752 -49.8608266013018 -453.700881328047</f>
        <v>-890.8454219921008</v>
      </c>
      <c r="R1242" t="s">
        <v>21964</v>
      </c>
      <c r="S1242" t="s">
        <v>21965</v>
      </c>
      <c r="T1242" t="s">
        <v>21966</v>
      </c>
      <c r="U1242" t="s">
        <v>21967</v>
      </c>
      <c r="V1242" t="s">
        <v>21968</v>
      </c>
      <c r="W1242" t="s">
        <v>21969</v>
      </c>
      <c r="X1242" t="s">
        <v>21970</v>
      </c>
      <c r="Y1242" t="s">
        <v>21971</v>
      </c>
    </row>
    <row r="1243" spans="1:25" x14ac:dyDescent="0.3">
      <c r="A1243">
        <v>62100</v>
      </c>
      <c r="B1243" t="s">
        <v>21972</v>
      </c>
      <c r="C1243" t="s">
        <v>21973</v>
      </c>
      <c r="D1243" t="s">
        <v>21974</v>
      </c>
      <c r="E1243" t="s">
        <v>21975</v>
      </c>
      <c r="F1243" t="s">
        <v>21976</v>
      </c>
      <c r="G1243" t="s">
        <v>21977</v>
      </c>
      <c r="H1243" t="s">
        <v>21978</v>
      </c>
      <c r="I1243" t="s">
        <v>21979</v>
      </c>
      <c r="J1243" t="s">
        <v>21980</v>
      </c>
      <c r="K1243" t="s">
        <v>21981</v>
      </c>
      <c r="L1243" t="s">
        <v>21982</v>
      </c>
      <c r="M1243" t="s">
        <v>21983</v>
      </c>
      <c r="N1243" t="s">
        <v>21984</v>
      </c>
      <c r="O1243">
        <f>-627.292387751327 -52.8644424802815 -732.540157174881</f>
        <v>-1412.6969874064894</v>
      </c>
      <c r="P1243">
        <f>-644.942445700024 -34.9877620939433 -417.016611816476</f>
        <v>-1096.9468196104433</v>
      </c>
      <c r="Q1243">
        <f>-387.843047077759 -49.7039227520568 -453.422599904888</f>
        <v>-890.96956973470378</v>
      </c>
      <c r="R1243" t="s">
        <v>21985</v>
      </c>
      <c r="S1243" t="s">
        <v>21986</v>
      </c>
      <c r="T1243" t="s">
        <v>21987</v>
      </c>
      <c r="U1243" t="s">
        <v>21988</v>
      </c>
      <c r="V1243" t="s">
        <v>21989</v>
      </c>
      <c r="W1243" t="s">
        <v>21990</v>
      </c>
      <c r="X1243" t="s">
        <v>21991</v>
      </c>
      <c r="Y1243" t="s">
        <v>21992</v>
      </c>
    </row>
    <row r="1244" spans="1:25" x14ac:dyDescent="0.3">
      <c r="A1244">
        <v>62150</v>
      </c>
      <c r="B1244" t="s">
        <v>21993</v>
      </c>
      <c r="C1244" t="s">
        <v>21994</v>
      </c>
      <c r="D1244" t="s">
        <v>21995</v>
      </c>
      <c r="E1244" t="s">
        <v>21996</v>
      </c>
      <c r="F1244" t="s">
        <v>21997</v>
      </c>
      <c r="G1244" t="s">
        <v>21998</v>
      </c>
      <c r="H1244" t="s">
        <v>21999</v>
      </c>
      <c r="I1244" t="s">
        <v>22000</v>
      </c>
      <c r="J1244" t="s">
        <v>22001</v>
      </c>
      <c r="K1244" t="s">
        <v>22002</v>
      </c>
      <c r="L1244" t="s">
        <v>22003</v>
      </c>
      <c r="M1244" t="s">
        <v>22004</v>
      </c>
      <c r="N1244" t="s">
        <v>22005</v>
      </c>
      <c r="O1244">
        <f>-628.187222186258 -52.5061660056267 -732.73976110813</f>
        <v>-1413.4331493000147</v>
      </c>
      <c r="P1244">
        <f>-646.033559167764 -34.8766875256836 -417.213463566344</f>
        <v>-1098.1237102597916</v>
      </c>
      <c r="Q1244">
        <f>-388.913183239913 -49.4529423296731 -453.527199129873</f>
        <v>-891.89332469945907</v>
      </c>
      <c r="R1244" t="s">
        <v>22006</v>
      </c>
      <c r="S1244" t="s">
        <v>22007</v>
      </c>
      <c r="T1244" t="s">
        <v>22008</v>
      </c>
      <c r="U1244" t="s">
        <v>22009</v>
      </c>
      <c r="V1244" t="s">
        <v>22010</v>
      </c>
      <c r="W1244" t="s">
        <v>22011</v>
      </c>
      <c r="X1244" t="s">
        <v>22012</v>
      </c>
      <c r="Y1244" t="s">
        <v>22013</v>
      </c>
    </row>
    <row r="1245" spans="1:25" x14ac:dyDescent="0.3">
      <c r="A1245">
        <v>62200</v>
      </c>
      <c r="B1245" t="s">
        <v>22014</v>
      </c>
      <c r="C1245" t="s">
        <v>22015</v>
      </c>
      <c r="D1245" t="s">
        <v>22016</v>
      </c>
      <c r="E1245" t="s">
        <v>22017</v>
      </c>
      <c r="F1245" t="s">
        <v>22018</v>
      </c>
      <c r="G1245" t="s">
        <v>22019</v>
      </c>
      <c r="H1245" t="s">
        <v>22020</v>
      </c>
      <c r="I1245" t="s">
        <v>22021</v>
      </c>
      <c r="J1245" t="s">
        <v>22022</v>
      </c>
      <c r="K1245" t="s">
        <v>22023</v>
      </c>
      <c r="L1245" t="s">
        <v>22024</v>
      </c>
      <c r="M1245" t="s">
        <v>22025</v>
      </c>
      <c r="N1245" t="s">
        <v>22026</v>
      </c>
      <c r="O1245">
        <f>-628.697822445635 -52.2025311033335 -732.876926707399</f>
        <v>-1413.7772802563675</v>
      </c>
      <c r="P1245">
        <f>-646.460511927948 -34.7220945575864 -417.33745109597</f>
        <v>-1098.5200575815043</v>
      </c>
      <c r="Q1245">
        <f>-389.326641954141 -49.4002002411273 -453.514528133145</f>
        <v>-892.24137032841327</v>
      </c>
      <c r="R1245" t="s">
        <v>22027</v>
      </c>
      <c r="S1245" t="s">
        <v>22028</v>
      </c>
      <c r="T1245" t="s">
        <v>22029</v>
      </c>
      <c r="U1245" t="s">
        <v>22030</v>
      </c>
      <c r="V1245" t="s">
        <v>22031</v>
      </c>
      <c r="W1245" t="s">
        <v>22032</v>
      </c>
      <c r="X1245" t="s">
        <v>22033</v>
      </c>
      <c r="Y1245" t="s">
        <v>22034</v>
      </c>
    </row>
    <row r="1246" spans="1:25" x14ac:dyDescent="0.3">
      <c r="A1246">
        <v>62250</v>
      </c>
      <c r="B1246" t="s">
        <v>22035</v>
      </c>
      <c r="C1246" t="s">
        <v>22036</v>
      </c>
      <c r="D1246" t="s">
        <v>22037</v>
      </c>
      <c r="E1246" t="s">
        <v>22038</v>
      </c>
      <c r="F1246" t="s">
        <v>22039</v>
      </c>
      <c r="G1246" t="s">
        <v>22040</v>
      </c>
      <c r="H1246" t="s">
        <v>22041</v>
      </c>
      <c r="I1246" t="s">
        <v>22042</v>
      </c>
      <c r="J1246" t="s">
        <v>22043</v>
      </c>
      <c r="K1246" t="s">
        <v>22044</v>
      </c>
      <c r="L1246" t="s">
        <v>22045</v>
      </c>
      <c r="M1246" t="s">
        <v>22046</v>
      </c>
      <c r="N1246" t="s">
        <v>22047</v>
      </c>
      <c r="O1246">
        <f>-629.25013869045 -51.7597662117867 -733.115242217718</f>
        <v>-1414.1251471199546</v>
      </c>
      <c r="P1246">
        <f>-647.069987467728 -34.6266798305739 -417.560035945409</f>
        <v>-1099.2567032437109</v>
      </c>
      <c r="Q1246">
        <f>-389.861151568706 -49.2830770807602 -453.209140930632</f>
        <v>-892.35336958009816</v>
      </c>
      <c r="R1246" t="s">
        <v>22048</v>
      </c>
      <c r="S1246" t="s">
        <v>22049</v>
      </c>
      <c r="T1246" t="s">
        <v>22050</v>
      </c>
      <c r="U1246" t="s">
        <v>22051</v>
      </c>
      <c r="V1246" t="s">
        <v>22052</v>
      </c>
      <c r="W1246" t="s">
        <v>22053</v>
      </c>
      <c r="X1246" t="s">
        <v>22054</v>
      </c>
      <c r="Y1246" t="s">
        <v>22055</v>
      </c>
    </row>
    <row r="1247" spans="1:25" x14ac:dyDescent="0.3">
      <c r="A1247">
        <v>62300</v>
      </c>
      <c r="B1247" t="s">
        <v>22056</v>
      </c>
      <c r="C1247" t="s">
        <v>22057</v>
      </c>
      <c r="D1247" t="s">
        <v>22058</v>
      </c>
      <c r="E1247" t="s">
        <v>22059</v>
      </c>
      <c r="F1247" t="s">
        <v>22060</v>
      </c>
      <c r="G1247" t="s">
        <v>22061</v>
      </c>
      <c r="H1247" t="s">
        <v>22062</v>
      </c>
      <c r="I1247" t="s">
        <v>22063</v>
      </c>
      <c r="J1247" t="s">
        <v>22064</v>
      </c>
      <c r="K1247" t="s">
        <v>22065</v>
      </c>
      <c r="L1247" t="s">
        <v>22066</v>
      </c>
      <c r="M1247" t="s">
        <v>22067</v>
      </c>
      <c r="N1247" t="s">
        <v>22068</v>
      </c>
      <c r="O1247">
        <f>-629.332591569033 -51.5350505461292 -733.240883341893</f>
        <v>-1414.1085254570553</v>
      </c>
      <c r="P1247">
        <f>-647.334493940639 -34.7160813238647 -417.679100423876</f>
        <v>-1099.7296756883798</v>
      </c>
      <c r="Q1247">
        <f>-390.076830507275 -49.151444781236 -453.06492058182</f>
        <v>-892.29319587033103</v>
      </c>
      <c r="R1247" t="s">
        <v>22069</v>
      </c>
      <c r="S1247" t="s">
        <v>22070</v>
      </c>
      <c r="T1247" t="s">
        <v>22071</v>
      </c>
      <c r="U1247" t="s">
        <v>22072</v>
      </c>
      <c r="V1247" t="s">
        <v>22073</v>
      </c>
      <c r="W1247" t="s">
        <v>22074</v>
      </c>
      <c r="X1247" t="s">
        <v>22075</v>
      </c>
      <c r="Y1247" t="s">
        <v>22076</v>
      </c>
    </row>
    <row r="1248" spans="1:25" x14ac:dyDescent="0.3">
      <c r="A1248">
        <v>62350</v>
      </c>
      <c r="B1248" t="s">
        <v>22077</v>
      </c>
      <c r="C1248" t="s">
        <v>22078</v>
      </c>
      <c r="D1248" t="s">
        <v>22079</v>
      </c>
      <c r="E1248" t="s">
        <v>22080</v>
      </c>
      <c r="F1248" t="s">
        <v>22081</v>
      </c>
      <c r="G1248" t="s">
        <v>22082</v>
      </c>
      <c r="H1248" t="s">
        <v>22083</v>
      </c>
      <c r="I1248" t="s">
        <v>22084</v>
      </c>
      <c r="J1248" t="s">
        <v>22085</v>
      </c>
      <c r="K1248" t="s">
        <v>22086</v>
      </c>
      <c r="L1248" t="s">
        <v>22087</v>
      </c>
      <c r="M1248" t="s">
        <v>22088</v>
      </c>
      <c r="N1248" t="s">
        <v>22089</v>
      </c>
      <c r="O1248">
        <f>-629.471301049588 -51.3573416956187 -733.559023216404</f>
        <v>-1414.3876659616108</v>
      </c>
      <c r="P1248">
        <f>-647.927976788681 -34.8940920503801 -418.004676954137</f>
        <v>-1100.8267457931981</v>
      </c>
      <c r="Q1248">
        <f>-390.554753337365 -49.0629822854576 -452.650237042912</f>
        <v>-892.26797266573465</v>
      </c>
      <c r="R1248" t="s">
        <v>22090</v>
      </c>
      <c r="S1248" t="s">
        <v>22091</v>
      </c>
      <c r="T1248" t="s">
        <v>22092</v>
      </c>
      <c r="U1248" t="s">
        <v>22093</v>
      </c>
      <c r="V1248" t="s">
        <v>22094</v>
      </c>
      <c r="W1248" t="s">
        <v>22095</v>
      </c>
      <c r="X1248" t="s">
        <v>22096</v>
      </c>
      <c r="Y1248" t="s">
        <v>22097</v>
      </c>
    </row>
    <row r="1249" spans="1:25" x14ac:dyDescent="0.3">
      <c r="A1249">
        <v>62400</v>
      </c>
      <c r="B1249" t="s">
        <v>22098</v>
      </c>
      <c r="C1249" t="s">
        <v>22099</v>
      </c>
      <c r="D1249" t="s">
        <v>22100</v>
      </c>
      <c r="E1249" t="s">
        <v>22101</v>
      </c>
      <c r="F1249" t="s">
        <v>22102</v>
      </c>
      <c r="G1249" t="s">
        <v>22103</v>
      </c>
      <c r="H1249" t="s">
        <v>22104</v>
      </c>
      <c r="I1249" t="s">
        <v>22105</v>
      </c>
      <c r="J1249" t="s">
        <v>22106</v>
      </c>
      <c r="K1249" t="s">
        <v>22107</v>
      </c>
      <c r="L1249" t="s">
        <v>22108</v>
      </c>
      <c r="M1249" t="s">
        <v>22109</v>
      </c>
      <c r="N1249" t="s">
        <v>22110</v>
      </c>
      <c r="O1249">
        <f>-629.623591336242 -51.1655213704678 -733.748131913439</f>
        <v>-1414.5372446201488</v>
      </c>
      <c r="P1249">
        <f>-648.241345177201 -34.9336287688743 -418.191428472008</f>
        <v>-1101.3664024180832</v>
      </c>
      <c r="Q1249">
        <f>-390.786354810407 -48.8884093897618 -452.312362734402</f>
        <v>-891.98712693457082</v>
      </c>
      <c r="R1249" t="s">
        <v>22111</v>
      </c>
      <c r="S1249" t="s">
        <v>22112</v>
      </c>
      <c r="T1249" t="s">
        <v>22113</v>
      </c>
      <c r="U1249" t="s">
        <v>22114</v>
      </c>
      <c r="V1249" t="s">
        <v>22115</v>
      </c>
      <c r="W1249" t="s">
        <v>22116</v>
      </c>
      <c r="X1249" t="s">
        <v>22117</v>
      </c>
      <c r="Y1249" t="s">
        <v>22118</v>
      </c>
    </row>
    <row r="1250" spans="1:25" x14ac:dyDescent="0.3">
      <c r="A1250">
        <v>62450</v>
      </c>
      <c r="B1250" t="s">
        <v>22119</v>
      </c>
      <c r="C1250" t="s">
        <v>22120</v>
      </c>
      <c r="D1250" t="s">
        <v>22121</v>
      </c>
      <c r="E1250" t="s">
        <v>22122</v>
      </c>
      <c r="F1250" t="s">
        <v>22123</v>
      </c>
      <c r="G1250" t="s">
        <v>22124</v>
      </c>
      <c r="H1250" t="s">
        <v>22125</v>
      </c>
      <c r="I1250" t="s">
        <v>22126</v>
      </c>
      <c r="J1250" t="s">
        <v>22127</v>
      </c>
      <c r="K1250" t="s">
        <v>22128</v>
      </c>
      <c r="L1250" t="s">
        <v>22129</v>
      </c>
      <c r="M1250" t="s">
        <v>22130</v>
      </c>
      <c r="N1250" t="s">
        <v>22131</v>
      </c>
      <c r="O1250">
        <f>-630.0604439366 -50.64745134908 -734.026042373806</f>
        <v>-1414.7339376594859</v>
      </c>
      <c r="P1250">
        <f>-649.00843521241 -34.810919384995 -418.468918789885</f>
        <v>-1102.28827338729</v>
      </c>
      <c r="Q1250">
        <f>-391.422818305018 -48.3378508179233 -451.766577278202</f>
        <v>-891.52724640114332</v>
      </c>
      <c r="R1250" t="s">
        <v>22132</v>
      </c>
      <c r="S1250" t="s">
        <v>22133</v>
      </c>
      <c r="T1250" t="s">
        <v>22134</v>
      </c>
      <c r="U1250" t="s">
        <v>22135</v>
      </c>
      <c r="V1250" t="s">
        <v>22136</v>
      </c>
      <c r="W1250" t="s">
        <v>22137</v>
      </c>
      <c r="X1250" t="s">
        <v>22138</v>
      </c>
      <c r="Y1250" t="s">
        <v>22139</v>
      </c>
    </row>
    <row r="1251" spans="1:25" x14ac:dyDescent="0.3">
      <c r="A1251">
        <v>62500</v>
      </c>
      <c r="B1251" t="s">
        <v>22140</v>
      </c>
      <c r="C1251" t="s">
        <v>22141</v>
      </c>
      <c r="D1251" t="s">
        <v>22142</v>
      </c>
      <c r="E1251" t="s">
        <v>22143</v>
      </c>
      <c r="F1251" t="s">
        <v>22144</v>
      </c>
      <c r="G1251" t="s">
        <v>22145</v>
      </c>
      <c r="H1251" t="s">
        <v>22146</v>
      </c>
      <c r="I1251" t="s">
        <v>22147</v>
      </c>
      <c r="J1251" t="s">
        <v>22148</v>
      </c>
      <c r="K1251" t="s">
        <v>22149</v>
      </c>
      <c r="L1251" t="s">
        <v>22150</v>
      </c>
      <c r="M1251" t="s">
        <v>22151</v>
      </c>
      <c r="N1251" t="s">
        <v>22152</v>
      </c>
      <c r="O1251">
        <f>-630.417062280333 -50.1089492271296 -734.309821014907</f>
        <v>-1414.8358325223696</v>
      </c>
      <c r="P1251">
        <f>-649.436081153644 -34.4196808074682 -418.749552870605</f>
        <v>-1102.6053148317171</v>
      </c>
      <c r="Q1251">
        <f>-391.733177157265 -47.9801757436046 -451.11299426881</f>
        <v>-890.82634716967959</v>
      </c>
      <c r="R1251" t="s">
        <v>22153</v>
      </c>
      <c r="S1251" t="s">
        <v>22154</v>
      </c>
      <c r="T1251" t="s">
        <v>22155</v>
      </c>
      <c r="U1251" t="s">
        <v>22156</v>
      </c>
      <c r="V1251" t="s">
        <v>22157</v>
      </c>
      <c r="W1251" t="s">
        <v>22158</v>
      </c>
      <c r="X1251" t="s">
        <v>22159</v>
      </c>
      <c r="Y1251" t="s">
        <v>22160</v>
      </c>
    </row>
    <row r="1252" spans="1:25" x14ac:dyDescent="0.3">
      <c r="A1252">
        <v>62550</v>
      </c>
      <c r="B1252" t="s">
        <v>22161</v>
      </c>
      <c r="C1252" t="s">
        <v>22162</v>
      </c>
      <c r="D1252" t="s">
        <v>22163</v>
      </c>
      <c r="E1252" t="s">
        <v>22164</v>
      </c>
      <c r="F1252" t="s">
        <v>22165</v>
      </c>
      <c r="G1252" t="s">
        <v>22166</v>
      </c>
      <c r="H1252" t="s">
        <v>22167</v>
      </c>
      <c r="I1252" t="s">
        <v>22168</v>
      </c>
      <c r="J1252" t="s">
        <v>22169</v>
      </c>
      <c r="K1252" t="s">
        <v>22170</v>
      </c>
      <c r="L1252" t="s">
        <v>22171</v>
      </c>
      <c r="M1252" t="s">
        <v>22172</v>
      </c>
      <c r="N1252" t="s">
        <v>22173</v>
      </c>
      <c r="O1252">
        <f>-630.614433614452 -49.8872311058262 -734.411580079048</f>
        <v>-1414.9132447993261</v>
      </c>
      <c r="P1252">
        <f>-649.701360840619 -34.3492495183987 -418.847933788855</f>
        <v>-1102.8985441478726</v>
      </c>
      <c r="Q1252">
        <f>-391.983171614549 -47.8553413743325 -451.112193571605</f>
        <v>-890.95070656048654</v>
      </c>
      <c r="R1252" t="s">
        <v>22174</v>
      </c>
      <c r="S1252" t="s">
        <v>22175</v>
      </c>
      <c r="T1252" t="s">
        <v>22176</v>
      </c>
      <c r="U1252" t="s">
        <v>22177</v>
      </c>
      <c r="V1252" t="s">
        <v>22178</v>
      </c>
      <c r="W1252" t="s">
        <v>22179</v>
      </c>
      <c r="X1252" t="s">
        <v>22180</v>
      </c>
      <c r="Y1252" t="s">
        <v>22181</v>
      </c>
    </row>
    <row r="1253" spans="1:25" x14ac:dyDescent="0.3">
      <c r="A1253">
        <v>62600</v>
      </c>
      <c r="B1253" t="s">
        <v>22182</v>
      </c>
      <c r="C1253" t="s">
        <v>22183</v>
      </c>
      <c r="D1253" t="s">
        <v>22184</v>
      </c>
      <c r="E1253" t="s">
        <v>22185</v>
      </c>
      <c r="F1253" t="s">
        <v>22186</v>
      </c>
      <c r="G1253" t="s">
        <v>22187</v>
      </c>
      <c r="H1253" t="s">
        <v>22188</v>
      </c>
      <c r="I1253" t="s">
        <v>22189</v>
      </c>
      <c r="J1253" t="s">
        <v>22190</v>
      </c>
      <c r="K1253" t="s">
        <v>22191</v>
      </c>
      <c r="L1253" t="s">
        <v>22192</v>
      </c>
      <c r="M1253" t="s">
        <v>22193</v>
      </c>
      <c r="N1253" t="s">
        <v>22194</v>
      </c>
      <c r="O1253">
        <f>-630.916506037238 -49.614654103028 -734.536702429697</f>
        <v>-1415.0678625699629</v>
      </c>
      <c r="P1253">
        <f>-649.783428199928 -34.2981755622789 -418.948945153372</f>
        <v>-1103.0305489155789</v>
      </c>
      <c r="Q1253">
        <f>-392.015944923181 -47.7804003693861 -450.82660741082</f>
        <v>-890.622952703387</v>
      </c>
      <c r="R1253" t="s">
        <v>22195</v>
      </c>
      <c r="S1253" t="s">
        <v>22196</v>
      </c>
      <c r="T1253" t="s">
        <v>22197</v>
      </c>
      <c r="U1253" t="s">
        <v>22198</v>
      </c>
      <c r="V1253" t="s">
        <v>22199</v>
      </c>
      <c r="W1253" t="s">
        <v>22200</v>
      </c>
      <c r="X1253" t="s">
        <v>22201</v>
      </c>
      <c r="Y1253" t="s">
        <v>22202</v>
      </c>
    </row>
    <row r="1254" spans="1:25" x14ac:dyDescent="0.3">
      <c r="A1254">
        <v>62650</v>
      </c>
      <c r="B1254" t="s">
        <v>22203</v>
      </c>
      <c r="C1254" t="s">
        <v>22204</v>
      </c>
      <c r="D1254" t="s">
        <v>22205</v>
      </c>
      <c r="E1254" t="s">
        <v>22206</v>
      </c>
      <c r="F1254" t="s">
        <v>22207</v>
      </c>
      <c r="G1254" t="s">
        <v>22208</v>
      </c>
      <c r="H1254" t="s">
        <v>22209</v>
      </c>
      <c r="I1254" t="s">
        <v>22210</v>
      </c>
      <c r="J1254" t="s">
        <v>22211</v>
      </c>
      <c r="K1254" t="s">
        <v>22212</v>
      </c>
      <c r="L1254" t="s">
        <v>22213</v>
      </c>
      <c r="M1254" t="s">
        <v>22214</v>
      </c>
      <c r="N1254" t="s">
        <v>22215</v>
      </c>
      <c r="O1254">
        <f>-631.306789434055 -48.9509714067804 -734.78961611374</f>
        <v>-1415.0473769545752</v>
      </c>
      <c r="P1254">
        <f>-650.071427715142 -33.8958403222216 -419.183169271214</f>
        <v>-1103.1504373085777</v>
      </c>
      <c r="Q1254">
        <f>-392.252963417671 -46.7085345370558 -450.924642846603</f>
        <v>-889.88614080132982</v>
      </c>
      <c r="R1254" t="s">
        <v>22216</v>
      </c>
      <c r="S1254" t="s">
        <v>22217</v>
      </c>
      <c r="T1254" t="s">
        <v>22218</v>
      </c>
      <c r="U1254" t="s">
        <v>22219</v>
      </c>
      <c r="V1254" t="s">
        <v>22220</v>
      </c>
      <c r="W1254" t="s">
        <v>22221</v>
      </c>
      <c r="X1254" t="s">
        <v>22222</v>
      </c>
      <c r="Y1254" t="s">
        <v>22223</v>
      </c>
    </row>
    <row r="1255" spans="1:25" x14ac:dyDescent="0.3">
      <c r="A1255">
        <v>62700</v>
      </c>
      <c r="B1255" t="s">
        <v>22224</v>
      </c>
      <c r="C1255" t="s">
        <v>22225</v>
      </c>
      <c r="D1255" t="s">
        <v>22226</v>
      </c>
      <c r="E1255" t="s">
        <v>22227</v>
      </c>
      <c r="F1255" t="s">
        <v>22228</v>
      </c>
      <c r="G1255" t="s">
        <v>22229</v>
      </c>
      <c r="H1255" t="s">
        <v>22230</v>
      </c>
      <c r="I1255" t="s">
        <v>22231</v>
      </c>
      <c r="J1255" t="s">
        <v>22232</v>
      </c>
      <c r="K1255" t="s">
        <v>22233</v>
      </c>
      <c r="L1255" t="s">
        <v>22234</v>
      </c>
      <c r="M1255" t="s">
        <v>22235</v>
      </c>
      <c r="N1255" t="s">
        <v>22236</v>
      </c>
      <c r="O1255">
        <f>-631.35074255796 -48.6392477393308 -734.931433412508</f>
        <v>-1414.9214237097988</v>
      </c>
      <c r="P1255">
        <f>-649.979372573306 -33.7953808507948 -419.306865342795</f>
        <v>-1103.0816187668959</v>
      </c>
      <c r="Q1255">
        <f>-392.141616303604 -46.6173138397617 -450.887630540013</f>
        <v>-889.64656068337877</v>
      </c>
      <c r="R1255" t="s">
        <v>22237</v>
      </c>
      <c r="S1255" t="s">
        <v>22238</v>
      </c>
      <c r="T1255" t="s">
        <v>22239</v>
      </c>
      <c r="U1255" t="s">
        <v>22240</v>
      </c>
      <c r="V1255" t="s">
        <v>22241</v>
      </c>
      <c r="W1255" t="s">
        <v>22242</v>
      </c>
      <c r="X1255" t="s">
        <v>22243</v>
      </c>
      <c r="Y1255" t="s">
        <v>22244</v>
      </c>
    </row>
    <row r="1256" spans="1:25" x14ac:dyDescent="0.3">
      <c r="A1256">
        <v>62750</v>
      </c>
      <c r="B1256" t="s">
        <v>22245</v>
      </c>
      <c r="C1256" t="s">
        <v>22246</v>
      </c>
      <c r="D1256" t="s">
        <v>22247</v>
      </c>
      <c r="E1256" t="s">
        <v>22248</v>
      </c>
      <c r="F1256" t="s">
        <v>22249</v>
      </c>
      <c r="G1256" t="s">
        <v>22250</v>
      </c>
      <c r="H1256" t="s">
        <v>22251</v>
      </c>
      <c r="I1256" t="s">
        <v>22252</v>
      </c>
      <c r="J1256" t="s">
        <v>22253</v>
      </c>
      <c r="K1256" t="s">
        <v>22254</v>
      </c>
      <c r="L1256" t="s">
        <v>22255</v>
      </c>
      <c r="M1256" t="s">
        <v>22256</v>
      </c>
      <c r="N1256" t="s">
        <v>22257</v>
      </c>
      <c r="O1256">
        <f>-631.377038017441 -47.7014292615809 -735.351719379616</f>
        <v>-1414.4301866586379</v>
      </c>
      <c r="P1256">
        <f>-650.056939582248 -33.3418877728238 -419.707793789201</f>
        <v>-1103.1066211442728</v>
      </c>
      <c r="Q1256">
        <f>-392.182594797567 -46.2314537294455 -450.960618722785</f>
        <v>-889.37466724979754</v>
      </c>
      <c r="R1256" t="s">
        <v>22258</v>
      </c>
      <c r="S1256" t="s">
        <v>22259</v>
      </c>
      <c r="T1256" t="s">
        <v>22260</v>
      </c>
      <c r="U1256" t="s">
        <v>22261</v>
      </c>
      <c r="V1256" t="s">
        <v>22262</v>
      </c>
      <c r="W1256" t="s">
        <v>22263</v>
      </c>
      <c r="X1256" t="s">
        <v>22264</v>
      </c>
      <c r="Y1256" t="s">
        <v>22265</v>
      </c>
    </row>
    <row r="1257" spans="1:25" x14ac:dyDescent="0.3">
      <c r="A1257">
        <v>62800</v>
      </c>
      <c r="B1257" t="s">
        <v>22266</v>
      </c>
      <c r="C1257" t="s">
        <v>22267</v>
      </c>
      <c r="D1257" t="s">
        <v>22268</v>
      </c>
      <c r="E1257" t="s">
        <v>22269</v>
      </c>
      <c r="F1257" t="s">
        <v>22270</v>
      </c>
      <c r="G1257" t="s">
        <v>22271</v>
      </c>
      <c r="H1257" t="s">
        <v>22272</v>
      </c>
      <c r="I1257" t="s">
        <v>22273</v>
      </c>
      <c r="J1257" t="s">
        <v>22274</v>
      </c>
      <c r="K1257" t="s">
        <v>22275</v>
      </c>
      <c r="L1257" t="s">
        <v>22276</v>
      </c>
      <c r="M1257" t="s">
        <v>22277</v>
      </c>
      <c r="N1257" t="s">
        <v>22278</v>
      </c>
      <c r="O1257">
        <f>-631.376043413845 -47.2205856135402 -735.639744187882</f>
        <v>-1414.2363732152671</v>
      </c>
      <c r="P1257">
        <f>-650.130482990961 -33.2695445184906 -419.981897666255</f>
        <v>-1103.3819251757068</v>
      </c>
      <c r="Q1257">
        <f>-392.217463224544 -46.2357256204298 -450.881955373651</f>
        <v>-889.33514421862481</v>
      </c>
      <c r="R1257" t="s">
        <v>22279</v>
      </c>
      <c r="S1257" t="s">
        <v>22280</v>
      </c>
      <c r="T1257" t="s">
        <v>22281</v>
      </c>
      <c r="U1257" t="s">
        <v>22282</v>
      </c>
      <c r="V1257" t="s">
        <v>22283</v>
      </c>
      <c r="W1257" t="s">
        <v>22284</v>
      </c>
      <c r="X1257" t="s">
        <v>22285</v>
      </c>
      <c r="Y1257" t="s">
        <v>22286</v>
      </c>
    </row>
    <row r="1258" spans="1:25" x14ac:dyDescent="0.3">
      <c r="A1258">
        <v>62850</v>
      </c>
      <c r="B1258" t="s">
        <v>22287</v>
      </c>
      <c r="C1258" t="s">
        <v>22288</v>
      </c>
      <c r="D1258" t="s">
        <v>22289</v>
      </c>
      <c r="E1258" t="s">
        <v>22290</v>
      </c>
      <c r="F1258" t="s">
        <v>22291</v>
      </c>
      <c r="G1258" t="s">
        <v>22292</v>
      </c>
      <c r="H1258" t="s">
        <v>22293</v>
      </c>
      <c r="I1258" t="s">
        <v>22294</v>
      </c>
      <c r="J1258" t="s">
        <v>22295</v>
      </c>
      <c r="K1258" t="s">
        <v>22296</v>
      </c>
      <c r="L1258" t="s">
        <v>22297</v>
      </c>
      <c r="M1258" t="s">
        <v>22298</v>
      </c>
      <c r="N1258" t="s">
        <v>22299</v>
      </c>
      <c r="O1258">
        <f>-631.60607031653 -46.065919731886 -736.363780075402</f>
        <v>-1414.0357701238181</v>
      </c>
      <c r="P1258">
        <f>-650.526386883165 -32.889623020121 -420.682690355432</f>
        <v>-1104.0987002587181</v>
      </c>
      <c r="Q1258">
        <f>-392.560878266793 -46.3301845098727 -450.934849288638</f>
        <v>-889.82591206530378</v>
      </c>
      <c r="R1258" t="s">
        <v>22300</v>
      </c>
      <c r="S1258" t="s">
        <v>22301</v>
      </c>
      <c r="T1258" t="s">
        <v>22302</v>
      </c>
      <c r="U1258" t="s">
        <v>22303</v>
      </c>
      <c r="V1258" t="s">
        <v>22304</v>
      </c>
      <c r="W1258" t="s">
        <v>22305</v>
      </c>
      <c r="X1258" t="s">
        <v>22306</v>
      </c>
      <c r="Y1258" t="s">
        <v>22307</v>
      </c>
    </row>
    <row r="1259" spans="1:25" x14ac:dyDescent="0.3">
      <c r="A1259">
        <v>62900</v>
      </c>
      <c r="B1259" t="s">
        <v>22308</v>
      </c>
      <c r="C1259" t="s">
        <v>22309</v>
      </c>
      <c r="D1259" t="s">
        <v>22310</v>
      </c>
      <c r="E1259" t="s">
        <v>22311</v>
      </c>
      <c r="F1259" t="s">
        <v>22312</v>
      </c>
      <c r="G1259" t="s">
        <v>22313</v>
      </c>
      <c r="H1259" t="s">
        <v>22314</v>
      </c>
      <c r="I1259" t="s">
        <v>22315</v>
      </c>
      <c r="J1259" t="s">
        <v>22316</v>
      </c>
      <c r="K1259" t="s">
        <v>22317</v>
      </c>
      <c r="L1259" t="s">
        <v>22318</v>
      </c>
      <c r="M1259" t="s">
        <v>22319</v>
      </c>
      <c r="N1259" t="s">
        <v>22320</v>
      </c>
      <c r="O1259">
        <f>-631.643949768707 -45.4441919753772 -736.77508952931</f>
        <v>-1413.8632312733941</v>
      </c>
      <c r="P1259">
        <f>-650.533503750496 -32.7956912364029 -421.070582856386</f>
        <v>-1104.3997778432849</v>
      </c>
      <c r="Q1259">
        <f>-392.538680482366 -46.6882813598031 -450.865303696205</f>
        <v>-890.09226553837402</v>
      </c>
      <c r="R1259" t="s">
        <v>22321</v>
      </c>
      <c r="S1259" t="s">
        <v>22322</v>
      </c>
      <c r="T1259" t="s">
        <v>22323</v>
      </c>
      <c r="U1259" t="s">
        <v>22324</v>
      </c>
      <c r="V1259" t="s">
        <v>22325</v>
      </c>
      <c r="W1259" t="s">
        <v>22326</v>
      </c>
      <c r="X1259" t="s">
        <v>22327</v>
      </c>
      <c r="Y1259" t="s">
        <v>22328</v>
      </c>
    </row>
    <row r="1260" spans="1:25" x14ac:dyDescent="0.3">
      <c r="A1260">
        <v>62950</v>
      </c>
      <c r="B1260" t="s">
        <v>22329</v>
      </c>
      <c r="C1260" t="s">
        <v>22330</v>
      </c>
      <c r="D1260" t="s">
        <v>22331</v>
      </c>
      <c r="E1260" t="s">
        <v>22332</v>
      </c>
      <c r="F1260" t="s">
        <v>22333</v>
      </c>
      <c r="G1260" t="s">
        <v>22334</v>
      </c>
      <c r="H1260" t="s">
        <v>22335</v>
      </c>
      <c r="I1260" t="s">
        <v>22336</v>
      </c>
      <c r="J1260" t="s">
        <v>22337</v>
      </c>
      <c r="K1260" t="s">
        <v>22338</v>
      </c>
      <c r="L1260" t="s">
        <v>22339</v>
      </c>
      <c r="M1260" t="s">
        <v>22340</v>
      </c>
      <c r="N1260" t="s">
        <v>22341</v>
      </c>
      <c r="O1260">
        <f>-631.79208061365 -44.525439018194 -737.479733456762</f>
        <v>-1413.7972530886059</v>
      </c>
      <c r="P1260">
        <f>-650.410632194671 -32.8102345911952 -421.723058849297</f>
        <v>-1104.9439256351634</v>
      </c>
      <c r="Q1260">
        <f>-392.454825014581 -47.710125321767 -451.368545151423</f>
        <v>-891.53349548777101</v>
      </c>
      <c r="R1260" t="s">
        <v>22342</v>
      </c>
      <c r="S1260" t="s">
        <v>22343</v>
      </c>
      <c r="T1260" t="s">
        <v>22344</v>
      </c>
      <c r="U1260" t="s">
        <v>22345</v>
      </c>
      <c r="V1260" t="s">
        <v>22346</v>
      </c>
      <c r="W1260" t="s">
        <v>22347</v>
      </c>
      <c r="X1260" t="s">
        <v>22348</v>
      </c>
      <c r="Y1260" t="s">
        <v>22349</v>
      </c>
    </row>
    <row r="1261" spans="1:25" x14ac:dyDescent="0.3">
      <c r="A1261">
        <v>63000</v>
      </c>
      <c r="B1261" t="s">
        <v>22350</v>
      </c>
      <c r="C1261" t="s">
        <v>22351</v>
      </c>
      <c r="D1261" t="s">
        <v>22352</v>
      </c>
      <c r="E1261" t="s">
        <v>22353</v>
      </c>
      <c r="F1261" t="s">
        <v>22354</v>
      </c>
      <c r="G1261" t="s">
        <v>22355</v>
      </c>
      <c r="H1261" t="s">
        <v>22356</v>
      </c>
      <c r="I1261" t="s">
        <v>22357</v>
      </c>
      <c r="J1261" t="s">
        <v>22358</v>
      </c>
      <c r="K1261" t="s">
        <v>22359</v>
      </c>
      <c r="L1261" t="s">
        <v>22360</v>
      </c>
      <c r="M1261" t="s">
        <v>22361</v>
      </c>
      <c r="N1261" t="s">
        <v>22362</v>
      </c>
      <c r="O1261">
        <f>-631.713725866481 -44.0411529561868 -737.838111637961</f>
        <v>-1413.5929904606287</v>
      </c>
      <c r="P1261">
        <f>-650.120081934927 -32.7942477059235 -422.051883589546</f>
        <v>-1104.9662132303965</v>
      </c>
      <c r="Q1261">
        <f>-392.247396326812 -48.8815582713537 -451.799632793327</f>
        <v>-892.92858739149278</v>
      </c>
      <c r="R1261" t="s">
        <v>22363</v>
      </c>
      <c r="S1261" t="s">
        <v>22364</v>
      </c>
      <c r="T1261" t="s">
        <v>22365</v>
      </c>
      <c r="U1261" t="s">
        <v>22366</v>
      </c>
      <c r="V1261" t="s">
        <v>22367</v>
      </c>
      <c r="W1261" t="s">
        <v>22368</v>
      </c>
      <c r="X1261" t="s">
        <v>22369</v>
      </c>
      <c r="Y1261" t="s">
        <v>22370</v>
      </c>
    </row>
    <row r="1262" spans="1:25" x14ac:dyDescent="0.3">
      <c r="A1262">
        <v>63050</v>
      </c>
      <c r="B1262" t="s">
        <v>22371</v>
      </c>
      <c r="C1262" t="s">
        <v>22372</v>
      </c>
      <c r="D1262" t="s">
        <v>22373</v>
      </c>
      <c r="E1262" t="s">
        <v>22374</v>
      </c>
      <c r="F1262" t="s">
        <v>22375</v>
      </c>
      <c r="G1262" t="s">
        <v>22376</v>
      </c>
      <c r="H1262" t="s">
        <v>22377</v>
      </c>
      <c r="I1262" t="s">
        <v>22378</v>
      </c>
      <c r="J1262" t="s">
        <v>22379</v>
      </c>
      <c r="K1262" t="s">
        <v>22380</v>
      </c>
      <c r="L1262" t="s">
        <v>22381</v>
      </c>
      <c r="M1262" t="s">
        <v>22382</v>
      </c>
      <c r="N1262" t="s">
        <v>22383</v>
      </c>
      <c r="O1262">
        <f>-632.329360666595 -43.4126917108372 -738.57064924449</f>
        <v>-1414.3127016219223</v>
      </c>
      <c r="P1262">
        <f>-649.21470440548 -32.9130075748515 -422.673810060347</f>
        <v>-1104.8015220406785</v>
      </c>
      <c r="Q1262">
        <f>-391.286056191403 -51.4563234274776 -450.440793332064</f>
        <v>-893.18317295094459</v>
      </c>
      <c r="R1262" t="s">
        <v>22384</v>
      </c>
      <c r="S1262" t="s">
        <v>22385</v>
      </c>
      <c r="T1262" t="s">
        <v>22386</v>
      </c>
      <c r="U1262" t="s">
        <v>22387</v>
      </c>
      <c r="V1262" t="s">
        <v>22388</v>
      </c>
      <c r="W1262" t="s">
        <v>22389</v>
      </c>
      <c r="X1262" t="s">
        <v>22390</v>
      </c>
      <c r="Y1262" t="s">
        <v>22391</v>
      </c>
    </row>
    <row r="1263" spans="1:25" x14ac:dyDescent="0.3">
      <c r="A1263">
        <v>63100</v>
      </c>
      <c r="B1263" t="s">
        <v>22392</v>
      </c>
      <c r="C1263" t="s">
        <v>22393</v>
      </c>
      <c r="D1263" t="s">
        <v>22394</v>
      </c>
      <c r="E1263" t="s">
        <v>22395</v>
      </c>
      <c r="F1263" t="s">
        <v>22396</v>
      </c>
      <c r="G1263" t="s">
        <v>22397</v>
      </c>
      <c r="H1263" t="s">
        <v>22398</v>
      </c>
      <c r="I1263" t="s">
        <v>22399</v>
      </c>
      <c r="J1263" t="s">
        <v>22400</v>
      </c>
      <c r="K1263" t="s">
        <v>22401</v>
      </c>
      <c r="L1263" t="s">
        <v>22402</v>
      </c>
      <c r="M1263" t="s">
        <v>22403</v>
      </c>
      <c r="N1263" t="s">
        <v>22404</v>
      </c>
      <c r="O1263">
        <f>-632.461038233443 -43.4087514392284 -738.86597685874</f>
        <v>-1414.7357665314114</v>
      </c>
      <c r="P1263">
        <f>-649.795165772537 -33.7399413821156 -422.966894587503</f>
        <v>-1106.5020017421557</v>
      </c>
      <c r="Q1263">
        <f>-391.879307186863 -52.1925338689923 -450.912441852347</f>
        <v>-894.98428290820232</v>
      </c>
      <c r="R1263" t="s">
        <v>22405</v>
      </c>
      <c r="S1263" t="s">
        <v>22406</v>
      </c>
      <c r="T1263" t="s">
        <v>22407</v>
      </c>
      <c r="U1263" t="s">
        <v>22408</v>
      </c>
      <c r="V1263" t="s">
        <v>22409</v>
      </c>
      <c r="W1263" t="s">
        <v>22410</v>
      </c>
      <c r="X1263" t="s">
        <v>22411</v>
      </c>
      <c r="Y1263" t="s">
        <v>22412</v>
      </c>
    </row>
    <row r="1264" spans="1:25" x14ac:dyDescent="0.3">
      <c r="A1264">
        <v>63150</v>
      </c>
      <c r="B1264" t="s">
        <v>22413</v>
      </c>
      <c r="C1264" t="s">
        <v>22414</v>
      </c>
      <c r="D1264" t="s">
        <v>22415</v>
      </c>
      <c r="E1264" t="s">
        <v>22416</v>
      </c>
      <c r="F1264" t="s">
        <v>22417</v>
      </c>
      <c r="G1264" t="s">
        <v>22418</v>
      </c>
      <c r="H1264" t="s">
        <v>22419</v>
      </c>
      <c r="I1264" t="s">
        <v>22420</v>
      </c>
      <c r="J1264" t="s">
        <v>22421</v>
      </c>
      <c r="K1264" t="s">
        <v>22422</v>
      </c>
      <c r="L1264" t="s">
        <v>22423</v>
      </c>
      <c r="M1264" t="s">
        <v>22424</v>
      </c>
      <c r="N1264" t="s">
        <v>22425</v>
      </c>
      <c r="O1264">
        <f>-633.605953675346 -42.481823267261 -739.748951997278</f>
        <v>-1415.836728939885</v>
      </c>
      <c r="P1264">
        <f>-650.703968204891 -34.5639741864356 -423.788128881911</f>
        <v>-1109.0560712732376</v>
      </c>
      <c r="Q1264">
        <f>-392.738214516048 -52.3760820378773 -451.688865038013</f>
        <v>-896.80316159193831</v>
      </c>
      <c r="R1264" t="s">
        <v>22426</v>
      </c>
      <c r="S1264" t="s">
        <v>22427</v>
      </c>
      <c r="T1264" t="s">
        <v>22428</v>
      </c>
      <c r="U1264" t="s">
        <v>22429</v>
      </c>
      <c r="V1264" t="s">
        <v>22430</v>
      </c>
      <c r="W1264" t="s">
        <v>22431</v>
      </c>
      <c r="X1264" t="s">
        <v>22432</v>
      </c>
      <c r="Y1264" t="s">
        <v>22433</v>
      </c>
    </row>
    <row r="1265" spans="1:25" x14ac:dyDescent="0.3">
      <c r="A1265">
        <v>63200</v>
      </c>
      <c r="B1265" t="s">
        <v>22434</v>
      </c>
      <c r="C1265" t="s">
        <v>22435</v>
      </c>
      <c r="D1265" t="s">
        <v>22436</v>
      </c>
      <c r="E1265" t="s">
        <v>22437</v>
      </c>
      <c r="F1265" t="s">
        <v>22438</v>
      </c>
      <c r="G1265" t="s">
        <v>22439</v>
      </c>
      <c r="H1265" t="s">
        <v>22440</v>
      </c>
      <c r="I1265" t="s">
        <v>22441</v>
      </c>
      <c r="J1265" t="s">
        <v>22442</v>
      </c>
      <c r="K1265" t="s">
        <v>22443</v>
      </c>
      <c r="L1265" t="s">
        <v>22444</v>
      </c>
      <c r="M1265" t="s">
        <v>22445</v>
      </c>
      <c r="N1265" t="s">
        <v>22446</v>
      </c>
      <c r="O1265">
        <f>-634.86548557373 -41.7506669920972 -740.260509249276</f>
        <v>-1416.876661815103</v>
      </c>
      <c r="P1265">
        <f>-651.428081227772 -34.4715533532135 -424.255884490283</f>
        <v>-1110.1555190712686</v>
      </c>
      <c r="Q1265">
        <f>-393.463574551648 -51.8698217320887 -452.428391849401</f>
        <v>-897.76178813313777</v>
      </c>
      <c r="R1265" t="s">
        <v>22447</v>
      </c>
      <c r="S1265" t="s">
        <v>22448</v>
      </c>
      <c r="T1265" t="s">
        <v>22449</v>
      </c>
      <c r="U1265" t="s">
        <v>22450</v>
      </c>
      <c r="V1265" t="s">
        <v>22451</v>
      </c>
      <c r="W1265" t="s">
        <v>22452</v>
      </c>
      <c r="X1265" t="s">
        <v>22453</v>
      </c>
      <c r="Y1265" t="s">
        <v>22454</v>
      </c>
    </row>
    <row r="1266" spans="1:25" x14ac:dyDescent="0.3">
      <c r="A1266">
        <v>63250</v>
      </c>
      <c r="B1266" t="s">
        <v>22455</v>
      </c>
      <c r="C1266" t="s">
        <v>22456</v>
      </c>
      <c r="D1266" t="s">
        <v>22457</v>
      </c>
      <c r="E1266" t="s">
        <v>22458</v>
      </c>
      <c r="F1266" t="s">
        <v>22459</v>
      </c>
      <c r="G1266" t="s">
        <v>22460</v>
      </c>
      <c r="H1266" t="s">
        <v>22461</v>
      </c>
      <c r="I1266" t="s">
        <v>22462</v>
      </c>
      <c r="J1266" t="s">
        <v>22463</v>
      </c>
      <c r="K1266" t="s">
        <v>22464</v>
      </c>
      <c r="L1266" t="s">
        <v>22465</v>
      </c>
      <c r="M1266" t="s">
        <v>22466</v>
      </c>
      <c r="N1266" t="s">
        <v>22467</v>
      </c>
      <c r="O1266">
        <f>-637.513522093524 -40.1870139908485 -741.751866351389</f>
        <v>-1419.4524024357615</v>
      </c>
      <c r="P1266">
        <f>-652.756290487141 -36.4244712399257 -425.61954194159</f>
        <v>-1114.8003036686566</v>
      </c>
      <c r="Q1266">
        <f>-394.541661844928 -49.8542835828898 -453.6712662592</f>
        <v>-898.06721168701779</v>
      </c>
      <c r="R1266" t="s">
        <v>22468</v>
      </c>
      <c r="S1266" t="s">
        <v>22469</v>
      </c>
      <c r="T1266" t="s">
        <v>22470</v>
      </c>
      <c r="U1266" t="s">
        <v>22471</v>
      </c>
      <c r="V1266" t="s">
        <v>22472</v>
      </c>
      <c r="W1266" t="s">
        <v>22473</v>
      </c>
      <c r="X1266" t="s">
        <v>22474</v>
      </c>
      <c r="Y1266" t="s">
        <v>22475</v>
      </c>
    </row>
    <row r="1267" spans="1:25" x14ac:dyDescent="0.3">
      <c r="A1267">
        <v>63300</v>
      </c>
      <c r="B1267" t="s">
        <v>22476</v>
      </c>
      <c r="C1267" t="s">
        <v>22477</v>
      </c>
      <c r="D1267" t="s">
        <v>22478</v>
      </c>
      <c r="E1267" t="s">
        <v>22479</v>
      </c>
      <c r="F1267" t="s">
        <v>22480</v>
      </c>
      <c r="G1267" t="s">
        <v>22481</v>
      </c>
      <c r="H1267" t="s">
        <v>22482</v>
      </c>
      <c r="I1267" t="s">
        <v>22483</v>
      </c>
      <c r="J1267" t="s">
        <v>22484</v>
      </c>
      <c r="K1267" t="s">
        <v>22485</v>
      </c>
      <c r="L1267" t="s">
        <v>22486</v>
      </c>
      <c r="M1267" t="s">
        <v>22487</v>
      </c>
      <c r="N1267" t="s">
        <v>22488</v>
      </c>
      <c r="O1267">
        <f>-638.913107928684 -39.3779421734112 -742.601683838911</f>
        <v>-1420.8927339410061</v>
      </c>
      <c r="P1267">
        <f>-653.651356880436 -37.6585176580184 -426.427581435834</f>
        <v>-1117.7374559742884</v>
      </c>
      <c r="Q1267">
        <f>-395.358215601328 -48.3060854659357 -454.94669212823</f>
        <v>-898.61099319549373</v>
      </c>
      <c r="R1267" t="s">
        <v>22489</v>
      </c>
      <c r="S1267" t="s">
        <v>22490</v>
      </c>
      <c r="T1267" t="s">
        <v>22491</v>
      </c>
      <c r="U1267" t="s">
        <v>22492</v>
      </c>
      <c r="V1267" t="s">
        <v>22493</v>
      </c>
      <c r="W1267" t="s">
        <v>22494</v>
      </c>
      <c r="X1267" t="s">
        <v>22495</v>
      </c>
      <c r="Y1267" t="s">
        <v>22496</v>
      </c>
    </row>
    <row r="1268" spans="1:25" x14ac:dyDescent="0.3">
      <c r="A1268">
        <v>63350</v>
      </c>
      <c r="B1268" t="s">
        <v>22497</v>
      </c>
      <c r="C1268" t="s">
        <v>22498</v>
      </c>
      <c r="D1268" t="s">
        <v>22499</v>
      </c>
      <c r="E1268" t="s">
        <v>22500</v>
      </c>
      <c r="F1268" t="s">
        <v>22501</v>
      </c>
      <c r="G1268" t="s">
        <v>22502</v>
      </c>
      <c r="H1268" t="s">
        <v>22503</v>
      </c>
      <c r="I1268" t="s">
        <v>22504</v>
      </c>
      <c r="J1268" t="s">
        <v>22505</v>
      </c>
      <c r="K1268" t="s">
        <v>22506</v>
      </c>
      <c r="L1268" t="s">
        <v>22507</v>
      </c>
      <c r="M1268" t="s">
        <v>22508</v>
      </c>
      <c r="N1268" t="s">
        <v>22509</v>
      </c>
      <c r="O1268">
        <f>-640.892125410307 -38.4546972704536 -743.82050077136</f>
        <v>-1423.1673234521206</v>
      </c>
      <c r="P1268">
        <f>-654.265791303565 -38.839433563367 -427.581378133879</f>
        <v>-1120.6866030008111</v>
      </c>
      <c r="Q1268">
        <f>-395.908096341929 -45.6218219463317 -456.690469566508</f>
        <v>-898.22038785476866</v>
      </c>
      <c r="R1268" t="s">
        <v>22510</v>
      </c>
      <c r="S1268" t="s">
        <v>22511</v>
      </c>
      <c r="T1268" t="s">
        <v>22512</v>
      </c>
      <c r="U1268" t="s">
        <v>22513</v>
      </c>
      <c r="V1268" t="s">
        <v>22514</v>
      </c>
      <c r="W1268" t="s">
        <v>22515</v>
      </c>
      <c r="X1268" t="s">
        <v>22516</v>
      </c>
      <c r="Y1268" t="s">
        <v>22517</v>
      </c>
    </row>
    <row r="1269" spans="1:25" x14ac:dyDescent="0.3">
      <c r="A1269">
        <v>63400</v>
      </c>
      <c r="B1269" t="s">
        <v>22518</v>
      </c>
      <c r="C1269" t="s">
        <v>22519</v>
      </c>
      <c r="D1269" t="s">
        <v>22520</v>
      </c>
      <c r="E1269" t="s">
        <v>22521</v>
      </c>
      <c r="F1269" t="s">
        <v>22522</v>
      </c>
      <c r="G1269" t="s">
        <v>22523</v>
      </c>
      <c r="H1269" t="s">
        <v>22524</v>
      </c>
      <c r="I1269" t="s">
        <v>22525</v>
      </c>
      <c r="J1269" t="s">
        <v>22526</v>
      </c>
      <c r="K1269" t="s">
        <v>22527</v>
      </c>
      <c r="L1269" t="s">
        <v>22528</v>
      </c>
      <c r="M1269" t="s">
        <v>22529</v>
      </c>
      <c r="N1269" t="s">
        <v>22530</v>
      </c>
      <c r="O1269">
        <f>-641.557409575162 -39.1312327661442 -743.869686254077</f>
        <v>-1424.558328595383</v>
      </c>
      <c r="P1269">
        <f>-654.241492524969 -38.6537354151922 -427.602155320818</f>
        <v>-1120.4973832609792</v>
      </c>
      <c r="Q1269">
        <f>-395.93761855199 -45.5305533685648 -457.163651871582</f>
        <v>-898.63182379213686</v>
      </c>
      <c r="R1269" t="s">
        <v>22531</v>
      </c>
      <c r="S1269" t="s">
        <v>22532</v>
      </c>
      <c r="T1269" t="s">
        <v>22533</v>
      </c>
      <c r="U1269" t="s">
        <v>22534</v>
      </c>
      <c r="V1269" t="s">
        <v>22535</v>
      </c>
      <c r="W1269" t="s">
        <v>22536</v>
      </c>
      <c r="X1269" t="s">
        <v>22537</v>
      </c>
      <c r="Y1269" t="s">
        <v>22538</v>
      </c>
    </row>
    <row r="1270" spans="1:25" x14ac:dyDescent="0.3">
      <c r="A1270">
        <v>63450</v>
      </c>
      <c r="B1270" t="s">
        <v>22539</v>
      </c>
      <c r="C1270" t="s">
        <v>22540</v>
      </c>
      <c r="D1270" t="s">
        <v>22541</v>
      </c>
      <c r="E1270" t="s">
        <v>22542</v>
      </c>
      <c r="F1270" t="s">
        <v>22543</v>
      </c>
      <c r="G1270" t="s">
        <v>22544</v>
      </c>
      <c r="H1270" t="s">
        <v>22545</v>
      </c>
      <c r="I1270" t="s">
        <v>22546</v>
      </c>
      <c r="J1270" t="s">
        <v>22547</v>
      </c>
      <c r="K1270" t="s">
        <v>22548</v>
      </c>
      <c r="L1270" t="s">
        <v>22549</v>
      </c>
      <c r="M1270" t="s">
        <v>22550</v>
      </c>
      <c r="N1270" t="s">
        <v>22551</v>
      </c>
      <c r="O1270">
        <f>-640.765203606799 -41.9287052608756 -742.691935373867</f>
        <v>-1425.3858442415417</v>
      </c>
      <c r="P1270">
        <f>-652.574579060896 -39.4778738552959 -426.399777064338</f>
        <v>-1118.4522299805299</v>
      </c>
      <c r="Q1270">
        <f>-394.551993511634 -48.5978089351745 -457.756404684185</f>
        <v>-900.90620713099349</v>
      </c>
      <c r="R1270" t="s">
        <v>22552</v>
      </c>
      <c r="S1270" t="s">
        <v>22553</v>
      </c>
      <c r="T1270" t="s">
        <v>22554</v>
      </c>
      <c r="U1270" t="s">
        <v>22555</v>
      </c>
      <c r="V1270" t="s">
        <v>22556</v>
      </c>
      <c r="W1270" t="s">
        <v>22557</v>
      </c>
      <c r="X1270" t="s">
        <v>22558</v>
      </c>
      <c r="Y1270" t="s">
        <v>22559</v>
      </c>
    </row>
    <row r="1271" spans="1:25" x14ac:dyDescent="0.3">
      <c r="A1271">
        <v>63500</v>
      </c>
      <c r="B1271" t="s">
        <v>22560</v>
      </c>
      <c r="C1271" t="s">
        <v>22561</v>
      </c>
      <c r="D1271" t="s">
        <v>22562</v>
      </c>
      <c r="E1271" t="s">
        <v>22563</v>
      </c>
      <c r="F1271" t="s">
        <v>22564</v>
      </c>
      <c r="G1271" t="s">
        <v>22565</v>
      </c>
      <c r="H1271" t="s">
        <v>22566</v>
      </c>
      <c r="I1271" t="s">
        <v>22567</v>
      </c>
      <c r="J1271" t="s">
        <v>22568</v>
      </c>
      <c r="K1271" t="s">
        <v>22569</v>
      </c>
      <c r="L1271" t="s">
        <v>22570</v>
      </c>
      <c r="M1271" t="s">
        <v>22571</v>
      </c>
      <c r="N1271" t="s">
        <v>22572</v>
      </c>
      <c r="O1271">
        <f>-639.979886231963 -43.307089886948 -741.91549687423</f>
        <v>-1425.2024729931409</v>
      </c>
      <c r="P1271">
        <f>-651.671286363634 -39.5166391489465 -425.632184491998</f>
        <v>-1116.8201100045785</v>
      </c>
      <c r="Q1271">
        <f>-393.821791924029 -50.4928635547892 -457.807011070994</f>
        <v>-902.12166654981229</v>
      </c>
      <c r="R1271" t="s">
        <v>22573</v>
      </c>
      <c r="S1271" t="s">
        <v>22574</v>
      </c>
      <c r="T1271" t="s">
        <v>22575</v>
      </c>
      <c r="U1271" t="s">
        <v>22576</v>
      </c>
      <c r="V1271" t="s">
        <v>22577</v>
      </c>
      <c r="W1271" t="s">
        <v>22578</v>
      </c>
      <c r="X1271" t="s">
        <v>22579</v>
      </c>
      <c r="Y1271" t="s">
        <v>22580</v>
      </c>
    </row>
    <row r="1272" spans="1:25" x14ac:dyDescent="0.3">
      <c r="A1272">
        <v>63550</v>
      </c>
      <c r="B1272" t="s">
        <v>22581</v>
      </c>
      <c r="C1272" t="s">
        <v>22582</v>
      </c>
      <c r="D1272" t="s">
        <v>22583</v>
      </c>
      <c r="E1272" t="s">
        <v>22584</v>
      </c>
      <c r="F1272" t="s">
        <v>22585</v>
      </c>
      <c r="G1272" t="s">
        <v>22586</v>
      </c>
      <c r="H1272" t="s">
        <v>22587</v>
      </c>
      <c r="I1272" t="s">
        <v>22588</v>
      </c>
      <c r="J1272" t="s">
        <v>22589</v>
      </c>
      <c r="K1272" t="s">
        <v>22590</v>
      </c>
      <c r="L1272" t="s">
        <v>22591</v>
      </c>
      <c r="M1272" t="s">
        <v>22592</v>
      </c>
      <c r="N1272" t="s">
        <v>22593</v>
      </c>
      <c r="O1272">
        <f>-636.065112459013 -44.8543310890059 -740.71634238708</f>
        <v>-1421.6357859350987</v>
      </c>
      <c r="P1272">
        <f>-648.32013853707 -39.1096454407195 -424.4838905787</f>
        <v>-1111.9136745564895</v>
      </c>
      <c r="Q1272">
        <f>-390.826119158812 -54.751148703951 -457.563004307104</f>
        <v>-903.14027216986699</v>
      </c>
      <c r="R1272" t="s">
        <v>22594</v>
      </c>
      <c r="S1272" t="s">
        <v>22595</v>
      </c>
      <c r="T1272" t="s">
        <v>22596</v>
      </c>
      <c r="U1272" t="s">
        <v>22597</v>
      </c>
      <c r="V1272" t="s">
        <v>22598</v>
      </c>
      <c r="W1272" t="s">
        <v>22599</v>
      </c>
      <c r="X1272" t="s">
        <v>22600</v>
      </c>
      <c r="Y1272" t="s">
        <v>22601</v>
      </c>
    </row>
    <row r="1273" spans="1:25" x14ac:dyDescent="0.3">
      <c r="A1273">
        <v>63600</v>
      </c>
      <c r="B1273" t="s">
        <v>22602</v>
      </c>
      <c r="C1273" t="s">
        <v>22603</v>
      </c>
      <c r="D1273" t="s">
        <v>22604</v>
      </c>
      <c r="E1273" t="s">
        <v>22605</v>
      </c>
      <c r="F1273" t="s">
        <v>22606</v>
      </c>
      <c r="G1273" t="s">
        <v>22607</v>
      </c>
      <c r="H1273" t="s">
        <v>22608</v>
      </c>
      <c r="I1273" t="s">
        <v>22609</v>
      </c>
      <c r="J1273" t="s">
        <v>22610</v>
      </c>
      <c r="K1273" t="s">
        <v>22611</v>
      </c>
      <c r="L1273" t="s">
        <v>22612</v>
      </c>
      <c r="M1273" t="s">
        <v>22613</v>
      </c>
      <c r="N1273" t="s">
        <v>22614</v>
      </c>
      <c r="O1273">
        <f>-633.712254218219 -45.5192696430427 -740.220413318025</f>
        <v>-1419.4519371792867</v>
      </c>
      <c r="P1273">
        <f>-646.423397292152 -39.321439308409 -424.014486470597</f>
        <v>-1109.759323071158</v>
      </c>
      <c r="Q1273">
        <f>-389.052906718261 -56.7369141180786 -457.168891484222</f>
        <v>-902.95871232056152</v>
      </c>
      <c r="R1273" t="s">
        <v>22615</v>
      </c>
      <c r="S1273" t="s">
        <v>22616</v>
      </c>
      <c r="T1273" t="s">
        <v>22617</v>
      </c>
      <c r="U1273" t="s">
        <v>22618</v>
      </c>
      <c r="V1273" t="s">
        <v>22619</v>
      </c>
      <c r="W1273" t="s">
        <v>22620</v>
      </c>
      <c r="X1273" t="s">
        <v>22621</v>
      </c>
      <c r="Y1273" t="s">
        <v>22622</v>
      </c>
    </row>
    <row r="1274" spans="1:25" x14ac:dyDescent="0.3">
      <c r="A1274">
        <v>63650</v>
      </c>
      <c r="B1274" t="s">
        <v>22623</v>
      </c>
      <c r="C1274" t="s">
        <v>22624</v>
      </c>
      <c r="D1274" t="s">
        <v>22625</v>
      </c>
      <c r="E1274" t="s">
        <v>22626</v>
      </c>
      <c r="F1274" t="s">
        <v>22627</v>
      </c>
      <c r="G1274" t="s">
        <v>22628</v>
      </c>
      <c r="H1274" t="s">
        <v>22629</v>
      </c>
      <c r="I1274" t="s">
        <v>22630</v>
      </c>
      <c r="J1274" t="s">
        <v>22631</v>
      </c>
      <c r="K1274" t="s">
        <v>22632</v>
      </c>
      <c r="L1274" t="s">
        <v>22633</v>
      </c>
      <c r="M1274" t="s">
        <v>22634</v>
      </c>
      <c r="N1274" t="s">
        <v>22635</v>
      </c>
      <c r="O1274">
        <f>-629.244823730416 -45.0457502646746 -740.05989746959</f>
        <v>-1414.3504714646806</v>
      </c>
      <c r="P1274">
        <f>-642.664604959035 -39.1211605442772 -423.878008889054</f>
        <v>-1105.6637743923663</v>
      </c>
      <c r="Q1274">
        <f>-385.37795152882 -57.3194836713596 -457.261333471494</f>
        <v>-899.95876867167362</v>
      </c>
      <c r="R1274" t="s">
        <v>22636</v>
      </c>
      <c r="S1274" t="s">
        <v>22637</v>
      </c>
      <c r="T1274" t="s">
        <v>22638</v>
      </c>
      <c r="U1274" t="s">
        <v>22639</v>
      </c>
      <c r="V1274" t="s">
        <v>22640</v>
      </c>
      <c r="W1274" t="s">
        <v>22641</v>
      </c>
      <c r="X1274" t="s">
        <v>22642</v>
      </c>
      <c r="Y1274" t="s">
        <v>22643</v>
      </c>
    </row>
    <row r="1275" spans="1:25" x14ac:dyDescent="0.3">
      <c r="A1275">
        <v>63700</v>
      </c>
      <c r="B1275" t="s">
        <v>22644</v>
      </c>
      <c r="C1275" t="s">
        <v>22645</v>
      </c>
      <c r="D1275" t="s">
        <v>22646</v>
      </c>
      <c r="E1275" t="s">
        <v>22647</v>
      </c>
      <c r="F1275" t="s">
        <v>22648</v>
      </c>
      <c r="G1275" t="s">
        <v>22649</v>
      </c>
      <c r="H1275" t="s">
        <v>22650</v>
      </c>
      <c r="I1275" t="s">
        <v>22651</v>
      </c>
      <c r="J1275" t="s">
        <v>22652</v>
      </c>
      <c r="K1275" t="s">
        <v>22653</v>
      </c>
      <c r="L1275" t="s">
        <v>22654</v>
      </c>
      <c r="M1275" t="s">
        <v>22655</v>
      </c>
      <c r="N1275" t="s">
        <v>22656</v>
      </c>
      <c r="O1275">
        <f>-627.098900739269 -44.1729482356025 -740.320399836935</f>
        <v>-1411.5922488118065</v>
      </c>
      <c r="P1275">
        <f>-640.426075926117 -38.4726701587836 -424.130528684554</f>
        <v>-1103.0292747694546</v>
      </c>
      <c r="Q1275">
        <f>-383.051628942294 -56.0930671873825 -457.145181342141</f>
        <v>-896.28987747181748</v>
      </c>
      <c r="R1275" t="s">
        <v>22657</v>
      </c>
      <c r="S1275" t="s">
        <v>22658</v>
      </c>
      <c r="T1275" t="s">
        <v>22659</v>
      </c>
      <c r="U1275" t="s">
        <v>22660</v>
      </c>
      <c r="V1275" t="s">
        <v>22661</v>
      </c>
      <c r="W1275" t="s">
        <v>22662</v>
      </c>
      <c r="X1275" t="s">
        <v>22663</v>
      </c>
      <c r="Y1275" t="s">
        <v>22664</v>
      </c>
    </row>
    <row r="1276" spans="1:25" x14ac:dyDescent="0.3">
      <c r="A1276">
        <v>63750</v>
      </c>
      <c r="B1276" t="s">
        <v>22665</v>
      </c>
      <c r="C1276" t="s">
        <v>22666</v>
      </c>
      <c r="D1276" t="s">
        <v>22667</v>
      </c>
      <c r="E1276" t="s">
        <v>22668</v>
      </c>
      <c r="F1276" t="s">
        <v>22669</v>
      </c>
      <c r="G1276" t="s">
        <v>22670</v>
      </c>
      <c r="H1276" t="s">
        <v>22671</v>
      </c>
      <c r="I1276" t="s">
        <v>22672</v>
      </c>
      <c r="J1276" t="s">
        <v>22673</v>
      </c>
      <c r="K1276" t="s">
        <v>22674</v>
      </c>
      <c r="L1276" t="s">
        <v>22675</v>
      </c>
      <c r="M1276" t="s">
        <v>22676</v>
      </c>
      <c r="N1276" t="s">
        <v>22677</v>
      </c>
      <c r="O1276">
        <f>-624.396701876329 -42.8008110990061 -740.770876515045</f>
        <v>-1407.9683894903801</v>
      </c>
      <c r="P1276">
        <f>-636.933467148622 -37.4483299688263 -424.542464246217</f>
        <v>-1098.9242613636652</v>
      </c>
      <c r="Q1276">
        <f>-379.441984547596 -52.6121092926116 -457.862485663691</f>
        <v>-889.91657950389867</v>
      </c>
      <c r="R1276" t="s">
        <v>22678</v>
      </c>
      <c r="S1276" t="s">
        <v>22679</v>
      </c>
      <c r="T1276" t="s">
        <v>22680</v>
      </c>
      <c r="U1276" t="s">
        <v>22681</v>
      </c>
      <c r="V1276" t="s">
        <v>22682</v>
      </c>
      <c r="W1276" t="s">
        <v>22683</v>
      </c>
      <c r="X1276" t="s">
        <v>22684</v>
      </c>
      <c r="Y1276" t="s">
        <v>22685</v>
      </c>
    </row>
    <row r="1277" spans="1:25" x14ac:dyDescent="0.3">
      <c r="A1277">
        <v>63800</v>
      </c>
      <c r="B1277" t="s">
        <v>22686</v>
      </c>
      <c r="C1277" t="s">
        <v>22687</v>
      </c>
      <c r="D1277" t="s">
        <v>22688</v>
      </c>
      <c r="E1277" t="s">
        <v>22689</v>
      </c>
      <c r="F1277" t="s">
        <v>22690</v>
      </c>
      <c r="G1277" t="s">
        <v>22691</v>
      </c>
      <c r="H1277" t="s">
        <v>22692</v>
      </c>
      <c r="I1277" t="s">
        <v>22693</v>
      </c>
      <c r="J1277" t="s">
        <v>22694</v>
      </c>
      <c r="K1277" t="s">
        <v>22695</v>
      </c>
      <c r="L1277" t="s">
        <v>22696</v>
      </c>
      <c r="M1277" t="s">
        <v>22697</v>
      </c>
      <c r="N1277" t="s">
        <v>22698</v>
      </c>
      <c r="O1277">
        <f>-623.199917006889 -42.3186755100621 -740.913168658664</f>
        <v>-1406.4317611756151</v>
      </c>
      <c r="P1277">
        <f>-635.053349327228 -37.1017114738095 -424.656208639503</f>
        <v>-1096.8112694405404</v>
      </c>
      <c r="Q1277">
        <f>-377.513573917767 -50.8543478312274 -458.214698638806</f>
        <v>-886.58262038780049</v>
      </c>
      <c r="R1277" t="s">
        <v>22699</v>
      </c>
      <c r="S1277" t="s">
        <v>22700</v>
      </c>
      <c r="T1277" t="s">
        <v>22701</v>
      </c>
      <c r="U1277" t="s">
        <v>22702</v>
      </c>
      <c r="V1277" t="s">
        <v>22703</v>
      </c>
      <c r="W1277" t="s">
        <v>22704</v>
      </c>
      <c r="X1277" t="s">
        <v>22705</v>
      </c>
      <c r="Y1277" t="s">
        <v>22706</v>
      </c>
    </row>
    <row r="1278" spans="1:25" x14ac:dyDescent="0.3">
      <c r="A1278">
        <v>63850</v>
      </c>
      <c r="B1278" t="s">
        <v>22707</v>
      </c>
      <c r="C1278" t="s">
        <v>22708</v>
      </c>
      <c r="D1278" t="s">
        <v>22709</v>
      </c>
      <c r="E1278" t="s">
        <v>22710</v>
      </c>
      <c r="F1278" t="s">
        <v>22711</v>
      </c>
      <c r="G1278" t="s">
        <v>22712</v>
      </c>
      <c r="H1278" t="s">
        <v>22713</v>
      </c>
      <c r="I1278" t="s">
        <v>22714</v>
      </c>
      <c r="J1278" t="s">
        <v>22715</v>
      </c>
      <c r="K1278" t="s">
        <v>22716</v>
      </c>
      <c r="L1278" t="s">
        <v>22717</v>
      </c>
      <c r="M1278" t="s">
        <v>22718</v>
      </c>
      <c r="N1278" t="s">
        <v>22719</v>
      </c>
      <c r="O1278">
        <f>-621.887151141126 -41.8245012018372 -741.002504393859</f>
        <v>-1404.7141567368221</v>
      </c>
      <c r="P1278">
        <f>-633.035630282009 -36.3599759570593 -424.724049345999</f>
        <v>-1094.1196555850674</v>
      </c>
      <c r="Q1278">
        <f>-375.43675684604 -46.8827863645456 -458.989752172652</f>
        <v>-881.30929538323767</v>
      </c>
      <c r="R1278" t="s">
        <v>22720</v>
      </c>
      <c r="S1278" t="s">
        <v>22721</v>
      </c>
      <c r="T1278" t="s">
        <v>22722</v>
      </c>
      <c r="U1278" t="s">
        <v>22723</v>
      </c>
      <c r="V1278" t="s">
        <v>22724</v>
      </c>
      <c r="W1278" t="s">
        <v>22725</v>
      </c>
      <c r="X1278" t="s">
        <v>22726</v>
      </c>
      <c r="Y1278" t="s">
        <v>22727</v>
      </c>
    </row>
    <row r="1279" spans="1:25" x14ac:dyDescent="0.3">
      <c r="A1279">
        <v>63900</v>
      </c>
      <c r="B1279" t="s">
        <v>22728</v>
      </c>
      <c r="C1279" t="s">
        <v>22729</v>
      </c>
      <c r="D1279" t="s">
        <v>22730</v>
      </c>
      <c r="E1279" t="s">
        <v>22731</v>
      </c>
      <c r="F1279" t="s">
        <v>22732</v>
      </c>
      <c r="G1279" t="s">
        <v>22733</v>
      </c>
      <c r="H1279" t="s">
        <v>22734</v>
      </c>
      <c r="I1279" t="s">
        <v>22735</v>
      </c>
      <c r="J1279" t="s">
        <v>22736</v>
      </c>
      <c r="K1279" t="s">
        <v>22737</v>
      </c>
      <c r="L1279" t="s">
        <v>22738</v>
      </c>
      <c r="M1279" t="s">
        <v>22739</v>
      </c>
      <c r="N1279" t="s">
        <v>22740</v>
      </c>
      <c r="O1279">
        <f>-621.682941391672 -41.8454487173196 -740.959400881819</f>
        <v>-1404.4877909908105</v>
      </c>
      <c r="P1279">
        <f>-632.445655095008 -36.318324080346 -424.668707225107</f>
        <v>-1093.4326864004611</v>
      </c>
      <c r="Q1279">
        <f>-374.79841611528 -45.4343850255052 -458.97398517443</f>
        <v>-879.20678631521525</v>
      </c>
      <c r="R1279" t="s">
        <v>22741</v>
      </c>
      <c r="S1279" t="s">
        <v>22742</v>
      </c>
      <c r="T1279" t="s">
        <v>22743</v>
      </c>
      <c r="U1279" t="s">
        <v>22744</v>
      </c>
      <c r="V1279" t="s">
        <v>22745</v>
      </c>
      <c r="W1279" t="s">
        <v>22746</v>
      </c>
      <c r="X1279" t="s">
        <v>22747</v>
      </c>
      <c r="Y1279" t="s">
        <v>22748</v>
      </c>
    </row>
    <row r="1280" spans="1:25" x14ac:dyDescent="0.3">
      <c r="A1280">
        <v>63950</v>
      </c>
      <c r="B1280" t="s">
        <v>22749</v>
      </c>
      <c r="C1280" t="s">
        <v>22750</v>
      </c>
      <c r="D1280" t="s">
        <v>22751</v>
      </c>
      <c r="E1280" t="s">
        <v>22752</v>
      </c>
      <c r="F1280" t="s">
        <v>22753</v>
      </c>
      <c r="G1280" t="s">
        <v>22754</v>
      </c>
      <c r="H1280" t="s">
        <v>22755</v>
      </c>
      <c r="I1280" t="s">
        <v>22756</v>
      </c>
      <c r="J1280" t="s">
        <v>22757</v>
      </c>
      <c r="K1280" t="s">
        <v>22758</v>
      </c>
      <c r="L1280" t="s">
        <v>22759</v>
      </c>
      <c r="M1280" t="s">
        <v>22760</v>
      </c>
      <c r="N1280" t="s">
        <v>22761</v>
      </c>
      <c r="O1280">
        <f>-621.939862451908 -41.9300310984495 -740.708150422349</f>
        <v>-1404.5780439727064</v>
      </c>
      <c r="P1280">
        <f>-632.439313926691 -36.0234024040838 -424.41551607783</f>
        <v>-1092.8782324086048</v>
      </c>
      <c r="Q1280">
        <f>-374.772379069397 -43.3393075532526 -459.002826015144</f>
        <v>-877.11451263779361</v>
      </c>
      <c r="R1280" t="s">
        <v>22762</v>
      </c>
      <c r="S1280" t="s">
        <v>22763</v>
      </c>
      <c r="T1280" t="s">
        <v>22764</v>
      </c>
      <c r="U1280" t="s">
        <v>22765</v>
      </c>
      <c r="V1280" t="s">
        <v>22766</v>
      </c>
      <c r="W1280" t="s">
        <v>22767</v>
      </c>
      <c r="X1280" t="s">
        <v>22768</v>
      </c>
      <c r="Y1280" t="s">
        <v>22769</v>
      </c>
    </row>
    <row r="1281" spans="1:25" x14ac:dyDescent="0.3">
      <c r="A1281">
        <v>64000</v>
      </c>
      <c r="B1281" t="s">
        <v>22770</v>
      </c>
      <c r="C1281" t="s">
        <v>22771</v>
      </c>
      <c r="D1281" t="s">
        <v>22772</v>
      </c>
      <c r="E1281" t="s">
        <v>22773</v>
      </c>
      <c r="F1281" t="s">
        <v>22774</v>
      </c>
      <c r="G1281" t="s">
        <v>22775</v>
      </c>
      <c r="H1281" t="s">
        <v>22776</v>
      </c>
      <c r="I1281" t="s">
        <v>22777</v>
      </c>
      <c r="J1281" t="s">
        <v>22778</v>
      </c>
      <c r="K1281" t="s">
        <v>22779</v>
      </c>
      <c r="L1281" t="s">
        <v>22780</v>
      </c>
      <c r="M1281" t="s">
        <v>22781</v>
      </c>
      <c r="N1281" t="s">
        <v>22782</v>
      </c>
      <c r="O1281">
        <f>-622.420065384736 -42.059006818394 -740.567873918534</f>
        <v>-1405.046946121664</v>
      </c>
      <c r="P1281">
        <f>-632.818200707025 -36.0037350617913 -424.274588922282</f>
        <v>-1093.0965246910982</v>
      </c>
      <c r="Q1281">
        <f>-375.138208968925 -42.7428823141124 -458.881444459244</f>
        <v>-876.76253574228144</v>
      </c>
      <c r="R1281" t="s">
        <v>22783</v>
      </c>
      <c r="S1281" t="s">
        <v>22784</v>
      </c>
      <c r="T1281" t="s">
        <v>22785</v>
      </c>
      <c r="U1281" t="s">
        <v>22786</v>
      </c>
      <c r="V1281" t="s">
        <v>22787</v>
      </c>
      <c r="W1281" t="s">
        <v>22788</v>
      </c>
      <c r="X1281" t="s">
        <v>22789</v>
      </c>
      <c r="Y1281" t="s">
        <v>22790</v>
      </c>
    </row>
    <row r="1282" spans="1:25" x14ac:dyDescent="0.3">
      <c r="A1282">
        <v>64050</v>
      </c>
      <c r="B1282" t="s">
        <v>22791</v>
      </c>
      <c r="C1282" t="s">
        <v>22792</v>
      </c>
      <c r="D1282" t="s">
        <v>22793</v>
      </c>
      <c r="E1282" t="s">
        <v>22794</v>
      </c>
      <c r="F1282" t="s">
        <v>22795</v>
      </c>
      <c r="G1282" t="s">
        <v>22796</v>
      </c>
      <c r="H1282" t="s">
        <v>22797</v>
      </c>
      <c r="I1282" t="s">
        <v>22798</v>
      </c>
      <c r="J1282" t="s">
        <v>22799</v>
      </c>
      <c r="K1282" t="s">
        <v>22800</v>
      </c>
      <c r="L1282" t="s">
        <v>22801</v>
      </c>
      <c r="M1282" t="s">
        <v>22802</v>
      </c>
      <c r="N1282" t="s">
        <v>22803</v>
      </c>
      <c r="O1282">
        <f>-623.300476022709 -42.2224684877237 -740.386624519643</f>
        <v>-1405.9095690300755</v>
      </c>
      <c r="P1282">
        <f>-633.637029811042 -35.8814860586526 -424.096968010319</f>
        <v>-1093.6154838800137</v>
      </c>
      <c r="Q1282">
        <f>-375.876179086327 -42.4231503667202 -458.135263609351</f>
        <v>-876.43459306239822</v>
      </c>
      <c r="R1282" t="s">
        <v>22804</v>
      </c>
      <c r="S1282" t="s">
        <v>22805</v>
      </c>
      <c r="T1282" t="s">
        <v>22806</v>
      </c>
      <c r="U1282" t="s">
        <v>22807</v>
      </c>
      <c r="V1282" t="s">
        <v>22808</v>
      </c>
      <c r="W1282" t="s">
        <v>22809</v>
      </c>
      <c r="X1282" t="s">
        <v>22810</v>
      </c>
      <c r="Y1282" t="s">
        <v>22811</v>
      </c>
    </row>
    <row r="1283" spans="1:25" x14ac:dyDescent="0.3">
      <c r="A1283">
        <v>64100</v>
      </c>
      <c r="B1283" t="s">
        <v>22812</v>
      </c>
      <c r="C1283" t="s">
        <v>22813</v>
      </c>
      <c r="D1283" t="s">
        <v>22814</v>
      </c>
      <c r="E1283" t="s">
        <v>22815</v>
      </c>
      <c r="F1283" t="s">
        <v>22816</v>
      </c>
      <c r="G1283" t="s">
        <v>22817</v>
      </c>
      <c r="H1283" t="s">
        <v>22818</v>
      </c>
      <c r="I1283" t="s">
        <v>22819</v>
      </c>
      <c r="J1283" t="s">
        <v>22820</v>
      </c>
      <c r="K1283" t="s">
        <v>22821</v>
      </c>
      <c r="L1283" t="s">
        <v>22822</v>
      </c>
      <c r="M1283" t="s">
        <v>22823</v>
      </c>
      <c r="N1283" t="s">
        <v>22824</v>
      </c>
      <c r="O1283">
        <f>-624.286609120313 -42.5373731622003 -740.186376648142</f>
        <v>-1407.0103589306552</v>
      </c>
      <c r="P1283">
        <f>-634.783112666316 -35.9271804388547 -423.907477607681</f>
        <v>-1094.6177707128518</v>
      </c>
      <c r="Q1283">
        <f>-376.967358484847 -42.3198252351813 -457.556073515352</f>
        <v>-876.84325723538041</v>
      </c>
      <c r="R1283" t="s">
        <v>22825</v>
      </c>
      <c r="S1283" t="s">
        <v>22826</v>
      </c>
      <c r="T1283" t="s">
        <v>22827</v>
      </c>
      <c r="U1283" t="s">
        <v>22828</v>
      </c>
      <c r="V1283" t="s">
        <v>22829</v>
      </c>
      <c r="W1283" t="s">
        <v>22830</v>
      </c>
      <c r="X1283" t="s">
        <v>22831</v>
      </c>
      <c r="Y1283" t="s">
        <v>22832</v>
      </c>
    </row>
    <row r="1284" spans="1:25" x14ac:dyDescent="0.3">
      <c r="A1284">
        <v>64150</v>
      </c>
      <c r="B1284" t="s">
        <v>22833</v>
      </c>
      <c r="C1284" t="s">
        <v>22834</v>
      </c>
      <c r="D1284" t="s">
        <v>22835</v>
      </c>
      <c r="E1284" t="s">
        <v>22836</v>
      </c>
      <c r="F1284" t="s">
        <v>22837</v>
      </c>
      <c r="G1284" t="s">
        <v>22838</v>
      </c>
      <c r="H1284" t="s">
        <v>22839</v>
      </c>
      <c r="I1284" t="s">
        <v>22840</v>
      </c>
      <c r="J1284" t="s">
        <v>22841</v>
      </c>
      <c r="K1284" t="s">
        <v>22842</v>
      </c>
      <c r="L1284" t="s">
        <v>22843</v>
      </c>
      <c r="M1284" t="s">
        <v>22844</v>
      </c>
      <c r="N1284" t="s">
        <v>22845</v>
      </c>
      <c r="O1284">
        <f>-628.057964055543 -43.4572040914366 -739.625522162158</f>
        <v>-1411.1406903091374</v>
      </c>
      <c r="P1284">
        <f>-639.227052396087 -36.1212478774864 -423.385801496274</f>
        <v>-1098.7341017698473</v>
      </c>
      <c r="Q1284">
        <f>-381.261631667657 -43.4201536750058 -455.675587625509</f>
        <v>-880.35737296817183</v>
      </c>
      <c r="R1284" t="s">
        <v>22846</v>
      </c>
      <c r="S1284" t="s">
        <v>22847</v>
      </c>
      <c r="T1284" t="s">
        <v>22848</v>
      </c>
      <c r="U1284" t="s">
        <v>22849</v>
      </c>
      <c r="V1284" t="s">
        <v>22850</v>
      </c>
      <c r="W1284" t="s">
        <v>22851</v>
      </c>
      <c r="X1284" t="s">
        <v>22852</v>
      </c>
      <c r="Y1284" t="s">
        <v>22853</v>
      </c>
    </row>
    <row r="1285" spans="1:25" x14ac:dyDescent="0.3">
      <c r="A1285">
        <v>64200</v>
      </c>
      <c r="B1285" t="s">
        <v>22854</v>
      </c>
      <c r="C1285" t="s">
        <v>22855</v>
      </c>
      <c r="D1285" t="s">
        <v>22856</v>
      </c>
      <c r="E1285" t="s">
        <v>22857</v>
      </c>
      <c r="F1285" t="s">
        <v>22858</v>
      </c>
      <c r="G1285" t="s">
        <v>22859</v>
      </c>
      <c r="H1285" t="s">
        <v>22860</v>
      </c>
      <c r="I1285" t="s">
        <v>22861</v>
      </c>
      <c r="J1285" t="s">
        <v>22862</v>
      </c>
      <c r="K1285" t="s">
        <v>22863</v>
      </c>
      <c r="L1285" t="s">
        <v>22864</v>
      </c>
      <c r="M1285" t="s">
        <v>22865</v>
      </c>
      <c r="N1285" t="s">
        <v>22866</v>
      </c>
      <c r="O1285">
        <f>-631.024331064609 -43.9055634674144 -739.127520029858</f>
        <v>-1414.0574145618814</v>
      </c>
      <c r="P1285">
        <f>-642.192132770735 -35.9591317118106 -422.902258651971</f>
        <v>-1101.0535231345166</v>
      </c>
      <c r="Q1285">
        <f>-384.217629724808 -44.1438321880044 -454.905849185497</f>
        <v>-883.26731109830939</v>
      </c>
      <c r="R1285" t="s">
        <v>22867</v>
      </c>
      <c r="S1285" t="s">
        <v>22868</v>
      </c>
      <c r="T1285" t="s">
        <v>22869</v>
      </c>
      <c r="U1285" t="s">
        <v>22870</v>
      </c>
      <c r="V1285" t="s">
        <v>22871</v>
      </c>
      <c r="W1285" t="s">
        <v>22872</v>
      </c>
      <c r="X1285" t="s">
        <v>22873</v>
      </c>
      <c r="Y1285" t="s">
        <v>22874</v>
      </c>
    </row>
    <row r="1286" spans="1:25" x14ac:dyDescent="0.3">
      <c r="A1286">
        <v>64250</v>
      </c>
      <c r="B1286" t="s">
        <v>22875</v>
      </c>
      <c r="C1286" t="s">
        <v>22876</v>
      </c>
      <c r="D1286" t="s">
        <v>22877</v>
      </c>
      <c r="E1286" t="s">
        <v>22878</v>
      </c>
      <c r="F1286" t="s">
        <v>22879</v>
      </c>
      <c r="G1286" t="s">
        <v>22880</v>
      </c>
      <c r="H1286" t="s">
        <v>22881</v>
      </c>
      <c r="I1286" t="s">
        <v>22882</v>
      </c>
      <c r="J1286" t="s">
        <v>22883</v>
      </c>
      <c r="K1286" t="s">
        <v>22884</v>
      </c>
      <c r="L1286" t="s">
        <v>22885</v>
      </c>
      <c r="M1286" t="s">
        <v>22886</v>
      </c>
      <c r="N1286" t="s">
        <v>22887</v>
      </c>
      <c r="O1286">
        <f>-632.633647016107 -44.0303917127578 -738.922843630521</f>
        <v>-1415.586882359386</v>
      </c>
      <c r="P1286">
        <f>-643.519606017873 -35.6133069381306 -422.699982133796</f>
        <v>-1101.8328950897996</v>
      </c>
      <c r="Q1286">
        <f>-385.535408533722 -44.2687439990482 -454.500717458357</f>
        <v>-884.30486999112713</v>
      </c>
      <c r="R1286" t="s">
        <v>22888</v>
      </c>
      <c r="S1286" t="s">
        <v>22889</v>
      </c>
      <c r="T1286" t="s">
        <v>22890</v>
      </c>
      <c r="U1286" t="s">
        <v>22891</v>
      </c>
      <c r="V1286" t="s">
        <v>22892</v>
      </c>
      <c r="W1286" t="s">
        <v>22893</v>
      </c>
      <c r="X1286" t="s">
        <v>22894</v>
      </c>
      <c r="Y1286" t="s">
        <v>22895</v>
      </c>
    </row>
    <row r="1287" spans="1:25" x14ac:dyDescent="0.3">
      <c r="A1287">
        <v>64300</v>
      </c>
      <c r="B1287" t="s">
        <v>22896</v>
      </c>
      <c r="C1287" t="s">
        <v>22897</v>
      </c>
      <c r="D1287" t="s">
        <v>22898</v>
      </c>
      <c r="E1287" t="s">
        <v>22899</v>
      </c>
      <c r="F1287" t="s">
        <v>22900</v>
      </c>
      <c r="G1287" t="s">
        <v>22901</v>
      </c>
      <c r="H1287" t="s">
        <v>22902</v>
      </c>
      <c r="I1287" t="s">
        <v>22903</v>
      </c>
      <c r="J1287" t="s">
        <v>22904</v>
      </c>
      <c r="K1287" t="s">
        <v>22905</v>
      </c>
      <c r="L1287" t="s">
        <v>22906</v>
      </c>
      <c r="M1287" t="s">
        <v>22907</v>
      </c>
      <c r="N1287" t="s">
        <v>22908</v>
      </c>
      <c r="O1287">
        <f>-634.003253011062 -44.1738741972531 -738.717413037689</f>
        <v>-1416.894540246004</v>
      </c>
      <c r="P1287">
        <f>-644.615079191185 -35.4030561386717 -422.494927381536</f>
        <v>-1102.5130627113926</v>
      </c>
      <c r="Q1287">
        <f>-386.633516317572 -44.6331313429823 -454.155329324592</f>
        <v>-885.42197698514633</v>
      </c>
      <c r="R1287" t="s">
        <v>22909</v>
      </c>
      <c r="S1287" t="s">
        <v>22910</v>
      </c>
      <c r="T1287" t="s">
        <v>22911</v>
      </c>
      <c r="U1287" t="s">
        <v>22912</v>
      </c>
      <c r="V1287" t="s">
        <v>22913</v>
      </c>
      <c r="W1287" t="s">
        <v>22914</v>
      </c>
      <c r="X1287" t="s">
        <v>22915</v>
      </c>
      <c r="Y1287" t="s">
        <v>22916</v>
      </c>
    </row>
    <row r="1288" spans="1:25" x14ac:dyDescent="0.3">
      <c r="A1288">
        <v>64350</v>
      </c>
      <c r="B1288" t="s">
        <v>22917</v>
      </c>
      <c r="C1288" t="s">
        <v>22918</v>
      </c>
      <c r="D1288" t="s">
        <v>22919</v>
      </c>
      <c r="E1288" t="s">
        <v>22920</v>
      </c>
      <c r="F1288" t="s">
        <v>22921</v>
      </c>
      <c r="G1288" t="s">
        <v>22922</v>
      </c>
      <c r="H1288" t="s">
        <v>22923</v>
      </c>
      <c r="I1288" t="s">
        <v>22924</v>
      </c>
      <c r="J1288" t="s">
        <v>22925</v>
      </c>
      <c r="K1288" t="s">
        <v>22926</v>
      </c>
      <c r="L1288" t="s">
        <v>22927</v>
      </c>
      <c r="M1288" t="s">
        <v>22928</v>
      </c>
      <c r="N1288" t="s">
        <v>22929</v>
      </c>
      <c r="O1288">
        <f>-636.764976377809 -44.5312250319714 -738.360739032252</f>
        <v>-1419.6569404420325</v>
      </c>
      <c r="P1288">
        <f>-646.79735903563 -35.0946286310266 -422.138588063431</f>
        <v>-1104.0305757300875</v>
      </c>
      <c r="Q1288">
        <f>-388.902026323052 -45.7944730373997 -454.038180920759</f>
        <v>-888.73468028121067</v>
      </c>
      <c r="R1288" t="s">
        <v>22930</v>
      </c>
      <c r="S1288" t="s">
        <v>22931</v>
      </c>
      <c r="T1288" t="s">
        <v>22932</v>
      </c>
      <c r="U1288" t="s">
        <v>22933</v>
      </c>
      <c r="V1288" t="s">
        <v>22934</v>
      </c>
      <c r="W1288" t="s">
        <v>22935</v>
      </c>
      <c r="X1288" t="s">
        <v>22936</v>
      </c>
      <c r="Y1288" t="s">
        <v>22937</v>
      </c>
    </row>
    <row r="1289" spans="1:25" x14ac:dyDescent="0.3">
      <c r="A1289">
        <v>64400</v>
      </c>
      <c r="B1289" t="s">
        <v>22938</v>
      </c>
      <c r="C1289" t="s">
        <v>22939</v>
      </c>
      <c r="D1289" t="s">
        <v>22940</v>
      </c>
      <c r="E1289" t="s">
        <v>22941</v>
      </c>
      <c r="F1289" t="s">
        <v>22942</v>
      </c>
      <c r="G1289" t="s">
        <v>22943</v>
      </c>
      <c r="H1289" t="s">
        <v>22944</v>
      </c>
      <c r="I1289" t="s">
        <v>22945</v>
      </c>
      <c r="J1289" t="s">
        <v>22946</v>
      </c>
      <c r="K1289" t="s">
        <v>22947</v>
      </c>
      <c r="L1289" t="s">
        <v>22948</v>
      </c>
      <c r="M1289" t="s">
        <v>22949</v>
      </c>
      <c r="N1289" t="s">
        <v>22950</v>
      </c>
      <c r="O1289">
        <f>-638.009011976564 -44.5824219312981 -738.213265161673</f>
        <v>-1420.8046990695352</v>
      </c>
      <c r="P1289">
        <f>-647.683775734536 -35.0300956391873 -421.983343266291</f>
        <v>-1104.6972146400142</v>
      </c>
      <c r="Q1289">
        <f>-389.923225628293 -46.7419405259013 -454.608234340296</f>
        <v>-891.27340049449026</v>
      </c>
      <c r="R1289" t="s">
        <v>22951</v>
      </c>
      <c r="S1289" t="s">
        <v>22952</v>
      </c>
      <c r="T1289" t="s">
        <v>22953</v>
      </c>
      <c r="U1289" t="s">
        <v>22954</v>
      </c>
      <c r="V1289" t="s">
        <v>22955</v>
      </c>
      <c r="W1289" t="s">
        <v>22956</v>
      </c>
      <c r="X1289" t="s">
        <v>22957</v>
      </c>
      <c r="Y1289" t="s">
        <v>22958</v>
      </c>
    </row>
    <row r="1290" spans="1:25" x14ac:dyDescent="0.3">
      <c r="A1290">
        <v>64450</v>
      </c>
      <c r="B1290" t="s">
        <v>22959</v>
      </c>
      <c r="C1290" t="s">
        <v>22960</v>
      </c>
      <c r="D1290" t="s">
        <v>22961</v>
      </c>
      <c r="E1290" t="s">
        <v>22962</v>
      </c>
      <c r="F1290" t="s">
        <v>22963</v>
      </c>
      <c r="G1290" t="s">
        <v>22964</v>
      </c>
      <c r="H1290" t="s">
        <v>22965</v>
      </c>
      <c r="I1290" t="s">
        <v>22966</v>
      </c>
      <c r="J1290" t="s">
        <v>22967</v>
      </c>
      <c r="K1290" t="s">
        <v>22968</v>
      </c>
      <c r="L1290" t="s">
        <v>22969</v>
      </c>
      <c r="M1290" t="s">
        <v>22970</v>
      </c>
      <c r="N1290" t="s">
        <v>22971</v>
      </c>
      <c r="O1290">
        <f>-638.964175119745 -44.5922946774438 -738.118435618313</f>
        <v>-1421.6749054155018</v>
      </c>
      <c r="P1290">
        <f>-648.165219606766 -35.1497990280443 -421.871107063269</f>
        <v>-1105.1861256980792</v>
      </c>
      <c r="Q1290">
        <f>-390.566897180448 -48.4322461216425 -455.168824495597</f>
        <v>-894.16796779768742</v>
      </c>
      <c r="R1290" t="s">
        <v>22972</v>
      </c>
      <c r="S1290" t="s">
        <v>22973</v>
      </c>
      <c r="T1290" t="s">
        <v>22974</v>
      </c>
      <c r="U1290" t="s">
        <v>22975</v>
      </c>
      <c r="V1290" t="s">
        <v>22976</v>
      </c>
      <c r="W1290" t="s">
        <v>22977</v>
      </c>
      <c r="X1290" t="s">
        <v>22978</v>
      </c>
      <c r="Y1290" t="s">
        <v>22979</v>
      </c>
    </row>
    <row r="1291" spans="1:25" x14ac:dyDescent="0.3">
      <c r="A1291">
        <v>64500</v>
      </c>
      <c r="B1291" t="s">
        <v>22980</v>
      </c>
      <c r="C1291" t="s">
        <v>22981</v>
      </c>
      <c r="D1291" t="s">
        <v>22982</v>
      </c>
      <c r="E1291" t="s">
        <v>22983</v>
      </c>
      <c r="F1291" t="s">
        <v>22984</v>
      </c>
      <c r="G1291" t="s">
        <v>22985</v>
      </c>
      <c r="H1291" t="s">
        <v>22986</v>
      </c>
      <c r="I1291" t="s">
        <v>22987</v>
      </c>
      <c r="J1291" t="s">
        <v>22988</v>
      </c>
      <c r="K1291" t="s">
        <v>22989</v>
      </c>
      <c r="L1291" t="s">
        <v>22990</v>
      </c>
      <c r="M1291" t="s">
        <v>22991</v>
      </c>
      <c r="N1291" t="s">
        <v>22992</v>
      </c>
      <c r="O1291">
        <f>-641.367094867318 -44.4419823701214 -738.057567906846</f>
        <v>-1423.8666451442855</v>
      </c>
      <c r="P1291">
        <f>-649.372444146872 -35.8595036379797 -421.753195597372</f>
        <v>-1106.9851433822237</v>
      </c>
      <c r="Q1291">
        <f>-392.387434734582 -52.6306979303013 -458.078016703594</f>
        <v>-903.09614936847731</v>
      </c>
      <c r="R1291" t="s">
        <v>22993</v>
      </c>
      <c r="S1291" t="s">
        <v>22994</v>
      </c>
      <c r="T1291" t="s">
        <v>22995</v>
      </c>
      <c r="U1291" t="s">
        <v>22996</v>
      </c>
      <c r="V1291" t="s">
        <v>22997</v>
      </c>
      <c r="W1291" t="s">
        <v>22998</v>
      </c>
      <c r="X1291" t="s">
        <v>22999</v>
      </c>
      <c r="Y1291" t="s">
        <v>23000</v>
      </c>
    </row>
    <row r="1292" spans="1:25" x14ac:dyDescent="0.3">
      <c r="A1292">
        <v>64550</v>
      </c>
      <c r="B1292" t="s">
        <v>23001</v>
      </c>
      <c r="C1292" t="s">
        <v>23002</v>
      </c>
      <c r="D1292" t="s">
        <v>23003</v>
      </c>
      <c r="E1292" t="s">
        <v>23004</v>
      </c>
      <c r="F1292" t="s">
        <v>23005</v>
      </c>
      <c r="G1292" t="s">
        <v>23006</v>
      </c>
      <c r="H1292" t="s">
        <v>23007</v>
      </c>
      <c r="I1292" t="s">
        <v>23008</v>
      </c>
      <c r="J1292" t="s">
        <v>23009</v>
      </c>
      <c r="K1292" t="s">
        <v>23010</v>
      </c>
      <c r="L1292" t="s">
        <v>23011</v>
      </c>
      <c r="M1292" t="s">
        <v>23012</v>
      </c>
      <c r="N1292" t="s">
        <v>23013</v>
      </c>
      <c r="O1292">
        <f>-642.599675711369 -44.113953908867 -738.1945374477</f>
        <v>-1424.9081670679359</v>
      </c>
      <c r="P1292">
        <f>-649.745609368364 -36.3362318733632 -421.848744552481</f>
        <v>-1107.9305857942081</v>
      </c>
      <c r="Q1292">
        <f>-393.336214850495 -56.7814819416944 -460.296987665874</f>
        <v>-910.41468445806345</v>
      </c>
      <c r="R1292" t="s">
        <v>23014</v>
      </c>
      <c r="S1292" t="s">
        <v>23015</v>
      </c>
      <c r="T1292" t="s">
        <v>23016</v>
      </c>
      <c r="U1292" t="s">
        <v>23017</v>
      </c>
      <c r="V1292" t="s">
        <v>23018</v>
      </c>
      <c r="W1292" t="s">
        <v>23019</v>
      </c>
      <c r="X1292" t="s">
        <v>23020</v>
      </c>
      <c r="Y1292" t="s">
        <v>23021</v>
      </c>
    </row>
    <row r="1293" spans="1:25" x14ac:dyDescent="0.3">
      <c r="A1293">
        <v>64600</v>
      </c>
      <c r="B1293" t="s">
        <v>23022</v>
      </c>
      <c r="C1293" t="s">
        <v>23023</v>
      </c>
      <c r="D1293" t="s">
        <v>23024</v>
      </c>
      <c r="E1293" t="s">
        <v>23025</v>
      </c>
      <c r="F1293" t="s">
        <v>23026</v>
      </c>
      <c r="G1293" t="s">
        <v>23027</v>
      </c>
      <c r="H1293" t="s">
        <v>23028</v>
      </c>
      <c r="I1293" t="s">
        <v>23029</v>
      </c>
      <c r="J1293" t="s">
        <v>23030</v>
      </c>
      <c r="K1293" t="s">
        <v>23031</v>
      </c>
      <c r="L1293" t="s">
        <v>23032</v>
      </c>
      <c r="M1293" t="s">
        <v>23033</v>
      </c>
      <c r="N1293" t="s">
        <v>23034</v>
      </c>
      <c r="O1293">
        <f>-642.718903240683 -44.0548287176503 -738.156504363759</f>
        <v>-1424.9302363220922</v>
      </c>
      <c r="P1293">
        <f>-649.602458485786 -37.8735784778819 -421.769665556116</f>
        <v>-1109.2457025197839</v>
      </c>
      <c r="Q1293">
        <f>-393.457728978832 -59.2936915302878 -461.432331695286</f>
        <v>-914.18375220440578</v>
      </c>
      <c r="R1293" t="s">
        <v>23035</v>
      </c>
      <c r="S1293" t="s">
        <v>23036</v>
      </c>
      <c r="T1293" t="s">
        <v>23037</v>
      </c>
      <c r="U1293" t="s">
        <v>23038</v>
      </c>
      <c r="V1293" t="s">
        <v>23039</v>
      </c>
      <c r="W1293" t="s">
        <v>23040</v>
      </c>
      <c r="X1293" t="s">
        <v>23041</v>
      </c>
      <c r="Y1293" t="s">
        <v>23042</v>
      </c>
    </row>
    <row r="1294" spans="1:25" x14ac:dyDescent="0.3">
      <c r="A1294">
        <v>64650</v>
      </c>
      <c r="B1294" t="s">
        <v>23043</v>
      </c>
      <c r="C1294" t="s">
        <v>23044</v>
      </c>
      <c r="D1294" t="s">
        <v>23045</v>
      </c>
      <c r="E1294" t="s">
        <v>23046</v>
      </c>
      <c r="F1294" t="s">
        <v>23047</v>
      </c>
      <c r="G1294" t="s">
        <v>23048</v>
      </c>
      <c r="H1294" t="s">
        <v>23049</v>
      </c>
      <c r="I1294" t="s">
        <v>23050</v>
      </c>
      <c r="J1294" t="s">
        <v>23051</v>
      </c>
      <c r="K1294" t="s">
        <v>23052</v>
      </c>
      <c r="L1294" t="s">
        <v>23053</v>
      </c>
      <c r="M1294" t="s">
        <v>23054</v>
      </c>
      <c r="N1294" t="s">
        <v>23055</v>
      </c>
      <c r="O1294">
        <f>-643.40272780177 -43.1164104323927 -738.420529632851</f>
        <v>-1424.9396678670137</v>
      </c>
      <c r="P1294">
        <f>-648.218973023407 -40.0401243509812 -421.950100077932</f>
        <v>-1110.20919745232</v>
      </c>
      <c r="Q1294">
        <f>-392.782518333355 -62.8557482704839 -465.236612153077</f>
        <v>-920.8748787569159</v>
      </c>
      <c r="R1294" t="s">
        <v>23056</v>
      </c>
      <c r="S1294" t="s">
        <v>23057</v>
      </c>
      <c r="T1294" t="s">
        <v>23058</v>
      </c>
      <c r="U1294" t="s">
        <v>23059</v>
      </c>
      <c r="V1294" t="s">
        <v>23060</v>
      </c>
      <c r="W1294" t="s">
        <v>23061</v>
      </c>
      <c r="X1294" t="s">
        <v>23062</v>
      </c>
      <c r="Y1294" t="s">
        <v>23063</v>
      </c>
    </row>
    <row r="1295" spans="1:25" x14ac:dyDescent="0.3">
      <c r="A1295">
        <v>64700</v>
      </c>
      <c r="B1295" t="s">
        <v>23064</v>
      </c>
      <c r="C1295" t="s">
        <v>23065</v>
      </c>
      <c r="D1295" t="s">
        <v>23066</v>
      </c>
      <c r="E1295" t="s">
        <v>23067</v>
      </c>
      <c r="F1295" t="s">
        <v>23068</v>
      </c>
      <c r="G1295" t="s">
        <v>23069</v>
      </c>
      <c r="H1295" t="s">
        <v>23070</v>
      </c>
      <c r="I1295" t="s">
        <v>23071</v>
      </c>
      <c r="J1295" t="s">
        <v>23072</v>
      </c>
      <c r="K1295" t="s">
        <v>23073</v>
      </c>
      <c r="L1295" t="s">
        <v>23074</v>
      </c>
      <c r="M1295" t="s">
        <v>23075</v>
      </c>
      <c r="N1295" t="s">
        <v>23076</v>
      </c>
      <c r="O1295">
        <f>-643.220581340306 -42.5155672972105 -738.483714687578</f>
        <v>-1424.2198633250946</v>
      </c>
      <c r="P1295">
        <f>-647.355754060463 -41.9582854434639 -421.989151153158</f>
        <v>-1111.303190657085</v>
      </c>
      <c r="Q1295">
        <f>-391.685610325428 -63.7335036779239 -464.423536279013</f>
        <v>-919.84265028236496</v>
      </c>
      <c r="R1295" t="s">
        <v>23077</v>
      </c>
      <c r="S1295" t="s">
        <v>23078</v>
      </c>
      <c r="T1295" t="s">
        <v>23079</v>
      </c>
      <c r="U1295" t="s">
        <v>23080</v>
      </c>
      <c r="V1295" t="s">
        <v>23081</v>
      </c>
      <c r="W1295" t="s">
        <v>23082</v>
      </c>
      <c r="X1295" t="s">
        <v>23083</v>
      </c>
      <c r="Y1295" t="s">
        <v>23084</v>
      </c>
    </row>
    <row r="1296" spans="1:25" x14ac:dyDescent="0.3">
      <c r="A1296">
        <v>64750</v>
      </c>
      <c r="B1296" t="s">
        <v>23085</v>
      </c>
      <c r="C1296" t="s">
        <v>23086</v>
      </c>
      <c r="D1296" t="s">
        <v>23087</v>
      </c>
      <c r="E1296" t="s">
        <v>23088</v>
      </c>
      <c r="F1296" t="s">
        <v>23089</v>
      </c>
      <c r="G1296" t="s">
        <v>23090</v>
      </c>
      <c r="H1296" t="s">
        <v>23091</v>
      </c>
      <c r="I1296" t="s">
        <v>23092</v>
      </c>
      <c r="J1296" t="s">
        <v>23093</v>
      </c>
      <c r="K1296" t="s">
        <v>23094</v>
      </c>
      <c r="L1296" t="s">
        <v>23095</v>
      </c>
      <c r="M1296" t="s">
        <v>23096</v>
      </c>
      <c r="N1296" t="s">
        <v>23097</v>
      </c>
      <c r="O1296">
        <f>-642.645697903477 -41.6055851082913 -738.669702254686</f>
        <v>-1422.9209852664542</v>
      </c>
      <c r="P1296">
        <f>-647.478593792868 -43.5889904831308 -422.19075603241</f>
        <v>-1113.2583403084088</v>
      </c>
      <c r="Q1296">
        <f>-391.413299365243 -63.4130870263784 -463.174099320113</f>
        <v>-918.00048571173443</v>
      </c>
      <c r="R1296" t="s">
        <v>23098</v>
      </c>
      <c r="S1296" t="s">
        <v>23099</v>
      </c>
      <c r="T1296" t="s">
        <v>23100</v>
      </c>
      <c r="U1296" t="s">
        <v>23101</v>
      </c>
      <c r="V1296" t="s">
        <v>23102</v>
      </c>
      <c r="W1296" t="s">
        <v>23103</v>
      </c>
      <c r="X1296" t="s">
        <v>23104</v>
      </c>
      <c r="Y1296" t="s">
        <v>23105</v>
      </c>
    </row>
    <row r="1297" spans="1:25" x14ac:dyDescent="0.3">
      <c r="A1297">
        <v>64800</v>
      </c>
      <c r="B1297" t="s">
        <v>23106</v>
      </c>
      <c r="C1297" t="s">
        <v>23107</v>
      </c>
      <c r="D1297" t="s">
        <v>23108</v>
      </c>
      <c r="E1297" t="s">
        <v>23109</v>
      </c>
      <c r="F1297" t="s">
        <v>23110</v>
      </c>
      <c r="G1297" t="s">
        <v>23111</v>
      </c>
      <c r="H1297" t="s">
        <v>23112</v>
      </c>
      <c r="I1297" t="s">
        <v>23113</v>
      </c>
      <c r="J1297" t="s">
        <v>23114</v>
      </c>
      <c r="K1297" t="s">
        <v>23115</v>
      </c>
      <c r="L1297" t="s">
        <v>23116</v>
      </c>
      <c r="M1297" t="s">
        <v>23117</v>
      </c>
      <c r="N1297" t="s">
        <v>23118</v>
      </c>
      <c r="O1297">
        <f>-642.296687083262 -41.1841813804231 -738.709168133171</f>
        <v>-1422.1900365968561</v>
      </c>
      <c r="P1297">
        <f>-647.29334892958 -44.0058563072653 -422.239223687649</f>
        <v>-1113.5384289244944</v>
      </c>
      <c r="Q1297">
        <f>-391.037084237141 -63.3963571444183 -462.224133002947</f>
        <v>-916.65757438450623</v>
      </c>
      <c r="R1297" t="s">
        <v>23119</v>
      </c>
      <c r="S1297" t="s">
        <v>23120</v>
      </c>
      <c r="T1297" t="s">
        <v>23121</v>
      </c>
      <c r="U1297" t="s">
        <v>23122</v>
      </c>
      <c r="V1297" t="s">
        <v>23123</v>
      </c>
      <c r="W1297" t="s">
        <v>23124</v>
      </c>
      <c r="X1297" t="s">
        <v>23125</v>
      </c>
      <c r="Y1297" t="s">
        <v>23126</v>
      </c>
    </row>
    <row r="1298" spans="1:25" x14ac:dyDescent="0.3">
      <c r="A1298">
        <v>64850</v>
      </c>
      <c r="B1298" t="s">
        <v>23127</v>
      </c>
      <c r="C1298" t="s">
        <v>23128</v>
      </c>
      <c r="D1298" t="s">
        <v>23129</v>
      </c>
      <c r="E1298" t="s">
        <v>23130</v>
      </c>
      <c r="F1298" t="s">
        <v>23131</v>
      </c>
      <c r="G1298" t="s">
        <v>23132</v>
      </c>
      <c r="H1298" t="s">
        <v>23133</v>
      </c>
      <c r="I1298" t="s">
        <v>23134</v>
      </c>
      <c r="J1298" t="s">
        <v>23135</v>
      </c>
      <c r="K1298" t="s">
        <v>23136</v>
      </c>
      <c r="L1298" t="s">
        <v>23137</v>
      </c>
      <c r="M1298" t="s">
        <v>23138</v>
      </c>
      <c r="N1298" t="s">
        <v>23139</v>
      </c>
      <c r="O1298">
        <f>-641.901772190439 -40.6357490890809 -738.861591567935</f>
        <v>-1421.3991128474549</v>
      </c>
      <c r="P1298">
        <f>-648.172087829382 -44.5849400738898 -422.426281500562</f>
        <v>-1115.1833094038338</v>
      </c>
      <c r="Q1298">
        <f>-391.665728490096 -62.8595172156968 -461.318340173868</f>
        <v>-915.84358587966085</v>
      </c>
      <c r="R1298" t="s">
        <v>23140</v>
      </c>
      <c r="S1298" t="s">
        <v>23141</v>
      </c>
      <c r="T1298" t="s">
        <v>23142</v>
      </c>
      <c r="U1298" t="s">
        <v>23143</v>
      </c>
      <c r="V1298" t="s">
        <v>23144</v>
      </c>
      <c r="W1298" t="s">
        <v>23145</v>
      </c>
      <c r="X1298" t="s">
        <v>23146</v>
      </c>
      <c r="Y1298" t="s">
        <v>23147</v>
      </c>
    </row>
    <row r="1299" spans="1:25" x14ac:dyDescent="0.3">
      <c r="A1299">
        <v>64900</v>
      </c>
      <c r="B1299" t="s">
        <v>23148</v>
      </c>
      <c r="C1299" t="s">
        <v>23149</v>
      </c>
      <c r="D1299" t="s">
        <v>23150</v>
      </c>
      <c r="E1299" t="s">
        <v>23151</v>
      </c>
      <c r="F1299" t="s">
        <v>23152</v>
      </c>
      <c r="G1299" t="s">
        <v>23153</v>
      </c>
      <c r="H1299" t="s">
        <v>23154</v>
      </c>
      <c r="I1299" t="s">
        <v>23155</v>
      </c>
      <c r="J1299" t="s">
        <v>23156</v>
      </c>
      <c r="K1299" t="s">
        <v>23157</v>
      </c>
      <c r="L1299" t="s">
        <v>23158</v>
      </c>
      <c r="M1299" t="s">
        <v>23159</v>
      </c>
      <c r="N1299" t="s">
        <v>23160</v>
      </c>
      <c r="O1299">
        <f>-642.082155382112 -40.4014450903073 -738.943236329563</f>
        <v>-1421.4268368019823</v>
      </c>
      <c r="P1299">
        <f>-647.760026639715 -44.2911241695474 -422.49599201055</f>
        <v>-1114.5471428198125</v>
      </c>
      <c r="Q1299">
        <f>-391.131529966329 -62.3172442964253 -460.691688025429</f>
        <v>-914.14046228818336</v>
      </c>
      <c r="R1299" t="s">
        <v>23161</v>
      </c>
      <c r="S1299" t="s">
        <v>23162</v>
      </c>
      <c r="T1299" t="s">
        <v>23163</v>
      </c>
      <c r="U1299" t="s">
        <v>23164</v>
      </c>
      <c r="V1299" t="s">
        <v>23165</v>
      </c>
      <c r="W1299" t="s">
        <v>23166</v>
      </c>
      <c r="X1299" t="s">
        <v>23167</v>
      </c>
      <c r="Y1299" t="s">
        <v>23168</v>
      </c>
    </row>
    <row r="1300" spans="1:25" x14ac:dyDescent="0.3">
      <c r="A1300">
        <v>64950</v>
      </c>
      <c r="B1300" t="s">
        <v>23169</v>
      </c>
      <c r="C1300" t="s">
        <v>23170</v>
      </c>
      <c r="D1300" t="s">
        <v>23171</v>
      </c>
      <c r="E1300" t="s">
        <v>23172</v>
      </c>
      <c r="F1300" t="s">
        <v>23173</v>
      </c>
      <c r="G1300" t="s">
        <v>23174</v>
      </c>
      <c r="H1300" t="s">
        <v>23175</v>
      </c>
      <c r="I1300" t="s">
        <v>23176</v>
      </c>
      <c r="J1300" t="s">
        <v>23177</v>
      </c>
      <c r="K1300" t="s">
        <v>23178</v>
      </c>
      <c r="L1300" t="s">
        <v>23179</v>
      </c>
      <c r="M1300" t="s">
        <v>23180</v>
      </c>
      <c r="N1300" t="s">
        <v>23181</v>
      </c>
      <c r="O1300">
        <f>-642.655863412218 -40.5361306162492 -738.814947963001</f>
        <v>-1422.0069419914682</v>
      </c>
      <c r="P1300">
        <f>-646.974283046262 -44.5279431656759 -422.347590391605</f>
        <v>-1113.8498166035429</v>
      </c>
      <c r="Q1300">
        <f>-389.966034289878 -60.7197701055409 -458.770694723421</f>
        <v>-909.45649911883993</v>
      </c>
      <c r="R1300" t="s">
        <v>23182</v>
      </c>
      <c r="S1300" t="s">
        <v>23183</v>
      </c>
      <c r="T1300" t="s">
        <v>23184</v>
      </c>
      <c r="U1300" t="s">
        <v>23185</v>
      </c>
      <c r="V1300" t="s">
        <v>23186</v>
      </c>
      <c r="W1300" t="s">
        <v>23187</v>
      </c>
      <c r="X1300" t="s">
        <v>23188</v>
      </c>
      <c r="Y1300" t="s">
        <v>23189</v>
      </c>
    </row>
    <row r="1301" spans="1:25" x14ac:dyDescent="0.3">
      <c r="A1301">
        <v>65000</v>
      </c>
      <c r="B1301" t="s">
        <v>23190</v>
      </c>
      <c r="C1301" t="s">
        <v>23191</v>
      </c>
      <c r="D1301" t="s">
        <v>23192</v>
      </c>
      <c r="E1301" t="s">
        <v>23193</v>
      </c>
      <c r="F1301" t="s">
        <v>23194</v>
      </c>
      <c r="G1301" t="s">
        <v>23195</v>
      </c>
      <c r="H1301" t="s">
        <v>23196</v>
      </c>
      <c r="I1301" t="s">
        <v>23197</v>
      </c>
      <c r="J1301" t="s">
        <v>23198</v>
      </c>
      <c r="K1301" t="s">
        <v>23199</v>
      </c>
      <c r="L1301" t="s">
        <v>23200</v>
      </c>
      <c r="M1301" t="s">
        <v>23201</v>
      </c>
      <c r="N1301" t="s">
        <v>23202</v>
      </c>
      <c r="O1301">
        <f>-642.858371119237 -40.817583155901 -738.633246233397</f>
        <v>-1422.309200508535</v>
      </c>
      <c r="P1301">
        <f>-646.292173642816 -44.3724786049661 -422.149918160249</f>
        <v>-1112.8145704080312</v>
      </c>
      <c r="Q1301">
        <f>-389.076441103153 -59.8677509966587 -457.392081970727</f>
        <v>-906.33627407053871</v>
      </c>
      <c r="R1301" t="s">
        <v>23203</v>
      </c>
      <c r="S1301" t="s">
        <v>23204</v>
      </c>
      <c r="T1301" t="s">
        <v>23205</v>
      </c>
      <c r="U1301" t="s">
        <v>23206</v>
      </c>
      <c r="V1301" t="s">
        <v>23207</v>
      </c>
      <c r="W1301" t="s">
        <v>23208</v>
      </c>
      <c r="X1301" t="s">
        <v>23209</v>
      </c>
      <c r="Y1301" t="s">
        <v>23210</v>
      </c>
    </row>
    <row r="1302" spans="1:25" x14ac:dyDescent="0.3">
      <c r="A1302">
        <v>65050</v>
      </c>
      <c r="B1302" t="s">
        <v>23211</v>
      </c>
      <c r="C1302" t="s">
        <v>23212</v>
      </c>
      <c r="D1302" t="s">
        <v>23213</v>
      </c>
      <c r="E1302" t="s">
        <v>23214</v>
      </c>
      <c r="F1302" t="s">
        <v>23215</v>
      </c>
      <c r="G1302" t="s">
        <v>23216</v>
      </c>
      <c r="H1302" t="s">
        <v>23217</v>
      </c>
      <c r="I1302" t="s">
        <v>23218</v>
      </c>
      <c r="J1302" t="s">
        <v>23219</v>
      </c>
      <c r="K1302" t="s">
        <v>23220</v>
      </c>
      <c r="L1302" t="s">
        <v>23221</v>
      </c>
      <c r="M1302" t="s">
        <v>23222</v>
      </c>
      <c r="N1302" t="s">
        <v>23223</v>
      </c>
      <c r="O1302">
        <f>-643.514019180918 -41.8143919381232 -737.96202278573</f>
        <v>-1423.2904339047714</v>
      </c>
      <c r="P1302">
        <f>-644.715050205885 -44.776615825928 -421.456209231256</f>
        <v>-1110.9478752630689</v>
      </c>
      <c r="Q1302">
        <f>-387.172052139833 -57.0640671717215 -455.554210973047</f>
        <v>-899.79033028460151</v>
      </c>
      <c r="R1302" t="s">
        <v>23224</v>
      </c>
      <c r="S1302" t="s">
        <v>23225</v>
      </c>
      <c r="T1302" t="s">
        <v>23226</v>
      </c>
      <c r="U1302" t="s">
        <v>23227</v>
      </c>
      <c r="V1302" t="s">
        <v>23228</v>
      </c>
      <c r="W1302" t="s">
        <v>23229</v>
      </c>
      <c r="X1302" t="s">
        <v>23230</v>
      </c>
      <c r="Y1302" t="s">
        <v>23231</v>
      </c>
    </row>
    <row r="1303" spans="1:25" x14ac:dyDescent="0.3">
      <c r="A1303">
        <v>65100</v>
      </c>
      <c r="B1303" t="s">
        <v>23232</v>
      </c>
      <c r="C1303" t="s">
        <v>23233</v>
      </c>
      <c r="D1303" t="s">
        <v>23234</v>
      </c>
      <c r="E1303" t="s">
        <v>23235</v>
      </c>
      <c r="F1303" t="s">
        <v>23236</v>
      </c>
      <c r="G1303" t="s">
        <v>23237</v>
      </c>
      <c r="H1303" t="s">
        <v>23238</v>
      </c>
      <c r="I1303" t="s">
        <v>23239</v>
      </c>
      <c r="J1303" t="s">
        <v>23240</v>
      </c>
      <c r="K1303" t="s">
        <v>23241</v>
      </c>
      <c r="L1303" t="s">
        <v>23242</v>
      </c>
      <c r="M1303" t="s">
        <v>23243</v>
      </c>
      <c r="N1303" t="s">
        <v>23244</v>
      </c>
      <c r="O1303">
        <f>-643.899853227787 -42.4418149828957 -737.543710472937</f>
        <v>-1423.8853786836198</v>
      </c>
      <c r="P1303">
        <f>-643.526165610587 -44.2847381743952 -421.027266226931</f>
        <v>-1108.8381700119132</v>
      </c>
      <c r="Q1303">
        <f>-385.875612018283 -55.5017090075487 -454.678774677024</f>
        <v>-896.05609570285571</v>
      </c>
      <c r="R1303" t="s">
        <v>23245</v>
      </c>
      <c r="S1303" t="s">
        <v>23246</v>
      </c>
      <c r="T1303" t="s">
        <v>23247</v>
      </c>
      <c r="U1303" t="s">
        <v>23248</v>
      </c>
      <c r="V1303" t="s">
        <v>23249</v>
      </c>
      <c r="W1303" t="s">
        <v>23250</v>
      </c>
      <c r="X1303" t="s">
        <v>23251</v>
      </c>
      <c r="Y1303" t="s">
        <v>23252</v>
      </c>
    </row>
    <row r="1304" spans="1:25" x14ac:dyDescent="0.3">
      <c r="A1304">
        <v>65150</v>
      </c>
      <c r="B1304" t="s">
        <v>23253</v>
      </c>
      <c r="C1304" t="s">
        <v>23254</v>
      </c>
      <c r="D1304" t="s">
        <v>23255</v>
      </c>
      <c r="E1304" t="s">
        <v>23256</v>
      </c>
      <c r="F1304" t="s">
        <v>23257</v>
      </c>
      <c r="G1304" t="s">
        <v>23258</v>
      </c>
      <c r="H1304" t="s">
        <v>23259</v>
      </c>
      <c r="I1304" t="s">
        <v>23260</v>
      </c>
      <c r="J1304" t="s">
        <v>23261</v>
      </c>
      <c r="K1304" t="s">
        <v>23262</v>
      </c>
      <c r="L1304" t="s">
        <v>23263</v>
      </c>
      <c r="M1304" t="s">
        <v>23264</v>
      </c>
      <c r="N1304" t="s">
        <v>23265</v>
      </c>
      <c r="O1304">
        <f>-644.978581938424 -44.0506664217894 -736.167711324664</f>
        <v>-1425.1969596848774</v>
      </c>
      <c r="P1304">
        <f>-640.938854124849 -42.8089410905968 -419.673842566707</f>
        <v>-1103.4216377821526</v>
      </c>
      <c r="Q1304">
        <f>-382.97448126219 -50.8185948562434 -451.803167018272</f>
        <v>-885.59624313670543</v>
      </c>
      <c r="R1304" t="s">
        <v>23266</v>
      </c>
      <c r="S1304" t="s">
        <v>23267</v>
      </c>
      <c r="T1304" t="s">
        <v>23268</v>
      </c>
      <c r="U1304" t="s">
        <v>23269</v>
      </c>
      <c r="V1304" t="s">
        <v>23270</v>
      </c>
      <c r="W1304" t="s">
        <v>23271</v>
      </c>
      <c r="X1304" t="s">
        <v>23272</v>
      </c>
      <c r="Y1304" t="s">
        <v>23273</v>
      </c>
    </row>
    <row r="1305" spans="1:25" x14ac:dyDescent="0.3">
      <c r="A1305">
        <v>65200</v>
      </c>
      <c r="B1305" t="s">
        <v>23274</v>
      </c>
      <c r="C1305" t="s">
        <v>23275</v>
      </c>
      <c r="D1305" t="s">
        <v>23276</v>
      </c>
      <c r="E1305" t="s">
        <v>23277</v>
      </c>
      <c r="F1305" t="s">
        <v>23278</v>
      </c>
      <c r="G1305" t="s">
        <v>23279</v>
      </c>
      <c r="H1305" t="s">
        <v>23280</v>
      </c>
      <c r="I1305" t="s">
        <v>23281</v>
      </c>
      <c r="J1305" t="s">
        <v>23282</v>
      </c>
      <c r="K1305" t="s">
        <v>23283</v>
      </c>
      <c r="L1305" t="s">
        <v>23284</v>
      </c>
      <c r="M1305" t="s">
        <v>23285</v>
      </c>
      <c r="N1305" t="s">
        <v>23286</v>
      </c>
      <c r="O1305">
        <f>-644.951013253317 -45.0790447436234 -735.560887712847</f>
        <v>-1425.5909457097873</v>
      </c>
      <c r="P1305">
        <f>-639.907563407469 -42.3955492879045 -419.090370713715</f>
        <v>-1101.3934834090885</v>
      </c>
      <c r="Q1305">
        <f>-381.870802716434 -48.8016457674662 -450.997215279934</f>
        <v>-881.66966376383425</v>
      </c>
      <c r="R1305" t="s">
        <v>23287</v>
      </c>
      <c r="S1305" t="s">
        <v>23288</v>
      </c>
      <c r="T1305" t="s">
        <v>23289</v>
      </c>
      <c r="U1305" t="s">
        <v>23290</v>
      </c>
      <c r="V1305" t="s">
        <v>23291</v>
      </c>
      <c r="W1305" t="s">
        <v>23292</v>
      </c>
      <c r="X1305" t="s">
        <v>23293</v>
      </c>
      <c r="Y1305" t="s">
        <v>23294</v>
      </c>
    </row>
    <row r="1306" spans="1:25" x14ac:dyDescent="0.3">
      <c r="A1306">
        <v>65250</v>
      </c>
      <c r="B1306" t="s">
        <v>23295</v>
      </c>
      <c r="C1306" t="s">
        <v>23296</v>
      </c>
      <c r="D1306" t="s">
        <v>23297</v>
      </c>
      <c r="E1306" t="s">
        <v>23298</v>
      </c>
      <c r="F1306" t="s">
        <v>23299</v>
      </c>
      <c r="G1306" t="s">
        <v>23300</v>
      </c>
      <c r="H1306" t="s">
        <v>23301</v>
      </c>
      <c r="I1306" t="s">
        <v>23302</v>
      </c>
      <c r="J1306" t="s">
        <v>23303</v>
      </c>
      <c r="K1306" t="s">
        <v>23304</v>
      </c>
      <c r="L1306" t="s">
        <v>23305</v>
      </c>
      <c r="M1306" t="s">
        <v>23306</v>
      </c>
      <c r="N1306" t="s">
        <v>23307</v>
      </c>
      <c r="O1306">
        <f>-644.770132959344 -46.7555579583336 -734.625805591914</f>
        <v>-1426.1514965095917</v>
      </c>
      <c r="P1306">
        <f>-638.173170476592 -41.2014511892073 -418.221247533713</f>
        <v>-1097.5958691995122</v>
      </c>
      <c r="Q1306">
        <f>-380.047281088131 -44.5438697120869 -449.874153586002</f>
        <v>-874.46530438621994</v>
      </c>
      <c r="R1306" t="s">
        <v>23308</v>
      </c>
      <c r="S1306" t="s">
        <v>23309</v>
      </c>
      <c r="T1306" t="s">
        <v>23310</v>
      </c>
      <c r="U1306" t="s">
        <v>23311</v>
      </c>
      <c r="V1306" t="s">
        <v>23312</v>
      </c>
      <c r="W1306" t="s">
        <v>23313</v>
      </c>
      <c r="X1306" t="s">
        <v>23314</v>
      </c>
      <c r="Y1306" t="s">
        <v>23315</v>
      </c>
    </row>
    <row r="1307" spans="1:25" x14ac:dyDescent="0.3">
      <c r="A1307">
        <v>65300</v>
      </c>
      <c r="B1307" t="s">
        <v>23316</v>
      </c>
      <c r="C1307" t="s">
        <v>23317</v>
      </c>
      <c r="D1307" t="s">
        <v>23318</v>
      </c>
      <c r="E1307" t="s">
        <v>23319</v>
      </c>
      <c r="F1307" t="s">
        <v>23320</v>
      </c>
      <c r="G1307" t="s">
        <v>23321</v>
      </c>
      <c r="H1307" t="s">
        <v>23322</v>
      </c>
      <c r="I1307" t="s">
        <v>23323</v>
      </c>
      <c r="J1307" t="s">
        <v>23324</v>
      </c>
      <c r="K1307" t="s">
        <v>23325</v>
      </c>
      <c r="L1307" t="s">
        <v>23326</v>
      </c>
      <c r="M1307" t="s">
        <v>23327</v>
      </c>
      <c r="N1307" t="s">
        <v>23328</v>
      </c>
      <c r="O1307">
        <f>-644.834772931962 -47.4144034982737 -734.247028619445</f>
        <v>-1426.4962050496806</v>
      </c>
      <c r="P1307">
        <f>-637.717804193042 -40.6049622661078 -417.878335148634</f>
        <v>-1096.2011016077838</v>
      </c>
      <c r="Q1307">
        <f>-379.550420633762 -42.9148334021847 -449.283967710846</f>
        <v>-871.74922174679273</v>
      </c>
      <c r="R1307" t="s">
        <v>23329</v>
      </c>
      <c r="S1307" t="s">
        <v>23330</v>
      </c>
      <c r="T1307" t="s">
        <v>23331</v>
      </c>
      <c r="U1307" t="s">
        <v>23332</v>
      </c>
      <c r="V1307" t="s">
        <v>23333</v>
      </c>
      <c r="W1307" t="s">
        <v>23334</v>
      </c>
      <c r="X1307" t="s">
        <v>23335</v>
      </c>
      <c r="Y1307" t="s">
        <v>23336</v>
      </c>
    </row>
    <row r="1308" spans="1:25" x14ac:dyDescent="0.3">
      <c r="A1308">
        <v>65350</v>
      </c>
      <c r="B1308" t="s">
        <v>23337</v>
      </c>
      <c r="C1308" t="s">
        <v>23338</v>
      </c>
      <c r="D1308" t="s">
        <v>23339</v>
      </c>
      <c r="E1308" t="s">
        <v>23340</v>
      </c>
      <c r="F1308" t="s">
        <v>23341</v>
      </c>
      <c r="G1308" t="s">
        <v>23342</v>
      </c>
      <c r="H1308" t="s">
        <v>23343</v>
      </c>
      <c r="I1308" t="s">
        <v>23344</v>
      </c>
      <c r="J1308" t="s">
        <v>23345</v>
      </c>
      <c r="K1308" t="s">
        <v>23346</v>
      </c>
      <c r="L1308" t="s">
        <v>23347</v>
      </c>
      <c r="M1308" t="s">
        <v>23348</v>
      </c>
      <c r="N1308" t="s">
        <v>23349</v>
      </c>
      <c r="O1308">
        <f>-644.330000352245 -48.8622921227354 -733.273619444281</f>
        <v>-1426.4659119192615</v>
      </c>
      <c r="P1308">
        <f>-636.068493387936 -40.1419769812794 -416.97959386854</f>
        <v>-1093.1900642377555</v>
      </c>
      <c r="Q1308">
        <f>-377.926336108533 -42.2158702997265 -448.608199069721</f>
        <v>-868.75040547798051</v>
      </c>
      <c r="R1308" t="s">
        <v>23350</v>
      </c>
      <c r="S1308" t="s">
        <v>23351</v>
      </c>
      <c r="T1308" t="s">
        <v>23352</v>
      </c>
      <c r="U1308" t="s">
        <v>23353</v>
      </c>
      <c r="V1308" t="s">
        <v>23354</v>
      </c>
      <c r="W1308" t="s">
        <v>23355</v>
      </c>
      <c r="X1308" t="s">
        <v>23356</v>
      </c>
      <c r="Y1308" t="s">
        <v>23357</v>
      </c>
    </row>
    <row r="1309" spans="1:25" x14ac:dyDescent="0.3">
      <c r="A1309">
        <v>65400</v>
      </c>
      <c r="B1309" t="s">
        <v>23358</v>
      </c>
      <c r="C1309" t="s">
        <v>23359</v>
      </c>
      <c r="D1309" t="s">
        <v>23360</v>
      </c>
      <c r="E1309" t="s">
        <v>23361</v>
      </c>
      <c r="F1309" t="s">
        <v>23362</v>
      </c>
      <c r="G1309" t="s">
        <v>23363</v>
      </c>
      <c r="H1309" t="s">
        <v>23364</v>
      </c>
      <c r="I1309" t="s">
        <v>23365</v>
      </c>
      <c r="J1309" t="s">
        <v>23366</v>
      </c>
      <c r="K1309" t="s">
        <v>23367</v>
      </c>
      <c r="L1309" t="s">
        <v>23368</v>
      </c>
      <c r="M1309" t="s">
        <v>23369</v>
      </c>
      <c r="N1309" t="s">
        <v>23370</v>
      </c>
      <c r="O1309">
        <f>-644.41012842117 -49.2777011411142 -732.842208051267</f>
        <v>-1426.5300376135513</v>
      </c>
      <c r="P1309">
        <f>-635.552612855153 -39.9861163126957 -416.58051082292</f>
        <v>-1092.1192399907686</v>
      </c>
      <c r="Q1309">
        <f>-377.354983967826 -41.5392441864026 -447.783304294693</f>
        <v>-866.67753244892151</v>
      </c>
      <c r="R1309" t="s">
        <v>23371</v>
      </c>
      <c r="S1309" t="s">
        <v>23372</v>
      </c>
      <c r="T1309" t="s">
        <v>23373</v>
      </c>
      <c r="U1309" t="s">
        <v>23374</v>
      </c>
      <c r="V1309" t="s">
        <v>23375</v>
      </c>
      <c r="W1309" t="s">
        <v>23376</v>
      </c>
      <c r="X1309" t="s">
        <v>23377</v>
      </c>
      <c r="Y1309" t="s">
        <v>23378</v>
      </c>
    </row>
    <row r="1310" spans="1:25" x14ac:dyDescent="0.3">
      <c r="A1310">
        <v>65450</v>
      </c>
      <c r="B1310" t="s">
        <v>23379</v>
      </c>
      <c r="C1310" t="s">
        <v>23380</v>
      </c>
      <c r="D1310" t="s">
        <v>23381</v>
      </c>
      <c r="E1310" t="s">
        <v>23382</v>
      </c>
      <c r="F1310" t="s">
        <v>23383</v>
      </c>
      <c r="G1310" t="s">
        <v>23384</v>
      </c>
      <c r="H1310" t="s">
        <v>23385</v>
      </c>
      <c r="I1310" t="s">
        <v>23386</v>
      </c>
      <c r="J1310" t="s">
        <v>23387</v>
      </c>
      <c r="K1310" t="s">
        <v>23388</v>
      </c>
      <c r="L1310" t="s">
        <v>23389</v>
      </c>
      <c r="M1310" t="s">
        <v>23390</v>
      </c>
      <c r="N1310" t="s">
        <v>23391</v>
      </c>
      <c r="O1310">
        <f>-643.440946422318 -50.2154441572116 -732.044952930381</f>
        <v>-1425.7013435099107</v>
      </c>
      <c r="P1310">
        <f>-633.538255725354 -40.2086646489024 -415.836136560313</f>
        <v>-1089.5830569345694</v>
      </c>
      <c r="Q1310">
        <f>-375.184112184168 -42.4509216339038 -445.671365016218</f>
        <v>-863.30639883428978</v>
      </c>
      <c r="R1310" t="s">
        <v>23392</v>
      </c>
      <c r="S1310" t="s">
        <v>23393</v>
      </c>
      <c r="T1310" t="s">
        <v>23394</v>
      </c>
      <c r="U1310" t="s">
        <v>23395</v>
      </c>
      <c r="V1310" t="s">
        <v>23396</v>
      </c>
      <c r="W1310" t="s">
        <v>23397</v>
      </c>
      <c r="X1310" t="s">
        <v>23398</v>
      </c>
      <c r="Y1310" t="s">
        <v>23399</v>
      </c>
    </row>
    <row r="1311" spans="1:25" x14ac:dyDescent="0.3">
      <c r="A1311">
        <v>65500</v>
      </c>
      <c r="B1311" t="s">
        <v>23400</v>
      </c>
      <c r="C1311" t="s">
        <v>23401</v>
      </c>
      <c r="D1311" t="s">
        <v>23402</v>
      </c>
      <c r="E1311" t="s">
        <v>23403</v>
      </c>
      <c r="F1311" t="s">
        <v>23404</v>
      </c>
      <c r="G1311" t="s">
        <v>23405</v>
      </c>
      <c r="H1311" t="s">
        <v>23406</v>
      </c>
      <c r="I1311" t="s">
        <v>23407</v>
      </c>
      <c r="J1311" t="s">
        <v>23408</v>
      </c>
      <c r="K1311" t="s">
        <v>23409</v>
      </c>
      <c r="L1311" t="s">
        <v>23410</v>
      </c>
      <c r="M1311" t="s">
        <v>23411</v>
      </c>
      <c r="N1311" t="s">
        <v>23412</v>
      </c>
      <c r="O1311">
        <f>-643.631477016725 -50.4810367744772 -731.843530451757</f>
        <v>-1425.9560442429593</v>
      </c>
      <c r="P1311">
        <f>-632.484812775098 -40.2812539521535 -415.682282330837</f>
        <v>-1088.4483490580885</v>
      </c>
      <c r="Q1311">
        <f>-373.930292847689 -42.3966610244095 -443.738266047774</f>
        <v>-860.06521991987245</v>
      </c>
      <c r="R1311" t="s">
        <v>23413</v>
      </c>
      <c r="S1311" t="s">
        <v>23414</v>
      </c>
      <c r="T1311" t="s">
        <v>23415</v>
      </c>
      <c r="U1311" t="s">
        <v>23416</v>
      </c>
      <c r="V1311" t="s">
        <v>23417</v>
      </c>
      <c r="W1311" t="s">
        <v>23418</v>
      </c>
      <c r="X1311" t="s">
        <v>23419</v>
      </c>
      <c r="Y1311" t="s">
        <v>23420</v>
      </c>
    </row>
    <row r="1312" spans="1:25" x14ac:dyDescent="0.3">
      <c r="A1312">
        <v>65550</v>
      </c>
      <c r="B1312" t="s">
        <v>23421</v>
      </c>
      <c r="C1312" t="s">
        <v>23422</v>
      </c>
      <c r="D1312" t="s">
        <v>23423</v>
      </c>
      <c r="E1312" t="s">
        <v>23424</v>
      </c>
      <c r="F1312" t="s">
        <v>23425</v>
      </c>
      <c r="G1312" t="s">
        <v>23426</v>
      </c>
      <c r="H1312" t="s">
        <v>23427</v>
      </c>
      <c r="I1312" t="s">
        <v>23428</v>
      </c>
      <c r="J1312" t="s">
        <v>23429</v>
      </c>
      <c r="K1312" t="s">
        <v>23430</v>
      </c>
      <c r="L1312" t="s">
        <v>23431</v>
      </c>
      <c r="M1312" t="s">
        <v>23432</v>
      </c>
      <c r="N1312" t="s">
        <v>23433</v>
      </c>
      <c r="O1312">
        <f>-643.862823152661 -51.5107870926338 -731.423238256472</f>
        <v>-1426.7968485017668</v>
      </c>
      <c r="P1312">
        <f>-633.137046657986 -42.3982078107056 -415.214388818041</f>
        <v>-1090.7496432867326</v>
      </c>
      <c r="Q1312">
        <f>-374.496787585466 -42.6981551194481 -442.548557454692</f>
        <v>-859.74350015960613</v>
      </c>
      <c r="R1312" t="s">
        <v>23434</v>
      </c>
      <c r="S1312" t="s">
        <v>23435</v>
      </c>
      <c r="T1312" t="s">
        <v>23436</v>
      </c>
      <c r="U1312" t="s">
        <v>23437</v>
      </c>
      <c r="V1312" t="s">
        <v>23438</v>
      </c>
      <c r="W1312" t="s">
        <v>23439</v>
      </c>
      <c r="X1312" t="s">
        <v>23440</v>
      </c>
      <c r="Y1312" t="s">
        <v>23441</v>
      </c>
    </row>
    <row r="1313" spans="1:25" x14ac:dyDescent="0.3">
      <c r="A1313">
        <v>65600</v>
      </c>
      <c r="B1313" t="s">
        <v>23442</v>
      </c>
      <c r="C1313" t="s">
        <v>23443</v>
      </c>
      <c r="D1313" t="s">
        <v>23444</v>
      </c>
      <c r="E1313" t="s">
        <v>23445</v>
      </c>
      <c r="F1313" t="s">
        <v>23446</v>
      </c>
      <c r="G1313" t="s">
        <v>23447</v>
      </c>
      <c r="H1313" t="s">
        <v>23448</v>
      </c>
      <c r="I1313" t="s">
        <v>23449</v>
      </c>
      <c r="J1313" t="s">
        <v>23450</v>
      </c>
      <c r="K1313" t="s">
        <v>23451</v>
      </c>
      <c r="L1313" t="s">
        <v>23452</v>
      </c>
      <c r="M1313" t="s">
        <v>23453</v>
      </c>
      <c r="N1313" t="s">
        <v>23454</v>
      </c>
      <c r="O1313">
        <f>-644.281212631381 -51.5681138028224 -731.374596850398</f>
        <v>-1427.2239232846014</v>
      </c>
      <c r="P1313">
        <f>-633.149376175158 -42.8356465610937 -415.168946243783</f>
        <v>-1091.1539689800347</v>
      </c>
      <c r="Q1313">
        <f>-374.418920340815 -41.813074773605 -441.618039335482</f>
        <v>-857.85003444990207</v>
      </c>
      <c r="R1313" t="s">
        <v>23455</v>
      </c>
      <c r="S1313" t="s">
        <v>23456</v>
      </c>
      <c r="T1313" t="s">
        <v>23457</v>
      </c>
      <c r="U1313" t="s">
        <v>23458</v>
      </c>
      <c r="V1313" t="s">
        <v>23459</v>
      </c>
      <c r="W1313" t="s">
        <v>23460</v>
      </c>
      <c r="X1313" t="s">
        <v>23461</v>
      </c>
      <c r="Y1313" t="s">
        <v>23462</v>
      </c>
    </row>
    <row r="1314" spans="1:25" x14ac:dyDescent="0.3">
      <c r="A1314">
        <v>65650</v>
      </c>
      <c r="B1314" t="s">
        <v>23463</v>
      </c>
      <c r="C1314" t="s">
        <v>23464</v>
      </c>
      <c r="D1314" t="s">
        <v>23465</v>
      </c>
      <c r="E1314" t="s">
        <v>23466</v>
      </c>
      <c r="F1314" t="s">
        <v>23467</v>
      </c>
      <c r="G1314" t="s">
        <v>23468</v>
      </c>
      <c r="H1314" t="s">
        <v>23469</v>
      </c>
      <c r="I1314" t="s">
        <v>23470</v>
      </c>
      <c r="J1314" t="s">
        <v>23471</v>
      </c>
      <c r="K1314" t="s">
        <v>23472</v>
      </c>
      <c r="L1314" t="s">
        <v>23473</v>
      </c>
      <c r="M1314" t="s">
        <v>23474</v>
      </c>
      <c r="N1314" t="s">
        <v>23475</v>
      </c>
      <c r="O1314">
        <f>-645.468854580386 -51.4439508198645 -731.368751159292</f>
        <v>-1428.2815565595424</v>
      </c>
      <c r="P1314">
        <f>-634.485992725453 -42.1984023008104 -415.172497536267</f>
        <v>-1091.8568925625304</v>
      </c>
      <c r="Q1314">
        <f>-375.667693475408 -41.1703484650725 -440.747533202329</f>
        <v>-857.58557514280949</v>
      </c>
      <c r="R1314" t="s">
        <v>23476</v>
      </c>
      <c r="S1314" t="s">
        <v>23477</v>
      </c>
      <c r="T1314" t="s">
        <v>23478</v>
      </c>
      <c r="U1314" t="s">
        <v>23479</v>
      </c>
      <c r="V1314" t="s">
        <v>23480</v>
      </c>
      <c r="W1314" t="s">
        <v>23481</v>
      </c>
      <c r="X1314" t="s">
        <v>23482</v>
      </c>
      <c r="Y1314" t="s">
        <v>23483</v>
      </c>
    </row>
    <row r="1315" spans="1:25" x14ac:dyDescent="0.3">
      <c r="A1315">
        <v>65700</v>
      </c>
      <c r="B1315" t="s">
        <v>23484</v>
      </c>
      <c r="C1315" t="s">
        <v>23485</v>
      </c>
      <c r="D1315" t="s">
        <v>23486</v>
      </c>
      <c r="E1315" t="s">
        <v>23487</v>
      </c>
      <c r="F1315" t="s">
        <v>23488</v>
      </c>
      <c r="G1315" t="s">
        <v>23489</v>
      </c>
      <c r="H1315" t="s">
        <v>23490</v>
      </c>
      <c r="I1315" t="s">
        <v>23491</v>
      </c>
      <c r="J1315" t="s">
        <v>23492</v>
      </c>
      <c r="K1315" t="s">
        <v>23493</v>
      </c>
      <c r="L1315" t="s">
        <v>23494</v>
      </c>
      <c r="M1315" t="s">
        <v>23495</v>
      </c>
      <c r="N1315" t="s">
        <v>23496</v>
      </c>
      <c r="O1315">
        <f>-646.43838502224 -51.2741781286641 -731.157823230189</f>
        <v>-1428.8703863810931</v>
      </c>
      <c r="P1315">
        <f>-634.682576596201 -41.6515217392866 -415.000594477328</f>
        <v>-1091.3346928128155</v>
      </c>
      <c r="Q1315">
        <f>-375.806333996734 -41.0175087087553 -439.995127968209</f>
        <v>-856.81897067369823</v>
      </c>
      <c r="R1315" t="s">
        <v>23497</v>
      </c>
      <c r="S1315" t="s">
        <v>23498</v>
      </c>
      <c r="T1315" t="s">
        <v>23499</v>
      </c>
      <c r="U1315" t="s">
        <v>23500</v>
      </c>
      <c r="V1315" t="s">
        <v>23501</v>
      </c>
      <c r="W1315" t="s">
        <v>23502</v>
      </c>
      <c r="X1315" t="s">
        <v>23503</v>
      </c>
      <c r="Y1315" t="s">
        <v>23504</v>
      </c>
    </row>
    <row r="1316" spans="1:25" x14ac:dyDescent="0.3">
      <c r="A1316">
        <v>65750</v>
      </c>
      <c r="B1316" t="s">
        <v>23505</v>
      </c>
      <c r="C1316" t="s">
        <v>23506</v>
      </c>
      <c r="D1316" t="s">
        <v>23507</v>
      </c>
      <c r="E1316" t="s">
        <v>23508</v>
      </c>
      <c r="F1316" t="s">
        <v>23509</v>
      </c>
      <c r="G1316" t="s">
        <v>23510</v>
      </c>
      <c r="H1316" t="s">
        <v>23511</v>
      </c>
      <c r="I1316" t="s">
        <v>23512</v>
      </c>
      <c r="J1316" t="s">
        <v>23513</v>
      </c>
      <c r="K1316" t="s">
        <v>23514</v>
      </c>
      <c r="L1316" t="s">
        <v>23515</v>
      </c>
      <c r="M1316" t="s">
        <v>23516</v>
      </c>
      <c r="N1316" t="s">
        <v>23517</v>
      </c>
      <c r="O1316">
        <f>-647.748999114631 -51.2027402701926 -730.871485843471</f>
        <v>-1429.8232252282946</v>
      </c>
      <c r="P1316">
        <f>-635.443869488581 -41.4550156554046 -414.73894854903</f>
        <v>-1091.6378336930156</v>
      </c>
      <c r="Q1316">
        <f>-376.461449954479 -41.0214190696863 -438.612997920661</f>
        <v>-856.0958669448263</v>
      </c>
      <c r="R1316" t="s">
        <v>23518</v>
      </c>
      <c r="S1316" t="s">
        <v>23519</v>
      </c>
      <c r="T1316" t="s">
        <v>23520</v>
      </c>
      <c r="U1316" t="s">
        <v>23521</v>
      </c>
      <c r="V1316" t="s">
        <v>23522</v>
      </c>
      <c r="W1316" t="s">
        <v>23523</v>
      </c>
      <c r="X1316" t="s">
        <v>23524</v>
      </c>
      <c r="Y1316" t="s">
        <v>23525</v>
      </c>
    </row>
    <row r="1317" spans="1:25" x14ac:dyDescent="0.3">
      <c r="A1317">
        <v>65800</v>
      </c>
      <c r="B1317" t="s">
        <v>23526</v>
      </c>
      <c r="C1317" t="s">
        <v>23527</v>
      </c>
      <c r="D1317" t="s">
        <v>23528</v>
      </c>
      <c r="E1317" t="s">
        <v>23529</v>
      </c>
      <c r="F1317" t="s">
        <v>23530</v>
      </c>
      <c r="G1317" t="s">
        <v>23531</v>
      </c>
      <c r="H1317" t="s">
        <v>23532</v>
      </c>
      <c r="I1317" t="s">
        <v>23533</v>
      </c>
      <c r="J1317" t="s">
        <v>23534</v>
      </c>
      <c r="K1317" t="s">
        <v>23535</v>
      </c>
      <c r="L1317" t="s">
        <v>23536</v>
      </c>
      <c r="M1317" t="s">
        <v>23537</v>
      </c>
      <c r="N1317" t="s">
        <v>23538</v>
      </c>
      <c r="O1317">
        <f>-648.25349797029 -51.1414359601395 -730.722054332271</f>
        <v>-1430.1169882627005</v>
      </c>
      <c r="P1317">
        <f>-635.667168760428 -41.4654843374854 -414.598323798047</f>
        <v>-1091.7309768959603</v>
      </c>
      <c r="Q1317">
        <f>-376.693027441487 -40.4285373630794 -438.543016355176</f>
        <v>-855.6645811597424</v>
      </c>
      <c r="R1317" t="s">
        <v>23539</v>
      </c>
      <c r="S1317" t="s">
        <v>23540</v>
      </c>
      <c r="T1317" t="s">
        <v>23541</v>
      </c>
      <c r="U1317" t="s">
        <v>23542</v>
      </c>
      <c r="V1317" t="s">
        <v>23543</v>
      </c>
      <c r="W1317" t="s">
        <v>23544</v>
      </c>
      <c r="X1317" t="s">
        <v>23545</v>
      </c>
      <c r="Y1317" t="s">
        <v>23546</v>
      </c>
    </row>
    <row r="1318" spans="1:25" x14ac:dyDescent="0.3">
      <c r="A1318">
        <v>65850</v>
      </c>
      <c r="B1318" t="s">
        <v>23547</v>
      </c>
      <c r="C1318" t="s">
        <v>23548</v>
      </c>
      <c r="D1318" t="s">
        <v>23549</v>
      </c>
      <c r="E1318" t="s">
        <v>23550</v>
      </c>
      <c r="F1318" t="s">
        <v>23551</v>
      </c>
      <c r="G1318" t="s">
        <v>23552</v>
      </c>
      <c r="H1318" t="s">
        <v>23553</v>
      </c>
      <c r="I1318" t="s">
        <v>23554</v>
      </c>
      <c r="J1318" t="s">
        <v>23555</v>
      </c>
      <c r="K1318" t="s">
        <v>23556</v>
      </c>
      <c r="L1318" t="s">
        <v>23557</v>
      </c>
      <c r="M1318" t="s">
        <v>23558</v>
      </c>
      <c r="N1318" t="s">
        <v>23559</v>
      </c>
      <c r="O1318">
        <f>-648.439397398978 -51.1847195818852 -730.218079848125</f>
        <v>-1429.8421968289881</v>
      </c>
      <c r="P1318">
        <f>-634.474010646393 -40.864527842225 -414.172803882012</f>
        <v>-1089.51134237063</v>
      </c>
      <c r="Q1318">
        <f>-375.48912910408 -40.2076208452049 -438.01512552851</f>
        <v>-853.71187547779493</v>
      </c>
      <c r="R1318" t="s">
        <v>23560</v>
      </c>
      <c r="S1318" t="s">
        <v>23561</v>
      </c>
      <c r="T1318" t="s">
        <v>23562</v>
      </c>
      <c r="U1318" t="s">
        <v>23563</v>
      </c>
      <c r="V1318" t="s">
        <v>23564</v>
      </c>
      <c r="W1318" t="s">
        <v>23565</v>
      </c>
      <c r="X1318" t="s">
        <v>23566</v>
      </c>
      <c r="Y1318" t="s">
        <v>23567</v>
      </c>
    </row>
    <row r="1319" spans="1:25" x14ac:dyDescent="0.3">
      <c r="A1319">
        <v>65900</v>
      </c>
      <c r="B1319" t="s">
        <v>23568</v>
      </c>
      <c r="C1319" t="s">
        <v>23569</v>
      </c>
      <c r="D1319" t="s">
        <v>23570</v>
      </c>
      <c r="E1319" t="s">
        <v>23571</v>
      </c>
      <c r="F1319" t="s">
        <v>23572</v>
      </c>
      <c r="G1319" t="s">
        <v>23573</v>
      </c>
      <c r="H1319" t="s">
        <v>23574</v>
      </c>
      <c r="I1319" t="s">
        <v>23575</v>
      </c>
      <c r="J1319" t="s">
        <v>23576</v>
      </c>
      <c r="K1319" t="s">
        <v>23577</v>
      </c>
      <c r="L1319" t="s">
        <v>23578</v>
      </c>
      <c r="M1319" t="s">
        <v>23579</v>
      </c>
      <c r="N1319" t="s">
        <v>23580</v>
      </c>
      <c r="O1319">
        <f>-648.332018464713 -51.5204351018758 -729.770729676747</f>
        <v>-1429.6231832433359</v>
      </c>
      <c r="P1319">
        <f>-633.894887276968 -40.7555338602956 -413.761591013472</f>
        <v>-1088.4120121507356</v>
      </c>
      <c r="Q1319">
        <f>-374.949863730812 -40.8306803570663 -438.041606416827</f>
        <v>-853.82215050470529</v>
      </c>
      <c r="R1319" t="s">
        <v>23581</v>
      </c>
      <c r="S1319" t="s">
        <v>23582</v>
      </c>
      <c r="T1319" t="s">
        <v>23583</v>
      </c>
      <c r="U1319" t="s">
        <v>23584</v>
      </c>
      <c r="V1319" t="s">
        <v>23585</v>
      </c>
      <c r="W1319" t="s">
        <v>23586</v>
      </c>
      <c r="X1319" t="s">
        <v>23587</v>
      </c>
      <c r="Y1319" t="s">
        <v>23588</v>
      </c>
    </row>
    <row r="1320" spans="1:25" x14ac:dyDescent="0.3">
      <c r="A1320">
        <v>65950</v>
      </c>
      <c r="B1320" t="s">
        <v>23589</v>
      </c>
      <c r="C1320" t="s">
        <v>23590</v>
      </c>
      <c r="D1320" t="s">
        <v>23591</v>
      </c>
      <c r="E1320" t="s">
        <v>23592</v>
      </c>
      <c r="F1320" t="s">
        <v>23593</v>
      </c>
      <c r="G1320" t="s">
        <v>23594</v>
      </c>
      <c r="H1320" t="s">
        <v>23595</v>
      </c>
      <c r="I1320" t="s">
        <v>23596</v>
      </c>
      <c r="J1320" t="s">
        <v>23597</v>
      </c>
      <c r="K1320" t="s">
        <v>23598</v>
      </c>
      <c r="L1320" t="s">
        <v>23599</v>
      </c>
      <c r="M1320" t="s">
        <v>23600</v>
      </c>
      <c r="N1320" t="s">
        <v>23601</v>
      </c>
      <c r="O1320">
        <f>-648.073448174964 -51.862015398412 -729.052512095833</f>
        <v>-1428.9879756692089</v>
      </c>
      <c r="P1320">
        <f>-631.794334894293 -40.1284551266028 -413.167183034498</f>
        <v>-1085.0899730553938</v>
      </c>
      <c r="Q1320">
        <f>-372.857894787526 -41.0104015456684 -437.522504049597</f>
        <v>-851.39080038279144</v>
      </c>
      <c r="R1320" t="s">
        <v>23602</v>
      </c>
      <c r="S1320" t="s">
        <v>23603</v>
      </c>
      <c r="T1320" t="s">
        <v>23604</v>
      </c>
      <c r="U1320" t="s">
        <v>23605</v>
      </c>
      <c r="V1320" t="s">
        <v>23606</v>
      </c>
      <c r="W1320" t="s">
        <v>23607</v>
      </c>
      <c r="X1320" t="s">
        <v>23608</v>
      </c>
      <c r="Y1320" t="s">
        <v>23609</v>
      </c>
    </row>
    <row r="1321" spans="1:25" x14ac:dyDescent="0.3">
      <c r="A1321">
        <v>66000</v>
      </c>
      <c r="B1321" t="s">
        <v>23610</v>
      </c>
      <c r="C1321" t="s">
        <v>23611</v>
      </c>
      <c r="D1321" t="s">
        <v>23612</v>
      </c>
      <c r="E1321" t="s">
        <v>23613</v>
      </c>
      <c r="F1321" t="s">
        <v>23614</v>
      </c>
      <c r="G1321" t="s">
        <v>23615</v>
      </c>
      <c r="H1321" t="s">
        <v>23616</v>
      </c>
      <c r="I1321" t="s">
        <v>23617</v>
      </c>
      <c r="J1321" t="s">
        <v>23618</v>
      </c>
      <c r="K1321" t="s">
        <v>23619</v>
      </c>
      <c r="L1321" t="s">
        <v>23620</v>
      </c>
      <c r="M1321" t="s">
        <v>23621</v>
      </c>
      <c r="N1321" t="s">
        <v>23622</v>
      </c>
      <c r="O1321">
        <f>-647.622221153146 -52.2654964502617 -728.675635652828</f>
        <v>-1428.5633532562356</v>
      </c>
      <c r="P1321">
        <f>-631.088288510478 -40.387272420166 -412.809095593148</f>
        <v>-1084.2846565237921</v>
      </c>
      <c r="Q1321">
        <f>-372.233968689354 -41.3206618674626 -438.020568824245</f>
        <v>-851.57519938106157</v>
      </c>
      <c r="R1321" t="s">
        <v>23623</v>
      </c>
      <c r="S1321" t="s">
        <v>23624</v>
      </c>
      <c r="T1321" t="s">
        <v>23625</v>
      </c>
      <c r="U1321" t="s">
        <v>23626</v>
      </c>
      <c r="V1321" t="s">
        <v>23627</v>
      </c>
      <c r="W1321" t="s">
        <v>23628</v>
      </c>
      <c r="X1321" t="s">
        <v>23629</v>
      </c>
      <c r="Y1321" t="s">
        <v>23630</v>
      </c>
    </row>
    <row r="1322" spans="1:25" x14ac:dyDescent="0.3">
      <c r="A1322">
        <v>66050</v>
      </c>
      <c r="B1322" t="s">
        <v>23631</v>
      </c>
      <c r="C1322" t="s">
        <v>23632</v>
      </c>
      <c r="D1322" t="s">
        <v>23633</v>
      </c>
      <c r="E1322" t="s">
        <v>23634</v>
      </c>
      <c r="F1322" t="s">
        <v>23635</v>
      </c>
      <c r="G1322" t="s">
        <v>23636</v>
      </c>
      <c r="H1322" t="s">
        <v>23637</v>
      </c>
      <c r="I1322" t="s">
        <v>23638</v>
      </c>
      <c r="J1322" t="s">
        <v>23639</v>
      </c>
      <c r="K1322" t="s">
        <v>23640</v>
      </c>
      <c r="L1322" t="s">
        <v>23641</v>
      </c>
      <c r="M1322" t="s">
        <v>23642</v>
      </c>
      <c r="N1322" t="s">
        <v>23643</v>
      </c>
      <c r="O1322">
        <f>-647.145943102972 -52.7121266473271 -727.584065771574</f>
        <v>-1427.4421355218731</v>
      </c>
      <c r="P1322">
        <f>-628.667934998808 -39.221607255326 -411.890060950897</f>
        <v>-1079.779603205031</v>
      </c>
      <c r="Q1322">
        <f>-369.955811633113 -40.4617931867956 -438.508698792283</f>
        <v>-848.92630361219153</v>
      </c>
      <c r="R1322" t="s">
        <v>23644</v>
      </c>
      <c r="S1322" t="s">
        <v>23645</v>
      </c>
      <c r="T1322" t="s">
        <v>23646</v>
      </c>
      <c r="U1322" t="s">
        <v>23647</v>
      </c>
      <c r="V1322" t="s">
        <v>23648</v>
      </c>
      <c r="W1322" t="s">
        <v>23649</v>
      </c>
      <c r="X1322" t="s">
        <v>23650</v>
      </c>
      <c r="Y1322" t="s">
        <v>23651</v>
      </c>
    </row>
    <row r="1323" spans="1:25" x14ac:dyDescent="0.3">
      <c r="A1323">
        <v>66100</v>
      </c>
      <c r="B1323" t="s">
        <v>23652</v>
      </c>
      <c r="C1323" t="s">
        <v>23653</v>
      </c>
      <c r="D1323" t="s">
        <v>23654</v>
      </c>
      <c r="E1323" t="s">
        <v>23655</v>
      </c>
      <c r="F1323" t="s">
        <v>23656</v>
      </c>
      <c r="G1323" t="s">
        <v>23657</v>
      </c>
      <c r="H1323" t="s">
        <v>23658</v>
      </c>
      <c r="I1323" t="s">
        <v>23659</v>
      </c>
      <c r="J1323" t="s">
        <v>23660</v>
      </c>
      <c r="K1323" t="s">
        <v>23661</v>
      </c>
      <c r="L1323" t="s">
        <v>23662</v>
      </c>
      <c r="M1323" t="s">
        <v>23663</v>
      </c>
      <c r="N1323" t="s">
        <v>23664</v>
      </c>
      <c r="O1323">
        <f>-646.704917178479 -53.157787387958 -726.951055461334</f>
        <v>-1426.813760027771</v>
      </c>
      <c r="P1323">
        <f>-627.661670891751 -38.7957176374839 -411.328989763235</f>
        <v>-1077.7863782924699</v>
      </c>
      <c r="Q1323">
        <f>-369.066810408608 -40.5860266886866 -439.033762838871</f>
        <v>-848.68659993616552</v>
      </c>
      <c r="R1323" t="s">
        <v>23665</v>
      </c>
      <c r="S1323" t="s">
        <v>23666</v>
      </c>
      <c r="T1323" t="s">
        <v>23667</v>
      </c>
      <c r="U1323" t="s">
        <v>23668</v>
      </c>
      <c r="V1323" t="s">
        <v>23669</v>
      </c>
      <c r="W1323" t="s">
        <v>23670</v>
      </c>
      <c r="X1323" t="s">
        <v>23671</v>
      </c>
      <c r="Y1323" t="s">
        <v>23672</v>
      </c>
    </row>
    <row r="1324" spans="1:25" x14ac:dyDescent="0.3">
      <c r="A1324">
        <v>66150</v>
      </c>
      <c r="B1324" t="s">
        <v>23673</v>
      </c>
      <c r="C1324" t="s">
        <v>23674</v>
      </c>
      <c r="D1324" t="s">
        <v>23675</v>
      </c>
      <c r="E1324" t="s">
        <v>23676</v>
      </c>
      <c r="F1324" t="s">
        <v>23677</v>
      </c>
      <c r="G1324" t="s">
        <v>23678</v>
      </c>
      <c r="H1324" t="s">
        <v>23679</v>
      </c>
      <c r="I1324" t="s">
        <v>23680</v>
      </c>
      <c r="J1324" t="s">
        <v>23681</v>
      </c>
      <c r="K1324" t="s">
        <v>23682</v>
      </c>
      <c r="L1324" t="s">
        <v>23683</v>
      </c>
      <c r="M1324" t="s">
        <v>23684</v>
      </c>
      <c r="N1324" t="s">
        <v>23685</v>
      </c>
      <c r="O1324">
        <f>-646.279777632884 -53.7713405355298 -725.397887993787</f>
        <v>-1425.4490061622009</v>
      </c>
      <c r="P1324">
        <f>-624.606935592172 -37.2956292528327 -410.048817567895</f>
        <v>-1071.9513824128996</v>
      </c>
      <c r="Q1324">
        <f>-366.162869676564 -39.3280754682082 -439.110717204337</f>
        <v>-844.60166234910923</v>
      </c>
      <c r="R1324" t="s">
        <v>23686</v>
      </c>
      <c r="S1324" t="s">
        <v>23687</v>
      </c>
      <c r="T1324" t="s">
        <v>23688</v>
      </c>
      <c r="U1324" t="s">
        <v>23689</v>
      </c>
      <c r="V1324" t="s">
        <v>23690</v>
      </c>
      <c r="W1324" t="s">
        <v>23691</v>
      </c>
      <c r="X1324" t="s">
        <v>23692</v>
      </c>
      <c r="Y1324" t="s">
        <v>23693</v>
      </c>
    </row>
    <row r="1325" spans="1:25" x14ac:dyDescent="0.3">
      <c r="A1325">
        <v>66200</v>
      </c>
      <c r="B1325" t="s">
        <v>23694</v>
      </c>
      <c r="C1325" t="s">
        <v>23695</v>
      </c>
      <c r="D1325" t="s">
        <v>23696</v>
      </c>
      <c r="E1325" t="s">
        <v>23697</v>
      </c>
      <c r="F1325" t="s">
        <v>23698</v>
      </c>
      <c r="G1325" t="s">
        <v>23699</v>
      </c>
      <c r="H1325" t="s">
        <v>23700</v>
      </c>
      <c r="I1325" t="s">
        <v>23701</v>
      </c>
      <c r="J1325" t="s">
        <v>23702</v>
      </c>
      <c r="K1325" t="s">
        <v>23703</v>
      </c>
      <c r="L1325" t="s">
        <v>23704</v>
      </c>
      <c r="M1325" t="s">
        <v>23705</v>
      </c>
      <c r="N1325" t="s">
        <v>23706</v>
      </c>
      <c r="O1325">
        <f>-645.826431405902 -54.2365543877422 -724.480026569389</f>
        <v>-1424.5430123630331</v>
      </c>
      <c r="P1325">
        <f>-623.550409816007 -36.8430470458597 -409.222333172094</f>
        <v>-1069.6157900339608</v>
      </c>
      <c r="Q1325">
        <f>-365.104763718959 -39.2372083386067 -438.242835391717</f>
        <v>-842.58480744928272</v>
      </c>
      <c r="R1325" t="s">
        <v>23707</v>
      </c>
      <c r="S1325" t="s">
        <v>23708</v>
      </c>
      <c r="T1325" t="s">
        <v>23709</v>
      </c>
      <c r="U1325" t="s">
        <v>23710</v>
      </c>
      <c r="V1325" t="s">
        <v>23711</v>
      </c>
      <c r="W1325" t="s">
        <v>23712</v>
      </c>
      <c r="X1325" t="s">
        <v>23713</v>
      </c>
      <c r="Y1325" t="s">
        <v>23714</v>
      </c>
    </row>
    <row r="1326" spans="1:25" x14ac:dyDescent="0.3">
      <c r="A1326">
        <v>66250</v>
      </c>
      <c r="B1326" t="s">
        <v>23715</v>
      </c>
      <c r="C1326" t="s">
        <v>23716</v>
      </c>
      <c r="D1326" t="s">
        <v>23717</v>
      </c>
      <c r="E1326" t="s">
        <v>23718</v>
      </c>
      <c r="F1326" t="s">
        <v>23719</v>
      </c>
      <c r="G1326" t="s">
        <v>23720</v>
      </c>
      <c r="H1326" t="s">
        <v>23721</v>
      </c>
      <c r="I1326" t="s">
        <v>23722</v>
      </c>
      <c r="J1326" t="s">
        <v>23723</v>
      </c>
      <c r="K1326" t="s">
        <v>23724</v>
      </c>
      <c r="L1326" t="s">
        <v>23725</v>
      </c>
      <c r="M1326" t="s">
        <v>23726</v>
      </c>
      <c r="N1326" t="s">
        <v>23727</v>
      </c>
      <c r="O1326">
        <f>-644.909128756027 -54.3565505166041 -722.661648722725</f>
        <v>-1421.9273279953561</v>
      </c>
      <c r="P1326">
        <f>-621.315586529967 -35.2838893990283 -407.596915673431</f>
        <v>-1064.1963916024265</v>
      </c>
      <c r="Q1326">
        <f>-362.935337839468 -36.4346404931634 -437.268000135799</f>
        <v>-836.63797846843045</v>
      </c>
      <c r="R1326" t="s">
        <v>23728</v>
      </c>
      <c r="S1326" t="s">
        <v>23729</v>
      </c>
      <c r="T1326" t="s">
        <v>23730</v>
      </c>
      <c r="U1326" t="s">
        <v>23731</v>
      </c>
      <c r="V1326" t="s">
        <v>23732</v>
      </c>
      <c r="W1326" t="s">
        <v>23733</v>
      </c>
      <c r="X1326" t="s">
        <v>23734</v>
      </c>
      <c r="Y1326" t="s">
        <v>23735</v>
      </c>
    </row>
    <row r="1327" spans="1:25" x14ac:dyDescent="0.3">
      <c r="A1327">
        <v>66300</v>
      </c>
      <c r="B1327" t="s">
        <v>23736</v>
      </c>
      <c r="C1327" t="s">
        <v>23737</v>
      </c>
      <c r="D1327" t="s">
        <v>23738</v>
      </c>
      <c r="E1327" t="s">
        <v>23739</v>
      </c>
      <c r="F1327" t="s">
        <v>23740</v>
      </c>
      <c r="G1327" t="s">
        <v>23741</v>
      </c>
      <c r="H1327" t="s">
        <v>23742</v>
      </c>
      <c r="I1327" t="s">
        <v>23743</v>
      </c>
      <c r="J1327" t="s">
        <v>23744</v>
      </c>
      <c r="K1327" t="s">
        <v>23745</v>
      </c>
      <c r="L1327" t="s">
        <v>23746</v>
      </c>
      <c r="M1327" t="s">
        <v>23747</v>
      </c>
      <c r="N1327" t="s">
        <v>23748</v>
      </c>
      <c r="O1327">
        <f>-644.478892439481 -54.3532604513139 -721.838477632094</f>
        <v>-1420.670630522889</v>
      </c>
      <c r="P1327">
        <f>-620.555288373198 -34.2826447456641 -406.860711758449</f>
        <v>-1061.6986448773112</v>
      </c>
      <c r="Q1327">
        <f>-362.277555538466 -34.4419476245646 -437.432610569417</f>
        <v>-834.15211373244756</v>
      </c>
      <c r="R1327" t="s">
        <v>23749</v>
      </c>
      <c r="S1327" t="s">
        <v>23750</v>
      </c>
      <c r="T1327" t="s">
        <v>23751</v>
      </c>
      <c r="U1327" t="s">
        <v>23752</v>
      </c>
      <c r="V1327" t="s">
        <v>23753</v>
      </c>
      <c r="W1327" t="s">
        <v>23754</v>
      </c>
      <c r="X1327" t="s">
        <v>23755</v>
      </c>
      <c r="Y1327" t="s">
        <v>23756</v>
      </c>
    </row>
    <row r="1328" spans="1:25" x14ac:dyDescent="0.3">
      <c r="A1328">
        <v>66350</v>
      </c>
      <c r="B1328" t="s">
        <v>23757</v>
      </c>
      <c r="C1328" t="s">
        <v>23758</v>
      </c>
      <c r="D1328" t="s">
        <v>23759</v>
      </c>
      <c r="E1328" t="s">
        <v>23760</v>
      </c>
      <c r="F1328" t="s">
        <v>23761</v>
      </c>
      <c r="G1328" t="s">
        <v>23762</v>
      </c>
      <c r="H1328" t="s">
        <v>23763</v>
      </c>
      <c r="I1328" t="s">
        <v>23764</v>
      </c>
      <c r="J1328" t="s">
        <v>23765</v>
      </c>
      <c r="K1328" t="s">
        <v>23766</v>
      </c>
      <c r="L1328" t="s">
        <v>23767</v>
      </c>
      <c r="M1328" t="s">
        <v>23768</v>
      </c>
      <c r="N1328" t="s">
        <v>23769</v>
      </c>
      <c r="O1328">
        <f>-643.39701416343 -54.0550534622232 -720.390385087057</f>
        <v>-1417.8424527127102</v>
      </c>
      <c r="P1328">
        <f>-618.363121733263 -31.9114418103882 -405.637765111096</f>
        <v>-1055.9123286547472</v>
      </c>
      <c r="Q1328">
        <f>-360.243976512319 -31.0247809070606 -437.509260038274</f>
        <v>-828.77801745765362</v>
      </c>
      <c r="R1328" t="s">
        <v>23770</v>
      </c>
      <c r="S1328" t="s">
        <v>23771</v>
      </c>
      <c r="T1328" t="s">
        <v>23772</v>
      </c>
      <c r="U1328" t="s">
        <v>23773</v>
      </c>
      <c r="V1328" t="s">
        <v>23774</v>
      </c>
      <c r="W1328" t="s">
        <v>23775</v>
      </c>
      <c r="X1328" t="s">
        <v>23776</v>
      </c>
      <c r="Y1328" t="s">
        <v>23777</v>
      </c>
    </row>
    <row r="1329" spans="1:25" x14ac:dyDescent="0.3">
      <c r="A1329">
        <v>66400</v>
      </c>
      <c r="B1329" t="s">
        <v>23778</v>
      </c>
      <c r="C1329" t="s">
        <v>23779</v>
      </c>
      <c r="D1329" t="s">
        <v>23780</v>
      </c>
      <c r="E1329" t="s">
        <v>23781</v>
      </c>
      <c r="F1329" t="s">
        <v>23782</v>
      </c>
      <c r="G1329" t="s">
        <v>23783</v>
      </c>
      <c r="H1329" t="s">
        <v>23784</v>
      </c>
      <c r="I1329" t="s">
        <v>23785</v>
      </c>
      <c r="J1329" t="s">
        <v>23786</v>
      </c>
      <c r="K1329" t="s">
        <v>23787</v>
      </c>
      <c r="L1329" t="s">
        <v>23788</v>
      </c>
      <c r="M1329" t="s">
        <v>23789</v>
      </c>
      <c r="N1329" t="s">
        <v>23790</v>
      </c>
      <c r="O1329">
        <f>-642.944445739867 -54.0970186146587 -719.780462221727</f>
        <v>-1416.8219265762527</v>
      </c>
      <c r="P1329">
        <f>-617.288122319798 -29.5733788118648 -405.254555016609</f>
        <v>-1052.1160561482718</v>
      </c>
      <c r="Q1329">
        <f>-358.988172428095 -28.7080659156084 -435.626330314698</f>
        <v>-823.32256865840145</v>
      </c>
      <c r="R1329" t="s">
        <v>23791</v>
      </c>
      <c r="S1329" t="s">
        <v>23792</v>
      </c>
      <c r="T1329" t="s">
        <v>23793</v>
      </c>
      <c r="U1329" t="s">
        <v>23794</v>
      </c>
      <c r="V1329" t="s">
        <v>23795</v>
      </c>
      <c r="W1329" t="s">
        <v>23796</v>
      </c>
      <c r="X1329" t="s">
        <v>23797</v>
      </c>
      <c r="Y1329" t="s">
        <v>23798</v>
      </c>
    </row>
    <row r="1330" spans="1:25" x14ac:dyDescent="0.3">
      <c r="A1330">
        <v>66450</v>
      </c>
      <c r="B1330" t="s">
        <v>23799</v>
      </c>
      <c r="C1330" t="s">
        <v>23800</v>
      </c>
      <c r="D1330" t="s">
        <v>23801</v>
      </c>
      <c r="E1330" t="s">
        <v>23802</v>
      </c>
      <c r="F1330" t="s">
        <v>23803</v>
      </c>
      <c r="G1330" t="s">
        <v>23804</v>
      </c>
      <c r="H1330" t="s">
        <v>23805</v>
      </c>
      <c r="I1330" t="s">
        <v>23806</v>
      </c>
      <c r="J1330" t="s">
        <v>23807</v>
      </c>
      <c r="K1330" t="s">
        <v>23808</v>
      </c>
      <c r="L1330" t="s">
        <v>23809</v>
      </c>
      <c r="M1330" t="s">
        <v>23810</v>
      </c>
      <c r="N1330" t="s">
        <v>23811</v>
      </c>
      <c r="O1330">
        <f>-641.359720029689 -55.212656354634 -718.521178415582</f>
        <v>-1415.093554799905</v>
      </c>
      <c r="P1330">
        <f>-616.368096524414 -28.9890086535515 -404.078912810609</f>
        <v>-1049.4360179885746</v>
      </c>
      <c r="Q1330">
        <f>-357.882935231774 -25.8982475660443 -432.678648387636</f>
        <v>-816.45983118545428</v>
      </c>
      <c r="R1330" t="s">
        <v>23812</v>
      </c>
      <c r="S1330" t="s">
        <v>23813</v>
      </c>
      <c r="T1330" t="s">
        <v>23814</v>
      </c>
      <c r="U1330" t="s">
        <v>23815</v>
      </c>
      <c r="V1330" t="s">
        <v>23816</v>
      </c>
      <c r="W1330" t="s">
        <v>23817</v>
      </c>
      <c r="X1330" t="s">
        <v>23818</v>
      </c>
      <c r="Y1330" t="s">
        <v>23819</v>
      </c>
    </row>
    <row r="1331" spans="1:25" x14ac:dyDescent="0.3">
      <c r="A1331">
        <v>66500</v>
      </c>
      <c r="B1331" t="s">
        <v>23820</v>
      </c>
      <c r="C1331" t="s">
        <v>23821</v>
      </c>
      <c r="D1331" t="s">
        <v>23822</v>
      </c>
      <c r="E1331" t="s">
        <v>23823</v>
      </c>
      <c r="F1331" t="s">
        <v>23824</v>
      </c>
      <c r="G1331" t="s">
        <v>23825</v>
      </c>
      <c r="H1331" t="s">
        <v>23826</v>
      </c>
      <c r="I1331" t="s">
        <v>23827</v>
      </c>
      <c r="J1331" t="s">
        <v>23828</v>
      </c>
      <c r="K1331" t="s">
        <v>23829</v>
      </c>
      <c r="L1331" t="s">
        <v>23830</v>
      </c>
      <c r="M1331" t="s">
        <v>23831</v>
      </c>
      <c r="N1331" t="s">
        <v>23832</v>
      </c>
      <c r="O1331">
        <f>-641.085879510207 -55.9071240937003 -717.900810718332</f>
        <v>-1414.8938143222392</v>
      </c>
      <c r="P1331">
        <f>-616.308674680364 -28.0206749372107 -403.584625306441</f>
        <v>-1047.9139749240157</v>
      </c>
      <c r="Q1331">
        <f>-357.785097267778 -23.8865575980365 -431.700700983198</f>
        <v>-813.37235584901248</v>
      </c>
      <c r="R1331" t="s">
        <v>23833</v>
      </c>
      <c r="S1331" t="s">
        <v>23834</v>
      </c>
      <c r="T1331" t="s">
        <v>23835</v>
      </c>
      <c r="U1331" t="s">
        <v>23836</v>
      </c>
      <c r="V1331" t="s">
        <v>23837</v>
      </c>
      <c r="W1331" t="s">
        <v>23838</v>
      </c>
      <c r="X1331" t="s">
        <v>23839</v>
      </c>
      <c r="Y1331" t="s">
        <v>23840</v>
      </c>
    </row>
    <row r="1332" spans="1:25" x14ac:dyDescent="0.3">
      <c r="A1332">
        <v>66550</v>
      </c>
      <c r="B1332" t="s">
        <v>23841</v>
      </c>
      <c r="C1332" t="s">
        <v>23842</v>
      </c>
      <c r="D1332" t="s">
        <v>23843</v>
      </c>
      <c r="E1332" t="s">
        <v>23844</v>
      </c>
      <c r="F1332" t="s">
        <v>23845</v>
      </c>
      <c r="G1332" t="s">
        <v>23846</v>
      </c>
      <c r="H1332" t="s">
        <v>23847</v>
      </c>
      <c r="I1332" t="s">
        <v>23848</v>
      </c>
      <c r="J1332" t="s">
        <v>23849</v>
      </c>
      <c r="K1332" t="s">
        <v>23850</v>
      </c>
      <c r="L1332" t="s">
        <v>23851</v>
      </c>
      <c r="M1332" t="s">
        <v>23852</v>
      </c>
      <c r="N1332" t="s">
        <v>23853</v>
      </c>
      <c r="O1332">
        <f>-640.791603025196 -56.7286987102182 -716.798493096312</f>
        <v>-1414.3187948317261</v>
      </c>
      <c r="P1332">
        <f>-616.238030345444 -27.3355967667367 -402.602054741608</f>
        <v>-1046.1756818537888</v>
      </c>
      <c r="Q1332">
        <f>-357.715519954633 -21.6185937635319 -430.449204887216</f>
        <v>-809.78331860538094</v>
      </c>
      <c r="R1332" t="s">
        <v>23854</v>
      </c>
      <c r="S1332" t="s">
        <v>23855</v>
      </c>
      <c r="T1332" t="s">
        <v>23856</v>
      </c>
      <c r="U1332" t="s">
        <v>23857</v>
      </c>
      <c r="V1332" t="s">
        <v>23858</v>
      </c>
      <c r="W1332" t="s">
        <v>23859</v>
      </c>
      <c r="X1332" t="s">
        <v>23860</v>
      </c>
      <c r="Y1332" t="s">
        <v>23861</v>
      </c>
    </row>
    <row r="1333" spans="1:25" x14ac:dyDescent="0.3">
      <c r="A1333">
        <v>66600</v>
      </c>
      <c r="B1333" t="s">
        <v>23862</v>
      </c>
      <c r="C1333" t="s">
        <v>23863</v>
      </c>
      <c r="D1333" t="s">
        <v>23864</v>
      </c>
      <c r="E1333" t="s">
        <v>23865</v>
      </c>
      <c r="F1333" t="s">
        <v>23866</v>
      </c>
      <c r="G1333" t="s">
        <v>23867</v>
      </c>
      <c r="H1333" t="s">
        <v>23868</v>
      </c>
      <c r="I1333" t="s">
        <v>23869</v>
      </c>
      <c r="J1333" t="s">
        <v>23870</v>
      </c>
      <c r="K1333" t="s">
        <v>23871</v>
      </c>
      <c r="L1333" t="s">
        <v>23872</v>
      </c>
      <c r="M1333" t="s">
        <v>23873</v>
      </c>
      <c r="N1333" t="s">
        <v>23874</v>
      </c>
      <c r="O1333">
        <f>-641.000135547517 -56.8489856428844 -716.383972528966</f>
        <v>-1414.2330937193674</v>
      </c>
      <c r="P1333">
        <f>-616.70823811785 -25.8905216359683 -402.317648351538</f>
        <v>-1044.9164081053564</v>
      </c>
      <c r="Q1333">
        <f>-358.198604019419 -20.2978117958437 -430.309520043118</f>
        <v>-808.80593585838074</v>
      </c>
      <c r="R1333" t="s">
        <v>23875</v>
      </c>
      <c r="S1333" t="s">
        <v>23876</v>
      </c>
      <c r="T1333" t="s">
        <v>23877</v>
      </c>
      <c r="U1333" t="s">
        <v>23878</v>
      </c>
      <c r="V1333" t="s">
        <v>23879</v>
      </c>
      <c r="W1333" t="s">
        <v>23880</v>
      </c>
      <c r="X1333" t="s">
        <v>23881</v>
      </c>
      <c r="Y1333" t="s">
        <v>23882</v>
      </c>
    </row>
    <row r="1334" spans="1:25" x14ac:dyDescent="0.3">
      <c r="A1334">
        <v>66650</v>
      </c>
      <c r="B1334" t="s">
        <v>23883</v>
      </c>
      <c r="C1334" t="s">
        <v>23884</v>
      </c>
      <c r="D1334" t="s">
        <v>23885</v>
      </c>
      <c r="E1334" t="s">
        <v>23886</v>
      </c>
      <c r="F1334" t="s">
        <v>23887</v>
      </c>
      <c r="G1334" t="s">
        <v>23888</v>
      </c>
      <c r="H1334" t="s">
        <v>23889</v>
      </c>
      <c r="I1334" t="s">
        <v>23890</v>
      </c>
      <c r="J1334" t="s">
        <v>23891</v>
      </c>
      <c r="K1334" t="s">
        <v>23892</v>
      </c>
      <c r="L1334" t="s">
        <v>23893</v>
      </c>
      <c r="M1334" t="s">
        <v>23894</v>
      </c>
      <c r="N1334" t="s">
        <v>23895</v>
      </c>
      <c r="O1334">
        <f>-640.636673905222 -55.8104393408041 -716.44401859391</f>
        <v>-1412.891131839936</v>
      </c>
      <c r="P1334">
        <f>-617.54527716548 -24.5704996944376 -402.315004446662</f>
        <v>-1044.4307813065795</v>
      </c>
      <c r="Q1334">
        <f>-358.96051217389 -19.1735349032283 -429.643478397293</f>
        <v>-807.77752547441128</v>
      </c>
      <c r="R1334" t="s">
        <v>23896</v>
      </c>
      <c r="S1334" t="s">
        <v>23897</v>
      </c>
      <c r="T1334" t="s">
        <v>23898</v>
      </c>
      <c r="U1334" t="s">
        <v>23899</v>
      </c>
      <c r="V1334" t="s">
        <v>23900</v>
      </c>
      <c r="W1334" t="s">
        <v>23901</v>
      </c>
      <c r="X1334" t="s">
        <v>23902</v>
      </c>
      <c r="Y1334" t="s">
        <v>23903</v>
      </c>
    </row>
    <row r="1335" spans="1:25" x14ac:dyDescent="0.3">
      <c r="A1335">
        <v>66700</v>
      </c>
      <c r="B1335" t="s">
        <v>23904</v>
      </c>
      <c r="C1335" t="s">
        <v>23905</v>
      </c>
      <c r="D1335" t="s">
        <v>23906</v>
      </c>
      <c r="E1335" t="s">
        <v>23907</v>
      </c>
      <c r="F1335" t="s">
        <v>23908</v>
      </c>
      <c r="G1335" t="s">
        <v>23909</v>
      </c>
      <c r="H1335" t="s">
        <v>23910</v>
      </c>
      <c r="I1335" t="s">
        <v>23911</v>
      </c>
      <c r="J1335" t="s">
        <v>23912</v>
      </c>
      <c r="K1335" t="s">
        <v>23913</v>
      </c>
      <c r="L1335" t="s">
        <v>23914</v>
      </c>
      <c r="M1335" t="s">
        <v>23915</v>
      </c>
      <c r="N1335" t="s">
        <v>23916</v>
      </c>
      <c r="O1335">
        <f>-640.46839014411 -55.109892867797 -716.668966185803</f>
        <v>-1412.2472491977101</v>
      </c>
      <c r="P1335">
        <f>-618.024319050793 -23.7560222415934 -402.504230632165</f>
        <v>-1044.2845719245515</v>
      </c>
      <c r="Q1335">
        <f>-359.379826669517 -18.4603427549844 -429.28177070596</f>
        <v>-807.12194013046144</v>
      </c>
      <c r="R1335" t="s">
        <v>23917</v>
      </c>
      <c r="S1335" t="s">
        <v>23918</v>
      </c>
      <c r="T1335" t="s">
        <v>23919</v>
      </c>
      <c r="U1335" t="s">
        <v>23920</v>
      </c>
      <c r="V1335" t="s">
        <v>23921</v>
      </c>
      <c r="W1335" t="s">
        <v>23922</v>
      </c>
      <c r="X1335" t="s">
        <v>23923</v>
      </c>
      <c r="Y1335" t="s">
        <v>23924</v>
      </c>
    </row>
    <row r="1336" spans="1:25" x14ac:dyDescent="0.3">
      <c r="A1336">
        <v>66750</v>
      </c>
      <c r="B1336" t="s">
        <v>23925</v>
      </c>
      <c r="C1336" t="s">
        <v>23926</v>
      </c>
      <c r="D1336" t="s">
        <v>23927</v>
      </c>
      <c r="E1336" t="s">
        <v>23928</v>
      </c>
      <c r="F1336" t="s">
        <v>23929</v>
      </c>
      <c r="G1336" t="s">
        <v>23930</v>
      </c>
      <c r="H1336" t="s">
        <v>23931</v>
      </c>
      <c r="I1336" t="s">
        <v>23932</v>
      </c>
      <c r="J1336" t="s">
        <v>23933</v>
      </c>
      <c r="K1336" t="s">
        <v>23934</v>
      </c>
      <c r="L1336" t="s">
        <v>23935</v>
      </c>
      <c r="M1336" t="s">
        <v>23936</v>
      </c>
      <c r="N1336" t="s">
        <v>23937</v>
      </c>
      <c r="O1336">
        <f>-639.463417136661 -54.1153479872867 -717.150986095982</f>
        <v>-1410.7297512199298</v>
      </c>
      <c r="P1336">
        <f>-618.486461412875 -23.755145680504 -402.787447470973</f>
        <v>-1045.029054564352</v>
      </c>
      <c r="Q1336">
        <f>-359.756840558958 -17.9451571282764 -428.61931838587</f>
        <v>-806.3213160731043</v>
      </c>
      <c r="R1336" t="s">
        <v>23938</v>
      </c>
      <c r="S1336" t="s">
        <v>23939</v>
      </c>
      <c r="T1336" t="s">
        <v>23940</v>
      </c>
      <c r="U1336" t="s">
        <v>23941</v>
      </c>
      <c r="V1336" t="s">
        <v>23942</v>
      </c>
      <c r="W1336" t="s">
        <v>23943</v>
      </c>
      <c r="X1336" t="s">
        <v>23944</v>
      </c>
      <c r="Y1336" t="s">
        <v>23945</v>
      </c>
    </row>
    <row r="1337" spans="1:25" x14ac:dyDescent="0.3">
      <c r="A1337">
        <v>66800</v>
      </c>
      <c r="B1337" t="s">
        <v>23946</v>
      </c>
      <c r="C1337" t="s">
        <v>23947</v>
      </c>
      <c r="D1337" t="s">
        <v>23948</v>
      </c>
      <c r="E1337" t="s">
        <v>23949</v>
      </c>
      <c r="F1337" t="s">
        <v>23950</v>
      </c>
      <c r="G1337" t="s">
        <v>23951</v>
      </c>
      <c r="H1337" t="s">
        <v>23952</v>
      </c>
      <c r="I1337" t="s">
        <v>23953</v>
      </c>
      <c r="J1337" t="s">
        <v>23954</v>
      </c>
      <c r="K1337" t="s">
        <v>23955</v>
      </c>
      <c r="L1337" t="s">
        <v>23956</v>
      </c>
      <c r="M1337" t="s">
        <v>23957</v>
      </c>
      <c r="N1337" t="s">
        <v>23958</v>
      </c>
      <c r="O1337">
        <f>-639.050519826031 -53.6005607356785 -717.393508407811</f>
        <v>-1410.0445889695206</v>
      </c>
      <c r="P1337">
        <f>-618.548342738115 -23.1789606633108 -403.004615478237</f>
        <v>-1044.7319188796628</v>
      </c>
      <c r="Q1337">
        <f>-359.753470076634 -17.377716645108 -428.176575460517</f>
        <v>-805.30776218225901</v>
      </c>
      <c r="R1337" t="s">
        <v>23959</v>
      </c>
      <c r="S1337" t="s">
        <v>23960</v>
      </c>
      <c r="T1337" t="s">
        <v>23961</v>
      </c>
      <c r="U1337" t="s">
        <v>23962</v>
      </c>
      <c r="V1337" t="s">
        <v>23963</v>
      </c>
      <c r="W1337" t="s">
        <v>23964</v>
      </c>
      <c r="X1337" t="s">
        <v>23965</v>
      </c>
      <c r="Y1337" t="s">
        <v>23966</v>
      </c>
    </row>
    <row r="1338" spans="1:25" x14ac:dyDescent="0.3">
      <c r="A1338">
        <v>66850</v>
      </c>
      <c r="B1338" t="s">
        <v>23967</v>
      </c>
      <c r="C1338" t="s">
        <v>23968</v>
      </c>
      <c r="D1338" t="s">
        <v>23969</v>
      </c>
      <c r="E1338" t="s">
        <v>23970</v>
      </c>
      <c r="F1338" t="s">
        <v>23971</v>
      </c>
      <c r="G1338" t="s">
        <v>23972</v>
      </c>
      <c r="H1338" t="s">
        <v>23973</v>
      </c>
      <c r="I1338" t="s">
        <v>23974</v>
      </c>
      <c r="J1338" t="s">
        <v>23975</v>
      </c>
      <c r="K1338" t="s">
        <v>23976</v>
      </c>
      <c r="L1338" t="s">
        <v>23977</v>
      </c>
      <c r="M1338" t="s">
        <v>23978</v>
      </c>
      <c r="N1338" t="s">
        <v>23979</v>
      </c>
      <c r="O1338">
        <f>-638.12875220761 -52.5832416862465 -718.165434215373</f>
        <v>-1408.8774281092296</v>
      </c>
      <c r="P1338">
        <f>-618.813024280437 -22.6510013824543 -403.654471649361</f>
        <v>-1045.1184973122524</v>
      </c>
      <c r="Q1338">
        <f>-359.974043784633 -15.3534690883027 -427.968912670713</f>
        <v>-803.29642554364864</v>
      </c>
      <c r="R1338" t="s">
        <v>23980</v>
      </c>
      <c r="S1338" t="s">
        <v>23981</v>
      </c>
      <c r="T1338" t="s">
        <v>23982</v>
      </c>
      <c r="U1338" t="s">
        <v>23983</v>
      </c>
      <c r="V1338" t="s">
        <v>23984</v>
      </c>
      <c r="W1338" t="s">
        <v>23985</v>
      </c>
      <c r="X1338" t="s">
        <v>23986</v>
      </c>
      <c r="Y1338" t="s">
        <v>23987</v>
      </c>
    </row>
    <row r="1339" spans="1:25" x14ac:dyDescent="0.3">
      <c r="A1339">
        <v>66900</v>
      </c>
      <c r="B1339" t="s">
        <v>23988</v>
      </c>
      <c r="C1339" t="s">
        <v>23989</v>
      </c>
      <c r="D1339" t="s">
        <v>23990</v>
      </c>
      <c r="E1339" t="s">
        <v>23991</v>
      </c>
      <c r="F1339" t="s">
        <v>23992</v>
      </c>
      <c r="G1339" t="s">
        <v>23993</v>
      </c>
      <c r="H1339" t="s">
        <v>23994</v>
      </c>
      <c r="I1339" t="s">
        <v>23995</v>
      </c>
      <c r="J1339" t="s">
        <v>23996</v>
      </c>
      <c r="K1339" t="s">
        <v>23997</v>
      </c>
      <c r="L1339" t="s">
        <v>23998</v>
      </c>
      <c r="M1339" t="s">
        <v>23999</v>
      </c>
      <c r="N1339" t="s">
        <v>24000</v>
      </c>
      <c r="O1339">
        <f>-637.497197972637 -51.7811642695749 -718.826419058854</f>
        <v>-1408.1047813010659</v>
      </c>
      <c r="P1339">
        <f>-618.602372442423 -22.1334051916795 -404.26301465382</f>
        <v>-1044.9987922879225</v>
      </c>
      <c r="Q1339">
        <f>-359.720124837455 -13.8570142127116 -427.790236746578</f>
        <v>-801.36737579674457</v>
      </c>
      <c r="R1339" t="s">
        <v>24001</v>
      </c>
      <c r="S1339" t="s">
        <v>24002</v>
      </c>
      <c r="T1339" t="s">
        <v>24003</v>
      </c>
      <c r="U1339" t="s">
        <v>24004</v>
      </c>
      <c r="V1339" t="s">
        <v>24005</v>
      </c>
      <c r="W1339" t="s">
        <v>24006</v>
      </c>
      <c r="X1339" t="s">
        <v>24007</v>
      </c>
      <c r="Y1339" t="s">
        <v>24008</v>
      </c>
    </row>
    <row r="1340" spans="1:25" x14ac:dyDescent="0.3">
      <c r="A1340">
        <v>66950</v>
      </c>
      <c r="B1340" t="s">
        <v>24009</v>
      </c>
      <c r="C1340" t="s">
        <v>24010</v>
      </c>
      <c r="D1340" t="s">
        <v>24011</v>
      </c>
      <c r="E1340" t="s">
        <v>24012</v>
      </c>
      <c r="F1340" t="s">
        <v>24013</v>
      </c>
      <c r="G1340" t="s">
        <v>24014</v>
      </c>
      <c r="H1340" t="s">
        <v>24015</v>
      </c>
      <c r="I1340" t="s">
        <v>24016</v>
      </c>
      <c r="J1340" t="s">
        <v>24017</v>
      </c>
      <c r="K1340" t="s">
        <v>24018</v>
      </c>
      <c r="L1340" t="s">
        <v>24019</v>
      </c>
      <c r="M1340" t="s">
        <v>24020</v>
      </c>
      <c r="N1340" t="s">
        <v>24021</v>
      </c>
      <c r="O1340">
        <f>-636.520290215356 -50.3454435783278 -720.219192240231</f>
        <v>-1407.0849260339148</v>
      </c>
      <c r="P1340">
        <f>-618.726674585174 -22.4325071317853 -405.432983478923</f>
        <v>-1046.5921651958824</v>
      </c>
      <c r="Q1340">
        <f>-359.799844302625 -12.0033390337819 -427.573068487762</f>
        <v>-799.37625182416889</v>
      </c>
      <c r="R1340" t="s">
        <v>24022</v>
      </c>
      <c r="S1340" t="s">
        <v>24023</v>
      </c>
      <c r="T1340" t="s">
        <v>24024</v>
      </c>
      <c r="U1340" t="s">
        <v>24025</v>
      </c>
      <c r="V1340" t="s">
        <v>24026</v>
      </c>
      <c r="W1340" t="s">
        <v>24027</v>
      </c>
      <c r="X1340" t="s">
        <v>24028</v>
      </c>
      <c r="Y1340" t="s">
        <v>24029</v>
      </c>
    </row>
    <row r="1341" spans="1:25" x14ac:dyDescent="0.3">
      <c r="A1341">
        <v>67000</v>
      </c>
      <c r="B1341" t="s">
        <v>24030</v>
      </c>
      <c r="C1341" t="s">
        <v>24031</v>
      </c>
      <c r="D1341" t="s">
        <v>24032</v>
      </c>
      <c r="E1341" t="s">
        <v>24033</v>
      </c>
      <c r="F1341" t="s">
        <v>24034</v>
      </c>
      <c r="G1341" t="s">
        <v>24035</v>
      </c>
      <c r="H1341" t="s">
        <v>24036</v>
      </c>
      <c r="I1341" t="s">
        <v>24037</v>
      </c>
      <c r="J1341" t="s">
        <v>24038</v>
      </c>
      <c r="K1341" t="s">
        <v>24039</v>
      </c>
      <c r="L1341" t="s">
        <v>24040</v>
      </c>
      <c r="M1341" t="s">
        <v>24041</v>
      </c>
      <c r="N1341" t="s">
        <v>24042</v>
      </c>
      <c r="O1341">
        <f>-636.158611869184 -49.4692021312014 -721.021618472836</f>
        <v>-1406.6494324732216</v>
      </c>
      <c r="P1341">
        <f>-618.568265802087 -22.6169924061203 -406.131669399432</f>
        <v>-1047.3169276076392</v>
      </c>
      <c r="Q1341">
        <f>-359.596525740593 -11.3310387506067 -427.304938848526</f>
        <v>-798.23250333972567</v>
      </c>
      <c r="R1341" t="s">
        <v>24043</v>
      </c>
      <c r="S1341" t="s">
        <v>24044</v>
      </c>
      <c r="T1341" t="s">
        <v>24045</v>
      </c>
      <c r="U1341" t="s">
        <v>24046</v>
      </c>
      <c r="V1341" t="s">
        <v>24047</v>
      </c>
      <c r="W1341" t="s">
        <v>24048</v>
      </c>
      <c r="X1341" t="s">
        <v>24049</v>
      </c>
      <c r="Y1341" t="s">
        <v>24050</v>
      </c>
    </row>
    <row r="1342" spans="1:25" x14ac:dyDescent="0.3">
      <c r="A1342">
        <v>67050</v>
      </c>
      <c r="B1342" t="s">
        <v>24051</v>
      </c>
      <c r="C1342" t="s">
        <v>24052</v>
      </c>
      <c r="D1342" t="s">
        <v>24053</v>
      </c>
      <c r="E1342" t="s">
        <v>24054</v>
      </c>
      <c r="F1342" t="s">
        <v>24055</v>
      </c>
      <c r="G1342" t="s">
        <v>24056</v>
      </c>
      <c r="H1342" t="s">
        <v>24057</v>
      </c>
      <c r="I1342" t="s">
        <v>24058</v>
      </c>
      <c r="J1342" t="s">
        <v>24059</v>
      </c>
      <c r="K1342" t="s">
        <v>24060</v>
      </c>
      <c r="L1342" t="s">
        <v>24061</v>
      </c>
      <c r="M1342" t="s">
        <v>24062</v>
      </c>
      <c r="N1342" t="s">
        <v>24063</v>
      </c>
      <c r="O1342">
        <f>-635.732593157224 -48.3878363310664 -722.016893635567</f>
        <v>-1406.1373231238574</v>
      </c>
      <c r="P1342">
        <f>-618.444462377233 -22.5468750432563 -407.025475418199</f>
        <v>-1048.0168128386881</v>
      </c>
      <c r="Q1342">
        <f>-359.437454100481 -10.3209544369508 -427.223237650186</f>
        <v>-796.9816461876178</v>
      </c>
      <c r="R1342" t="s">
        <v>24064</v>
      </c>
      <c r="S1342" t="s">
        <v>24065</v>
      </c>
      <c r="T1342" t="s">
        <v>24066</v>
      </c>
      <c r="U1342" t="s">
        <v>24067</v>
      </c>
      <c r="V1342" t="s">
        <v>24068</v>
      </c>
      <c r="W1342" t="s">
        <v>24069</v>
      </c>
      <c r="X1342" t="s">
        <v>24070</v>
      </c>
      <c r="Y1342" t="s">
        <v>24071</v>
      </c>
    </row>
    <row r="1343" spans="1:25" x14ac:dyDescent="0.3">
      <c r="A1343">
        <v>67100</v>
      </c>
      <c r="B1343" t="s">
        <v>24072</v>
      </c>
      <c r="C1343" t="s">
        <v>24073</v>
      </c>
      <c r="D1343" t="s">
        <v>24074</v>
      </c>
      <c r="E1343" t="s">
        <v>24075</v>
      </c>
      <c r="F1343" t="s">
        <v>24076</v>
      </c>
      <c r="G1343" t="s">
        <v>24077</v>
      </c>
      <c r="H1343" t="s">
        <v>24078</v>
      </c>
      <c r="I1343" t="s">
        <v>24079</v>
      </c>
      <c r="J1343" t="s">
        <v>24080</v>
      </c>
      <c r="K1343" t="s">
        <v>24081</v>
      </c>
      <c r="L1343" t="s">
        <v>24082</v>
      </c>
      <c r="M1343" t="s">
        <v>24083</v>
      </c>
      <c r="N1343" t="s">
        <v>24084</v>
      </c>
      <c r="O1343">
        <f>-634.647955317395 -46.7044112964475 -724.685519351243</f>
        <v>-1406.0378859650855</v>
      </c>
      <c r="P1343">
        <f>-619.435624336202 -24.2601725224747 -409.326906108019</f>
        <v>-1053.0227029666958</v>
      </c>
      <c r="Q1343">
        <f>-360.383768749363 -9.91106156494743 -427.445517227487</f>
        <v>-797.74034754179752</v>
      </c>
      <c r="R1343" t="s">
        <v>24085</v>
      </c>
      <c r="S1343" t="s">
        <v>24086</v>
      </c>
      <c r="T1343" t="s">
        <v>24087</v>
      </c>
      <c r="U1343" t="s">
        <v>24088</v>
      </c>
      <c r="V1343" t="s">
        <v>24089</v>
      </c>
      <c r="W1343" t="s">
        <v>24090</v>
      </c>
      <c r="X1343" t="s">
        <v>24091</v>
      </c>
      <c r="Y1343" t="s">
        <v>24092</v>
      </c>
    </row>
    <row r="1344" spans="1:25" x14ac:dyDescent="0.3">
      <c r="A1344">
        <v>67150</v>
      </c>
      <c r="B1344" t="s">
        <v>24093</v>
      </c>
      <c r="C1344" t="s">
        <v>24094</v>
      </c>
      <c r="D1344" t="s">
        <v>24095</v>
      </c>
      <c r="E1344" t="s">
        <v>24096</v>
      </c>
      <c r="F1344" t="s">
        <v>24097</v>
      </c>
      <c r="G1344" t="s">
        <v>24098</v>
      </c>
      <c r="H1344" t="s">
        <v>24099</v>
      </c>
      <c r="I1344" t="s">
        <v>24100</v>
      </c>
      <c r="J1344" t="s">
        <v>24101</v>
      </c>
      <c r="K1344" t="s">
        <v>24102</v>
      </c>
      <c r="L1344" t="s">
        <v>24103</v>
      </c>
      <c r="M1344" t="s">
        <v>24104</v>
      </c>
      <c r="N1344" t="s">
        <v>24105</v>
      </c>
      <c r="O1344">
        <f>-634.266974556272 -46.2476089890115 -726.650586662369</f>
        <v>-1407.1651702076524</v>
      </c>
      <c r="P1344">
        <f>-620.831617293837 -26.2911604618703 -411.044035600118</f>
        <v>-1058.1668133558253</v>
      </c>
      <c r="Q1344">
        <f>-361.752119563322 -11.1643352218014 -428.105327047219</f>
        <v>-801.02178183234241</v>
      </c>
      <c r="R1344" t="s">
        <v>24106</v>
      </c>
      <c r="S1344" t="s">
        <v>24107</v>
      </c>
      <c r="T1344" t="s">
        <v>24108</v>
      </c>
      <c r="U1344" t="s">
        <v>24109</v>
      </c>
      <c r="V1344" t="s">
        <v>24110</v>
      </c>
      <c r="W1344" t="s">
        <v>24111</v>
      </c>
      <c r="X1344" t="s">
        <v>24112</v>
      </c>
      <c r="Y1344" t="s">
        <v>24113</v>
      </c>
    </row>
    <row r="1345" spans="1:25" x14ac:dyDescent="0.3">
      <c r="A1345">
        <v>67200</v>
      </c>
      <c r="B1345" t="s">
        <v>24114</v>
      </c>
      <c r="C1345" t="s">
        <v>24115</v>
      </c>
      <c r="D1345" t="s">
        <v>24116</v>
      </c>
      <c r="E1345" t="s">
        <v>24117</v>
      </c>
      <c r="F1345" t="s">
        <v>24118</v>
      </c>
      <c r="G1345" t="s">
        <v>24119</v>
      </c>
      <c r="H1345" t="s">
        <v>24120</v>
      </c>
      <c r="I1345" t="s">
        <v>24121</v>
      </c>
      <c r="J1345" t="s">
        <v>24122</v>
      </c>
      <c r="K1345" t="s">
        <v>24123</v>
      </c>
      <c r="L1345" t="s">
        <v>24124</v>
      </c>
      <c r="M1345" t="s">
        <v>24125</v>
      </c>
      <c r="N1345" t="s">
        <v>24126</v>
      </c>
      <c r="O1345">
        <f>-633.777156153815 -46.1247812143356 -728.283858469489</f>
        <v>-1408.1857958376395</v>
      </c>
      <c r="P1345">
        <f>-621.916153507289 -28.048057926866 -412.501143722597</f>
        <v>-1062.4653551567521</v>
      </c>
      <c r="Q1345">
        <f>-362.810817031808 -12.5249765184631 -428.795328449908</f>
        <v>-804.13112200017918</v>
      </c>
      <c r="R1345" t="s">
        <v>24127</v>
      </c>
      <c r="S1345" t="s">
        <v>24128</v>
      </c>
      <c r="T1345" t="s">
        <v>24129</v>
      </c>
      <c r="U1345" t="s">
        <v>24130</v>
      </c>
      <c r="V1345" t="s">
        <v>24131</v>
      </c>
      <c r="W1345" t="s">
        <v>24132</v>
      </c>
      <c r="X1345" t="s">
        <v>24133</v>
      </c>
      <c r="Y1345" t="s">
        <v>24134</v>
      </c>
    </row>
    <row r="1346" spans="1:25" x14ac:dyDescent="0.3">
      <c r="A1346">
        <v>67250</v>
      </c>
      <c r="B1346" t="s">
        <v>24135</v>
      </c>
      <c r="C1346" t="s">
        <v>24136</v>
      </c>
      <c r="D1346" t="s">
        <v>24137</v>
      </c>
      <c r="E1346" t="s">
        <v>24138</v>
      </c>
      <c r="F1346" t="s">
        <v>24139</v>
      </c>
      <c r="G1346" t="s">
        <v>24140</v>
      </c>
      <c r="H1346" t="s">
        <v>24141</v>
      </c>
      <c r="I1346" t="s">
        <v>24142</v>
      </c>
      <c r="J1346" t="s">
        <v>24143</v>
      </c>
      <c r="K1346" t="s">
        <v>24144</v>
      </c>
      <c r="L1346" t="s">
        <v>24145</v>
      </c>
      <c r="M1346" t="s">
        <v>24146</v>
      </c>
      <c r="N1346" t="s">
        <v>24147</v>
      </c>
      <c r="O1346">
        <f>-632.84458662161 -45.9934179330683 -732.07342337336</f>
        <v>-1410.9114279280384</v>
      </c>
      <c r="P1346">
        <f>-625.192700680321 -32.5529885644323 -415.929527860456</f>
        <v>-1073.6752171052094</v>
      </c>
      <c r="Q1346">
        <f>-366.038974559459 -16.1403621300999 -430.490520675944</f>
        <v>-812.66985736550293</v>
      </c>
      <c r="R1346" t="s">
        <v>24148</v>
      </c>
      <c r="S1346" t="s">
        <v>24149</v>
      </c>
      <c r="T1346" t="s">
        <v>24150</v>
      </c>
      <c r="U1346" t="s">
        <v>24151</v>
      </c>
      <c r="V1346" t="s">
        <v>24152</v>
      </c>
      <c r="W1346" t="s">
        <v>24153</v>
      </c>
      <c r="X1346" t="s">
        <v>24154</v>
      </c>
      <c r="Y1346" t="s">
        <v>24155</v>
      </c>
    </row>
    <row r="1347" spans="1:25" x14ac:dyDescent="0.3">
      <c r="A1347">
        <v>67300</v>
      </c>
      <c r="B1347" t="s">
        <v>24156</v>
      </c>
      <c r="C1347" t="s">
        <v>24157</v>
      </c>
      <c r="D1347" t="s">
        <v>24158</v>
      </c>
      <c r="E1347" t="s">
        <v>24159</v>
      </c>
      <c r="F1347" t="s">
        <v>24160</v>
      </c>
      <c r="G1347" t="s">
        <v>24161</v>
      </c>
      <c r="H1347" t="s">
        <v>24162</v>
      </c>
      <c r="I1347" t="s">
        <v>24163</v>
      </c>
      <c r="J1347" t="s">
        <v>24164</v>
      </c>
      <c r="K1347" t="s">
        <v>24165</v>
      </c>
      <c r="L1347" t="s">
        <v>24166</v>
      </c>
      <c r="M1347" t="s">
        <v>24167</v>
      </c>
      <c r="N1347" t="s">
        <v>24168</v>
      </c>
      <c r="O1347">
        <f>-632.511413019725 -45.6874845698867 -734.142244915114</f>
        <v>-1412.3411425047257</v>
      </c>
      <c r="P1347">
        <f>-626.861501958462 -35.2100585886863 -417.844210418469</f>
        <v>-1079.9157709656172</v>
      </c>
      <c r="Q1347">
        <f>-367.691935748978 -18.2708362401013 -431.490524010362</f>
        <v>-817.45329599944125</v>
      </c>
      <c r="R1347" t="s">
        <v>24169</v>
      </c>
      <c r="S1347" t="s">
        <v>24170</v>
      </c>
      <c r="T1347" t="s">
        <v>24171</v>
      </c>
      <c r="U1347" t="s">
        <v>24172</v>
      </c>
      <c r="V1347" t="s">
        <v>24173</v>
      </c>
      <c r="W1347" t="s">
        <v>24174</v>
      </c>
      <c r="X1347" t="s">
        <v>24175</v>
      </c>
      <c r="Y1347" t="s">
        <v>24176</v>
      </c>
    </row>
    <row r="1348" spans="1:25" x14ac:dyDescent="0.3">
      <c r="A1348">
        <v>67350</v>
      </c>
      <c r="B1348" t="s">
        <v>24177</v>
      </c>
      <c r="C1348" t="s">
        <v>24178</v>
      </c>
      <c r="D1348" t="s">
        <v>24179</v>
      </c>
      <c r="E1348" t="s">
        <v>24180</v>
      </c>
      <c r="F1348" t="s">
        <v>24181</v>
      </c>
      <c r="G1348" t="s">
        <v>24182</v>
      </c>
      <c r="H1348" t="s">
        <v>24183</v>
      </c>
      <c r="I1348" t="s">
        <v>24184</v>
      </c>
      <c r="J1348" t="s">
        <v>24185</v>
      </c>
      <c r="K1348" t="s">
        <v>24186</v>
      </c>
      <c r="L1348" t="s">
        <v>24187</v>
      </c>
      <c r="M1348" t="s">
        <v>24188</v>
      </c>
      <c r="N1348" t="s">
        <v>24189</v>
      </c>
      <c r="O1348">
        <f>-631.953039725404 -45.349516955476 -737.953101620736</f>
        <v>-1415.255658301616</v>
      </c>
      <c r="P1348">
        <f>-630.052609252587 -39.9075238555213 -421.483597240178</f>
        <v>-1091.4437303482864</v>
      </c>
      <c r="Q1348">
        <f>-370.756579050211 -23.0810396119032 -432.640425962044</f>
        <v>-826.4780446241582</v>
      </c>
      <c r="R1348" t="s">
        <v>24190</v>
      </c>
      <c r="S1348" t="s">
        <v>24191</v>
      </c>
      <c r="T1348" t="s">
        <v>24192</v>
      </c>
      <c r="U1348" t="s">
        <v>24193</v>
      </c>
      <c r="V1348" t="s">
        <v>24194</v>
      </c>
      <c r="W1348" t="s">
        <v>24195</v>
      </c>
      <c r="X1348" t="s">
        <v>24196</v>
      </c>
      <c r="Y1348" t="s">
        <v>24197</v>
      </c>
    </row>
    <row r="1349" spans="1:25" x14ac:dyDescent="0.3">
      <c r="A1349">
        <v>67400</v>
      </c>
      <c r="B1349" t="s">
        <v>24198</v>
      </c>
      <c r="C1349" t="s">
        <v>24199</v>
      </c>
      <c r="D1349" t="s">
        <v>24200</v>
      </c>
      <c r="E1349" t="s">
        <v>24201</v>
      </c>
      <c r="F1349" t="s">
        <v>24202</v>
      </c>
      <c r="G1349" t="s">
        <v>24203</v>
      </c>
      <c r="H1349" t="s">
        <v>24204</v>
      </c>
      <c r="I1349" t="s">
        <v>24205</v>
      </c>
      <c r="J1349" t="s">
        <v>24206</v>
      </c>
      <c r="K1349" t="s">
        <v>24207</v>
      </c>
      <c r="L1349" t="s">
        <v>24208</v>
      </c>
      <c r="M1349" t="s">
        <v>24209</v>
      </c>
      <c r="N1349" t="s">
        <v>24210</v>
      </c>
      <c r="O1349">
        <f>-631.681096090043 -45.4105142436119 -739.490823036794</f>
        <v>-1416.5824333704491</v>
      </c>
      <c r="P1349">
        <f>-631.05473625558 -42.1525891899762 -422.986160487178</f>
        <v>-1096.1934859327341</v>
      </c>
      <c r="Q1349">
        <f>-371.674332453527 -26.0669443735687 -433.238617432556</f>
        <v>-830.9798942596517</v>
      </c>
      <c r="R1349" t="s">
        <v>24211</v>
      </c>
      <c r="S1349" t="s">
        <v>24212</v>
      </c>
      <c r="T1349" t="s">
        <v>24213</v>
      </c>
      <c r="U1349" t="s">
        <v>24214</v>
      </c>
      <c r="V1349" t="s">
        <v>24215</v>
      </c>
      <c r="W1349" t="s">
        <v>24216</v>
      </c>
      <c r="X1349" t="s">
        <v>24217</v>
      </c>
      <c r="Y1349" t="s">
        <v>24218</v>
      </c>
    </row>
    <row r="1350" spans="1:25" x14ac:dyDescent="0.3">
      <c r="A1350">
        <v>67450</v>
      </c>
      <c r="B1350" t="s">
        <v>24219</v>
      </c>
      <c r="C1350" t="s">
        <v>24220</v>
      </c>
      <c r="D1350" t="s">
        <v>24221</v>
      </c>
      <c r="E1350" t="s">
        <v>24222</v>
      </c>
      <c r="F1350" t="s">
        <v>24223</v>
      </c>
      <c r="G1350" t="s">
        <v>24224</v>
      </c>
      <c r="H1350" t="s">
        <v>24225</v>
      </c>
      <c r="I1350" t="s">
        <v>24226</v>
      </c>
      <c r="J1350" t="s">
        <v>24227</v>
      </c>
      <c r="K1350" t="s">
        <v>24228</v>
      </c>
      <c r="L1350" t="s">
        <v>24229</v>
      </c>
      <c r="M1350" t="s">
        <v>24230</v>
      </c>
      <c r="N1350" t="s">
        <v>24231</v>
      </c>
      <c r="O1350">
        <f>-631.472262802871 -46.2547596179315 -741.788811281284</f>
        <v>-1419.5158337020866</v>
      </c>
      <c r="P1350">
        <f>-632.099634730763 -46.6072540345936 -425.267663129774</f>
        <v>-1103.9745518951306</v>
      </c>
      <c r="Q1350">
        <f>-372.646640167304 -31.7766011125698 -435.574858281847</f>
        <v>-839.99809956172078</v>
      </c>
      <c r="R1350" t="s">
        <v>24232</v>
      </c>
      <c r="S1350" t="s">
        <v>24233</v>
      </c>
      <c r="T1350" t="s">
        <v>24234</v>
      </c>
      <c r="U1350" t="s">
        <v>24235</v>
      </c>
      <c r="V1350" t="s">
        <v>24236</v>
      </c>
      <c r="W1350" t="s">
        <v>24237</v>
      </c>
      <c r="X1350" t="s">
        <v>24238</v>
      </c>
      <c r="Y1350" t="s">
        <v>24239</v>
      </c>
    </row>
    <row r="1351" spans="1:25" x14ac:dyDescent="0.3">
      <c r="A1351">
        <v>67500</v>
      </c>
      <c r="B1351" t="s">
        <v>24240</v>
      </c>
      <c r="C1351" t="s">
        <v>24241</v>
      </c>
      <c r="D1351" t="s">
        <v>24242</v>
      </c>
      <c r="E1351" t="s">
        <v>24243</v>
      </c>
      <c r="F1351" t="s">
        <v>24244</v>
      </c>
      <c r="G1351" t="s">
        <v>24245</v>
      </c>
      <c r="H1351" t="s">
        <v>24246</v>
      </c>
      <c r="I1351" t="s">
        <v>24247</v>
      </c>
      <c r="J1351" t="s">
        <v>24248</v>
      </c>
      <c r="K1351" t="s">
        <v>24249</v>
      </c>
      <c r="L1351" t="s">
        <v>24250</v>
      </c>
      <c r="M1351" t="s">
        <v>24251</v>
      </c>
      <c r="N1351" t="s">
        <v>24252</v>
      </c>
      <c r="O1351">
        <f>-631.491885436055 -47.2478276106981 -742.481208221946</f>
        <v>-1421.2209212686989</v>
      </c>
      <c r="P1351">
        <f>-632.181141999265 -48.7457665618042 -425.963412477988</f>
        <v>-1106.8903210390572</v>
      </c>
      <c r="Q1351">
        <f>-372.684389356202 -35.0189836344782 -436.691394336962</f>
        <v>-844.39476732764228</v>
      </c>
      <c r="R1351" t="s">
        <v>24253</v>
      </c>
      <c r="S1351" t="s">
        <v>24254</v>
      </c>
      <c r="T1351" t="s">
        <v>24255</v>
      </c>
      <c r="U1351" t="s">
        <v>24256</v>
      </c>
      <c r="V1351" t="s">
        <v>24257</v>
      </c>
      <c r="W1351" t="s">
        <v>24258</v>
      </c>
      <c r="X1351" t="s">
        <v>24259</v>
      </c>
      <c r="Y1351" t="s">
        <v>24260</v>
      </c>
    </row>
    <row r="1352" spans="1:25" x14ac:dyDescent="0.3">
      <c r="A1352">
        <v>67550</v>
      </c>
      <c r="B1352" t="s">
        <v>24261</v>
      </c>
      <c r="C1352" t="s">
        <v>24262</v>
      </c>
      <c r="D1352" t="s">
        <v>24263</v>
      </c>
      <c r="E1352" t="s">
        <v>24264</v>
      </c>
      <c r="F1352" t="s">
        <v>24265</v>
      </c>
      <c r="G1352" t="s">
        <v>24266</v>
      </c>
      <c r="H1352" t="s">
        <v>24267</v>
      </c>
      <c r="I1352" t="s">
        <v>24268</v>
      </c>
      <c r="J1352" t="s">
        <v>24269</v>
      </c>
      <c r="K1352" t="s">
        <v>24270</v>
      </c>
      <c r="L1352" t="s">
        <v>24271</v>
      </c>
      <c r="M1352" t="s">
        <v>24272</v>
      </c>
      <c r="N1352" t="s">
        <v>24273</v>
      </c>
      <c r="O1352">
        <f>-631.209306324353 -50.2414493321457 -742.807881405574</f>
        <v>-1424.2586370620727</v>
      </c>
      <c r="P1352">
        <f>-631.387989187661 -53.0465667040205 -426.29825223451</f>
        <v>-1110.7328081261915</v>
      </c>
      <c r="Q1352">
        <f>-371.872298178599 -40.5724942387492 -438.048294199996</f>
        <v>-850.49308661734426</v>
      </c>
      <c r="R1352" t="s">
        <v>24274</v>
      </c>
      <c r="S1352" t="s">
        <v>24275</v>
      </c>
      <c r="T1352" t="s">
        <v>24276</v>
      </c>
      <c r="U1352" t="s">
        <v>24277</v>
      </c>
      <c r="V1352" t="s">
        <v>24278</v>
      </c>
      <c r="W1352" t="s">
        <v>24279</v>
      </c>
      <c r="X1352" t="s">
        <v>24280</v>
      </c>
      <c r="Y1352" t="s">
        <v>24281</v>
      </c>
    </row>
    <row r="1353" spans="1:25" x14ac:dyDescent="0.3">
      <c r="A1353">
        <v>67600</v>
      </c>
      <c r="B1353" t="s">
        <v>24282</v>
      </c>
      <c r="C1353" t="s">
        <v>24283</v>
      </c>
      <c r="D1353" t="s">
        <v>24284</v>
      </c>
      <c r="E1353" t="s">
        <v>24285</v>
      </c>
      <c r="F1353" t="s">
        <v>24286</v>
      </c>
      <c r="G1353" t="s">
        <v>24287</v>
      </c>
      <c r="H1353" t="s">
        <v>24288</v>
      </c>
      <c r="I1353" t="s">
        <v>24289</v>
      </c>
      <c r="J1353" t="s">
        <v>24290</v>
      </c>
      <c r="K1353" t="s">
        <v>24291</v>
      </c>
      <c r="L1353" t="s">
        <v>24292</v>
      </c>
      <c r="M1353" t="s">
        <v>24293</v>
      </c>
      <c r="N1353" t="s">
        <v>24294</v>
      </c>
      <c r="O1353">
        <f>-630.597503921043 -52.2708802296902 -742.664743942777</f>
        <v>-1425.5331280935102</v>
      </c>
      <c r="P1353">
        <f>-630.240307817729 -55.5725637526773 -426.160129080732</f>
        <v>-1111.9730006511384</v>
      </c>
      <c r="Q1353">
        <f>-370.739181348008 -43.1190680379927 -438.249189966572</f>
        <v>-852.10743935257267</v>
      </c>
      <c r="R1353" t="s">
        <v>24295</v>
      </c>
      <c r="S1353" t="s">
        <v>24296</v>
      </c>
      <c r="T1353" t="s">
        <v>24297</v>
      </c>
      <c r="U1353" t="s">
        <v>24298</v>
      </c>
      <c r="V1353" t="s">
        <v>24299</v>
      </c>
      <c r="W1353" t="s">
        <v>24300</v>
      </c>
      <c r="X1353" t="s">
        <v>24301</v>
      </c>
      <c r="Y1353" t="s">
        <v>24302</v>
      </c>
    </row>
    <row r="1354" spans="1:25" x14ac:dyDescent="0.3">
      <c r="A1354">
        <v>67650</v>
      </c>
      <c r="B1354" t="s">
        <v>24303</v>
      </c>
      <c r="C1354" t="s">
        <v>24304</v>
      </c>
      <c r="D1354" t="s">
        <v>24305</v>
      </c>
      <c r="E1354" t="s">
        <v>24306</v>
      </c>
      <c r="F1354" t="s">
        <v>24307</v>
      </c>
      <c r="G1354" t="s">
        <v>24308</v>
      </c>
      <c r="H1354" t="s">
        <v>24309</v>
      </c>
      <c r="I1354" t="s">
        <v>24310</v>
      </c>
      <c r="J1354" t="s">
        <v>24311</v>
      </c>
      <c r="K1354" t="s">
        <v>24312</v>
      </c>
      <c r="L1354" t="s">
        <v>24313</v>
      </c>
      <c r="M1354" t="s">
        <v>24314</v>
      </c>
      <c r="N1354" t="s">
        <v>24315</v>
      </c>
      <c r="O1354">
        <f>-628.626464167569 -56.3685819754285 -742.119933426543</f>
        <v>-1427.1149795695405</v>
      </c>
      <c r="P1354">
        <f>-627.345350225646 -60.0382891266538 -425.621757274941</f>
        <v>-1113.0053966272408</v>
      </c>
      <c r="Q1354">
        <f>-367.83804230861 -48.8522394353602 -438.770559846454</f>
        <v>-855.46084159042425</v>
      </c>
      <c r="R1354" t="s">
        <v>24316</v>
      </c>
      <c r="S1354" t="s">
        <v>24317</v>
      </c>
      <c r="T1354" t="s">
        <v>24318</v>
      </c>
      <c r="U1354" t="s">
        <v>24319</v>
      </c>
      <c r="V1354" t="s">
        <v>24320</v>
      </c>
      <c r="W1354" t="s">
        <v>24321</v>
      </c>
      <c r="X1354" t="s">
        <v>24322</v>
      </c>
      <c r="Y1354" t="s">
        <v>24323</v>
      </c>
    </row>
    <row r="1355" spans="1:25" x14ac:dyDescent="0.3">
      <c r="A1355">
        <v>67700</v>
      </c>
      <c r="B1355" t="s">
        <v>24324</v>
      </c>
      <c r="C1355" t="s">
        <v>24325</v>
      </c>
      <c r="D1355" t="s">
        <v>24326</v>
      </c>
      <c r="E1355" t="s">
        <v>24327</v>
      </c>
      <c r="F1355" t="s">
        <v>24328</v>
      </c>
      <c r="G1355" t="s">
        <v>24329</v>
      </c>
      <c r="H1355" t="s">
        <v>24330</v>
      </c>
      <c r="I1355" t="s">
        <v>24331</v>
      </c>
      <c r="J1355" t="s">
        <v>24332</v>
      </c>
      <c r="K1355" t="s">
        <v>24333</v>
      </c>
      <c r="L1355" t="s">
        <v>24334</v>
      </c>
      <c r="M1355" t="s">
        <v>24335</v>
      </c>
      <c r="N1355" t="s">
        <v>24336</v>
      </c>
      <c r="O1355">
        <f>-627.28839791746 -57.8438452273222 -741.82522145004</f>
        <v>-1426.9574645948221</v>
      </c>
      <c r="P1355">
        <f>-624.982717256993 -61.9503941708635 -425.338253274808</f>
        <v>-1112.2713647026646</v>
      </c>
      <c r="Q1355">
        <f>-365.533228442352 -50.9144713976766 -439.698905823201</f>
        <v>-856.14660566322959</v>
      </c>
      <c r="R1355" t="s">
        <v>24337</v>
      </c>
      <c r="S1355" t="s">
        <v>24338</v>
      </c>
      <c r="T1355" t="s">
        <v>24339</v>
      </c>
      <c r="U1355" t="s">
        <v>24340</v>
      </c>
      <c r="V1355" t="s">
        <v>24341</v>
      </c>
      <c r="W1355" t="s">
        <v>24342</v>
      </c>
      <c r="X1355" t="s">
        <v>24343</v>
      </c>
      <c r="Y1355" t="s">
        <v>24344</v>
      </c>
    </row>
    <row r="1356" spans="1:25" x14ac:dyDescent="0.3">
      <c r="A1356">
        <v>67750</v>
      </c>
      <c r="B1356" t="s">
        <v>24345</v>
      </c>
      <c r="C1356" t="s">
        <v>24346</v>
      </c>
      <c r="D1356" t="s">
        <v>24347</v>
      </c>
      <c r="E1356" t="s">
        <v>24348</v>
      </c>
      <c r="F1356" t="s">
        <v>24349</v>
      </c>
      <c r="G1356" t="s">
        <v>24350</v>
      </c>
      <c r="H1356" t="s">
        <v>24351</v>
      </c>
      <c r="I1356" t="s">
        <v>24352</v>
      </c>
      <c r="J1356" t="s">
        <v>24353</v>
      </c>
      <c r="K1356" t="s">
        <v>24354</v>
      </c>
      <c r="L1356" t="s">
        <v>24355</v>
      </c>
      <c r="M1356" t="s">
        <v>24356</v>
      </c>
      <c r="N1356" t="s">
        <v>24357</v>
      </c>
      <c r="O1356">
        <f>-624.150330680057 -59.7531939534488 -741.18510931246</f>
        <v>-1425.0886339459657</v>
      </c>
      <c r="P1356">
        <f>-621.168819290419 -63.4919799125855 -424.699211504273</f>
        <v>-1109.3600107072775</v>
      </c>
      <c r="Q1356">
        <f>-361.718162284285 -53.6141446925078 -439.859288571347</f>
        <v>-855.19159554813973</v>
      </c>
      <c r="R1356" t="s">
        <v>24358</v>
      </c>
      <c r="S1356" t="s">
        <v>24359</v>
      </c>
      <c r="T1356" t="s">
        <v>24360</v>
      </c>
      <c r="U1356" t="s">
        <v>24361</v>
      </c>
      <c r="V1356" t="s">
        <v>24362</v>
      </c>
      <c r="W1356" t="s">
        <v>24363</v>
      </c>
      <c r="X1356" t="s">
        <v>24364</v>
      </c>
      <c r="Y1356" t="s">
        <v>24365</v>
      </c>
    </row>
    <row r="1357" spans="1:25" x14ac:dyDescent="0.3">
      <c r="A1357">
        <v>67800</v>
      </c>
      <c r="B1357" t="s">
        <v>24366</v>
      </c>
      <c r="C1357" t="s">
        <v>24367</v>
      </c>
      <c r="D1357" t="s">
        <v>24368</v>
      </c>
      <c r="E1357" t="s">
        <v>24369</v>
      </c>
      <c r="F1357" t="s">
        <v>24370</v>
      </c>
      <c r="G1357" t="s">
        <v>24371</v>
      </c>
      <c r="H1357" t="s">
        <v>24372</v>
      </c>
      <c r="I1357" t="s">
        <v>24373</v>
      </c>
      <c r="J1357" t="s">
        <v>24374</v>
      </c>
      <c r="K1357" t="s">
        <v>24375</v>
      </c>
      <c r="L1357" t="s">
        <v>24376</v>
      </c>
      <c r="M1357" t="s">
        <v>24377</v>
      </c>
      <c r="N1357" t="s">
        <v>24378</v>
      </c>
      <c r="O1357">
        <f>-622.367094900532 -60.9107184251495 -740.550831324887</f>
        <v>-1423.8286446505685</v>
      </c>
      <c r="P1357">
        <f>-619.232541774343 -64.2839604178521 -424.062343908762</f>
        <v>-1107.578846100957</v>
      </c>
      <c r="Q1357">
        <f>-359.801824607797 -54.9457542245239 -439.890932466332</f>
        <v>-854.63851129865293</v>
      </c>
      <c r="R1357" t="s">
        <v>24379</v>
      </c>
      <c r="S1357" t="s">
        <v>24380</v>
      </c>
      <c r="T1357" t="s">
        <v>24381</v>
      </c>
      <c r="U1357" t="s">
        <v>24382</v>
      </c>
      <c r="V1357" t="s">
        <v>24383</v>
      </c>
      <c r="W1357" t="s">
        <v>24384</v>
      </c>
      <c r="X1357" t="s">
        <v>24385</v>
      </c>
      <c r="Y1357" t="s">
        <v>24386</v>
      </c>
    </row>
    <row r="1358" spans="1:25" x14ac:dyDescent="0.3">
      <c r="A1358">
        <v>67850</v>
      </c>
      <c r="B1358" t="s">
        <v>24387</v>
      </c>
      <c r="C1358" t="s">
        <v>24388</v>
      </c>
      <c r="D1358" t="s">
        <v>24389</v>
      </c>
      <c r="E1358" t="s">
        <v>24390</v>
      </c>
      <c r="F1358" t="s">
        <v>24391</v>
      </c>
      <c r="G1358" t="s">
        <v>24392</v>
      </c>
      <c r="H1358" t="s">
        <v>24393</v>
      </c>
      <c r="I1358" t="s">
        <v>24394</v>
      </c>
      <c r="J1358" t="s">
        <v>24395</v>
      </c>
      <c r="K1358" t="s">
        <v>24396</v>
      </c>
      <c r="L1358" t="s">
        <v>24397</v>
      </c>
      <c r="M1358" t="s">
        <v>24398</v>
      </c>
      <c r="N1358" t="s">
        <v>24399</v>
      </c>
      <c r="O1358">
        <f>-619.23350343118 -63.7148726519558 -738.861175070376</f>
        <v>-1421.8095511535118</v>
      </c>
      <c r="P1358">
        <f>-615.727063063424 -65.2179218617766 -422.362183310825</f>
        <v>-1103.3071682360255</v>
      </c>
      <c r="Q1358">
        <f>-356.62409783642 -57.1096172813923 -443.384879633914</f>
        <v>-857.11859475172628</v>
      </c>
      <c r="R1358" t="s">
        <v>24400</v>
      </c>
      <c r="S1358" t="s">
        <v>24401</v>
      </c>
      <c r="T1358" t="s">
        <v>24402</v>
      </c>
      <c r="U1358" t="s">
        <v>24403</v>
      </c>
      <c r="V1358" t="s">
        <v>24404</v>
      </c>
      <c r="W1358" t="s">
        <v>24405</v>
      </c>
      <c r="X1358" t="s">
        <v>24406</v>
      </c>
      <c r="Y1358" t="s">
        <v>24407</v>
      </c>
    </row>
    <row r="1359" spans="1:25" x14ac:dyDescent="0.3">
      <c r="A1359">
        <v>67900</v>
      </c>
      <c r="B1359" t="s">
        <v>24408</v>
      </c>
      <c r="C1359" t="s">
        <v>24409</v>
      </c>
      <c r="D1359" t="s">
        <v>24410</v>
      </c>
      <c r="E1359" t="s">
        <v>24411</v>
      </c>
      <c r="F1359" t="s">
        <v>24412</v>
      </c>
      <c r="G1359" t="s">
        <v>24413</v>
      </c>
      <c r="H1359" t="s">
        <v>24414</v>
      </c>
      <c r="I1359" t="s">
        <v>24415</v>
      </c>
      <c r="J1359" t="s">
        <v>24416</v>
      </c>
      <c r="K1359" t="s">
        <v>24417</v>
      </c>
      <c r="L1359" t="s">
        <v>24418</v>
      </c>
      <c r="M1359" t="s">
        <v>24419</v>
      </c>
      <c r="N1359" t="s">
        <v>24420</v>
      </c>
      <c r="O1359">
        <f>-617.897747612768 -64.8303598871441 -738.045998688406</f>
        <v>-1420.774106188318</v>
      </c>
      <c r="P1359">
        <f>-613.712190289355 -66.3230248565019 -421.555229090925</f>
        <v>-1101.5904442367819</v>
      </c>
      <c r="Q1359">
        <f>-354.991152140365 -58.1475180904993 -446.826677501098</f>
        <v>-859.96534773196231</v>
      </c>
      <c r="R1359" t="s">
        <v>24421</v>
      </c>
      <c r="S1359" t="s">
        <v>24422</v>
      </c>
      <c r="T1359" t="s">
        <v>24423</v>
      </c>
      <c r="U1359" t="s">
        <v>24424</v>
      </c>
      <c r="V1359" t="s">
        <v>24425</v>
      </c>
      <c r="W1359" t="s">
        <v>24426</v>
      </c>
      <c r="X1359" t="s">
        <v>24427</v>
      </c>
      <c r="Y1359" t="s">
        <v>24428</v>
      </c>
    </row>
    <row r="1360" spans="1:25" x14ac:dyDescent="0.3">
      <c r="A1360">
        <v>67950</v>
      </c>
      <c r="B1360" t="s">
        <v>24429</v>
      </c>
      <c r="C1360" t="s">
        <v>24430</v>
      </c>
      <c r="D1360" t="s">
        <v>24431</v>
      </c>
      <c r="E1360" t="s">
        <v>24432</v>
      </c>
      <c r="F1360" t="s">
        <v>24433</v>
      </c>
      <c r="G1360" t="s">
        <v>24434</v>
      </c>
      <c r="H1360" t="s">
        <v>24435</v>
      </c>
      <c r="I1360" t="s">
        <v>24436</v>
      </c>
      <c r="J1360" t="s">
        <v>24437</v>
      </c>
      <c r="K1360" t="s">
        <v>24438</v>
      </c>
      <c r="L1360" t="s">
        <v>24439</v>
      </c>
      <c r="M1360" t="s">
        <v>24440</v>
      </c>
      <c r="N1360" t="s">
        <v>24441</v>
      </c>
      <c r="O1360">
        <f>-615.729656305377 -65.9198144984641 -736.8782368385</f>
        <v>-1418.5277076423413</v>
      </c>
      <c r="P1360">
        <f>-610.366275413289 -67.1672988458233 -420.404185606468</f>
        <v>-1097.9377598655803</v>
      </c>
      <c r="Q1360">
        <f>-352.536155679172 -56.5788835250216 -452.862856909304</f>
        <v>-861.97789611349754</v>
      </c>
      <c r="R1360" t="s">
        <v>24442</v>
      </c>
      <c r="S1360" t="s">
        <v>24443</v>
      </c>
      <c r="T1360" t="s">
        <v>24444</v>
      </c>
      <c r="U1360" t="s">
        <v>24445</v>
      </c>
      <c r="V1360" t="s">
        <v>24446</v>
      </c>
      <c r="W1360" t="s">
        <v>24447</v>
      </c>
      <c r="X1360" t="s">
        <v>24448</v>
      </c>
      <c r="Y1360" t="s">
        <v>24449</v>
      </c>
    </row>
    <row r="1361" spans="1:25" x14ac:dyDescent="0.3">
      <c r="A1361">
        <v>68000</v>
      </c>
      <c r="B1361" t="s">
        <v>24450</v>
      </c>
      <c r="C1361" t="s">
        <v>24451</v>
      </c>
      <c r="D1361" t="s">
        <v>24452</v>
      </c>
      <c r="E1361" t="s">
        <v>24453</v>
      </c>
      <c r="F1361" t="s">
        <v>24454</v>
      </c>
      <c r="G1361" t="s">
        <v>24455</v>
      </c>
      <c r="H1361" t="s">
        <v>24456</v>
      </c>
      <c r="I1361" t="s">
        <v>24457</v>
      </c>
      <c r="J1361" t="s">
        <v>24458</v>
      </c>
      <c r="K1361" t="s">
        <v>24459</v>
      </c>
      <c r="L1361" t="s">
        <v>24460</v>
      </c>
      <c r="M1361" t="s">
        <v>24461</v>
      </c>
      <c r="N1361" t="s">
        <v>24462</v>
      </c>
      <c r="O1361">
        <f>-614.706368850666 -66.3111890147818 -736.473017050629</f>
        <v>-1417.4905749160766</v>
      </c>
      <c r="P1361">
        <f>-609.486962240106 -67.358291598093 -419.995772232266</f>
        <v>-1096.841026070465</v>
      </c>
      <c r="Q1361">
        <f>-351.872943649876 -55.5163674200251 -453.712500496078</f>
        <v>-861.10181156597912</v>
      </c>
      <c r="R1361" t="s">
        <v>24463</v>
      </c>
      <c r="S1361" t="s">
        <v>24464</v>
      </c>
      <c r="T1361" t="s">
        <v>24465</v>
      </c>
      <c r="U1361" t="s">
        <v>24466</v>
      </c>
      <c r="V1361" t="s">
        <v>24467</v>
      </c>
      <c r="W1361" t="s">
        <v>24468</v>
      </c>
      <c r="X1361" t="s">
        <v>24469</v>
      </c>
      <c r="Y1361" t="s">
        <v>24470</v>
      </c>
    </row>
    <row r="1362" spans="1:25" x14ac:dyDescent="0.3">
      <c r="A1362">
        <v>68050</v>
      </c>
      <c r="B1362" t="s">
        <v>24471</v>
      </c>
      <c r="C1362" t="s">
        <v>24472</v>
      </c>
      <c r="D1362" t="s">
        <v>24473</v>
      </c>
      <c r="E1362" t="s">
        <v>24474</v>
      </c>
      <c r="F1362" t="s">
        <v>24475</v>
      </c>
      <c r="G1362" t="s">
        <v>24476</v>
      </c>
      <c r="H1362" t="s">
        <v>24477</v>
      </c>
      <c r="I1362" t="s">
        <v>24478</v>
      </c>
      <c r="J1362" t="s">
        <v>24479</v>
      </c>
      <c r="K1362" t="s">
        <v>24480</v>
      </c>
      <c r="L1362" t="s">
        <v>24481</v>
      </c>
      <c r="M1362" t="s">
        <v>24482</v>
      </c>
      <c r="N1362" t="s">
        <v>24483</v>
      </c>
      <c r="O1362">
        <f>-613.118044920564 -67.3240706048671 -735.281734399494</f>
        <v>-1415.7238499249252</v>
      </c>
      <c r="P1362">
        <f>-608.06456302408 -66.7375134002189 -418.800696839799</f>
        <v>-1093.6027732640978</v>
      </c>
      <c r="Q1362">
        <f>-350.617718007738 -52.8572417665212 -453.013047946426</f>
        <v>-856.48800772068523</v>
      </c>
      <c r="R1362" t="s">
        <v>24484</v>
      </c>
      <c r="S1362" t="s">
        <v>24485</v>
      </c>
      <c r="T1362" t="s">
        <v>24486</v>
      </c>
      <c r="U1362" t="s">
        <v>24487</v>
      </c>
      <c r="V1362" t="s">
        <v>24488</v>
      </c>
      <c r="W1362" t="s">
        <v>24489</v>
      </c>
      <c r="X1362" t="s">
        <v>24490</v>
      </c>
      <c r="Y1362" t="s">
        <v>24491</v>
      </c>
    </row>
    <row r="1363" spans="1:25" x14ac:dyDescent="0.3">
      <c r="A1363">
        <v>68100</v>
      </c>
      <c r="B1363" t="s">
        <v>24492</v>
      </c>
      <c r="C1363" t="s">
        <v>24493</v>
      </c>
      <c r="D1363" t="s">
        <v>24494</v>
      </c>
      <c r="E1363" t="s">
        <v>24495</v>
      </c>
      <c r="F1363" t="s">
        <v>24496</v>
      </c>
      <c r="G1363" t="s">
        <v>24497</v>
      </c>
      <c r="H1363" t="s">
        <v>24498</v>
      </c>
      <c r="I1363" t="s">
        <v>24499</v>
      </c>
      <c r="J1363" t="s">
        <v>24500</v>
      </c>
      <c r="K1363" t="s">
        <v>24501</v>
      </c>
      <c r="L1363" t="s">
        <v>24502</v>
      </c>
      <c r="M1363" t="s">
        <v>24503</v>
      </c>
      <c r="N1363" t="s">
        <v>24504</v>
      </c>
      <c r="O1363">
        <f>-612.578760235613 -68.1000154684098 -734.740739826643</f>
        <v>-1415.4195155306656</v>
      </c>
      <c r="P1363">
        <f>-607.437919053058 -66.6311786214183 -418.263888955375</f>
        <v>-1092.3329866298513</v>
      </c>
      <c r="Q1363">
        <f>-350.06923804179 -51.8750757859159 -452.697221788534</f>
        <v>-854.64153561623993</v>
      </c>
      <c r="R1363" t="s">
        <v>24505</v>
      </c>
      <c r="S1363" t="s">
        <v>24506</v>
      </c>
      <c r="T1363" t="s">
        <v>24507</v>
      </c>
      <c r="U1363" t="s">
        <v>24508</v>
      </c>
      <c r="V1363" t="s">
        <v>24509</v>
      </c>
      <c r="W1363" t="s">
        <v>24510</v>
      </c>
      <c r="X1363" t="s">
        <v>24511</v>
      </c>
      <c r="Y1363" t="s">
        <v>24512</v>
      </c>
    </row>
    <row r="1364" spans="1:25" x14ac:dyDescent="0.3">
      <c r="A1364">
        <v>68150</v>
      </c>
      <c r="B1364" t="s">
        <v>24513</v>
      </c>
      <c r="C1364" t="s">
        <v>24514</v>
      </c>
      <c r="D1364" t="s">
        <v>24515</v>
      </c>
      <c r="E1364" t="s">
        <v>24516</v>
      </c>
      <c r="F1364" t="s">
        <v>24517</v>
      </c>
      <c r="G1364" t="s">
        <v>24518</v>
      </c>
      <c r="H1364" t="s">
        <v>24519</v>
      </c>
      <c r="I1364" t="s">
        <v>24520</v>
      </c>
      <c r="J1364" t="s">
        <v>24521</v>
      </c>
      <c r="K1364" t="s">
        <v>24522</v>
      </c>
      <c r="L1364" t="s">
        <v>24523</v>
      </c>
      <c r="M1364" t="s">
        <v>24524</v>
      </c>
      <c r="N1364" t="s">
        <v>24525</v>
      </c>
      <c r="O1364">
        <f>-612.44669738545 -68.5808429363867 -734.502327437022</f>
        <v>-1415.5298677588587</v>
      </c>
      <c r="P1364">
        <f>-606.61806067645 -66.8247756474318 -418.039049868761</f>
        <v>-1091.4818861926428</v>
      </c>
      <c r="Q1364">
        <f>-349.338975232241 -50.4743120598987 -452.421913975053</f>
        <v>-852.23520126719268</v>
      </c>
      <c r="R1364" t="s">
        <v>24526</v>
      </c>
      <c r="S1364" t="s">
        <v>24527</v>
      </c>
      <c r="T1364" t="s">
        <v>24528</v>
      </c>
      <c r="U1364" t="s">
        <v>24529</v>
      </c>
      <c r="V1364" t="s">
        <v>24530</v>
      </c>
      <c r="W1364" t="s">
        <v>24531</v>
      </c>
      <c r="X1364" t="s">
        <v>24532</v>
      </c>
      <c r="Y1364" t="s">
        <v>24533</v>
      </c>
    </row>
    <row r="1365" spans="1:25" x14ac:dyDescent="0.3">
      <c r="A1365">
        <v>68200</v>
      </c>
      <c r="B1365" t="s">
        <v>24534</v>
      </c>
      <c r="C1365" t="s">
        <v>24535</v>
      </c>
      <c r="D1365" t="s">
        <v>24536</v>
      </c>
      <c r="E1365" t="s">
        <v>24537</v>
      </c>
      <c r="F1365" t="s">
        <v>24538</v>
      </c>
      <c r="G1365" t="s">
        <v>24539</v>
      </c>
      <c r="H1365" t="s">
        <v>24540</v>
      </c>
      <c r="I1365" t="s">
        <v>24541</v>
      </c>
      <c r="J1365" t="s">
        <v>24542</v>
      </c>
      <c r="K1365" t="s">
        <v>24543</v>
      </c>
      <c r="L1365" t="s">
        <v>24544</v>
      </c>
      <c r="M1365" t="s">
        <v>24545</v>
      </c>
      <c r="N1365" t="s">
        <v>24546</v>
      </c>
      <c r="O1365">
        <f>-612.509335120317 -68.2413588306465 -734.550212231486</f>
        <v>-1415.3009061824496</v>
      </c>
      <c r="P1365">
        <f>-606.627059414671 -66.8953509233856 -418.085762814815</f>
        <v>-1091.6081731528716</v>
      </c>
      <c r="Q1365">
        <f>-349.330327902499 -50.01279974096 -452.077202408346</f>
        <v>-851.42033005180497</v>
      </c>
      <c r="R1365" t="s">
        <v>24547</v>
      </c>
      <c r="S1365" t="s">
        <v>24548</v>
      </c>
      <c r="T1365" t="s">
        <v>24549</v>
      </c>
      <c r="U1365" t="s">
        <v>24550</v>
      </c>
      <c r="V1365" t="s">
        <v>24551</v>
      </c>
      <c r="W1365" t="s">
        <v>24552</v>
      </c>
      <c r="X1365" t="s">
        <v>24553</v>
      </c>
      <c r="Y1365" t="s">
        <v>24554</v>
      </c>
    </row>
    <row r="1366" spans="1:25" x14ac:dyDescent="0.3">
      <c r="A1366">
        <v>68250</v>
      </c>
      <c r="B1366" t="s">
        <v>24555</v>
      </c>
      <c r="C1366" t="s">
        <v>24556</v>
      </c>
      <c r="D1366" t="s">
        <v>24557</v>
      </c>
      <c r="E1366" t="s">
        <v>24558</v>
      </c>
      <c r="F1366" t="s">
        <v>24559</v>
      </c>
      <c r="G1366" t="s">
        <v>24560</v>
      </c>
      <c r="H1366" t="s">
        <v>24561</v>
      </c>
      <c r="I1366" t="s">
        <v>24562</v>
      </c>
      <c r="J1366" t="s">
        <v>24563</v>
      </c>
      <c r="K1366" t="s">
        <v>24564</v>
      </c>
      <c r="L1366" t="s">
        <v>24565</v>
      </c>
      <c r="M1366" t="s">
        <v>24566</v>
      </c>
      <c r="N1366" t="s">
        <v>24567</v>
      </c>
      <c r="O1366">
        <f>-613.016697841199 -67.4659660670036 -734.587944934807</f>
        <v>-1415.0706088430095</v>
      </c>
      <c r="P1366">
        <f>-607.16826025997 -67.0942562166172 -418.120276612022</f>
        <v>-1092.3827930886091</v>
      </c>
      <c r="Q1366">
        <f>-349.938504210125 -49.8420136807385 -452.431429027448</f>
        <v>-852.21194691831147</v>
      </c>
      <c r="R1366" t="s">
        <v>24568</v>
      </c>
      <c r="S1366" t="s">
        <v>24569</v>
      </c>
      <c r="T1366" t="s">
        <v>24570</v>
      </c>
      <c r="U1366" t="s">
        <v>24571</v>
      </c>
      <c r="V1366" t="s">
        <v>24572</v>
      </c>
      <c r="W1366" t="s">
        <v>24573</v>
      </c>
      <c r="X1366" t="s">
        <v>24574</v>
      </c>
      <c r="Y1366" t="s">
        <v>24575</v>
      </c>
    </row>
    <row r="1367" spans="1:25" x14ac:dyDescent="0.3">
      <c r="A1367">
        <v>68300</v>
      </c>
      <c r="B1367" t="s">
        <v>24576</v>
      </c>
      <c r="C1367" t="s">
        <v>24577</v>
      </c>
      <c r="D1367" t="s">
        <v>24578</v>
      </c>
      <c r="E1367" t="s">
        <v>24579</v>
      </c>
      <c r="F1367" t="s">
        <v>24580</v>
      </c>
      <c r="G1367" t="s">
        <v>24581</v>
      </c>
      <c r="H1367" t="s">
        <v>24582</v>
      </c>
      <c r="I1367" t="s">
        <v>24583</v>
      </c>
      <c r="J1367" t="s">
        <v>24584</v>
      </c>
      <c r="K1367" t="s">
        <v>24585</v>
      </c>
      <c r="L1367" t="s">
        <v>24586</v>
      </c>
      <c r="M1367" t="s">
        <v>24587</v>
      </c>
      <c r="N1367" t="s">
        <v>24588</v>
      </c>
      <c r="O1367">
        <f>-613.310682663449 -66.8847442268129 -734.660282732657</f>
        <v>-1414.855709622919</v>
      </c>
      <c r="P1367">
        <f>-607.746625260528 -67.3582525617805 -418.187457502654</f>
        <v>-1093.2923353249626</v>
      </c>
      <c r="Q1367">
        <f>-350.460183683738 -50.440307267779 -452.239025994232</f>
        <v>-853.13951694574905</v>
      </c>
      <c r="R1367" t="s">
        <v>24589</v>
      </c>
      <c r="S1367" t="s">
        <v>24590</v>
      </c>
      <c r="T1367" t="s">
        <v>24591</v>
      </c>
      <c r="U1367" t="s">
        <v>24592</v>
      </c>
      <c r="V1367" t="s">
        <v>24593</v>
      </c>
      <c r="W1367" t="s">
        <v>24594</v>
      </c>
      <c r="X1367" t="s">
        <v>24595</v>
      </c>
      <c r="Y1367" t="s">
        <v>24596</v>
      </c>
    </row>
    <row r="1368" spans="1:25" x14ac:dyDescent="0.3">
      <c r="A1368">
        <v>68350</v>
      </c>
      <c r="B1368" t="s">
        <v>24597</v>
      </c>
      <c r="C1368" t="s">
        <v>24598</v>
      </c>
      <c r="D1368" t="s">
        <v>24599</v>
      </c>
      <c r="E1368" t="s">
        <v>24600</v>
      </c>
      <c r="F1368" t="s">
        <v>24601</v>
      </c>
      <c r="G1368" t="s">
        <v>24602</v>
      </c>
      <c r="H1368" t="s">
        <v>24603</v>
      </c>
      <c r="I1368" t="s">
        <v>24604</v>
      </c>
      <c r="J1368" t="s">
        <v>24605</v>
      </c>
      <c r="K1368" t="s">
        <v>24606</v>
      </c>
      <c r="L1368" t="s">
        <v>24607</v>
      </c>
      <c r="M1368" t="s">
        <v>24608</v>
      </c>
      <c r="N1368" t="s">
        <v>24609</v>
      </c>
      <c r="O1368">
        <f>-614.539783290421 -65.3318006195136 -735.159853875934</f>
        <v>-1415.0314377858685</v>
      </c>
      <c r="P1368">
        <f>-609.863398795739 -66.5133770326418 -418.674524730826</f>
        <v>-1095.0513005592068</v>
      </c>
      <c r="Q1368">
        <f>-352.45475394412 -50.8180217949143 -452.386633790533</f>
        <v>-855.65940952956726</v>
      </c>
      <c r="R1368" t="s">
        <v>24610</v>
      </c>
      <c r="S1368" t="s">
        <v>24611</v>
      </c>
      <c r="T1368" t="s">
        <v>24612</v>
      </c>
      <c r="U1368" t="s">
        <v>24613</v>
      </c>
      <c r="V1368" t="s">
        <v>24614</v>
      </c>
      <c r="W1368" t="s">
        <v>24615</v>
      </c>
      <c r="X1368" t="s">
        <v>24616</v>
      </c>
      <c r="Y1368" t="s">
        <v>24617</v>
      </c>
    </row>
    <row r="1369" spans="1:25" x14ac:dyDescent="0.3">
      <c r="A1369">
        <v>68400</v>
      </c>
      <c r="B1369" t="s">
        <v>24618</v>
      </c>
      <c r="C1369" t="s">
        <v>24619</v>
      </c>
      <c r="D1369" t="s">
        <v>24620</v>
      </c>
      <c r="E1369" t="s">
        <v>24621</v>
      </c>
      <c r="F1369" t="s">
        <v>24622</v>
      </c>
      <c r="G1369" t="s">
        <v>24623</v>
      </c>
      <c r="H1369" t="s">
        <v>24624</v>
      </c>
      <c r="I1369" t="s">
        <v>24625</v>
      </c>
      <c r="J1369" t="s">
        <v>24626</v>
      </c>
      <c r="K1369" t="s">
        <v>24627</v>
      </c>
      <c r="L1369" t="s">
        <v>24628</v>
      </c>
      <c r="M1369" t="s">
        <v>24629</v>
      </c>
      <c r="N1369" t="s">
        <v>24630</v>
      </c>
      <c r="O1369">
        <f>-615.631488984539 -64.493279796852 -735.598279382641</f>
        <v>-1415.723048164032</v>
      </c>
      <c r="P1369">
        <f>-611.527215648908 -66.456595439244 -419.109063450861</f>
        <v>-1097.0928745390131</v>
      </c>
      <c r="Q1369">
        <f>-353.987976384785 -51.0005647828382 -451.922717112021</f>
        <v>-856.91125827964424</v>
      </c>
      <c r="R1369" t="s">
        <v>24631</v>
      </c>
      <c r="S1369" t="s">
        <v>24632</v>
      </c>
      <c r="T1369" t="s">
        <v>24633</v>
      </c>
      <c r="U1369" t="s">
        <v>24634</v>
      </c>
      <c r="V1369" t="s">
        <v>24635</v>
      </c>
      <c r="W1369" t="s">
        <v>24636</v>
      </c>
      <c r="X1369" t="s">
        <v>24637</v>
      </c>
      <c r="Y1369" t="s">
        <v>24638</v>
      </c>
    </row>
    <row r="1370" spans="1:25" x14ac:dyDescent="0.3">
      <c r="A1370">
        <v>68450</v>
      </c>
      <c r="B1370" t="s">
        <v>24639</v>
      </c>
      <c r="C1370" t="s">
        <v>24640</v>
      </c>
      <c r="D1370" t="s">
        <v>24641</v>
      </c>
      <c r="E1370" t="s">
        <v>24642</v>
      </c>
      <c r="F1370" t="s">
        <v>24643</v>
      </c>
      <c r="G1370" t="s">
        <v>24644</v>
      </c>
      <c r="H1370" t="s">
        <v>24645</v>
      </c>
      <c r="I1370" t="s">
        <v>24646</v>
      </c>
      <c r="J1370" t="s">
        <v>24647</v>
      </c>
      <c r="K1370" t="s">
        <v>24648</v>
      </c>
      <c r="L1370" t="s">
        <v>24649</v>
      </c>
      <c r="M1370" t="s">
        <v>24650</v>
      </c>
      <c r="N1370" t="s">
        <v>24651</v>
      </c>
      <c r="O1370">
        <f>-618.148915182638 -63.2933117409555 -736.30385128885</f>
        <v>-1417.7460782124435</v>
      </c>
      <c r="P1370">
        <f>-616.249078567941 -65.9149958957485 -419.79826441552</f>
        <v>-1101.9623388792095</v>
      </c>
      <c r="Q1370">
        <f>-358.280419796263 -50.2491181604271 -448.932400395898</f>
        <v>-857.46193835258805</v>
      </c>
      <c r="R1370" t="s">
        <v>24652</v>
      </c>
      <c r="S1370" t="s">
        <v>24653</v>
      </c>
      <c r="T1370" t="s">
        <v>24654</v>
      </c>
      <c r="U1370" t="s">
        <v>24655</v>
      </c>
      <c r="V1370" t="s">
        <v>24656</v>
      </c>
      <c r="W1370" t="s">
        <v>24657</v>
      </c>
      <c r="X1370" t="s">
        <v>24658</v>
      </c>
      <c r="Y1370" t="s">
        <v>24659</v>
      </c>
    </row>
    <row r="1371" spans="1:25" x14ac:dyDescent="0.3">
      <c r="A1371">
        <v>68500</v>
      </c>
      <c r="B1371" t="s">
        <v>24660</v>
      </c>
      <c r="C1371" t="s">
        <v>24661</v>
      </c>
      <c r="D1371" t="s">
        <v>24662</v>
      </c>
      <c r="E1371" t="s">
        <v>24663</v>
      </c>
      <c r="F1371" t="s">
        <v>24664</v>
      </c>
      <c r="G1371" t="s">
        <v>24665</v>
      </c>
      <c r="H1371" t="s">
        <v>24666</v>
      </c>
      <c r="I1371" t="s">
        <v>24667</v>
      </c>
      <c r="J1371" t="s">
        <v>24668</v>
      </c>
      <c r="K1371" t="s">
        <v>24669</v>
      </c>
      <c r="L1371" t="s">
        <v>24670</v>
      </c>
      <c r="M1371" t="s">
        <v>24671</v>
      </c>
      <c r="N1371" t="s">
        <v>24672</v>
      </c>
      <c r="O1371">
        <f>-619.444211442814 -62.9733531252721 -736.268356221681</f>
        <v>-1418.6859207897669</v>
      </c>
      <c r="P1371">
        <f>-618.176918133346 -64.9461728324693 -419.755040756148</f>
        <v>-1102.8781317219632</v>
      </c>
      <c r="Q1371">
        <f>-360.025814355881 -50.398976520722 -447.833978825844</f>
        <v>-858.2587697024469</v>
      </c>
      <c r="R1371" t="s">
        <v>24673</v>
      </c>
      <c r="S1371" t="s">
        <v>24674</v>
      </c>
      <c r="T1371" t="s">
        <v>24675</v>
      </c>
      <c r="U1371" t="s">
        <v>24676</v>
      </c>
      <c r="V1371" t="s">
        <v>24677</v>
      </c>
      <c r="W1371" t="s">
        <v>24678</v>
      </c>
      <c r="X1371" t="s">
        <v>24679</v>
      </c>
      <c r="Y1371" t="s">
        <v>24680</v>
      </c>
    </row>
    <row r="1372" spans="1:25" x14ac:dyDescent="0.3">
      <c r="A1372">
        <v>68550</v>
      </c>
      <c r="B1372" t="s">
        <v>24681</v>
      </c>
      <c r="C1372" t="s">
        <v>24682</v>
      </c>
      <c r="D1372" t="s">
        <v>24683</v>
      </c>
      <c r="E1372" t="s">
        <v>24684</v>
      </c>
      <c r="F1372" t="s">
        <v>24685</v>
      </c>
      <c r="G1372" t="s">
        <v>24686</v>
      </c>
      <c r="H1372" t="s">
        <v>24687</v>
      </c>
      <c r="I1372" t="s">
        <v>24688</v>
      </c>
      <c r="J1372" t="s">
        <v>24689</v>
      </c>
      <c r="K1372" t="s">
        <v>24690</v>
      </c>
      <c r="L1372" t="s">
        <v>24691</v>
      </c>
      <c r="M1372" t="s">
        <v>24692</v>
      </c>
      <c r="N1372" t="s">
        <v>24693</v>
      </c>
      <c r="O1372">
        <f>-622.70045245522 -62.3774693944945 -735.996235587631</f>
        <v>-1421.0741574373455</v>
      </c>
      <c r="P1372">
        <f>-621.208049231309 -62.4506903277809 -419.477779372945</f>
        <v>-1103.136518932035</v>
      </c>
      <c r="Q1372">
        <f>-362.770219114866 -50.8706558956596 -446.270168374229</f>
        <v>-859.91104338475452</v>
      </c>
      <c r="R1372" t="s">
        <v>24694</v>
      </c>
      <c r="S1372" t="s">
        <v>24695</v>
      </c>
      <c r="T1372" t="s">
        <v>24696</v>
      </c>
      <c r="U1372" t="s">
        <v>24697</v>
      </c>
      <c r="V1372" t="s">
        <v>24698</v>
      </c>
      <c r="W1372" t="s">
        <v>24699</v>
      </c>
      <c r="X1372" t="s">
        <v>24700</v>
      </c>
      <c r="Y1372" t="s">
        <v>24701</v>
      </c>
    </row>
    <row r="1373" spans="1:25" x14ac:dyDescent="0.3">
      <c r="A1373">
        <v>68600</v>
      </c>
      <c r="B1373" t="s">
        <v>24702</v>
      </c>
      <c r="C1373" t="s">
        <v>24703</v>
      </c>
      <c r="D1373" t="s">
        <v>24704</v>
      </c>
      <c r="E1373" t="s">
        <v>24705</v>
      </c>
      <c r="F1373" t="s">
        <v>24706</v>
      </c>
      <c r="G1373" t="s">
        <v>24707</v>
      </c>
      <c r="H1373" t="s">
        <v>24708</v>
      </c>
      <c r="I1373" t="s">
        <v>24709</v>
      </c>
      <c r="J1373" t="s">
        <v>24710</v>
      </c>
      <c r="K1373" t="s">
        <v>24711</v>
      </c>
      <c r="L1373" t="s">
        <v>24712</v>
      </c>
      <c r="M1373" t="s">
        <v>24713</v>
      </c>
      <c r="N1373" t="s">
        <v>24714</v>
      </c>
      <c r="O1373">
        <f>-624.125718279184 -62.2686348644356 -735.747979971087</f>
        <v>-1422.1423331147066</v>
      </c>
      <c r="P1373">
        <f>-622.447646945446 -62.0127108584124 -419.230606686714</f>
        <v>-1103.6909644905725</v>
      </c>
      <c r="Q1373">
        <f>-363.954696292243 -51.6689413768049 -445.997307586334</f>
        <v>-861.62094525538191</v>
      </c>
      <c r="R1373" t="s">
        <v>24715</v>
      </c>
      <c r="S1373" t="s">
        <v>24716</v>
      </c>
      <c r="T1373" t="s">
        <v>24717</v>
      </c>
      <c r="U1373" t="s">
        <v>24718</v>
      </c>
      <c r="V1373" t="s">
        <v>24719</v>
      </c>
      <c r="W1373" t="s">
        <v>24720</v>
      </c>
      <c r="X1373" t="s">
        <v>24721</v>
      </c>
      <c r="Y1373" t="s">
        <v>24722</v>
      </c>
    </row>
    <row r="1374" spans="1:25" x14ac:dyDescent="0.3">
      <c r="A1374">
        <v>68650</v>
      </c>
      <c r="B1374" t="s">
        <v>24723</v>
      </c>
      <c r="C1374" t="s">
        <v>24724</v>
      </c>
      <c r="D1374" t="s">
        <v>24725</v>
      </c>
      <c r="E1374" t="s">
        <v>24726</v>
      </c>
      <c r="F1374" t="s">
        <v>24727</v>
      </c>
      <c r="G1374" t="s">
        <v>24728</v>
      </c>
      <c r="H1374" t="s">
        <v>24729</v>
      </c>
      <c r="I1374" t="s">
        <v>24730</v>
      </c>
      <c r="J1374" t="s">
        <v>24731</v>
      </c>
      <c r="K1374" t="s">
        <v>24732</v>
      </c>
      <c r="L1374" t="s">
        <v>24733</v>
      </c>
      <c r="M1374" t="s">
        <v>24734</v>
      </c>
      <c r="N1374" t="s">
        <v>24735</v>
      </c>
      <c r="O1374">
        <f>-626.999196762035 -61.2216187739134 -735.66299244797</f>
        <v>-1423.8838079839184</v>
      </c>
      <c r="P1374">
        <f>-624.249129486553 -61.4385927405413 -419.152961339634</f>
        <v>-1104.8406835667283</v>
      </c>
      <c r="Q1374">
        <f>-365.628461435879 -52.6660354711348 -445.237963741375</f>
        <v>-863.53246064838879</v>
      </c>
      <c r="R1374" t="s">
        <v>24736</v>
      </c>
      <c r="S1374" t="s">
        <v>24737</v>
      </c>
      <c r="T1374" t="s">
        <v>24738</v>
      </c>
      <c r="U1374" t="s">
        <v>24739</v>
      </c>
      <c r="V1374" t="s">
        <v>24740</v>
      </c>
      <c r="W1374" t="s">
        <v>24741</v>
      </c>
      <c r="X1374" t="s">
        <v>24742</v>
      </c>
      <c r="Y1374" t="s">
        <v>24743</v>
      </c>
    </row>
    <row r="1375" spans="1:25" x14ac:dyDescent="0.3">
      <c r="A1375">
        <v>68700</v>
      </c>
      <c r="B1375" t="s">
        <v>24744</v>
      </c>
      <c r="C1375" t="s">
        <v>24745</v>
      </c>
      <c r="D1375" t="s">
        <v>24746</v>
      </c>
      <c r="E1375" t="s">
        <v>24747</v>
      </c>
      <c r="F1375" t="s">
        <v>24748</v>
      </c>
      <c r="G1375" t="s">
        <v>24749</v>
      </c>
      <c r="H1375" t="s">
        <v>24750</v>
      </c>
      <c r="I1375" t="s">
        <v>24751</v>
      </c>
      <c r="J1375" t="s">
        <v>24752</v>
      </c>
      <c r="K1375" t="s">
        <v>24753</v>
      </c>
      <c r="L1375" t="s">
        <v>24754</v>
      </c>
      <c r="M1375" t="s">
        <v>24755</v>
      </c>
      <c r="N1375" t="s">
        <v>24756</v>
      </c>
      <c r="O1375">
        <f>-627.939169576948 -60.5388259469898 -735.79856494673</f>
        <v>-1424.2765604706678</v>
      </c>
      <c r="P1375">
        <f>-624.788419534319 -61.2447199890189 -419.29304269299</f>
        <v>-1105.3261822163279</v>
      </c>
      <c r="Q1375">
        <f>-366.138274841908 -53.355790260021 -445.368377907593</f>
        <v>-864.86244300952205</v>
      </c>
      <c r="R1375" t="s">
        <v>24757</v>
      </c>
      <c r="S1375" t="s">
        <v>24758</v>
      </c>
      <c r="T1375" t="s">
        <v>24759</v>
      </c>
      <c r="U1375" t="s">
        <v>24760</v>
      </c>
      <c r="V1375" t="s">
        <v>24761</v>
      </c>
      <c r="W1375" t="s">
        <v>24762</v>
      </c>
      <c r="X1375" t="s">
        <v>24763</v>
      </c>
      <c r="Y1375" t="s">
        <v>24764</v>
      </c>
    </row>
    <row r="1376" spans="1:25" x14ac:dyDescent="0.3">
      <c r="A1376">
        <v>68750</v>
      </c>
      <c r="B1376" t="s">
        <v>24765</v>
      </c>
      <c r="C1376" t="s">
        <v>24766</v>
      </c>
      <c r="D1376" t="s">
        <v>24767</v>
      </c>
      <c r="E1376" t="s">
        <v>24768</v>
      </c>
      <c r="F1376" t="s">
        <v>24769</v>
      </c>
      <c r="G1376" t="s">
        <v>24770</v>
      </c>
      <c r="H1376" t="s">
        <v>24771</v>
      </c>
      <c r="I1376" t="s">
        <v>24772</v>
      </c>
      <c r="J1376" t="s">
        <v>24773</v>
      </c>
      <c r="K1376" t="s">
        <v>24774</v>
      </c>
      <c r="L1376" t="s">
        <v>24775</v>
      </c>
      <c r="M1376" t="s">
        <v>24776</v>
      </c>
      <c r="N1376" t="s">
        <v>24777</v>
      </c>
      <c r="O1376">
        <f>-629.925730468502 -59.0786223245366 -735.89553021737</f>
        <v>-1424.8998830104088</v>
      </c>
      <c r="P1376">
        <f>-625.678337909594 -59.6789393444999 -419.40255870985</f>
        <v>-1104.7598359639439</v>
      </c>
      <c r="Q1376">
        <f>-366.930276030049 -53.7465068893459 -445.020702843868</f>
        <v>-865.69748576326288</v>
      </c>
      <c r="R1376" t="s">
        <v>24778</v>
      </c>
      <c r="S1376" t="s">
        <v>24779</v>
      </c>
      <c r="T1376" t="s">
        <v>24780</v>
      </c>
      <c r="U1376" t="s">
        <v>24781</v>
      </c>
      <c r="V1376" t="s">
        <v>24782</v>
      </c>
      <c r="W1376" t="s">
        <v>24783</v>
      </c>
      <c r="X1376" t="s">
        <v>24784</v>
      </c>
      <c r="Y1376" t="s">
        <v>24785</v>
      </c>
    </row>
    <row r="1377" spans="1:25" x14ac:dyDescent="0.3">
      <c r="A1377">
        <v>68800</v>
      </c>
      <c r="B1377" t="s">
        <v>24786</v>
      </c>
      <c r="C1377" t="s">
        <v>24787</v>
      </c>
      <c r="D1377" t="s">
        <v>24788</v>
      </c>
      <c r="E1377" t="s">
        <v>24789</v>
      </c>
      <c r="F1377" t="s">
        <v>24790</v>
      </c>
      <c r="G1377" t="s">
        <v>24791</v>
      </c>
      <c r="H1377" t="s">
        <v>24792</v>
      </c>
      <c r="I1377" t="s">
        <v>24793</v>
      </c>
      <c r="J1377" t="s">
        <v>24794</v>
      </c>
      <c r="K1377" t="s">
        <v>24795</v>
      </c>
      <c r="L1377" t="s">
        <v>24796</v>
      </c>
      <c r="M1377" t="s">
        <v>24797</v>
      </c>
      <c r="N1377" t="s">
        <v>24798</v>
      </c>
      <c r="O1377">
        <f>-631.122349815889 -57.9100166590881 -735.718034136178</f>
        <v>-1424.7504006111551</v>
      </c>
      <c r="P1377">
        <f>-625.7576626273 -58.7387310901031 -419.242522255424</f>
        <v>-1103.738915972827</v>
      </c>
      <c r="Q1377">
        <f>-367.001257291856 -53.5436591255457 -444.936303739993</f>
        <v>-865.48122015739477</v>
      </c>
      <c r="R1377" t="s">
        <v>24799</v>
      </c>
      <c r="S1377" t="s">
        <v>24800</v>
      </c>
      <c r="T1377" t="s">
        <v>24801</v>
      </c>
      <c r="U1377" t="s">
        <v>24802</v>
      </c>
      <c r="V1377" t="s">
        <v>24803</v>
      </c>
      <c r="W1377" t="s">
        <v>24804</v>
      </c>
      <c r="X1377" t="s">
        <v>24805</v>
      </c>
      <c r="Y1377" t="s">
        <v>24806</v>
      </c>
    </row>
    <row r="1378" spans="1:25" x14ac:dyDescent="0.3">
      <c r="A1378">
        <v>68850</v>
      </c>
      <c r="B1378" t="s">
        <v>24807</v>
      </c>
      <c r="C1378" t="s">
        <v>24808</v>
      </c>
      <c r="D1378" t="s">
        <v>24809</v>
      </c>
      <c r="E1378" t="s">
        <v>24810</v>
      </c>
      <c r="F1378" t="s">
        <v>24811</v>
      </c>
      <c r="G1378" t="s">
        <v>24812</v>
      </c>
      <c r="H1378" t="s">
        <v>24813</v>
      </c>
      <c r="I1378" t="s">
        <v>24814</v>
      </c>
      <c r="J1378" t="s">
        <v>24815</v>
      </c>
      <c r="K1378" t="s">
        <v>24816</v>
      </c>
      <c r="L1378" t="s">
        <v>24817</v>
      </c>
      <c r="M1378" t="s">
        <v>24818</v>
      </c>
      <c r="N1378" t="s">
        <v>24819</v>
      </c>
      <c r="O1378">
        <f>-631.664924498345 -57.2013559356765 -735.605068167704</f>
        <v>-1424.4713486017254</v>
      </c>
      <c r="P1378">
        <f>-625.977518017885 -57.94581112315 -419.134948077389</f>
        <v>-1103.0582772184239</v>
      </c>
      <c r="Q1378">
        <f>-367.246936878862 -52.7664588387163 -445.090621664824</f>
        <v>-865.10401738240239</v>
      </c>
      <c r="R1378" t="s">
        <v>24820</v>
      </c>
      <c r="S1378" t="s">
        <v>24821</v>
      </c>
      <c r="T1378" t="s">
        <v>24822</v>
      </c>
      <c r="U1378" t="s">
        <v>24823</v>
      </c>
      <c r="V1378" t="s">
        <v>24824</v>
      </c>
      <c r="W1378" t="s">
        <v>24825</v>
      </c>
      <c r="X1378" t="s">
        <v>24826</v>
      </c>
      <c r="Y1378" t="s">
        <v>24827</v>
      </c>
    </row>
    <row r="1379" spans="1:25" x14ac:dyDescent="0.3">
      <c r="A1379">
        <v>68900</v>
      </c>
      <c r="B1379" t="s">
        <v>24828</v>
      </c>
      <c r="C1379" t="s">
        <v>24829</v>
      </c>
      <c r="D1379" t="s">
        <v>24830</v>
      </c>
      <c r="E1379" t="s">
        <v>24831</v>
      </c>
      <c r="F1379" t="s">
        <v>24832</v>
      </c>
      <c r="G1379" t="s">
        <v>24833</v>
      </c>
      <c r="H1379" t="s">
        <v>24834</v>
      </c>
      <c r="I1379" t="s">
        <v>24835</v>
      </c>
      <c r="J1379" t="s">
        <v>24836</v>
      </c>
      <c r="K1379" t="s">
        <v>24837</v>
      </c>
      <c r="L1379" t="s">
        <v>24838</v>
      </c>
      <c r="M1379" t="s">
        <v>24839</v>
      </c>
      <c r="N1379" t="s">
        <v>24840</v>
      </c>
      <c r="O1379">
        <f>-632.127743805047 -56.6542812230787 -735.417513502263</f>
        <v>-1424.1995385303885</v>
      </c>
      <c r="P1379">
        <f>-626.29710282953 -57.5814225236993 -418.950504413539</f>
        <v>-1102.8290297667684</v>
      </c>
      <c r="Q1379">
        <f>-367.615979117737 -52.1988805183487 -445.354638288309</f>
        <v>-865.1694979243947</v>
      </c>
      <c r="R1379" t="s">
        <v>24841</v>
      </c>
      <c r="S1379" t="s">
        <v>24842</v>
      </c>
      <c r="T1379" t="s">
        <v>24843</v>
      </c>
      <c r="U1379" t="s">
        <v>24844</v>
      </c>
      <c r="V1379" t="s">
        <v>24845</v>
      </c>
      <c r="W1379" t="s">
        <v>24846</v>
      </c>
      <c r="X1379" t="s">
        <v>24847</v>
      </c>
      <c r="Y1379" t="s">
        <v>24848</v>
      </c>
    </row>
    <row r="1380" spans="1:25" x14ac:dyDescent="0.3">
      <c r="A1380">
        <v>68950</v>
      </c>
      <c r="B1380" t="s">
        <v>24849</v>
      </c>
      <c r="C1380" t="s">
        <v>24850</v>
      </c>
      <c r="D1380" t="s">
        <v>24851</v>
      </c>
      <c r="E1380" t="s">
        <v>24852</v>
      </c>
      <c r="F1380" t="s">
        <v>24853</v>
      </c>
      <c r="G1380" t="s">
        <v>24854</v>
      </c>
      <c r="H1380" t="s">
        <v>24855</v>
      </c>
      <c r="I1380" t="s">
        <v>24856</v>
      </c>
      <c r="J1380" t="s">
        <v>24857</v>
      </c>
      <c r="K1380" t="s">
        <v>24858</v>
      </c>
      <c r="L1380" t="s">
        <v>24859</v>
      </c>
      <c r="M1380" t="s">
        <v>24860</v>
      </c>
      <c r="N1380" t="s">
        <v>24861</v>
      </c>
      <c r="O1380">
        <f>-633.950871065393 -55.3912015621797 -735.115356203951</f>
        <v>-1424.4574288315239</v>
      </c>
      <c r="P1380">
        <f>-626.942243162922 -56.1683582209957 -418.671910831898</f>
        <v>-1101.7825122158156</v>
      </c>
      <c r="Q1380">
        <f>-368.182321812462 -50.3565890366285 -444.198087100303</f>
        <v>-862.73699794939353</v>
      </c>
      <c r="R1380" t="s">
        <v>24862</v>
      </c>
      <c r="S1380" t="s">
        <v>24863</v>
      </c>
      <c r="T1380" t="s">
        <v>24864</v>
      </c>
      <c r="U1380" t="s">
        <v>24865</v>
      </c>
      <c r="V1380" t="s">
        <v>24866</v>
      </c>
      <c r="W1380" t="s">
        <v>24867</v>
      </c>
      <c r="X1380" t="s">
        <v>24868</v>
      </c>
      <c r="Y1380" t="s">
        <v>24869</v>
      </c>
    </row>
    <row r="1381" spans="1:25" x14ac:dyDescent="0.3">
      <c r="A1381">
        <v>69000</v>
      </c>
      <c r="B1381" t="s">
        <v>24870</v>
      </c>
      <c r="C1381" t="s">
        <v>24871</v>
      </c>
      <c r="D1381" t="s">
        <v>24872</v>
      </c>
      <c r="E1381" t="s">
        <v>24873</v>
      </c>
      <c r="F1381" t="s">
        <v>24874</v>
      </c>
      <c r="G1381" t="s">
        <v>24875</v>
      </c>
      <c r="H1381" t="s">
        <v>24876</v>
      </c>
      <c r="I1381" t="s">
        <v>24877</v>
      </c>
      <c r="J1381" t="s">
        <v>24878</v>
      </c>
      <c r="K1381" t="s">
        <v>24879</v>
      </c>
      <c r="L1381" t="s">
        <v>24880</v>
      </c>
      <c r="M1381" t="s">
        <v>24881</v>
      </c>
      <c r="N1381" t="s">
        <v>24882</v>
      </c>
      <c r="O1381">
        <f>-634.551384835221 -54.9486039478372 -734.928137049355</f>
        <v>-1424.4281258324131</v>
      </c>
      <c r="P1381">
        <f>-627.572781309099 -55.7885286117419 -418.484187325445</f>
        <v>-1101.845497246286</v>
      </c>
      <c r="Q1381">
        <f>-368.839746595707 -49.3221182576144 -444.125227349805</f>
        <v>-862.28709220312646</v>
      </c>
      <c r="R1381" t="s">
        <v>24883</v>
      </c>
      <c r="S1381" t="s">
        <v>24884</v>
      </c>
      <c r="T1381" t="s">
        <v>24885</v>
      </c>
      <c r="U1381" t="s">
        <v>24886</v>
      </c>
      <c r="V1381" t="s">
        <v>24887</v>
      </c>
      <c r="W1381" t="s">
        <v>24888</v>
      </c>
      <c r="X1381" t="s">
        <v>24889</v>
      </c>
      <c r="Y1381" t="s">
        <v>24890</v>
      </c>
    </row>
    <row r="1382" spans="1:25" x14ac:dyDescent="0.3">
      <c r="A1382">
        <v>69050</v>
      </c>
      <c r="B1382" t="s">
        <v>24891</v>
      </c>
      <c r="C1382" t="s">
        <v>24892</v>
      </c>
      <c r="D1382" t="s">
        <v>24893</v>
      </c>
      <c r="E1382" t="s">
        <v>24894</v>
      </c>
      <c r="F1382" t="s">
        <v>24895</v>
      </c>
      <c r="G1382" t="s">
        <v>24896</v>
      </c>
      <c r="H1382" t="s">
        <v>24897</v>
      </c>
      <c r="I1382" t="s">
        <v>24898</v>
      </c>
      <c r="J1382" t="s">
        <v>24899</v>
      </c>
      <c r="K1382" t="s">
        <v>24900</v>
      </c>
      <c r="L1382" t="s">
        <v>24901</v>
      </c>
      <c r="M1382" t="s">
        <v>24902</v>
      </c>
      <c r="N1382" t="s">
        <v>24903</v>
      </c>
      <c r="O1382">
        <f>-636.163765379196 -53.6095089466919 -734.785848834649</f>
        <v>-1424.5591231605367</v>
      </c>
      <c r="P1382">
        <f>-628.410775924415 -53.8395593815733 -418.358921492752</f>
        <v>-1100.6092567987403</v>
      </c>
      <c r="Q1382">
        <f>-369.559537212978 -47.2056426827332 -442.73236539545</f>
        <v>-859.49754529116126</v>
      </c>
      <c r="R1382" t="s">
        <v>24904</v>
      </c>
      <c r="S1382" t="s">
        <v>24905</v>
      </c>
      <c r="T1382" t="s">
        <v>24906</v>
      </c>
      <c r="U1382" t="s">
        <v>24907</v>
      </c>
      <c r="V1382" t="s">
        <v>24908</v>
      </c>
      <c r="W1382" t="s">
        <v>24909</v>
      </c>
      <c r="X1382" t="s">
        <v>24910</v>
      </c>
      <c r="Y1382" t="s">
        <v>24911</v>
      </c>
    </row>
    <row r="1383" spans="1:25" x14ac:dyDescent="0.3">
      <c r="A1383">
        <v>69100</v>
      </c>
      <c r="B1383" t="s">
        <v>24912</v>
      </c>
      <c r="C1383" t="s">
        <v>24913</v>
      </c>
      <c r="D1383" t="s">
        <v>24914</v>
      </c>
      <c r="E1383" t="s">
        <v>24915</v>
      </c>
      <c r="F1383" t="s">
        <v>24916</v>
      </c>
      <c r="G1383" t="s">
        <v>24917</v>
      </c>
      <c r="H1383" t="s">
        <v>24918</v>
      </c>
      <c r="I1383" t="s">
        <v>24919</v>
      </c>
      <c r="J1383" t="s">
        <v>24920</v>
      </c>
      <c r="K1383" t="s">
        <v>24921</v>
      </c>
      <c r="L1383" t="s">
        <v>24922</v>
      </c>
      <c r="M1383" t="s">
        <v>24923</v>
      </c>
      <c r="N1383" t="s">
        <v>24924</v>
      </c>
      <c r="O1383">
        <f>-636.782161600627 -53.1929715946901 -734.701589162969</f>
        <v>-1424.676722358286</v>
      </c>
      <c r="P1383">
        <f>-629.396779998263 -53.4616695864777 -418.265882647145</f>
        <v>-1101.1243322318858</v>
      </c>
      <c r="Q1383">
        <f>-370.583316688512 -45.9652730206487 -442.790284184235</f>
        <v>-859.33887389339566</v>
      </c>
      <c r="R1383" t="s">
        <v>24925</v>
      </c>
      <c r="S1383" t="s">
        <v>24926</v>
      </c>
      <c r="T1383" t="s">
        <v>24927</v>
      </c>
      <c r="U1383" t="s">
        <v>24928</v>
      </c>
      <c r="V1383" t="s">
        <v>24929</v>
      </c>
      <c r="W1383" t="s">
        <v>24930</v>
      </c>
      <c r="X1383" t="s">
        <v>24931</v>
      </c>
      <c r="Y1383" t="s">
        <v>24932</v>
      </c>
    </row>
    <row r="1384" spans="1:25" x14ac:dyDescent="0.3">
      <c r="A1384">
        <v>69150</v>
      </c>
      <c r="B1384" t="s">
        <v>24933</v>
      </c>
      <c r="C1384" t="s">
        <v>24934</v>
      </c>
      <c r="D1384" t="s">
        <v>24935</v>
      </c>
      <c r="E1384" t="s">
        <v>24936</v>
      </c>
      <c r="F1384" t="s">
        <v>24937</v>
      </c>
      <c r="G1384" t="s">
        <v>24938</v>
      </c>
      <c r="H1384" t="s">
        <v>24939</v>
      </c>
      <c r="I1384" t="s">
        <v>24940</v>
      </c>
      <c r="J1384" t="s">
        <v>24941</v>
      </c>
      <c r="K1384" t="s">
        <v>24942</v>
      </c>
      <c r="L1384" t="s">
        <v>24943</v>
      </c>
      <c r="M1384" t="s">
        <v>24944</v>
      </c>
      <c r="N1384" t="s">
        <v>24945</v>
      </c>
      <c r="O1384">
        <f>-638.11481983829 -51.8233547666246 -734.89164541658</f>
        <v>-1424.8298200214945</v>
      </c>
      <c r="P1384">
        <f>-630.294541197707 -51.7641313170172 -418.466189363797</f>
        <v>-1100.5248618785213</v>
      </c>
      <c r="Q1384">
        <f>-371.508164310903 -43.7125925619951 -443.100208519602</f>
        <v>-858.32096539250006</v>
      </c>
      <c r="R1384" t="s">
        <v>24946</v>
      </c>
      <c r="S1384" t="s">
        <v>24947</v>
      </c>
      <c r="T1384" t="s">
        <v>24948</v>
      </c>
      <c r="U1384" t="s">
        <v>24949</v>
      </c>
      <c r="V1384" t="s">
        <v>24950</v>
      </c>
      <c r="W1384" t="s">
        <v>24951</v>
      </c>
      <c r="X1384" t="s">
        <v>24952</v>
      </c>
      <c r="Y1384" t="s">
        <v>24953</v>
      </c>
    </row>
    <row r="1385" spans="1:25" x14ac:dyDescent="0.3">
      <c r="A1385">
        <v>69200</v>
      </c>
      <c r="B1385" t="s">
        <v>24954</v>
      </c>
      <c r="C1385" t="s">
        <v>24955</v>
      </c>
      <c r="D1385" t="s">
        <v>24956</v>
      </c>
      <c r="E1385" t="s">
        <v>24957</v>
      </c>
      <c r="F1385" t="s">
        <v>24958</v>
      </c>
      <c r="G1385" t="s">
        <v>24959</v>
      </c>
      <c r="H1385" t="s">
        <v>24960</v>
      </c>
      <c r="I1385" t="s">
        <v>24961</v>
      </c>
      <c r="J1385" t="s">
        <v>24962</v>
      </c>
      <c r="K1385" t="s">
        <v>24963</v>
      </c>
      <c r="L1385" t="s">
        <v>24964</v>
      </c>
      <c r="M1385" t="s">
        <v>24965</v>
      </c>
      <c r="N1385" t="s">
        <v>24966</v>
      </c>
      <c r="O1385">
        <f>-638.689256771439 -51.3046265842195 -734.999331117374</f>
        <v>-1424.9932144730324</v>
      </c>
      <c r="P1385">
        <f>-630.789278011367 -51.2810855288747 -418.575911079486</f>
        <v>-1100.6462746197276</v>
      </c>
      <c r="Q1385">
        <f>-372.032094604953 -43.0156959159738 -443.445053104239</f>
        <v>-858.49284362516573</v>
      </c>
      <c r="R1385" t="s">
        <v>24967</v>
      </c>
      <c r="S1385" t="s">
        <v>24968</v>
      </c>
      <c r="T1385" t="s">
        <v>24969</v>
      </c>
      <c r="U1385" t="s">
        <v>24970</v>
      </c>
      <c r="V1385" t="s">
        <v>24971</v>
      </c>
      <c r="W1385" t="s">
        <v>24972</v>
      </c>
      <c r="X1385" t="s">
        <v>24973</v>
      </c>
      <c r="Y1385" t="s">
        <v>24974</v>
      </c>
    </row>
    <row r="1386" spans="1:25" x14ac:dyDescent="0.3">
      <c r="A1386">
        <v>69250</v>
      </c>
      <c r="B1386" t="s">
        <v>24975</v>
      </c>
      <c r="C1386" t="s">
        <v>24976</v>
      </c>
      <c r="D1386" t="s">
        <v>24977</v>
      </c>
      <c r="E1386" t="s">
        <v>24978</v>
      </c>
      <c r="F1386" t="s">
        <v>24979</v>
      </c>
      <c r="G1386" t="s">
        <v>24980</v>
      </c>
      <c r="H1386" t="s">
        <v>24981</v>
      </c>
      <c r="I1386" t="s">
        <v>24982</v>
      </c>
      <c r="J1386" t="s">
        <v>24983</v>
      </c>
      <c r="K1386" t="s">
        <v>24984</v>
      </c>
      <c r="L1386" t="s">
        <v>24985</v>
      </c>
      <c r="M1386" t="s">
        <v>24986</v>
      </c>
      <c r="N1386" t="s">
        <v>24987</v>
      </c>
      <c r="O1386">
        <f>-640.043259119462 -50.3114004649974 -735.273899063362</f>
        <v>-1425.6285586478216</v>
      </c>
      <c r="P1386">
        <f>-631.428504421226 -50.5817054020029 -418.869259088539</f>
        <v>-1100.8794689117678</v>
      </c>
      <c r="Q1386">
        <f>-372.656925304752 -42.2460775547622 -443.564800117586</f>
        <v>-858.46780297710029</v>
      </c>
      <c r="R1386" t="s">
        <v>24988</v>
      </c>
      <c r="S1386" t="s">
        <v>24989</v>
      </c>
      <c r="T1386" t="s">
        <v>24990</v>
      </c>
      <c r="U1386" t="s">
        <v>24991</v>
      </c>
      <c r="V1386" t="s">
        <v>24992</v>
      </c>
      <c r="W1386" t="s">
        <v>24993</v>
      </c>
      <c r="X1386" t="s">
        <v>24994</v>
      </c>
      <c r="Y1386" t="s">
        <v>24995</v>
      </c>
    </row>
    <row r="1387" spans="1:25" x14ac:dyDescent="0.3">
      <c r="A1387">
        <v>69300</v>
      </c>
      <c r="B1387" t="s">
        <v>24996</v>
      </c>
      <c r="C1387" t="s">
        <v>24997</v>
      </c>
      <c r="D1387" t="s">
        <v>24998</v>
      </c>
      <c r="E1387" t="s">
        <v>24999</v>
      </c>
      <c r="F1387" t="s">
        <v>25000</v>
      </c>
      <c r="G1387" t="s">
        <v>25001</v>
      </c>
      <c r="H1387" t="s">
        <v>25002</v>
      </c>
      <c r="I1387" t="s">
        <v>25003</v>
      </c>
      <c r="J1387" t="s">
        <v>25004</v>
      </c>
      <c r="K1387" t="s">
        <v>25005</v>
      </c>
      <c r="L1387" t="s">
        <v>25006</v>
      </c>
      <c r="M1387" t="s">
        <v>25007</v>
      </c>
      <c r="N1387" t="s">
        <v>25008</v>
      </c>
      <c r="O1387">
        <f>-640.888153479296 -49.7497540132438 -735.511246750655</f>
        <v>-1426.1491542431947</v>
      </c>
      <c r="P1387">
        <f>-632.049437423587 -50.181092006248 -419.112944991772</f>
        <v>-1101.343474421607</v>
      </c>
      <c r="Q1387">
        <f>-373.281894776788 -41.9316669837758 -443.879304908527</f>
        <v>-859.09286666909088</v>
      </c>
      <c r="R1387" t="s">
        <v>25009</v>
      </c>
      <c r="S1387" t="s">
        <v>25010</v>
      </c>
      <c r="T1387" t="s">
        <v>25011</v>
      </c>
      <c r="U1387" t="s">
        <v>25012</v>
      </c>
      <c r="V1387" t="s">
        <v>25013</v>
      </c>
      <c r="W1387" t="s">
        <v>25014</v>
      </c>
      <c r="X1387" t="s">
        <v>25015</v>
      </c>
      <c r="Y1387" t="s">
        <v>25016</v>
      </c>
    </row>
    <row r="1388" spans="1:25" x14ac:dyDescent="0.3">
      <c r="A1388">
        <v>69350</v>
      </c>
      <c r="B1388" t="s">
        <v>25017</v>
      </c>
      <c r="C1388" t="s">
        <v>25018</v>
      </c>
      <c r="D1388" t="s">
        <v>25019</v>
      </c>
      <c r="E1388" t="s">
        <v>25020</v>
      </c>
      <c r="F1388" t="s">
        <v>25021</v>
      </c>
      <c r="G1388" t="s">
        <v>25022</v>
      </c>
      <c r="H1388" t="s">
        <v>25023</v>
      </c>
      <c r="I1388" t="s">
        <v>25024</v>
      </c>
      <c r="J1388" t="s">
        <v>25025</v>
      </c>
      <c r="K1388" t="s">
        <v>25026</v>
      </c>
      <c r="L1388" t="s">
        <v>25027</v>
      </c>
      <c r="M1388" t="s">
        <v>25028</v>
      </c>
      <c r="N1388" t="s">
        <v>25029</v>
      </c>
      <c r="O1388">
        <f>-642.460156673958 -48.8015923650551 -735.97771854667</f>
        <v>-1427.2394675856831</v>
      </c>
      <c r="P1388">
        <f>-633.379228345834 -49.779756121043 -419.587482264706</f>
        <v>-1102.746466731583</v>
      </c>
      <c r="Q1388">
        <f>-374.638131667754 -41.5093205212759 -444.621374289856</f>
        <v>-860.76882647888601</v>
      </c>
      <c r="R1388" t="s">
        <v>25030</v>
      </c>
      <c r="S1388" t="s">
        <v>25031</v>
      </c>
      <c r="T1388" t="s">
        <v>25032</v>
      </c>
      <c r="U1388" t="s">
        <v>25033</v>
      </c>
      <c r="V1388" t="s">
        <v>25034</v>
      </c>
      <c r="W1388" t="s">
        <v>25035</v>
      </c>
      <c r="X1388" t="s">
        <v>25036</v>
      </c>
      <c r="Y1388" t="s">
        <v>25037</v>
      </c>
    </row>
    <row r="1389" spans="1:25" x14ac:dyDescent="0.3">
      <c r="A1389">
        <v>69400</v>
      </c>
      <c r="B1389" t="s">
        <v>25038</v>
      </c>
      <c r="C1389" t="s">
        <v>25039</v>
      </c>
      <c r="D1389" t="s">
        <v>25040</v>
      </c>
      <c r="E1389" t="s">
        <v>25041</v>
      </c>
      <c r="F1389" t="s">
        <v>25042</v>
      </c>
      <c r="G1389" t="s">
        <v>25043</v>
      </c>
      <c r="H1389" t="s">
        <v>25044</v>
      </c>
      <c r="I1389" t="s">
        <v>25045</v>
      </c>
      <c r="J1389" t="s">
        <v>25046</v>
      </c>
      <c r="K1389" t="s">
        <v>25047</v>
      </c>
      <c r="L1389" t="s">
        <v>25048</v>
      </c>
      <c r="M1389" t="s">
        <v>25049</v>
      </c>
      <c r="N1389" t="s">
        <v>25050</v>
      </c>
      <c r="O1389">
        <f>-643.165273971285 -48.4793911611478 -736.119414606115</f>
        <v>-1427.7640797385479</v>
      </c>
      <c r="P1389">
        <f>-634.136158972968 -49.802347047817 -419.728847375498</f>
        <v>-1103.667353396283</v>
      </c>
      <c r="Q1389">
        <f>-375.411623725101 -41.5109869743505 -444.926516449922</f>
        <v>-861.84912714937354</v>
      </c>
      <c r="R1389" t="s">
        <v>25051</v>
      </c>
      <c r="S1389" t="s">
        <v>25052</v>
      </c>
      <c r="T1389" t="s">
        <v>25053</v>
      </c>
      <c r="U1389" t="s">
        <v>25054</v>
      </c>
      <c r="V1389" t="s">
        <v>25055</v>
      </c>
      <c r="W1389" t="s">
        <v>25056</v>
      </c>
      <c r="X1389" t="s">
        <v>25057</v>
      </c>
      <c r="Y1389" t="s">
        <v>25058</v>
      </c>
    </row>
    <row r="1390" spans="1:25" x14ac:dyDescent="0.3">
      <c r="A1390">
        <v>69450</v>
      </c>
      <c r="B1390" t="s">
        <v>25059</v>
      </c>
      <c r="C1390" t="s">
        <v>25060</v>
      </c>
      <c r="D1390" t="s">
        <v>25061</v>
      </c>
      <c r="E1390" t="s">
        <v>25062</v>
      </c>
      <c r="F1390" t="s">
        <v>25063</v>
      </c>
      <c r="G1390" t="s">
        <v>25064</v>
      </c>
      <c r="H1390" t="s">
        <v>25065</v>
      </c>
      <c r="I1390" t="s">
        <v>25066</v>
      </c>
      <c r="J1390" t="s">
        <v>25067</v>
      </c>
      <c r="K1390" t="s">
        <v>25068</v>
      </c>
      <c r="L1390" t="s">
        <v>25069</v>
      </c>
      <c r="M1390" t="s">
        <v>25070</v>
      </c>
      <c r="N1390" t="s">
        <v>25071</v>
      </c>
      <c r="O1390">
        <f>-644.650246279652 -48.0597710691472 -736.324575786741</f>
        <v>-1429.0345931355403</v>
      </c>
      <c r="P1390">
        <f>-635.60803216514 -49.6121036324437 -419.935586644856</f>
        <v>-1105.1557224424396</v>
      </c>
      <c r="Q1390">
        <f>-376.872708251032 -41.9221930170954 -445.213273848881</f>
        <v>-864.00817511700848</v>
      </c>
      <c r="R1390" t="s">
        <v>25072</v>
      </c>
      <c r="S1390" t="s">
        <v>25073</v>
      </c>
      <c r="T1390" t="s">
        <v>25074</v>
      </c>
      <c r="U1390" t="s">
        <v>25075</v>
      </c>
      <c r="V1390" t="s">
        <v>25076</v>
      </c>
      <c r="W1390" t="s">
        <v>25077</v>
      </c>
      <c r="X1390" t="s">
        <v>25078</v>
      </c>
      <c r="Y1390" t="s">
        <v>25079</v>
      </c>
    </row>
    <row r="1391" spans="1:25" x14ac:dyDescent="0.3">
      <c r="A1391">
        <v>69500</v>
      </c>
      <c r="B1391" t="s">
        <v>25080</v>
      </c>
      <c r="C1391" t="s">
        <v>25081</v>
      </c>
      <c r="D1391" t="s">
        <v>25082</v>
      </c>
      <c r="E1391" t="s">
        <v>25083</v>
      </c>
      <c r="F1391" t="s">
        <v>25084</v>
      </c>
      <c r="G1391" t="s">
        <v>25085</v>
      </c>
      <c r="H1391" t="s">
        <v>25086</v>
      </c>
      <c r="I1391" t="s">
        <v>25087</v>
      </c>
      <c r="J1391" t="s">
        <v>25088</v>
      </c>
      <c r="K1391" t="s">
        <v>25089</v>
      </c>
      <c r="L1391" t="s">
        <v>25090</v>
      </c>
      <c r="M1391" t="s">
        <v>25091</v>
      </c>
      <c r="N1391" t="s">
        <v>25092</v>
      </c>
      <c r="O1391">
        <f>-644.918087014081 -47.8437577530506 -736.444504005545</f>
        <v>-1429.2063487726766</v>
      </c>
      <c r="P1391">
        <f>-635.623897383973 -49.4080253562397 -420.062928521521</f>
        <v>-1105.0948512617338</v>
      </c>
      <c r="Q1391">
        <f>-376.843611891257 -42.2059437493724 -445.022014748474</f>
        <v>-864.0715703891035</v>
      </c>
      <c r="R1391" t="s">
        <v>25093</v>
      </c>
      <c r="S1391" t="s">
        <v>25094</v>
      </c>
      <c r="T1391" t="s">
        <v>25095</v>
      </c>
      <c r="U1391" t="s">
        <v>25096</v>
      </c>
      <c r="V1391" t="s">
        <v>25097</v>
      </c>
      <c r="W1391" t="s">
        <v>25098</v>
      </c>
      <c r="X1391" t="s">
        <v>25099</v>
      </c>
      <c r="Y1391" t="s">
        <v>25100</v>
      </c>
    </row>
    <row r="1392" spans="1:25" x14ac:dyDescent="0.3">
      <c r="A1392">
        <v>69550</v>
      </c>
      <c r="B1392" t="s">
        <v>25101</v>
      </c>
      <c r="C1392" t="s">
        <v>25102</v>
      </c>
      <c r="D1392" t="s">
        <v>25103</v>
      </c>
      <c r="E1392" t="s">
        <v>25104</v>
      </c>
      <c r="F1392" t="s">
        <v>25105</v>
      </c>
      <c r="G1392" t="s">
        <v>25106</v>
      </c>
      <c r="H1392" t="s">
        <v>25107</v>
      </c>
      <c r="I1392" t="s">
        <v>25108</v>
      </c>
      <c r="J1392" t="s">
        <v>25109</v>
      </c>
      <c r="K1392" t="s">
        <v>25110</v>
      </c>
      <c r="L1392" t="s">
        <v>25111</v>
      </c>
      <c r="M1392" t="s">
        <v>25112</v>
      </c>
      <c r="N1392" t="s">
        <v>25113</v>
      </c>
      <c r="O1392">
        <f>-644.856681560079 -47.8068386343675 -736.532222484536</f>
        <v>-1429.1957426789825</v>
      </c>
      <c r="P1392">
        <f>-635.862332785163 -49.3982248050143 -420.142073598285</f>
        <v>-1105.4026311884622</v>
      </c>
      <c r="Q1392">
        <f>-376.993051547825 -42.4130296441328 -444.224157782608</f>
        <v>-863.63023897456583</v>
      </c>
      <c r="R1392" t="s">
        <v>25114</v>
      </c>
      <c r="S1392" t="s">
        <v>25115</v>
      </c>
      <c r="T1392" t="s">
        <v>25116</v>
      </c>
      <c r="U1392" t="s">
        <v>25117</v>
      </c>
      <c r="V1392" t="s">
        <v>25118</v>
      </c>
      <c r="W1392" t="s">
        <v>25119</v>
      </c>
      <c r="X1392" t="s">
        <v>25120</v>
      </c>
      <c r="Y1392" t="s">
        <v>25121</v>
      </c>
    </row>
    <row r="1393" spans="1:25" x14ac:dyDescent="0.3">
      <c r="A1393">
        <v>69600</v>
      </c>
      <c r="B1393" t="s">
        <v>25122</v>
      </c>
      <c r="C1393" t="s">
        <v>25123</v>
      </c>
      <c r="D1393" t="s">
        <v>25124</v>
      </c>
      <c r="E1393" t="s">
        <v>25125</v>
      </c>
      <c r="F1393" t="s">
        <v>25126</v>
      </c>
      <c r="G1393" t="s">
        <v>25127</v>
      </c>
      <c r="H1393" t="s">
        <v>25128</v>
      </c>
      <c r="I1393" t="s">
        <v>25129</v>
      </c>
      <c r="J1393" t="s">
        <v>25130</v>
      </c>
      <c r="K1393" t="s">
        <v>25131</v>
      </c>
      <c r="L1393" t="s">
        <v>25132</v>
      </c>
      <c r="M1393" t="s">
        <v>25133</v>
      </c>
      <c r="N1393" t="s">
        <v>25134</v>
      </c>
      <c r="O1393">
        <f>-644.589145464291 -48.0032480215536 -736.564633376603</f>
        <v>-1429.1570268624478</v>
      </c>
      <c r="P1393">
        <f>-635.821898129034 -49.7538845581694 -420.169014770855</f>
        <v>-1105.7447974580584</v>
      </c>
      <c r="Q1393">
        <f>-376.894765178465 -42.6114209256034 -443.573111761106</f>
        <v>-863.07929786517434</v>
      </c>
      <c r="R1393" t="s">
        <v>25135</v>
      </c>
      <c r="S1393" t="s">
        <v>25136</v>
      </c>
      <c r="T1393" t="s">
        <v>25137</v>
      </c>
      <c r="U1393" t="s">
        <v>25138</v>
      </c>
      <c r="V1393" t="s">
        <v>25139</v>
      </c>
      <c r="W1393" t="s">
        <v>25140</v>
      </c>
      <c r="X1393" t="s">
        <v>25141</v>
      </c>
      <c r="Y1393" t="s">
        <v>25142</v>
      </c>
    </row>
    <row r="1394" spans="1:25" x14ac:dyDescent="0.3">
      <c r="A1394">
        <v>69650</v>
      </c>
      <c r="B1394" t="s">
        <v>25143</v>
      </c>
      <c r="C1394" t="s">
        <v>25144</v>
      </c>
      <c r="D1394" t="s">
        <v>25145</v>
      </c>
      <c r="E1394" t="s">
        <v>25146</v>
      </c>
      <c r="F1394" t="s">
        <v>25147</v>
      </c>
      <c r="G1394" t="s">
        <v>25148</v>
      </c>
      <c r="H1394" t="s">
        <v>25149</v>
      </c>
      <c r="I1394" t="s">
        <v>25150</v>
      </c>
      <c r="J1394" t="s">
        <v>25151</v>
      </c>
      <c r="K1394" t="s">
        <v>25152</v>
      </c>
      <c r="L1394" t="s">
        <v>25153</v>
      </c>
      <c r="M1394" t="s">
        <v>25154</v>
      </c>
      <c r="N1394" t="s">
        <v>25155</v>
      </c>
      <c r="O1394">
        <f>-644.174625927197 -48.8942771144875 -736.457054999554</f>
        <v>-1429.5259580412385</v>
      </c>
      <c r="P1394">
        <f>-636.041726671647 -50.4240352149168 -420.043318836965</f>
        <v>-1106.5090807235288</v>
      </c>
      <c r="Q1394">
        <f>-377.001387522097 -42.4688585378294 -441.880657323263</f>
        <v>-861.35090338318946</v>
      </c>
      <c r="R1394" t="s">
        <v>25156</v>
      </c>
      <c r="S1394" t="s">
        <v>25157</v>
      </c>
      <c r="T1394" t="s">
        <v>25158</v>
      </c>
      <c r="U1394" t="s">
        <v>25159</v>
      </c>
      <c r="V1394" t="s">
        <v>25160</v>
      </c>
      <c r="W1394" t="s">
        <v>25161</v>
      </c>
      <c r="X1394" t="s">
        <v>25162</v>
      </c>
      <c r="Y1394" t="s">
        <v>25163</v>
      </c>
    </row>
    <row r="1395" spans="1:25" x14ac:dyDescent="0.3">
      <c r="A1395">
        <v>69700</v>
      </c>
      <c r="B1395" t="s">
        <v>25164</v>
      </c>
      <c r="C1395" t="s">
        <v>25165</v>
      </c>
      <c r="D1395" t="s">
        <v>25166</v>
      </c>
      <c r="E1395" t="s">
        <v>25167</v>
      </c>
      <c r="F1395" t="s">
        <v>25168</v>
      </c>
      <c r="G1395" t="s">
        <v>25169</v>
      </c>
      <c r="H1395" t="s">
        <v>25170</v>
      </c>
      <c r="I1395" t="s">
        <v>25171</v>
      </c>
      <c r="J1395" t="s">
        <v>25172</v>
      </c>
      <c r="K1395" t="s">
        <v>25173</v>
      </c>
      <c r="L1395" t="s">
        <v>25174</v>
      </c>
      <c r="M1395" t="s">
        <v>25175</v>
      </c>
      <c r="N1395" t="s">
        <v>25176</v>
      </c>
      <c r="O1395">
        <f>-644.375028182632 -49.4216917148233 -736.295080406627</f>
        <v>-1430.0918003040824</v>
      </c>
      <c r="P1395">
        <f>-636.316275978821 -50.8811809278016 -419.879124788084</f>
        <v>-1107.0765816947064</v>
      </c>
      <c r="Q1395">
        <f>-377.184449821806 -42.5135596335533 -440.439617882734</f>
        <v>-860.13762733809335</v>
      </c>
      <c r="R1395" t="s">
        <v>25177</v>
      </c>
      <c r="S1395" t="s">
        <v>25178</v>
      </c>
      <c r="T1395" t="s">
        <v>25179</v>
      </c>
      <c r="U1395" t="s">
        <v>25180</v>
      </c>
      <c r="V1395" t="s">
        <v>25181</v>
      </c>
      <c r="W1395" t="s">
        <v>25182</v>
      </c>
      <c r="X1395" t="s">
        <v>25183</v>
      </c>
      <c r="Y1395" t="s">
        <v>25184</v>
      </c>
    </row>
    <row r="1396" spans="1:25" x14ac:dyDescent="0.3">
      <c r="A1396">
        <v>69750</v>
      </c>
      <c r="B1396" t="s">
        <v>25185</v>
      </c>
      <c r="C1396" t="s">
        <v>25186</v>
      </c>
      <c r="D1396" t="s">
        <v>25187</v>
      </c>
      <c r="E1396" t="s">
        <v>25188</v>
      </c>
      <c r="F1396" t="s">
        <v>25189</v>
      </c>
      <c r="G1396" t="s">
        <v>25190</v>
      </c>
      <c r="H1396" t="s">
        <v>25191</v>
      </c>
      <c r="I1396" t="s">
        <v>25192</v>
      </c>
      <c r="J1396" t="s">
        <v>25193</v>
      </c>
      <c r="K1396" t="s">
        <v>25194</v>
      </c>
      <c r="L1396" t="s">
        <v>25195</v>
      </c>
      <c r="M1396" t="s">
        <v>25196</v>
      </c>
      <c r="N1396" t="s">
        <v>25197</v>
      </c>
      <c r="O1396">
        <f>-644.564678579273 -50.2095301435493 -736.276429366466</f>
        <v>-1431.0506380892884</v>
      </c>
      <c r="P1396">
        <f>-637.61587234846 -50.4541560326293 -419.830698362437</f>
        <v>-1107.9007267435263</v>
      </c>
      <c r="Q1396">
        <f>-378.283983134758 -41.3644548943898 -437.335378338602</f>
        <v>-856.9838163677498</v>
      </c>
      <c r="R1396" t="s">
        <v>25198</v>
      </c>
      <c r="S1396" t="s">
        <v>25199</v>
      </c>
      <c r="T1396" t="s">
        <v>25200</v>
      </c>
      <c r="U1396" t="s">
        <v>25201</v>
      </c>
      <c r="V1396" t="s">
        <v>25202</v>
      </c>
      <c r="W1396" t="s">
        <v>25203</v>
      </c>
      <c r="X1396" t="s">
        <v>25204</v>
      </c>
      <c r="Y1396" t="s">
        <v>25205</v>
      </c>
    </row>
    <row r="1397" spans="1:25" x14ac:dyDescent="0.3">
      <c r="A1397">
        <v>69800</v>
      </c>
      <c r="B1397" t="s">
        <v>25206</v>
      </c>
      <c r="C1397" t="s">
        <v>25207</v>
      </c>
      <c r="D1397" t="s">
        <v>25208</v>
      </c>
      <c r="E1397" t="s">
        <v>25209</v>
      </c>
      <c r="F1397" t="s">
        <v>25210</v>
      </c>
      <c r="G1397" t="s">
        <v>25211</v>
      </c>
      <c r="H1397" t="s">
        <v>25212</v>
      </c>
      <c r="I1397" t="s">
        <v>25213</v>
      </c>
      <c r="J1397" t="s">
        <v>25214</v>
      </c>
      <c r="K1397" t="s">
        <v>25215</v>
      </c>
      <c r="L1397" t="s">
        <v>25216</v>
      </c>
      <c r="M1397" t="s">
        <v>25217</v>
      </c>
      <c r="N1397" t="s">
        <v>25218</v>
      </c>
      <c r="O1397">
        <f>-644.397647235178 -50.8369655430665 -736.274279643113</f>
        <v>-1431.5088924213576</v>
      </c>
      <c r="P1397">
        <f>-637.933568417686 -50.6970908573637 -419.8184317648</f>
        <v>-1108.4490910398497</v>
      </c>
      <c r="Q1397">
        <f>-378.550239060704 -40.8314196983042 -436.097726686754</f>
        <v>-855.4793854457622</v>
      </c>
      <c r="R1397" t="s">
        <v>25219</v>
      </c>
      <c r="S1397" t="s">
        <v>25220</v>
      </c>
      <c r="T1397" t="s">
        <v>25221</v>
      </c>
      <c r="U1397" t="s">
        <v>25222</v>
      </c>
      <c r="V1397" t="s">
        <v>25223</v>
      </c>
      <c r="W1397" t="s">
        <v>25224</v>
      </c>
      <c r="X1397" t="s">
        <v>25225</v>
      </c>
      <c r="Y1397" t="s">
        <v>25226</v>
      </c>
    </row>
    <row r="1398" spans="1:25" x14ac:dyDescent="0.3">
      <c r="A1398">
        <v>69850</v>
      </c>
      <c r="B1398" t="s">
        <v>25227</v>
      </c>
      <c r="C1398" t="s">
        <v>25228</v>
      </c>
      <c r="D1398" t="s">
        <v>25229</v>
      </c>
      <c r="E1398" t="s">
        <v>25230</v>
      </c>
      <c r="F1398" t="s">
        <v>25231</v>
      </c>
      <c r="G1398" t="s">
        <v>25232</v>
      </c>
      <c r="H1398" t="s">
        <v>25233</v>
      </c>
      <c r="I1398" t="s">
        <v>25234</v>
      </c>
      <c r="J1398" t="s">
        <v>25235</v>
      </c>
      <c r="K1398" t="s">
        <v>25236</v>
      </c>
      <c r="L1398" t="s">
        <v>25237</v>
      </c>
      <c r="M1398" t="s">
        <v>25238</v>
      </c>
      <c r="N1398" t="s">
        <v>25239</v>
      </c>
      <c r="O1398">
        <f>-644.627704250417 -52.2270605005115 -736.083366764242</f>
        <v>-1432.9381315151704</v>
      </c>
      <c r="P1398">
        <f>-639.092505170167 -50.8153512843307 -419.612914246927</f>
        <v>-1109.5207707014247</v>
      </c>
      <c r="Q1398">
        <f>-379.683374119717 -39.5379831812722 -434.504773784233</f>
        <v>-853.72613108522216</v>
      </c>
      <c r="R1398" t="s">
        <v>25240</v>
      </c>
      <c r="S1398" t="s">
        <v>25241</v>
      </c>
      <c r="T1398" t="s">
        <v>25242</v>
      </c>
      <c r="U1398" t="s">
        <v>25243</v>
      </c>
      <c r="V1398" t="s">
        <v>25244</v>
      </c>
      <c r="W1398" t="s">
        <v>25245</v>
      </c>
      <c r="X1398" t="s">
        <v>25246</v>
      </c>
      <c r="Y1398" t="s">
        <v>25247</v>
      </c>
    </row>
    <row r="1399" spans="1:25" x14ac:dyDescent="0.3">
      <c r="A1399">
        <v>69900</v>
      </c>
      <c r="B1399" t="s">
        <v>25248</v>
      </c>
      <c r="C1399" t="s">
        <v>25249</v>
      </c>
      <c r="D1399" t="s">
        <v>25250</v>
      </c>
      <c r="E1399" t="s">
        <v>25251</v>
      </c>
      <c r="F1399" t="s">
        <v>25252</v>
      </c>
      <c r="G1399" t="s">
        <v>25253</v>
      </c>
      <c r="H1399" t="s">
        <v>25254</v>
      </c>
      <c r="I1399" t="s">
        <v>25255</v>
      </c>
      <c r="J1399" t="s">
        <v>25256</v>
      </c>
      <c r="K1399" t="s">
        <v>25257</v>
      </c>
      <c r="L1399" t="s">
        <v>25258</v>
      </c>
      <c r="M1399" t="s">
        <v>25259</v>
      </c>
      <c r="N1399" t="s">
        <v>25260</v>
      </c>
      <c r="O1399">
        <f>-645.188339022612 -52.8900445991965 -735.829742885475</f>
        <v>-1433.9081265072834</v>
      </c>
      <c r="P1399">
        <f>-639.697657690724 -50.7244124937436 -419.362821981969</f>
        <v>-1109.7848921664365</v>
      </c>
      <c r="Q1399">
        <f>-380.292820584409 -38.9147616322637 -433.912955951133</f>
        <v>-853.12053816780576</v>
      </c>
      <c r="R1399" t="s">
        <v>25261</v>
      </c>
      <c r="S1399" t="s">
        <v>25262</v>
      </c>
      <c r="T1399" t="s">
        <v>25263</v>
      </c>
      <c r="U1399" t="s">
        <v>25264</v>
      </c>
      <c r="V1399" t="s">
        <v>25265</v>
      </c>
      <c r="W1399" t="s">
        <v>25266</v>
      </c>
      <c r="X1399" t="s">
        <v>25267</v>
      </c>
      <c r="Y1399" t="s">
        <v>25268</v>
      </c>
    </row>
    <row r="1400" spans="1:25" x14ac:dyDescent="0.3">
      <c r="A1400">
        <v>69950</v>
      </c>
      <c r="B1400" t="s">
        <v>25269</v>
      </c>
      <c r="C1400" t="s">
        <v>25270</v>
      </c>
      <c r="D1400" t="s">
        <v>25271</v>
      </c>
      <c r="E1400" t="s">
        <v>25272</v>
      </c>
      <c r="F1400" t="s">
        <v>25273</v>
      </c>
      <c r="G1400" t="s">
        <v>25274</v>
      </c>
      <c r="H1400" t="s">
        <v>25275</v>
      </c>
      <c r="I1400" t="s">
        <v>25276</v>
      </c>
      <c r="J1400" t="s">
        <v>25277</v>
      </c>
      <c r="K1400" t="s">
        <v>25278</v>
      </c>
      <c r="L1400" t="s">
        <v>25279</v>
      </c>
      <c r="M1400" t="s">
        <v>25280</v>
      </c>
      <c r="N1400" t="s">
        <v>25281</v>
      </c>
      <c r="O1400">
        <f>-646.288432613285 -53.8173293333164 -735.150429159465</f>
        <v>-1435.2561911060664</v>
      </c>
      <c r="P1400">
        <f>-640.221269028618 -50.0983481750488 -418.70833937568</f>
        <v>-1109.0279565793469</v>
      </c>
      <c r="Q1400">
        <f>-380.827002483573 -37.7293253869991 -432.979746515862</f>
        <v>-851.53607438643417</v>
      </c>
      <c r="R1400" t="s">
        <v>25282</v>
      </c>
      <c r="S1400" t="s">
        <v>25283</v>
      </c>
      <c r="T1400" t="s">
        <v>25284</v>
      </c>
      <c r="U1400" t="s">
        <v>25285</v>
      </c>
      <c r="V1400" t="s">
        <v>25286</v>
      </c>
      <c r="W1400" t="s">
        <v>25287</v>
      </c>
      <c r="X1400" t="s">
        <v>25288</v>
      </c>
      <c r="Y1400" t="s">
        <v>25289</v>
      </c>
    </row>
    <row r="1401" spans="1:25" x14ac:dyDescent="0.3">
      <c r="A1401">
        <v>70000</v>
      </c>
      <c r="B1401" t="s">
        <v>25290</v>
      </c>
      <c r="C1401" t="s">
        <v>25291</v>
      </c>
      <c r="D1401" t="s">
        <v>25292</v>
      </c>
      <c r="E1401" t="s">
        <v>25293</v>
      </c>
      <c r="F1401" t="s">
        <v>25294</v>
      </c>
      <c r="G1401" t="s">
        <v>25295</v>
      </c>
      <c r="H1401" t="s">
        <v>25296</v>
      </c>
      <c r="I1401" t="s">
        <v>25297</v>
      </c>
      <c r="J1401" t="s">
        <v>25298</v>
      </c>
      <c r="K1401" t="s">
        <v>25299</v>
      </c>
      <c r="L1401" t="s">
        <v>25300</v>
      </c>
      <c r="M1401" t="s">
        <v>25301</v>
      </c>
      <c r="N1401" t="s">
        <v>25302</v>
      </c>
      <c r="O1401">
        <f>-646.348051921176 -54.2728652897988 -734.718510444004</f>
        <v>-1435.3394276549789</v>
      </c>
      <c r="P1401">
        <f>-640.359327578879 -49.9851750024213 -418.282187271903</f>
        <v>-1108.6266898532033</v>
      </c>
      <c r="Q1401">
        <f>-380.9668989112 -37.537437729455 -432.519652706718</f>
        <v>-851.023989347373</v>
      </c>
      <c r="R1401" t="s">
        <v>25303</v>
      </c>
      <c r="S1401" t="s">
        <v>25304</v>
      </c>
      <c r="T1401" t="s">
        <v>25305</v>
      </c>
      <c r="U1401" t="s">
        <v>25306</v>
      </c>
      <c r="V1401" t="s">
        <v>25307</v>
      </c>
      <c r="W1401" t="s">
        <v>25308</v>
      </c>
      <c r="X1401" t="s">
        <v>25309</v>
      </c>
      <c r="Y1401" t="s">
        <v>25310</v>
      </c>
    </row>
    <row r="1402" spans="1:25" x14ac:dyDescent="0.3">
      <c r="A1402">
        <v>70050</v>
      </c>
      <c r="B1402" t="s">
        <v>25311</v>
      </c>
      <c r="C1402" t="s">
        <v>25312</v>
      </c>
      <c r="D1402" t="s">
        <v>25313</v>
      </c>
      <c r="E1402" t="s">
        <v>25314</v>
      </c>
      <c r="F1402" t="s">
        <v>25315</v>
      </c>
      <c r="G1402" t="s">
        <v>25316</v>
      </c>
      <c r="H1402" t="s">
        <v>25317</v>
      </c>
      <c r="I1402" t="s">
        <v>25318</v>
      </c>
      <c r="J1402" t="s">
        <v>25319</v>
      </c>
      <c r="K1402" t="s">
        <v>25320</v>
      </c>
      <c r="L1402" t="s">
        <v>25321</v>
      </c>
      <c r="M1402" t="s">
        <v>25322</v>
      </c>
      <c r="N1402" t="s">
        <v>25323</v>
      </c>
      <c r="O1402">
        <f>-645.940148842894 -54.8433240244406 -733.992959167236</f>
        <v>-1434.7764320345705</v>
      </c>
      <c r="P1402">
        <f>-640.351547786616 -50.0464938261828 -417.556672279223</f>
        <v>-1107.9547138920218</v>
      </c>
      <c r="Q1402">
        <f>-380.945028507586 -37.6158566390993 -431.549361581596</f>
        <v>-850.11024672828125</v>
      </c>
      <c r="R1402" t="s">
        <v>25324</v>
      </c>
      <c r="S1402" t="s">
        <v>25325</v>
      </c>
      <c r="T1402" t="s">
        <v>25326</v>
      </c>
      <c r="U1402" t="s">
        <v>25327</v>
      </c>
      <c r="V1402" t="s">
        <v>25328</v>
      </c>
      <c r="W1402" t="s">
        <v>25329</v>
      </c>
      <c r="X1402" t="s">
        <v>25330</v>
      </c>
      <c r="Y1402" t="s">
        <v>25331</v>
      </c>
    </row>
    <row r="1403" spans="1:25" x14ac:dyDescent="0.3">
      <c r="A1403">
        <v>70100</v>
      </c>
      <c r="B1403" t="s">
        <v>25332</v>
      </c>
      <c r="C1403" t="s">
        <v>25333</v>
      </c>
      <c r="D1403" t="s">
        <v>25334</v>
      </c>
      <c r="E1403" t="s">
        <v>25335</v>
      </c>
      <c r="F1403" t="s">
        <v>25336</v>
      </c>
      <c r="G1403" t="s">
        <v>25337</v>
      </c>
      <c r="H1403" t="s">
        <v>25338</v>
      </c>
      <c r="I1403" t="s">
        <v>25339</v>
      </c>
      <c r="J1403" t="s">
        <v>25340</v>
      </c>
      <c r="K1403" t="s">
        <v>25341</v>
      </c>
      <c r="L1403" t="s">
        <v>25342</v>
      </c>
      <c r="M1403" t="s">
        <v>25343</v>
      </c>
      <c r="N1403" t="s">
        <v>25344</v>
      </c>
      <c r="O1403">
        <f>-645.587873546164 -55.0186932028853 -733.709096601945</f>
        <v>-1434.3156633509943</v>
      </c>
      <c r="P1403">
        <f>-640.287513258528 -50.1142405005107 -417.269519329283</f>
        <v>-1107.6712730883216</v>
      </c>
      <c r="Q1403">
        <f>-380.865461220317 -37.8732318159598 -431.141194765662</f>
        <v>-849.87988780193882</v>
      </c>
      <c r="R1403" t="s">
        <v>25345</v>
      </c>
      <c r="S1403" t="s">
        <v>25346</v>
      </c>
      <c r="T1403" t="s">
        <v>25347</v>
      </c>
      <c r="U1403" t="s">
        <v>25348</v>
      </c>
      <c r="V1403" t="s">
        <v>25349</v>
      </c>
      <c r="W1403" t="s">
        <v>25350</v>
      </c>
      <c r="X1403" t="s">
        <v>25351</v>
      </c>
      <c r="Y1403" t="s">
        <v>25352</v>
      </c>
    </row>
    <row r="1404" spans="1:25" x14ac:dyDescent="0.3">
      <c r="A1404">
        <v>70150</v>
      </c>
      <c r="B1404" t="s">
        <v>25353</v>
      </c>
      <c r="C1404" t="s">
        <v>25354</v>
      </c>
      <c r="D1404" t="s">
        <v>25355</v>
      </c>
      <c r="E1404" t="s">
        <v>25356</v>
      </c>
      <c r="F1404" t="s">
        <v>25357</v>
      </c>
      <c r="G1404" t="s">
        <v>25358</v>
      </c>
      <c r="H1404" t="s">
        <v>25359</v>
      </c>
      <c r="I1404" t="s">
        <v>25360</v>
      </c>
      <c r="J1404" t="s">
        <v>25361</v>
      </c>
      <c r="K1404" t="s">
        <v>25362</v>
      </c>
      <c r="L1404" t="s">
        <v>25363</v>
      </c>
      <c r="M1404" t="s">
        <v>25364</v>
      </c>
      <c r="N1404" t="s">
        <v>25365</v>
      </c>
      <c r="O1404">
        <f>-644.964708541791 -55.5485091265671 -733.084916971767</f>
        <v>-1433.598134640125</v>
      </c>
      <c r="P1404">
        <f>-639.633894272475 -50.2319999890544 -416.652553246022</f>
        <v>-1106.5184475075514</v>
      </c>
      <c r="Q1404">
        <f>-380.18044184617 -38.7326115945918 -430.571122048897</f>
        <v>-849.48417548965881</v>
      </c>
      <c r="R1404" t="s">
        <v>25366</v>
      </c>
      <c r="S1404" t="s">
        <v>25367</v>
      </c>
      <c r="T1404" t="s">
        <v>25368</v>
      </c>
      <c r="U1404" t="s">
        <v>25369</v>
      </c>
      <c r="V1404" t="s">
        <v>25370</v>
      </c>
      <c r="W1404" t="s">
        <v>25371</v>
      </c>
      <c r="X1404" t="s">
        <v>25372</v>
      </c>
      <c r="Y1404" t="s">
        <v>25373</v>
      </c>
    </row>
    <row r="1405" spans="1:25" x14ac:dyDescent="0.3">
      <c r="A1405">
        <v>70200</v>
      </c>
      <c r="B1405" t="s">
        <v>25374</v>
      </c>
      <c r="C1405" t="s">
        <v>25375</v>
      </c>
      <c r="D1405" t="s">
        <v>25376</v>
      </c>
      <c r="E1405" t="s">
        <v>25377</v>
      </c>
      <c r="F1405" t="s">
        <v>25378</v>
      </c>
      <c r="G1405" t="s">
        <v>25379</v>
      </c>
      <c r="H1405" t="s">
        <v>25380</v>
      </c>
      <c r="I1405" t="s">
        <v>25381</v>
      </c>
      <c r="J1405" t="s">
        <v>25382</v>
      </c>
      <c r="K1405" t="s">
        <v>25383</v>
      </c>
      <c r="L1405" t="s">
        <v>25384</v>
      </c>
      <c r="M1405" t="s">
        <v>25385</v>
      </c>
      <c r="N1405" t="s">
        <v>25386</v>
      </c>
      <c r="O1405">
        <f>-644.787535489801 -55.8552092455061 -732.796128343921</f>
        <v>-1433.4388730792282</v>
      </c>
      <c r="P1405">
        <f>-639.25798851405 -50.2651142444231 -416.371889513621</f>
        <v>-1105.894992272094</v>
      </c>
      <c r="Q1405">
        <f>-379.786654491024 -39.4040474422895 -430.46891308044</f>
        <v>-849.65961501375352</v>
      </c>
      <c r="R1405" t="s">
        <v>25387</v>
      </c>
      <c r="S1405" t="s">
        <v>25388</v>
      </c>
      <c r="T1405" t="s">
        <v>25389</v>
      </c>
      <c r="U1405" t="s">
        <v>25390</v>
      </c>
      <c r="V1405" t="s">
        <v>25391</v>
      </c>
      <c r="W1405" t="s">
        <v>25392</v>
      </c>
      <c r="X1405" t="s">
        <v>25393</v>
      </c>
      <c r="Y1405" t="s">
        <v>25394</v>
      </c>
    </row>
    <row r="1406" spans="1:25" x14ac:dyDescent="0.3">
      <c r="A1406">
        <v>70250</v>
      </c>
      <c r="B1406" t="s">
        <v>25395</v>
      </c>
      <c r="C1406" t="s">
        <v>25396</v>
      </c>
      <c r="D1406" t="s">
        <v>25397</v>
      </c>
      <c r="E1406" t="s">
        <v>25398</v>
      </c>
      <c r="F1406" t="s">
        <v>25399</v>
      </c>
      <c r="G1406" t="s">
        <v>25400</v>
      </c>
      <c r="H1406" t="s">
        <v>25401</v>
      </c>
      <c r="I1406" t="s">
        <v>25402</v>
      </c>
      <c r="J1406" t="s">
        <v>25403</v>
      </c>
      <c r="K1406" t="s">
        <v>25404</v>
      </c>
      <c r="L1406" t="s">
        <v>25405</v>
      </c>
      <c r="M1406" t="s">
        <v>25406</v>
      </c>
      <c r="N1406" t="s">
        <v>25407</v>
      </c>
      <c r="O1406">
        <f>-643.914735380863 -55.9142810604992 -732.686019729305</f>
        <v>-1432.5150361706674</v>
      </c>
      <c r="P1406">
        <f>-638.034311341246 -50.1449545290275 -416.271208161723</f>
        <v>-1104.4504740319965</v>
      </c>
      <c r="Q1406">
        <f>-378.540419301771 -40.2364322391677 -430.652074414509</f>
        <v>-849.42892595544777</v>
      </c>
      <c r="R1406" t="s">
        <v>25408</v>
      </c>
      <c r="S1406" t="s">
        <v>25409</v>
      </c>
      <c r="T1406" t="s">
        <v>25410</v>
      </c>
      <c r="U1406" t="s">
        <v>25411</v>
      </c>
      <c r="V1406" t="s">
        <v>25412</v>
      </c>
      <c r="W1406" t="s">
        <v>25413</v>
      </c>
      <c r="X1406" t="s">
        <v>25414</v>
      </c>
      <c r="Y1406" t="s">
        <v>25415</v>
      </c>
    </row>
    <row r="1407" spans="1:25" x14ac:dyDescent="0.3">
      <c r="A1407">
        <v>70300</v>
      </c>
      <c r="B1407" t="s">
        <v>25416</v>
      </c>
      <c r="C1407" t="s">
        <v>25417</v>
      </c>
      <c r="D1407" t="s">
        <v>25418</v>
      </c>
      <c r="E1407" t="s">
        <v>25419</v>
      </c>
      <c r="F1407" t="s">
        <v>25420</v>
      </c>
      <c r="G1407" t="s">
        <v>25421</v>
      </c>
      <c r="H1407" t="s">
        <v>25422</v>
      </c>
      <c r="I1407" t="s">
        <v>25423</v>
      </c>
      <c r="J1407" t="s">
        <v>25424</v>
      </c>
      <c r="K1407" t="s">
        <v>25425</v>
      </c>
      <c r="L1407" t="s">
        <v>25426</v>
      </c>
      <c r="M1407" t="s">
        <v>25427</v>
      </c>
      <c r="N1407" t="s">
        <v>25428</v>
      </c>
      <c r="O1407">
        <f>-643.333836995572 -56.1728892849685 -732.765249300144</f>
        <v>-1432.2719755806845</v>
      </c>
      <c r="P1407">
        <f>-637.548424678376 -50.5704954600521 -416.345730577473</f>
        <v>-1104.4646507159011</v>
      </c>
      <c r="Q1407">
        <f>-378.050348287159 -40.7372062029865 -430.702547285529</f>
        <v>-849.49010177567447</v>
      </c>
      <c r="R1407" t="s">
        <v>25429</v>
      </c>
      <c r="S1407" t="s">
        <v>25430</v>
      </c>
      <c r="T1407" t="s">
        <v>25431</v>
      </c>
      <c r="U1407" t="s">
        <v>25432</v>
      </c>
      <c r="V1407" t="s">
        <v>25433</v>
      </c>
      <c r="W1407" t="s">
        <v>25434</v>
      </c>
      <c r="X1407" t="s">
        <v>25435</v>
      </c>
      <c r="Y1407" t="s">
        <v>25436</v>
      </c>
    </row>
    <row r="1408" spans="1:25" x14ac:dyDescent="0.3">
      <c r="A1408">
        <v>70350</v>
      </c>
      <c r="B1408" t="s">
        <v>25437</v>
      </c>
      <c r="C1408" t="s">
        <v>25438</v>
      </c>
      <c r="D1408" t="s">
        <v>25439</v>
      </c>
      <c r="E1408" t="s">
        <v>25440</v>
      </c>
      <c r="F1408" t="s">
        <v>25441</v>
      </c>
      <c r="G1408" t="s">
        <v>25442</v>
      </c>
      <c r="H1408" t="s">
        <v>25443</v>
      </c>
      <c r="I1408" t="s">
        <v>25444</v>
      </c>
      <c r="J1408" t="s">
        <v>25445</v>
      </c>
      <c r="K1408" t="s">
        <v>25446</v>
      </c>
      <c r="L1408" t="s">
        <v>25447</v>
      </c>
      <c r="M1408" t="s">
        <v>25448</v>
      </c>
      <c r="N1408" t="s">
        <v>25449</v>
      </c>
      <c r="O1408">
        <f>-642.419677724729 -56.8055157703407 -733.133508039202</f>
        <v>-1432.3587015342716</v>
      </c>
      <c r="P1408">
        <f>-637.189179281658 -51.973404578913 -416.69167850327</f>
        <v>-1105.8542623638409</v>
      </c>
      <c r="Q1408">
        <f>-377.675590830732 -42.0246434131457 -430.683846514396</f>
        <v>-850.38408075827374</v>
      </c>
      <c r="R1408" t="s">
        <v>25450</v>
      </c>
      <c r="S1408" t="s">
        <v>25451</v>
      </c>
      <c r="T1408" t="s">
        <v>25452</v>
      </c>
      <c r="U1408" t="s">
        <v>25453</v>
      </c>
      <c r="V1408" t="s">
        <v>25454</v>
      </c>
      <c r="W1408" t="s">
        <v>25455</v>
      </c>
      <c r="X1408" t="s">
        <v>25456</v>
      </c>
      <c r="Y1408" t="s">
        <v>25457</v>
      </c>
    </row>
    <row r="1409" spans="1:25" x14ac:dyDescent="0.3">
      <c r="A1409">
        <v>70400</v>
      </c>
      <c r="B1409" t="s">
        <v>25458</v>
      </c>
      <c r="C1409" t="s">
        <v>25459</v>
      </c>
      <c r="D1409" t="s">
        <v>25460</v>
      </c>
      <c r="E1409" t="s">
        <v>25461</v>
      </c>
      <c r="F1409" t="s">
        <v>25462</v>
      </c>
      <c r="G1409" t="s">
        <v>25463</v>
      </c>
      <c r="H1409" t="s">
        <v>25464</v>
      </c>
      <c r="I1409" t="s">
        <v>25465</v>
      </c>
      <c r="J1409" t="s">
        <v>25466</v>
      </c>
      <c r="K1409" t="s">
        <v>25467</v>
      </c>
      <c r="L1409" t="s">
        <v>25468</v>
      </c>
      <c r="M1409" t="s">
        <v>25469</v>
      </c>
      <c r="N1409" t="s">
        <v>25470</v>
      </c>
      <c r="O1409">
        <f>-641.852509654564 -57.064516000755 -733.477014840489</f>
        <v>-1432.394040495808</v>
      </c>
      <c r="P1409">
        <f>-637.150562526084 -52.7848682305139 -417.018868749533</f>
        <v>-1106.9542995061308</v>
      </c>
      <c r="Q1409">
        <f>-377.634670598913 -42.6138628033054 -430.807368578334</f>
        <v>-851.05590198055233</v>
      </c>
      <c r="R1409" t="s">
        <v>25471</v>
      </c>
      <c r="S1409" t="s">
        <v>25472</v>
      </c>
      <c r="T1409" t="s">
        <v>25473</v>
      </c>
      <c r="U1409" t="s">
        <v>25474</v>
      </c>
      <c r="V1409" t="s">
        <v>25475</v>
      </c>
      <c r="W1409" t="s">
        <v>25476</v>
      </c>
      <c r="X1409" t="s">
        <v>25477</v>
      </c>
      <c r="Y1409" t="s">
        <v>25478</v>
      </c>
    </row>
    <row r="1410" spans="1:25" x14ac:dyDescent="0.3">
      <c r="A1410">
        <v>70450</v>
      </c>
      <c r="B1410" t="s">
        <v>25479</v>
      </c>
      <c r="C1410" t="s">
        <v>25480</v>
      </c>
      <c r="D1410" t="s">
        <v>25481</v>
      </c>
      <c r="E1410" t="s">
        <v>25482</v>
      </c>
      <c r="F1410" t="s">
        <v>25483</v>
      </c>
      <c r="G1410" t="s">
        <v>25484</v>
      </c>
      <c r="H1410" t="s">
        <v>25485</v>
      </c>
      <c r="I1410" t="s">
        <v>25486</v>
      </c>
      <c r="J1410" t="s">
        <v>25487</v>
      </c>
      <c r="K1410" t="s">
        <v>25488</v>
      </c>
      <c r="L1410" t="s">
        <v>25489</v>
      </c>
      <c r="M1410" t="s">
        <v>25490</v>
      </c>
      <c r="N1410" t="s">
        <v>25491</v>
      </c>
      <c r="O1410">
        <f>-640.379033029576 -56.8988549324752 -734.382193696504</f>
        <v>-1431.6600816585551</v>
      </c>
      <c r="P1410">
        <f>-636.920173514433 -53.4055194345674 -417.898436318123</f>
        <v>-1108.2241292671233</v>
      </c>
      <c r="Q1410">
        <f>-377.40074482075 -42.469055907545 -431.0176219637</f>
        <v>-850.88742269199497</v>
      </c>
      <c r="R1410" t="s">
        <v>25492</v>
      </c>
      <c r="S1410" t="s">
        <v>25493</v>
      </c>
      <c r="T1410" t="s">
        <v>25494</v>
      </c>
      <c r="U1410" t="s">
        <v>25495</v>
      </c>
      <c r="V1410" t="s">
        <v>25496</v>
      </c>
      <c r="W1410" t="s">
        <v>25497</v>
      </c>
      <c r="X1410" t="s">
        <v>25498</v>
      </c>
      <c r="Y1410" t="s">
        <v>25499</v>
      </c>
    </row>
    <row r="1411" spans="1:25" x14ac:dyDescent="0.3">
      <c r="A1411">
        <v>70500</v>
      </c>
      <c r="B1411" t="s">
        <v>25500</v>
      </c>
      <c r="C1411" t="s">
        <v>25501</v>
      </c>
      <c r="D1411" t="s">
        <v>25502</v>
      </c>
      <c r="E1411" t="s">
        <v>25503</v>
      </c>
      <c r="F1411" t="s">
        <v>25504</v>
      </c>
      <c r="G1411" t="s">
        <v>25505</v>
      </c>
      <c r="H1411" t="s">
        <v>25506</v>
      </c>
      <c r="I1411" t="s">
        <v>25507</v>
      </c>
      <c r="J1411" t="s">
        <v>25508</v>
      </c>
      <c r="K1411" t="s">
        <v>25509</v>
      </c>
      <c r="L1411" t="s">
        <v>25510</v>
      </c>
      <c r="M1411" t="s">
        <v>25511</v>
      </c>
      <c r="N1411" t="s">
        <v>25512</v>
      </c>
      <c r="O1411">
        <f>-639.491179212054 -56.7955279284379 -734.828467904042</f>
        <v>-1431.1151750445338</v>
      </c>
      <c r="P1411">
        <f>-636.682894245758 -53.7697386426873 -418.333411881187</f>
        <v>-1108.7860447696323</v>
      </c>
      <c r="Q1411">
        <f>-377.16177858332 -42.3824925908118 -431.029307049296</f>
        <v>-850.57357822342783</v>
      </c>
      <c r="R1411" t="s">
        <v>25513</v>
      </c>
      <c r="S1411" t="s">
        <v>25514</v>
      </c>
      <c r="T1411" t="s">
        <v>25515</v>
      </c>
      <c r="U1411" t="s">
        <v>25516</v>
      </c>
      <c r="V1411" t="s">
        <v>25517</v>
      </c>
      <c r="W1411" t="s">
        <v>25518</v>
      </c>
      <c r="X1411" t="s">
        <v>25519</v>
      </c>
      <c r="Y1411" t="s">
        <v>25520</v>
      </c>
    </row>
    <row r="1412" spans="1:25" x14ac:dyDescent="0.3">
      <c r="A1412">
        <v>70550</v>
      </c>
      <c r="B1412" t="s">
        <v>25521</v>
      </c>
      <c r="C1412" t="s">
        <v>25522</v>
      </c>
      <c r="D1412" t="s">
        <v>25523</v>
      </c>
      <c r="E1412" t="s">
        <v>25524</v>
      </c>
      <c r="F1412" t="s">
        <v>25525</v>
      </c>
      <c r="G1412" t="s">
        <v>25526</v>
      </c>
      <c r="H1412" t="s">
        <v>25527</v>
      </c>
      <c r="I1412" t="s">
        <v>25528</v>
      </c>
      <c r="J1412" t="s">
        <v>25529</v>
      </c>
      <c r="K1412" t="s">
        <v>25530</v>
      </c>
      <c r="L1412" t="s">
        <v>25531</v>
      </c>
      <c r="M1412" t="s">
        <v>25532</v>
      </c>
      <c r="N1412" t="s">
        <v>25533</v>
      </c>
      <c r="O1412">
        <f>-638.149003427668 -56.5216496038665 -735.602555120224</f>
        <v>-1430.2732081517586</v>
      </c>
      <c r="P1412">
        <f>-636.709064682545 -54.5927229783033 -419.089600910452</f>
        <v>-1110.3913885713002</v>
      </c>
      <c r="Q1412">
        <f>-377.193155165618 -42.2319536723637 -430.953445356748</f>
        <v>-850.37855419472976</v>
      </c>
      <c r="R1412" t="s">
        <v>25534</v>
      </c>
      <c r="S1412" t="s">
        <v>25535</v>
      </c>
      <c r="T1412" t="s">
        <v>25536</v>
      </c>
      <c r="U1412" t="s">
        <v>25537</v>
      </c>
      <c r="V1412" t="s">
        <v>25538</v>
      </c>
      <c r="W1412" t="s">
        <v>25539</v>
      </c>
      <c r="X1412" t="s">
        <v>25540</v>
      </c>
      <c r="Y1412" t="s">
        <v>25541</v>
      </c>
    </row>
    <row r="1413" spans="1:25" x14ac:dyDescent="0.3">
      <c r="A1413">
        <v>70600</v>
      </c>
      <c r="B1413" t="s">
        <v>25542</v>
      </c>
      <c r="C1413" t="s">
        <v>25543</v>
      </c>
      <c r="D1413" t="s">
        <v>25544</v>
      </c>
      <c r="E1413" t="s">
        <v>25545</v>
      </c>
      <c r="F1413" t="s">
        <v>25546</v>
      </c>
      <c r="G1413" t="s">
        <v>25547</v>
      </c>
      <c r="H1413" t="s">
        <v>25548</v>
      </c>
      <c r="I1413" t="s">
        <v>25549</v>
      </c>
      <c r="J1413" t="s">
        <v>25550</v>
      </c>
      <c r="K1413" t="s">
        <v>25551</v>
      </c>
      <c r="L1413" t="s">
        <v>25552</v>
      </c>
      <c r="M1413" t="s">
        <v>25553</v>
      </c>
      <c r="N1413" t="s">
        <v>25554</v>
      </c>
      <c r="O1413">
        <f>-637.223237223143 -56.4398338382505 -735.847907850336</f>
        <v>-1429.5109789117296</v>
      </c>
      <c r="P1413">
        <f>-636.724861579908 -55.131168374784 -419.329063649301</f>
        <v>-1111.185093603993</v>
      </c>
      <c r="Q1413">
        <f>-377.210257443391 -42.5689848381924 -431.008765195108</f>
        <v>-850.78800747669152</v>
      </c>
      <c r="R1413" t="s">
        <v>25555</v>
      </c>
      <c r="S1413" t="s">
        <v>25556</v>
      </c>
      <c r="T1413" t="s">
        <v>25557</v>
      </c>
      <c r="U1413" t="s">
        <v>25558</v>
      </c>
      <c r="V1413" t="s">
        <v>25559</v>
      </c>
      <c r="W1413" t="s">
        <v>25560</v>
      </c>
      <c r="X1413" t="s">
        <v>25561</v>
      </c>
      <c r="Y1413" t="s">
        <v>25562</v>
      </c>
    </row>
    <row r="1414" spans="1:25" x14ac:dyDescent="0.3">
      <c r="A1414">
        <v>70650</v>
      </c>
      <c r="B1414" t="s">
        <v>25563</v>
      </c>
      <c r="C1414" t="s">
        <v>25564</v>
      </c>
      <c r="D1414" t="s">
        <v>25565</v>
      </c>
      <c r="E1414" t="s">
        <v>25566</v>
      </c>
      <c r="F1414" t="s">
        <v>25567</v>
      </c>
      <c r="G1414" t="s">
        <v>25568</v>
      </c>
      <c r="H1414" t="s">
        <v>25569</v>
      </c>
      <c r="I1414" t="s">
        <v>25570</v>
      </c>
      <c r="J1414" t="s">
        <v>25571</v>
      </c>
      <c r="K1414" t="s">
        <v>25572</v>
      </c>
      <c r="L1414" t="s">
        <v>25573</v>
      </c>
      <c r="M1414" t="s">
        <v>25574</v>
      </c>
      <c r="N1414" t="s">
        <v>25575</v>
      </c>
      <c r="O1414">
        <f>-633.977976443855 -56.6311794835899 -736.278948032126</f>
        <v>-1426.8881039595708</v>
      </c>
      <c r="P1414">
        <f>-636.225396753259 -55.8227229654049 -419.76606491494</f>
        <v>-1111.8141846336039</v>
      </c>
      <c r="Q1414">
        <f>-376.664838919515 -44.1131148775617 -431.309631580558</f>
        <v>-852.0875853776347</v>
      </c>
      <c r="R1414" t="s">
        <v>25576</v>
      </c>
      <c r="S1414" t="s">
        <v>25577</v>
      </c>
      <c r="T1414" t="s">
        <v>25578</v>
      </c>
      <c r="U1414" t="s">
        <v>25579</v>
      </c>
      <c r="V1414" t="s">
        <v>25580</v>
      </c>
      <c r="W1414" t="s">
        <v>25581</v>
      </c>
      <c r="X1414" t="s">
        <v>25582</v>
      </c>
      <c r="Y1414" t="s">
        <v>25583</v>
      </c>
    </row>
    <row r="1415" spans="1:25" x14ac:dyDescent="0.3">
      <c r="A1415">
        <v>70700</v>
      </c>
      <c r="B1415" t="s">
        <v>25584</v>
      </c>
      <c r="C1415" t="s">
        <v>25585</v>
      </c>
      <c r="D1415" t="s">
        <v>25586</v>
      </c>
      <c r="E1415" t="s">
        <v>25587</v>
      </c>
      <c r="F1415" t="s">
        <v>25588</v>
      </c>
      <c r="G1415" t="s">
        <v>25589</v>
      </c>
      <c r="H1415" t="s">
        <v>25590</v>
      </c>
      <c r="I1415" t="s">
        <v>25591</v>
      </c>
      <c r="J1415" t="s">
        <v>25592</v>
      </c>
      <c r="K1415" t="s">
        <v>25593</v>
      </c>
      <c r="L1415" t="s">
        <v>25594</v>
      </c>
      <c r="M1415" t="s">
        <v>25595</v>
      </c>
      <c r="N1415" t="s">
        <v>25596</v>
      </c>
      <c r="O1415">
        <f>-632.101448892632 -56.9682188728621 -736.491705114312</f>
        <v>-1425.5613728798062</v>
      </c>
      <c r="P1415">
        <f>-635.829782357299 -56.4617526384202 -419.992156399963</f>
        <v>-1112.2836913956821</v>
      </c>
      <c r="Q1415">
        <f>-376.257579047912 -45.2740655982307 -431.788888401802</f>
        <v>-853.32053304794476</v>
      </c>
      <c r="R1415" t="s">
        <v>25597</v>
      </c>
      <c r="S1415" t="s">
        <v>25598</v>
      </c>
      <c r="T1415" t="s">
        <v>25599</v>
      </c>
      <c r="U1415" t="s">
        <v>25600</v>
      </c>
      <c r="V1415" t="s">
        <v>25601</v>
      </c>
      <c r="W1415" t="s">
        <v>25602</v>
      </c>
      <c r="X1415" t="s">
        <v>25603</v>
      </c>
      <c r="Y1415" t="s">
        <v>25604</v>
      </c>
    </row>
    <row r="1416" spans="1:25" x14ac:dyDescent="0.3">
      <c r="A1416">
        <v>70750</v>
      </c>
      <c r="B1416" t="s">
        <v>25605</v>
      </c>
      <c r="C1416" t="s">
        <v>25606</v>
      </c>
      <c r="D1416" t="s">
        <v>25607</v>
      </c>
      <c r="E1416" t="s">
        <v>25608</v>
      </c>
      <c r="F1416" t="s">
        <v>25609</v>
      </c>
      <c r="G1416" t="s">
        <v>25610</v>
      </c>
      <c r="H1416" t="s">
        <v>25611</v>
      </c>
      <c r="I1416" t="s">
        <v>25612</v>
      </c>
      <c r="J1416" t="s">
        <v>25613</v>
      </c>
      <c r="K1416" t="s">
        <v>25614</v>
      </c>
      <c r="L1416" t="s">
        <v>25615</v>
      </c>
      <c r="M1416" t="s">
        <v>25616</v>
      </c>
      <c r="N1416" t="s">
        <v>25617</v>
      </c>
      <c r="O1416">
        <f>-627.33211960451 -56.8551735703334 -737.4330575459</f>
        <v>-1421.6203507207433</v>
      </c>
      <c r="P1416">
        <f>-633.170162505618 -57.229826024768 -420.965104348123</f>
        <v>-1111.3650928785091</v>
      </c>
      <c r="Q1416">
        <f>-373.615545160614 -46.7124953018786 -433.725727320475</f>
        <v>-854.05376778296761</v>
      </c>
      <c r="R1416" t="s">
        <v>25618</v>
      </c>
      <c r="S1416" t="s">
        <v>25619</v>
      </c>
      <c r="T1416" t="s">
        <v>25620</v>
      </c>
      <c r="U1416" t="s">
        <v>25621</v>
      </c>
      <c r="V1416" t="s">
        <v>25622</v>
      </c>
      <c r="W1416" t="s">
        <v>25623</v>
      </c>
      <c r="X1416" t="s">
        <v>25624</v>
      </c>
      <c r="Y1416" t="s">
        <v>25625</v>
      </c>
    </row>
    <row r="1417" spans="1:25" x14ac:dyDescent="0.3">
      <c r="A1417">
        <v>70800</v>
      </c>
      <c r="B1417" t="s">
        <v>25626</v>
      </c>
      <c r="C1417" t="s">
        <v>25627</v>
      </c>
      <c r="D1417" t="s">
        <v>25628</v>
      </c>
      <c r="E1417" t="s">
        <v>25629</v>
      </c>
      <c r="F1417" t="s">
        <v>25630</v>
      </c>
      <c r="G1417" t="s">
        <v>25631</v>
      </c>
      <c r="H1417" t="s">
        <v>25632</v>
      </c>
      <c r="I1417" t="s">
        <v>25633</v>
      </c>
      <c r="J1417" t="s">
        <v>25634</v>
      </c>
      <c r="K1417" t="s">
        <v>25635</v>
      </c>
      <c r="L1417" t="s">
        <v>25636</v>
      </c>
      <c r="M1417" t="s">
        <v>25637</v>
      </c>
      <c r="N1417" t="s">
        <v>25638</v>
      </c>
      <c r="O1417">
        <f>-624.800215974551 -56.6921904264627 -737.910866686375</f>
        <v>-1419.4032730873887</v>
      </c>
      <c r="P1417">
        <f>-631.188108358729 -57.6406056604046 -421.454778417778</f>
        <v>-1110.2834924369117</v>
      </c>
      <c r="Q1417">
        <f>-371.647541442516 -47.2507618129446 -434.600945188723</f>
        <v>-853.49924844418365</v>
      </c>
      <c r="R1417" t="s">
        <v>25639</v>
      </c>
      <c r="S1417" t="s">
        <v>25640</v>
      </c>
      <c r="T1417" t="s">
        <v>25641</v>
      </c>
      <c r="U1417" t="s">
        <v>25642</v>
      </c>
      <c r="V1417" t="s">
        <v>25643</v>
      </c>
      <c r="W1417" t="s">
        <v>25644</v>
      </c>
      <c r="X1417" t="s">
        <v>25645</v>
      </c>
      <c r="Y1417" t="s">
        <v>25646</v>
      </c>
    </row>
    <row r="1418" spans="1:25" x14ac:dyDescent="0.3">
      <c r="A1418">
        <v>70850</v>
      </c>
      <c r="B1418" t="s">
        <v>25647</v>
      </c>
      <c r="C1418" t="s">
        <v>25648</v>
      </c>
      <c r="D1418" t="s">
        <v>25649</v>
      </c>
      <c r="E1418" t="s">
        <v>25650</v>
      </c>
      <c r="F1418" t="s">
        <v>25651</v>
      </c>
      <c r="G1418" t="s">
        <v>25652</v>
      </c>
      <c r="H1418" t="s">
        <v>25653</v>
      </c>
      <c r="I1418" t="s">
        <v>25654</v>
      </c>
      <c r="J1418" t="s">
        <v>25655</v>
      </c>
      <c r="K1418" t="s">
        <v>25656</v>
      </c>
      <c r="L1418" t="s">
        <v>25657</v>
      </c>
      <c r="M1418" t="s">
        <v>25658</v>
      </c>
      <c r="N1418" t="s">
        <v>25659</v>
      </c>
      <c r="O1418">
        <f>-620.4848388342 -55.6178217878542 -739.214150288819</f>
        <v>-1415.3168109108733</v>
      </c>
      <c r="P1418">
        <f>-626.655615092415 -58.6727305346117 -422.767006703625</f>
        <v>-1108.0953523306516</v>
      </c>
      <c r="Q1418">
        <f>-367.202284038339 -47.3578099850217 -436.837704244252</f>
        <v>-851.39779826761264</v>
      </c>
      <c r="R1418" t="s">
        <v>25660</v>
      </c>
      <c r="S1418" t="s">
        <v>25661</v>
      </c>
      <c r="T1418" t="s">
        <v>25662</v>
      </c>
      <c r="U1418" t="s">
        <v>25663</v>
      </c>
      <c r="V1418" t="s">
        <v>25664</v>
      </c>
      <c r="W1418" t="s">
        <v>25665</v>
      </c>
      <c r="X1418" t="s">
        <v>25666</v>
      </c>
      <c r="Y1418" t="s">
        <v>25667</v>
      </c>
    </row>
    <row r="1419" spans="1:25" x14ac:dyDescent="0.3">
      <c r="A1419">
        <v>70900</v>
      </c>
      <c r="B1419" t="s">
        <v>25668</v>
      </c>
      <c r="C1419" t="s">
        <v>25669</v>
      </c>
      <c r="D1419" t="s">
        <v>25670</v>
      </c>
      <c r="E1419" t="s">
        <v>25671</v>
      </c>
      <c r="F1419" t="s">
        <v>25672</v>
      </c>
      <c r="G1419" t="s">
        <v>25673</v>
      </c>
      <c r="H1419" t="s">
        <v>25674</v>
      </c>
      <c r="I1419" t="s">
        <v>25675</v>
      </c>
      <c r="J1419" t="s">
        <v>25676</v>
      </c>
      <c r="K1419" t="s">
        <v>25677</v>
      </c>
      <c r="L1419" t="s">
        <v>25678</v>
      </c>
      <c r="M1419" t="s">
        <v>25679</v>
      </c>
      <c r="N1419" t="s">
        <v>25680</v>
      </c>
      <c r="O1419">
        <f>-618.720145179997 -54.5224772599543 -740.067040345487</f>
        <v>-1413.3096627854384</v>
      </c>
      <c r="P1419">
        <f>-624.162828192742 -58.6648844382155 -423.618912088444</f>
        <v>-1106.4466247194016</v>
      </c>
      <c r="Q1419">
        <f>-364.778637776922 -46.5363409505726 -438.275687127964</f>
        <v>-849.59066585545861</v>
      </c>
      <c r="R1419" t="s">
        <v>25681</v>
      </c>
      <c r="S1419" t="s">
        <v>25682</v>
      </c>
      <c r="T1419" t="s">
        <v>25683</v>
      </c>
      <c r="U1419" t="s">
        <v>25684</v>
      </c>
      <c r="V1419" t="s">
        <v>25685</v>
      </c>
      <c r="W1419" t="s">
        <v>25686</v>
      </c>
      <c r="X1419" t="s">
        <v>25687</v>
      </c>
      <c r="Y1419" t="s">
        <v>25688</v>
      </c>
    </row>
    <row r="1420" spans="1:25" x14ac:dyDescent="0.3">
      <c r="A1420">
        <v>70950</v>
      </c>
      <c r="B1420" t="s">
        <v>25689</v>
      </c>
      <c r="C1420" t="s">
        <v>25690</v>
      </c>
      <c r="D1420" t="s">
        <v>25691</v>
      </c>
      <c r="E1420" t="s">
        <v>25692</v>
      </c>
      <c r="F1420" t="s">
        <v>25693</v>
      </c>
      <c r="G1420" t="s">
        <v>25694</v>
      </c>
      <c r="H1420" t="s">
        <v>25695</v>
      </c>
      <c r="I1420" t="s">
        <v>25696</v>
      </c>
      <c r="J1420" t="s">
        <v>25697</v>
      </c>
      <c r="K1420" t="s">
        <v>25698</v>
      </c>
      <c r="L1420" t="s">
        <v>25699</v>
      </c>
      <c r="M1420" t="s">
        <v>25700</v>
      </c>
      <c r="N1420" t="s">
        <v>25701</v>
      </c>
      <c r="O1420">
        <f>-615.676571215963 -52.7908077970878 -741.538275278551</f>
        <v>-1410.0056542916018</v>
      </c>
      <c r="P1420">
        <f>-619.09556115647 -59.6883584430313 -425.109850837734</f>
        <v>-1103.8937704372354</v>
      </c>
      <c r="Q1420">
        <f>-359.917245265213 -45.5978201029552 -441.545111356452</f>
        <v>-847.06017672462031</v>
      </c>
      <c r="R1420" t="s">
        <v>25702</v>
      </c>
      <c r="S1420" t="s">
        <v>25703</v>
      </c>
      <c r="T1420" t="s">
        <v>25704</v>
      </c>
      <c r="U1420" t="s">
        <v>25705</v>
      </c>
      <c r="V1420" t="s">
        <v>25706</v>
      </c>
      <c r="W1420" t="s">
        <v>25707</v>
      </c>
      <c r="X1420" t="s">
        <v>25708</v>
      </c>
      <c r="Y1420" t="s">
        <v>25709</v>
      </c>
    </row>
    <row r="1421" spans="1:25" x14ac:dyDescent="0.3">
      <c r="A1421">
        <v>71000</v>
      </c>
      <c r="B1421" t="s">
        <v>25710</v>
      </c>
      <c r="C1421" t="s">
        <v>25711</v>
      </c>
      <c r="D1421" t="s">
        <v>25712</v>
      </c>
      <c r="E1421" t="s">
        <v>25713</v>
      </c>
      <c r="F1421" t="s">
        <v>25714</v>
      </c>
      <c r="G1421" t="s">
        <v>25715</v>
      </c>
      <c r="H1421" t="s">
        <v>25716</v>
      </c>
      <c r="I1421" t="s">
        <v>25717</v>
      </c>
      <c r="J1421" t="s">
        <v>25718</v>
      </c>
      <c r="K1421" t="s">
        <v>25719</v>
      </c>
      <c r="L1421" t="s">
        <v>25720</v>
      </c>
      <c r="M1421" t="s">
        <v>25721</v>
      </c>
      <c r="N1421" t="s">
        <v>25722</v>
      </c>
      <c r="O1421">
        <f>-614.198290547938 -52.4851122132343 -742.140365842193</f>
        <v>-1408.8237686033654</v>
      </c>
      <c r="P1421">
        <f>-616.881638273121 -60.0451172928083 -425.720130596799</f>
        <v>-1102.6468861627282</v>
      </c>
      <c r="Q1421">
        <f>-357.808221970992 -45.3233101350261 -443.221315367383</f>
        <v>-846.35284747340108</v>
      </c>
      <c r="R1421" t="s">
        <v>25723</v>
      </c>
      <c r="S1421" t="s">
        <v>25724</v>
      </c>
      <c r="T1421" t="s">
        <v>25725</v>
      </c>
      <c r="U1421" t="s">
        <v>25726</v>
      </c>
      <c r="V1421" t="s">
        <v>25727</v>
      </c>
      <c r="W1421" t="s">
        <v>25728</v>
      </c>
      <c r="X1421" t="s">
        <v>25729</v>
      </c>
      <c r="Y1421" t="s">
        <v>25730</v>
      </c>
    </row>
    <row r="1422" spans="1:25" x14ac:dyDescent="0.3">
      <c r="A1422">
        <v>71050</v>
      </c>
      <c r="B1422" t="s">
        <v>25731</v>
      </c>
      <c r="C1422" t="s">
        <v>25732</v>
      </c>
      <c r="D1422" t="s">
        <v>25733</v>
      </c>
      <c r="E1422" t="s">
        <v>25734</v>
      </c>
      <c r="F1422" t="s">
        <v>25735</v>
      </c>
      <c r="G1422" t="s">
        <v>25736</v>
      </c>
      <c r="H1422" t="s">
        <v>25737</v>
      </c>
      <c r="I1422" t="s">
        <v>25738</v>
      </c>
      <c r="J1422" t="s">
        <v>25739</v>
      </c>
      <c r="K1422" t="s">
        <v>25740</v>
      </c>
      <c r="L1422" t="s">
        <v>25741</v>
      </c>
      <c r="M1422" t="s">
        <v>25742</v>
      </c>
      <c r="N1422" t="s">
        <v>25743</v>
      </c>
      <c r="O1422">
        <f>-611.431313791043 -51.9788788702258 -743.317639011986</f>
        <v>-1406.7278316732547</v>
      </c>
      <c r="P1422">
        <f>-613.073088590693 -60.5614806873734 -426.916410295794</f>
        <v>-1100.5509795738603</v>
      </c>
      <c r="Q1422">
        <f>-354.119174822057 -45.0831422314516 -445.499995640725</f>
        <v>-844.70231269423357</v>
      </c>
      <c r="R1422" t="s">
        <v>25744</v>
      </c>
      <c r="S1422" t="s">
        <v>25745</v>
      </c>
      <c r="T1422" t="s">
        <v>25746</v>
      </c>
      <c r="U1422" t="s">
        <v>25747</v>
      </c>
      <c r="V1422" t="s">
        <v>25748</v>
      </c>
      <c r="W1422" t="s">
        <v>25749</v>
      </c>
      <c r="X1422" t="s">
        <v>25750</v>
      </c>
      <c r="Y1422" t="s">
        <v>25751</v>
      </c>
    </row>
    <row r="1423" spans="1:25" x14ac:dyDescent="0.3">
      <c r="A1423">
        <v>71100</v>
      </c>
      <c r="B1423" t="s">
        <v>25752</v>
      </c>
      <c r="C1423" t="s">
        <v>25753</v>
      </c>
      <c r="D1423" t="s">
        <v>25754</v>
      </c>
      <c r="E1423" t="s">
        <v>25755</v>
      </c>
      <c r="F1423" t="s">
        <v>25756</v>
      </c>
      <c r="G1423" t="s">
        <v>25757</v>
      </c>
      <c r="H1423" t="s">
        <v>25758</v>
      </c>
      <c r="I1423" t="s">
        <v>25759</v>
      </c>
      <c r="J1423" t="s">
        <v>25760</v>
      </c>
      <c r="K1423" t="s">
        <v>25761</v>
      </c>
      <c r="L1423" t="s">
        <v>25762</v>
      </c>
      <c r="M1423" t="s">
        <v>25763</v>
      </c>
      <c r="N1423" t="s">
        <v>25764</v>
      </c>
      <c r="O1423">
        <f>-610.322366566588 -51.7440139181349 -743.999174510293</f>
        <v>-1406.0655549950159</v>
      </c>
      <c r="P1423">
        <f>-611.965779123745 -60.8967141176088 -427.613783410653</f>
        <v>-1100.4762766520068</v>
      </c>
      <c r="Q1423">
        <f>-353.104815844024 -44.4282744544651 -446.636150952956</f>
        <v>-844.1692412514451</v>
      </c>
      <c r="R1423" t="s">
        <v>25765</v>
      </c>
      <c r="S1423" t="s">
        <v>25766</v>
      </c>
      <c r="T1423" t="s">
        <v>25767</v>
      </c>
      <c r="U1423" t="s">
        <v>25768</v>
      </c>
      <c r="V1423" t="s">
        <v>25769</v>
      </c>
      <c r="W1423" t="s">
        <v>25770</v>
      </c>
      <c r="X1423" t="s">
        <v>25771</v>
      </c>
      <c r="Y1423" t="s">
        <v>25772</v>
      </c>
    </row>
    <row r="1424" spans="1:25" x14ac:dyDescent="0.3">
      <c r="A1424">
        <v>71150</v>
      </c>
      <c r="B1424" t="s">
        <v>25773</v>
      </c>
      <c r="C1424" t="s">
        <v>25774</v>
      </c>
      <c r="D1424" t="s">
        <v>25775</v>
      </c>
      <c r="E1424" t="s">
        <v>25776</v>
      </c>
      <c r="F1424" t="s">
        <v>25777</v>
      </c>
      <c r="G1424" t="s">
        <v>25778</v>
      </c>
      <c r="H1424" t="s">
        <v>25779</v>
      </c>
      <c r="I1424" t="s">
        <v>25780</v>
      </c>
      <c r="J1424" t="s">
        <v>25781</v>
      </c>
      <c r="K1424" t="s">
        <v>25782</v>
      </c>
      <c r="L1424" t="s">
        <v>25783</v>
      </c>
      <c r="M1424" t="s">
        <v>25784</v>
      </c>
      <c r="N1424" t="s">
        <v>25785</v>
      </c>
      <c r="O1424">
        <f>-609.596011759988 -51.3535451356654 -744.753245652918</f>
        <v>-1405.7028025485715</v>
      </c>
      <c r="P1424">
        <f>-611.228287322255 -61.5863532807084 -428.400889390003</f>
        <v>-1101.2155299929664</v>
      </c>
      <c r="Q1424">
        <f>-352.464934748132 -44.0707207784972 -447.812442660698</f>
        <v>-844.3480981873272</v>
      </c>
      <c r="R1424" t="s">
        <v>25786</v>
      </c>
      <c r="S1424" t="s">
        <v>25787</v>
      </c>
      <c r="T1424" t="s">
        <v>25788</v>
      </c>
      <c r="U1424" t="s">
        <v>25789</v>
      </c>
      <c r="V1424" t="s">
        <v>25790</v>
      </c>
      <c r="W1424" t="s">
        <v>25791</v>
      </c>
      <c r="X1424" t="s">
        <v>25792</v>
      </c>
      <c r="Y1424" t="s">
        <v>25793</v>
      </c>
    </row>
    <row r="1425" spans="1:25" x14ac:dyDescent="0.3">
      <c r="A1425">
        <v>71200</v>
      </c>
      <c r="B1425" t="s">
        <v>25794</v>
      </c>
      <c r="C1425" t="s">
        <v>25795</v>
      </c>
      <c r="D1425" t="s">
        <v>25796</v>
      </c>
      <c r="E1425" t="s">
        <v>25797</v>
      </c>
      <c r="F1425" t="s">
        <v>25798</v>
      </c>
      <c r="G1425" t="s">
        <v>25799</v>
      </c>
      <c r="H1425" t="s">
        <v>25800</v>
      </c>
      <c r="I1425" t="s">
        <v>25801</v>
      </c>
      <c r="J1425" t="s">
        <v>25802</v>
      </c>
      <c r="K1425" t="s">
        <v>25803</v>
      </c>
      <c r="L1425" t="s">
        <v>25804</v>
      </c>
      <c r="M1425" t="s">
        <v>25805</v>
      </c>
      <c r="N1425" t="s">
        <v>25806</v>
      </c>
      <c r="O1425">
        <f>-609.291992270748 -50.6042060562813 -746.211192701847</f>
        <v>-1406.1073910288765</v>
      </c>
      <c r="P1425">
        <f>-610.615630700972 -62.8231195681074 -429.927922105511</f>
        <v>-1103.3666723745905</v>
      </c>
      <c r="Q1425">
        <f>-351.934437544874 -44.1464111488078 -449.351631200223</f>
        <v>-845.43247989390477</v>
      </c>
      <c r="R1425" t="s">
        <v>25807</v>
      </c>
      <c r="S1425" t="s">
        <v>25808</v>
      </c>
      <c r="T1425" t="s">
        <v>25809</v>
      </c>
      <c r="U1425" t="s">
        <v>25810</v>
      </c>
      <c r="V1425" t="s">
        <v>25811</v>
      </c>
      <c r="W1425" t="s">
        <v>25812</v>
      </c>
      <c r="X1425" t="s">
        <v>25813</v>
      </c>
      <c r="Y1425" t="s">
        <v>25814</v>
      </c>
    </row>
    <row r="1426" spans="1:25" x14ac:dyDescent="0.3">
      <c r="A1426">
        <v>71250</v>
      </c>
      <c r="B1426" t="s">
        <v>25815</v>
      </c>
      <c r="C1426" t="s">
        <v>25816</v>
      </c>
      <c r="D1426" t="s">
        <v>25817</v>
      </c>
      <c r="E1426" t="s">
        <v>25818</v>
      </c>
      <c r="F1426" t="s">
        <v>25819</v>
      </c>
      <c r="G1426" t="s">
        <v>25820</v>
      </c>
      <c r="H1426" t="s">
        <v>25821</v>
      </c>
      <c r="I1426" t="s">
        <v>25822</v>
      </c>
      <c r="J1426" t="s">
        <v>25823</v>
      </c>
      <c r="K1426" t="s">
        <v>25824</v>
      </c>
      <c r="L1426" t="s">
        <v>25825</v>
      </c>
      <c r="M1426" t="s">
        <v>25826</v>
      </c>
      <c r="N1426" t="s">
        <v>25827</v>
      </c>
      <c r="O1426">
        <f>-609.59222567645 -51.1450709554838 -747.098236456221</f>
        <v>-1407.8355330881548</v>
      </c>
      <c r="P1426">
        <f>-611.400927122734 -64.3904119826391 -430.858608188936</f>
        <v>-1106.649947294309</v>
      </c>
      <c r="Q1426">
        <f>-352.656734678976 -45.8099782254726 -449.520613194388</f>
        <v>-847.98732609883655</v>
      </c>
      <c r="R1426" t="s">
        <v>25828</v>
      </c>
      <c r="S1426" t="s">
        <v>25829</v>
      </c>
      <c r="T1426" t="s">
        <v>25830</v>
      </c>
      <c r="U1426" t="s">
        <v>25831</v>
      </c>
      <c r="V1426" t="s">
        <v>25832</v>
      </c>
      <c r="W1426" t="s">
        <v>25833</v>
      </c>
      <c r="X1426" t="s">
        <v>25834</v>
      </c>
      <c r="Y1426" t="s">
        <v>25835</v>
      </c>
    </row>
    <row r="1427" spans="1:25" x14ac:dyDescent="0.3">
      <c r="A1427">
        <v>71300</v>
      </c>
      <c r="B1427" t="s">
        <v>25836</v>
      </c>
      <c r="C1427" t="s">
        <v>25837</v>
      </c>
      <c r="D1427" t="s">
        <v>25838</v>
      </c>
      <c r="E1427" t="s">
        <v>25839</v>
      </c>
      <c r="F1427" t="s">
        <v>25840</v>
      </c>
      <c r="G1427" t="s">
        <v>25841</v>
      </c>
      <c r="H1427" t="s">
        <v>25842</v>
      </c>
      <c r="I1427" t="s">
        <v>25843</v>
      </c>
      <c r="J1427" t="s">
        <v>25844</v>
      </c>
      <c r="K1427" t="s">
        <v>25845</v>
      </c>
      <c r="L1427" t="s">
        <v>25846</v>
      </c>
      <c r="M1427" t="s">
        <v>25847</v>
      </c>
      <c r="N1427" t="s">
        <v>25848</v>
      </c>
      <c r="O1427">
        <f>-609.733384816951 -52.5218788524207 -747.059937450906</f>
        <v>-1409.3152011202778</v>
      </c>
      <c r="P1427">
        <f>-612.129134945669 -65.8785499516048 -430.828967717757</f>
        <v>-1108.8366526150307</v>
      </c>
      <c r="Q1427">
        <f>-353.345051395836 -47.8684652152788 -449.496770313589</f>
        <v>-850.71028692470372</v>
      </c>
      <c r="R1427" t="s">
        <v>25849</v>
      </c>
      <c r="S1427" t="s">
        <v>25850</v>
      </c>
      <c r="T1427" t="s">
        <v>25851</v>
      </c>
      <c r="U1427" t="s">
        <v>25852</v>
      </c>
      <c r="V1427" t="s">
        <v>25853</v>
      </c>
      <c r="W1427" t="s">
        <v>25854</v>
      </c>
      <c r="X1427" t="s">
        <v>25855</v>
      </c>
      <c r="Y1427" t="s">
        <v>25856</v>
      </c>
    </row>
    <row r="1428" spans="1:25" x14ac:dyDescent="0.3">
      <c r="A1428">
        <v>71350</v>
      </c>
      <c r="B1428" t="s">
        <v>25857</v>
      </c>
      <c r="C1428" t="s">
        <v>25858</v>
      </c>
      <c r="D1428" t="s">
        <v>25859</v>
      </c>
      <c r="E1428" t="s">
        <v>25860</v>
      </c>
      <c r="F1428" t="s">
        <v>25861</v>
      </c>
      <c r="G1428" t="s">
        <v>25862</v>
      </c>
      <c r="H1428" t="s">
        <v>25863</v>
      </c>
      <c r="I1428" t="s">
        <v>25864</v>
      </c>
      <c r="J1428" t="s">
        <v>25865</v>
      </c>
      <c r="K1428" t="s">
        <v>25866</v>
      </c>
      <c r="L1428" t="s">
        <v>25867</v>
      </c>
      <c r="M1428" t="s">
        <v>25868</v>
      </c>
      <c r="N1428" t="s">
        <v>25869</v>
      </c>
      <c r="O1428">
        <f>-610.786872875104 -54.722413882912 -746.602007308972</f>
        <v>-1412.111294066988</v>
      </c>
      <c r="P1428">
        <f>-613.345226074077 -67.3637630349187 -430.342742987915</f>
        <v>-1111.0517320969107</v>
      </c>
      <c r="Q1428">
        <f>-354.352608476026 -52.6686131088547 -449.021823315475</f>
        <v>-856.04304490035565</v>
      </c>
      <c r="R1428" t="s">
        <v>25870</v>
      </c>
      <c r="S1428" t="s">
        <v>25871</v>
      </c>
      <c r="T1428" t="s">
        <v>25872</v>
      </c>
      <c r="U1428" t="s">
        <v>25873</v>
      </c>
      <c r="V1428" t="s">
        <v>25874</v>
      </c>
      <c r="W1428" t="s">
        <v>25875</v>
      </c>
      <c r="X1428" t="s">
        <v>25876</v>
      </c>
      <c r="Y1428" t="s">
        <v>25877</v>
      </c>
    </row>
    <row r="1429" spans="1:25" x14ac:dyDescent="0.3">
      <c r="A1429">
        <v>71400</v>
      </c>
      <c r="B1429" t="s">
        <v>25878</v>
      </c>
      <c r="C1429" t="s">
        <v>25879</v>
      </c>
      <c r="D1429" t="s">
        <v>25880</v>
      </c>
      <c r="E1429" t="s">
        <v>25881</v>
      </c>
      <c r="F1429" t="s">
        <v>25882</v>
      </c>
      <c r="G1429" t="s">
        <v>25883</v>
      </c>
      <c r="H1429" t="s">
        <v>25884</v>
      </c>
      <c r="I1429" t="s">
        <v>25885</v>
      </c>
      <c r="J1429" t="s">
        <v>25886</v>
      </c>
      <c r="K1429" t="s">
        <v>25887</v>
      </c>
      <c r="L1429" t="s">
        <v>25888</v>
      </c>
      <c r="M1429" t="s">
        <v>25889</v>
      </c>
      <c r="N1429" t="s">
        <v>25890</v>
      </c>
      <c r="O1429">
        <f>-611.707874668861 -55.9469272948402 -746.203078695592</f>
        <v>-1413.8578806592932</v>
      </c>
      <c r="P1429">
        <f>-614.023252281022 -68.5438710404501 -429.940315193564</f>
        <v>-1112.507438515036</v>
      </c>
      <c r="Q1429">
        <f>-354.940590381842 -54.9660871306512 -448.212593133437</f>
        <v>-858.11927064593021</v>
      </c>
      <c r="R1429" t="s">
        <v>25891</v>
      </c>
      <c r="S1429" t="s">
        <v>25892</v>
      </c>
      <c r="T1429" t="s">
        <v>25893</v>
      </c>
      <c r="U1429" t="s">
        <v>25894</v>
      </c>
      <c r="V1429" t="s">
        <v>25895</v>
      </c>
      <c r="W1429" t="s">
        <v>25896</v>
      </c>
      <c r="X1429" t="s">
        <v>25897</v>
      </c>
      <c r="Y1429" t="s">
        <v>25898</v>
      </c>
    </row>
    <row r="1430" spans="1:25" x14ac:dyDescent="0.3">
      <c r="A1430">
        <v>71450</v>
      </c>
      <c r="B1430" t="s">
        <v>25899</v>
      </c>
      <c r="C1430" t="s">
        <v>25900</v>
      </c>
      <c r="D1430" t="s">
        <v>25901</v>
      </c>
      <c r="E1430" t="s">
        <v>25902</v>
      </c>
      <c r="F1430" t="s">
        <v>25903</v>
      </c>
      <c r="G1430" t="s">
        <v>25904</v>
      </c>
      <c r="H1430" t="s">
        <v>25905</v>
      </c>
      <c r="I1430" t="s">
        <v>25906</v>
      </c>
      <c r="J1430" t="s">
        <v>25907</v>
      </c>
      <c r="K1430" t="s">
        <v>25908</v>
      </c>
      <c r="L1430" t="s">
        <v>25909</v>
      </c>
      <c r="M1430" t="s">
        <v>25910</v>
      </c>
      <c r="N1430" t="s">
        <v>25911</v>
      </c>
      <c r="O1430">
        <f>-614.260028149802 -58.1575529460986 -745.469798882875</f>
        <v>-1417.8873799787757</v>
      </c>
      <c r="P1430">
        <f>-615.614306992658 -70.2487026733247 -429.181734485468</f>
        <v>-1115.0447441514507</v>
      </c>
      <c r="Q1430">
        <f>-356.334205156552 -57.3026019684917 -444.938699847864</f>
        <v>-858.57550697290765</v>
      </c>
      <c r="R1430" t="s">
        <v>25912</v>
      </c>
      <c r="S1430" t="s">
        <v>25913</v>
      </c>
      <c r="T1430" t="s">
        <v>25914</v>
      </c>
      <c r="U1430" t="s">
        <v>25915</v>
      </c>
      <c r="V1430" t="s">
        <v>25916</v>
      </c>
      <c r="W1430" t="s">
        <v>25917</v>
      </c>
      <c r="X1430" t="s">
        <v>25918</v>
      </c>
      <c r="Y1430" t="s">
        <v>25919</v>
      </c>
    </row>
    <row r="1431" spans="1:25" x14ac:dyDescent="0.3">
      <c r="A1431">
        <v>71500</v>
      </c>
      <c r="B1431" t="s">
        <v>25920</v>
      </c>
      <c r="C1431" t="s">
        <v>25921</v>
      </c>
      <c r="D1431" t="s">
        <v>25922</v>
      </c>
      <c r="E1431" t="s">
        <v>25923</v>
      </c>
      <c r="F1431" t="s">
        <v>25924</v>
      </c>
      <c r="G1431" t="s">
        <v>25925</v>
      </c>
      <c r="H1431" t="s">
        <v>25926</v>
      </c>
      <c r="I1431" t="s">
        <v>25927</v>
      </c>
      <c r="J1431" t="s">
        <v>25928</v>
      </c>
      <c r="K1431" t="s">
        <v>25929</v>
      </c>
      <c r="L1431" t="s">
        <v>25930</v>
      </c>
      <c r="M1431" t="s">
        <v>25931</v>
      </c>
      <c r="N1431" t="s">
        <v>25932</v>
      </c>
      <c r="O1431">
        <f>-615.496089365477 -59.3830294164591 -744.983596758983</f>
        <v>-1419.862715540919</v>
      </c>
      <c r="P1431">
        <f>-616.667831590818 -70.3143861896356 -428.652516530307</f>
        <v>-1115.6347343107605</v>
      </c>
      <c r="Q1431">
        <f>-357.358007200017 -57.6144427102633 -444.117752051599</f>
        <v>-859.0902019618793</v>
      </c>
      <c r="R1431" t="s">
        <v>25933</v>
      </c>
      <c r="S1431" t="s">
        <v>25934</v>
      </c>
      <c r="T1431" t="s">
        <v>25935</v>
      </c>
      <c r="U1431" t="s">
        <v>25936</v>
      </c>
      <c r="V1431" t="s">
        <v>25937</v>
      </c>
      <c r="W1431" t="s">
        <v>25938</v>
      </c>
      <c r="X1431" t="s">
        <v>25939</v>
      </c>
      <c r="Y1431" t="s">
        <v>25940</v>
      </c>
    </row>
    <row r="1432" spans="1:25" x14ac:dyDescent="0.3">
      <c r="A1432">
        <v>71550</v>
      </c>
      <c r="B1432" t="s">
        <v>25941</v>
      </c>
      <c r="C1432" t="s">
        <v>25942</v>
      </c>
      <c r="D1432" t="s">
        <v>25943</v>
      </c>
      <c r="E1432" t="s">
        <v>25944</v>
      </c>
      <c r="F1432" t="s">
        <v>25945</v>
      </c>
      <c r="G1432" t="s">
        <v>25946</v>
      </c>
      <c r="H1432" t="s">
        <v>25947</v>
      </c>
      <c r="I1432" t="s">
        <v>25948</v>
      </c>
      <c r="J1432" t="s">
        <v>25949</v>
      </c>
      <c r="K1432" t="s">
        <v>25950</v>
      </c>
      <c r="L1432" t="s">
        <v>25951</v>
      </c>
      <c r="M1432" t="s">
        <v>25952</v>
      </c>
      <c r="N1432" t="s">
        <v>25953</v>
      </c>
      <c r="O1432">
        <f>-619.141414837821 -61.5206016252266 -744.620154557</f>
        <v>-1425.2821710200476</v>
      </c>
      <c r="P1432">
        <f>-621.045780809937 -63.369022348312 -428.109257715373</f>
        <v>-1112.5240608736221</v>
      </c>
      <c r="Q1432">
        <f>-361.714021271903 -54.4934482019889 -445.72538885498</f>
        <v>-861.93285832887182</v>
      </c>
      <c r="R1432" t="s">
        <v>25954</v>
      </c>
      <c r="S1432" t="s">
        <v>25955</v>
      </c>
      <c r="T1432" t="s">
        <v>25956</v>
      </c>
      <c r="U1432" t="s">
        <v>25957</v>
      </c>
      <c r="V1432" t="s">
        <v>25958</v>
      </c>
      <c r="W1432" t="s">
        <v>25959</v>
      </c>
      <c r="X1432" t="s">
        <v>25960</v>
      </c>
      <c r="Y1432" t="s">
        <v>25961</v>
      </c>
    </row>
    <row r="1433" spans="1:25" x14ac:dyDescent="0.3">
      <c r="A1433">
        <v>71600</v>
      </c>
      <c r="B1433" t="s">
        <v>25962</v>
      </c>
      <c r="C1433" t="s">
        <v>25963</v>
      </c>
      <c r="D1433" t="s">
        <v>25964</v>
      </c>
      <c r="E1433" t="s">
        <v>25965</v>
      </c>
      <c r="F1433" t="s">
        <v>25966</v>
      </c>
      <c r="G1433" t="s">
        <v>25967</v>
      </c>
      <c r="H1433" t="s">
        <v>25968</v>
      </c>
      <c r="I1433" t="s">
        <v>25969</v>
      </c>
      <c r="J1433" t="s">
        <v>25970</v>
      </c>
      <c r="K1433" t="s">
        <v>25971</v>
      </c>
      <c r="L1433" t="s">
        <v>25972</v>
      </c>
      <c r="M1433" t="s">
        <v>25973</v>
      </c>
      <c r="N1433" t="s">
        <v>25974</v>
      </c>
      <c r="O1433">
        <f>-620.601917221318 -63.0440730629086 -743.793955486494</f>
        <v>-1427.4399457707207</v>
      </c>
      <c r="P1433">
        <f>-623.690481524778 -57.4295954067341 -427.336872645057</f>
        <v>-1108.4569495765691</v>
      </c>
      <c r="Q1433">
        <f>-364.570415464034 -54.0340210808756 -449.41231498504</f>
        <v>-868.0167515299496</v>
      </c>
      <c r="R1433" t="s">
        <v>25975</v>
      </c>
      <c r="S1433" t="s">
        <v>25976</v>
      </c>
      <c r="T1433" t="s">
        <v>25977</v>
      </c>
      <c r="U1433" t="s">
        <v>25978</v>
      </c>
      <c r="V1433" t="s">
        <v>25979</v>
      </c>
      <c r="W1433" t="s">
        <v>25980</v>
      </c>
      <c r="X1433" t="s">
        <v>25981</v>
      </c>
      <c r="Y1433" t="s">
        <v>25982</v>
      </c>
    </row>
    <row r="1434" spans="1:25" x14ac:dyDescent="0.3">
      <c r="A1434">
        <v>71650</v>
      </c>
      <c r="B1434" t="s">
        <v>25983</v>
      </c>
      <c r="C1434" t="s">
        <v>25984</v>
      </c>
      <c r="D1434" t="s">
        <v>25985</v>
      </c>
      <c r="E1434" t="s">
        <v>25986</v>
      </c>
      <c r="F1434" t="s">
        <v>25987</v>
      </c>
      <c r="G1434" t="s">
        <v>25988</v>
      </c>
      <c r="H1434" t="s">
        <v>25989</v>
      </c>
      <c r="I1434" t="s">
        <v>25990</v>
      </c>
      <c r="J1434" t="s">
        <v>25991</v>
      </c>
      <c r="K1434" t="s">
        <v>25992</v>
      </c>
      <c r="L1434" t="s">
        <v>25993</v>
      </c>
      <c r="M1434" t="s">
        <v>25994</v>
      </c>
      <c r="N1434" t="s">
        <v>25995</v>
      </c>
      <c r="O1434">
        <f>-623.084421303761 -67.1195179192753 -740.901529554911</f>
        <v>-1431.1054687779474</v>
      </c>
      <c r="P1434">
        <f>-626.600046601677 -51.3539389557413 -424.792063024471</f>
        <v>-1102.7460485818895</v>
      </c>
      <c r="Q1434">
        <f>-368.577420671579 -58.0329884665657 -456.757483765103</f>
        <v>-883.36789290324771</v>
      </c>
      <c r="R1434" t="s">
        <v>25996</v>
      </c>
      <c r="S1434" t="s">
        <v>25997</v>
      </c>
      <c r="T1434" t="s">
        <v>25998</v>
      </c>
      <c r="U1434" t="s">
        <v>25999</v>
      </c>
      <c r="V1434" t="s">
        <v>26000</v>
      </c>
      <c r="W1434" t="s">
        <v>26001</v>
      </c>
      <c r="X1434" t="s">
        <v>26002</v>
      </c>
      <c r="Y1434" t="s">
        <v>26003</v>
      </c>
    </row>
    <row r="1435" spans="1:25" x14ac:dyDescent="0.3">
      <c r="A1435">
        <v>71700</v>
      </c>
      <c r="B1435" t="s">
        <v>26004</v>
      </c>
      <c r="C1435" t="s">
        <v>26005</v>
      </c>
      <c r="D1435" t="s">
        <v>26006</v>
      </c>
      <c r="E1435" t="s">
        <v>26007</v>
      </c>
      <c r="F1435" t="s">
        <v>26008</v>
      </c>
      <c r="G1435" t="s">
        <v>26009</v>
      </c>
      <c r="H1435" t="s">
        <v>26010</v>
      </c>
      <c r="I1435" t="s">
        <v>26011</v>
      </c>
      <c r="J1435" t="s">
        <v>26012</v>
      </c>
      <c r="K1435" t="s">
        <v>26013</v>
      </c>
      <c r="L1435" t="s">
        <v>26014</v>
      </c>
      <c r="M1435" t="s">
        <v>26015</v>
      </c>
      <c r="N1435" t="s">
        <v>26016</v>
      </c>
      <c r="O1435">
        <f>-624.516817417678 -68.9467572689189 -739.627945139794</f>
        <v>-1433.0915198263908</v>
      </c>
      <c r="P1435">
        <f>-627.248430441373 -51.4584885062652 -423.601246344977</f>
        <v>-1102.3081652926153</v>
      </c>
      <c r="Q1435">
        <f>-369.67082483819 -60.7393959641388 -458.381949355444</f>
        <v>-888.79217015777283</v>
      </c>
      <c r="R1435" t="s">
        <v>26017</v>
      </c>
      <c r="S1435" t="s">
        <v>26018</v>
      </c>
      <c r="T1435" t="s">
        <v>26019</v>
      </c>
      <c r="U1435" t="s">
        <v>26020</v>
      </c>
      <c r="V1435" t="s">
        <v>26021</v>
      </c>
      <c r="W1435" t="s">
        <v>26022</v>
      </c>
      <c r="X1435" t="s">
        <v>26023</v>
      </c>
      <c r="Y1435" t="s">
        <v>26024</v>
      </c>
    </row>
    <row r="1436" spans="1:25" x14ac:dyDescent="0.3">
      <c r="A1436">
        <v>71750</v>
      </c>
      <c r="B1436" t="s">
        <v>26025</v>
      </c>
      <c r="C1436" t="s">
        <v>26026</v>
      </c>
      <c r="D1436" t="s">
        <v>26027</v>
      </c>
      <c r="E1436" t="s">
        <v>26028</v>
      </c>
      <c r="F1436" t="s">
        <v>26029</v>
      </c>
      <c r="G1436" t="s">
        <v>26030</v>
      </c>
      <c r="H1436" t="s">
        <v>26031</v>
      </c>
      <c r="I1436" t="s">
        <v>26032</v>
      </c>
      <c r="J1436" t="s">
        <v>26033</v>
      </c>
      <c r="K1436" t="s">
        <v>26034</v>
      </c>
      <c r="L1436" t="s">
        <v>26035</v>
      </c>
      <c r="M1436" t="s">
        <v>26036</v>
      </c>
      <c r="N1436" t="s">
        <v>26037</v>
      </c>
      <c r="O1436">
        <f>-628.794477376863 -72.5161254857662 -736.435163809071</f>
        <v>-1437.7457666717003</v>
      </c>
      <c r="P1436">
        <f>-628.538635386994 -53.5235294515048 -420.483478035344</f>
        <v>-1102.5456428738428</v>
      </c>
      <c r="Q1436">
        <f>-371.876001460177 -63.7683499073896 -461.243816771357</f>
        <v>-896.88816813892367</v>
      </c>
      <c r="R1436" t="s">
        <v>26038</v>
      </c>
      <c r="S1436" t="s">
        <v>26039</v>
      </c>
      <c r="T1436" t="s">
        <v>26040</v>
      </c>
      <c r="U1436" t="s">
        <v>26041</v>
      </c>
      <c r="V1436" t="s">
        <v>26042</v>
      </c>
      <c r="W1436" t="s">
        <v>26043</v>
      </c>
      <c r="X1436" t="s">
        <v>26044</v>
      </c>
      <c r="Y1436" t="s">
        <v>26045</v>
      </c>
    </row>
    <row r="1437" spans="1:25" x14ac:dyDescent="0.3">
      <c r="A1437">
        <v>71800</v>
      </c>
      <c r="B1437" t="s">
        <v>26046</v>
      </c>
      <c r="C1437" t="s">
        <v>26047</v>
      </c>
      <c r="D1437" t="s">
        <v>26048</v>
      </c>
      <c r="E1437" t="s">
        <v>26049</v>
      </c>
      <c r="F1437" t="s">
        <v>26050</v>
      </c>
      <c r="G1437" t="s">
        <v>26051</v>
      </c>
      <c r="H1437" t="s">
        <v>26052</v>
      </c>
      <c r="I1437" t="s">
        <v>26053</v>
      </c>
      <c r="J1437" t="s">
        <v>26054</v>
      </c>
      <c r="K1437" t="s">
        <v>26055</v>
      </c>
      <c r="L1437" t="s">
        <v>26056</v>
      </c>
      <c r="M1437" t="s">
        <v>26057</v>
      </c>
      <c r="N1437" t="s">
        <v>26058</v>
      </c>
      <c r="O1437">
        <f>-631.276765119891 -74.7212086900197 -734.317582246652</f>
        <v>-1440.3155560565629</v>
      </c>
      <c r="P1437">
        <f>-628.925660561829 -53.8692804372158 -418.491953590454</f>
        <v>-1101.2868945894988</v>
      </c>
      <c r="Q1437">
        <f>-372.675954396658 -64.515819359249 -461.67522320572</f>
        <v>-898.86699696162702</v>
      </c>
      <c r="R1437" t="s">
        <v>26059</v>
      </c>
      <c r="S1437" t="s">
        <v>26060</v>
      </c>
      <c r="T1437" t="s">
        <v>26061</v>
      </c>
      <c r="U1437" t="s">
        <v>26062</v>
      </c>
      <c r="V1437" t="s">
        <v>26063</v>
      </c>
      <c r="W1437" t="s">
        <v>26064</v>
      </c>
      <c r="X1437" t="s">
        <v>26065</v>
      </c>
      <c r="Y1437" t="s">
        <v>26066</v>
      </c>
    </row>
    <row r="1438" spans="1:25" x14ac:dyDescent="0.3">
      <c r="A1438">
        <v>71850</v>
      </c>
      <c r="B1438" t="s">
        <v>26067</v>
      </c>
      <c r="C1438" t="s">
        <v>26068</v>
      </c>
      <c r="D1438" t="s">
        <v>26069</v>
      </c>
      <c r="E1438" t="s">
        <v>26070</v>
      </c>
      <c r="F1438" t="s">
        <v>26071</v>
      </c>
      <c r="G1438" t="s">
        <v>26072</v>
      </c>
      <c r="H1438" t="s">
        <v>26073</v>
      </c>
      <c r="I1438" t="s">
        <v>26074</v>
      </c>
      <c r="J1438" t="s">
        <v>26075</v>
      </c>
      <c r="K1438" t="s">
        <v>26076</v>
      </c>
      <c r="L1438" t="s">
        <v>26077</v>
      </c>
      <c r="M1438" t="s">
        <v>26078</v>
      </c>
      <c r="N1438" t="s">
        <v>26079</v>
      </c>
      <c r="O1438">
        <f>-636.950249068398 -78.3241950740332 -730.150784024618</f>
        <v>-1445.4252281670492</v>
      </c>
      <c r="P1438">
        <f>-629.465542038021 -52.0273854423158 -414.811932419116</f>
        <v>-1096.3048598994528</v>
      </c>
      <c r="Q1438">
        <f>-373.79371374824 -63.9566904049082 -460.981728917974</f>
        <v>-898.73213307112223</v>
      </c>
      <c r="R1438" t="s">
        <v>26080</v>
      </c>
      <c r="S1438" t="s">
        <v>26081</v>
      </c>
      <c r="T1438" t="s">
        <v>26082</v>
      </c>
      <c r="U1438" t="s">
        <v>26083</v>
      </c>
      <c r="V1438" t="s">
        <v>26084</v>
      </c>
      <c r="W1438" t="s">
        <v>26085</v>
      </c>
      <c r="X1438" t="s">
        <v>26086</v>
      </c>
      <c r="Y1438" t="s">
        <v>26087</v>
      </c>
    </row>
    <row r="1439" spans="1:25" x14ac:dyDescent="0.3">
      <c r="A1439">
        <v>71900</v>
      </c>
      <c r="B1439" t="s">
        <v>26088</v>
      </c>
      <c r="C1439" t="s">
        <v>26089</v>
      </c>
      <c r="D1439" t="s">
        <v>26090</v>
      </c>
      <c r="E1439" t="s">
        <v>26091</v>
      </c>
      <c r="F1439" t="s">
        <v>26092</v>
      </c>
      <c r="G1439" t="s">
        <v>26093</v>
      </c>
      <c r="H1439" t="s">
        <v>26094</v>
      </c>
      <c r="I1439" t="s">
        <v>26095</v>
      </c>
      <c r="J1439" t="s">
        <v>26096</v>
      </c>
      <c r="K1439" t="s">
        <v>26097</v>
      </c>
      <c r="L1439" t="s">
        <v>26098</v>
      </c>
      <c r="M1439" t="s">
        <v>26099</v>
      </c>
      <c r="N1439" t="s">
        <v>26100</v>
      </c>
      <c r="O1439">
        <f>-638.978778263507 -79.7589633807506 -728.403616820741</f>
        <v>-1447.1413584649986</v>
      </c>
      <c r="P1439">
        <f>-629.956512188152 -51.4153777349375 -413.282330495523</f>
        <v>-1094.6542204186126</v>
      </c>
      <c r="Q1439">
        <f>-374.333832488091 -62.8533532828244 -459.847030343879</f>
        <v>-897.03421611479439</v>
      </c>
      <c r="R1439" t="s">
        <v>26101</v>
      </c>
      <c r="S1439" t="s">
        <v>26102</v>
      </c>
      <c r="T1439" t="s">
        <v>26103</v>
      </c>
      <c r="U1439" t="s">
        <v>26104</v>
      </c>
      <c r="V1439" t="s">
        <v>26105</v>
      </c>
      <c r="W1439" t="s">
        <v>26106</v>
      </c>
      <c r="X1439" t="s">
        <v>26107</v>
      </c>
      <c r="Y1439" t="s">
        <v>26108</v>
      </c>
    </row>
    <row r="1440" spans="1:25" x14ac:dyDescent="0.3">
      <c r="A1440">
        <v>71950</v>
      </c>
      <c r="B1440" t="s">
        <v>26109</v>
      </c>
      <c r="C1440" t="s">
        <v>26110</v>
      </c>
      <c r="D1440" t="s">
        <v>26111</v>
      </c>
      <c r="E1440" t="s">
        <v>26112</v>
      </c>
      <c r="F1440" t="s">
        <v>26113</v>
      </c>
      <c r="G1440" t="s">
        <v>26114</v>
      </c>
      <c r="H1440" t="s">
        <v>26115</v>
      </c>
      <c r="I1440" t="s">
        <v>26116</v>
      </c>
      <c r="J1440" t="s">
        <v>26117</v>
      </c>
      <c r="K1440" t="s">
        <v>26118</v>
      </c>
      <c r="L1440" t="s">
        <v>26119</v>
      </c>
      <c r="M1440" t="s">
        <v>26120</v>
      </c>
      <c r="N1440" t="s">
        <v>26121</v>
      </c>
      <c r="O1440">
        <f>-641.314131582854 -80.7702146266085 -726.128244800582</f>
        <v>-1448.2125910100444</v>
      </c>
      <c r="P1440">
        <f>-632.749052918958 -49.2346524916675 -411.297629530105</f>
        <v>-1093.2813349407304</v>
      </c>
      <c r="Q1440">
        <f>-376.835516764076 -59.6183260261739 -456.491558778463</f>
        <v>-892.9454015687129</v>
      </c>
      <c r="R1440" t="s">
        <v>26122</v>
      </c>
      <c r="S1440" t="s">
        <v>26123</v>
      </c>
      <c r="T1440" t="s">
        <v>26124</v>
      </c>
      <c r="U1440" t="s">
        <v>26125</v>
      </c>
      <c r="V1440" t="s">
        <v>26126</v>
      </c>
      <c r="W1440" t="s">
        <v>26127</v>
      </c>
      <c r="X1440" t="s">
        <v>26128</v>
      </c>
      <c r="Y1440" t="s">
        <v>26129</v>
      </c>
    </row>
    <row r="1441" spans="1:25" x14ac:dyDescent="0.3">
      <c r="A1441">
        <v>72000</v>
      </c>
      <c r="B1441" t="s">
        <v>26130</v>
      </c>
      <c r="C1441" t="s">
        <v>26131</v>
      </c>
      <c r="D1441" t="s">
        <v>26132</v>
      </c>
      <c r="E1441" t="s">
        <v>26133</v>
      </c>
      <c r="F1441" t="s">
        <v>26134</v>
      </c>
      <c r="G1441" t="s">
        <v>26135</v>
      </c>
      <c r="H1441" t="s">
        <v>26136</v>
      </c>
      <c r="I1441" t="s">
        <v>26137</v>
      </c>
      <c r="J1441" t="s">
        <v>26138</v>
      </c>
      <c r="K1441" t="s">
        <v>26139</v>
      </c>
      <c r="L1441" t="s">
        <v>26140</v>
      </c>
      <c r="M1441" t="s">
        <v>26141</v>
      </c>
      <c r="N1441" t="s">
        <v>26142</v>
      </c>
      <c r="O1441">
        <f>-641.861669431526 -80.7146868727823 -725.504938202548</f>
        <v>-1448.0812945068565</v>
      </c>
      <c r="P1441">
        <f>-634.054236168012 -48.6218490676436 -410.710814440698</f>
        <v>-1093.3868996763536</v>
      </c>
      <c r="Q1441">
        <f>-377.679150465942 -59.2166000116515 -453.156257034333</f>
        <v>-890.05200751192649</v>
      </c>
      <c r="R1441" t="s">
        <v>26143</v>
      </c>
      <c r="S1441" t="s">
        <v>26144</v>
      </c>
      <c r="T1441" t="s">
        <v>26145</v>
      </c>
      <c r="U1441" t="s">
        <v>26146</v>
      </c>
      <c r="V1441" t="s">
        <v>26147</v>
      </c>
      <c r="W1441" t="s">
        <v>26148</v>
      </c>
      <c r="X1441" t="s">
        <v>26149</v>
      </c>
      <c r="Y1441" t="s">
        <v>26150</v>
      </c>
    </row>
    <row r="1442" spans="1:25" x14ac:dyDescent="0.3">
      <c r="A1442">
        <v>72050</v>
      </c>
      <c r="B1442" t="s">
        <v>26151</v>
      </c>
      <c r="C1442" t="s">
        <v>26152</v>
      </c>
      <c r="D1442" t="s">
        <v>26153</v>
      </c>
      <c r="E1442" t="s">
        <v>26154</v>
      </c>
      <c r="F1442" t="s">
        <v>26155</v>
      </c>
      <c r="G1442" t="s">
        <v>26156</v>
      </c>
      <c r="H1442" t="s">
        <v>26157</v>
      </c>
      <c r="I1442" t="s">
        <v>26158</v>
      </c>
      <c r="J1442" t="s">
        <v>26159</v>
      </c>
      <c r="K1442" t="s">
        <v>26160</v>
      </c>
      <c r="L1442" t="s">
        <v>26161</v>
      </c>
      <c r="M1442" t="s">
        <v>26162</v>
      </c>
      <c r="N1442" t="s">
        <v>26163</v>
      </c>
      <c r="O1442">
        <f>-641.41898619713 -79.2926624150714 -725.051735030398</f>
        <v>-1445.7633836425994</v>
      </c>
      <c r="P1442">
        <f>-637.48529307394 -47.6648644063016 -410.138391302114</f>
        <v>-1095.2885487823555</v>
      </c>
      <c r="Q1442">
        <f>-380.382139571758 -58.143819591156 -447.956388157568</f>
        <v>-886.48234732048195</v>
      </c>
      <c r="R1442" t="s">
        <v>26164</v>
      </c>
      <c r="S1442" t="s">
        <v>26165</v>
      </c>
      <c r="T1442" t="s">
        <v>26166</v>
      </c>
      <c r="U1442" t="s">
        <v>26167</v>
      </c>
      <c r="V1442" t="s">
        <v>26168</v>
      </c>
      <c r="W1442" t="s">
        <v>26169</v>
      </c>
      <c r="X1442" t="s">
        <v>26170</v>
      </c>
      <c r="Y1442" t="s">
        <v>26171</v>
      </c>
    </row>
    <row r="1443" spans="1:25" x14ac:dyDescent="0.3">
      <c r="A1443">
        <v>72100</v>
      </c>
      <c r="B1443" t="s">
        <v>26172</v>
      </c>
      <c r="C1443" t="s">
        <v>26173</v>
      </c>
      <c r="D1443" t="s">
        <v>26174</v>
      </c>
      <c r="E1443" t="s">
        <v>26175</v>
      </c>
      <c r="F1443" t="s">
        <v>26176</v>
      </c>
      <c r="G1443" t="s">
        <v>26177</v>
      </c>
      <c r="H1443" t="s">
        <v>26178</v>
      </c>
      <c r="I1443" t="s">
        <v>26179</v>
      </c>
      <c r="J1443" t="s">
        <v>26180</v>
      </c>
      <c r="K1443" t="s">
        <v>26181</v>
      </c>
      <c r="L1443" t="s">
        <v>26182</v>
      </c>
      <c r="M1443" t="s">
        <v>26183</v>
      </c>
      <c r="N1443" t="s">
        <v>26184</v>
      </c>
      <c r="O1443">
        <f>-640.953999818978 -78.3398534899602 -725.193142060671</f>
        <v>-1444.4869953696093</v>
      </c>
      <c r="P1443">
        <f>-639.064857884652 -47.0258561365811 -410.22953083461</f>
        <v>-1096.3202448558432</v>
      </c>
      <c r="Q1443">
        <f>-381.692944936141 -57.9306936859225 -446.046416511519</f>
        <v>-885.67005513358254</v>
      </c>
      <c r="R1443" t="s">
        <v>26185</v>
      </c>
      <c r="S1443" t="s">
        <v>26186</v>
      </c>
      <c r="T1443" t="s">
        <v>26187</v>
      </c>
      <c r="U1443" t="s">
        <v>26188</v>
      </c>
      <c r="V1443" t="s">
        <v>26189</v>
      </c>
      <c r="W1443" t="s">
        <v>26190</v>
      </c>
      <c r="X1443" t="s">
        <v>26191</v>
      </c>
      <c r="Y1443" t="s">
        <v>26192</v>
      </c>
    </row>
    <row r="1444" spans="1:25" x14ac:dyDescent="0.3">
      <c r="A1444">
        <v>72150</v>
      </c>
      <c r="B1444" t="s">
        <v>26193</v>
      </c>
      <c r="C1444" t="s">
        <v>26194</v>
      </c>
      <c r="D1444" t="s">
        <v>26195</v>
      </c>
      <c r="E1444" t="s">
        <v>26196</v>
      </c>
      <c r="F1444" t="s">
        <v>26197</v>
      </c>
      <c r="G1444" t="s">
        <v>26198</v>
      </c>
      <c r="H1444" t="s">
        <v>26199</v>
      </c>
      <c r="I1444" t="s">
        <v>26200</v>
      </c>
      <c r="J1444" t="s">
        <v>26201</v>
      </c>
      <c r="K1444" t="s">
        <v>26202</v>
      </c>
      <c r="L1444" t="s">
        <v>26203</v>
      </c>
      <c r="M1444" t="s">
        <v>26204</v>
      </c>
      <c r="N1444" t="s">
        <v>26205</v>
      </c>
      <c r="O1444">
        <f>-640.582613525261 -76.4888962183945 -725.762266774254</f>
        <v>-1442.8337765179094</v>
      </c>
      <c r="P1444">
        <f>-642.348653657245 -46.0799666483965 -410.70944158286</f>
        <v>-1099.1380618885014</v>
      </c>
      <c r="Q1444">
        <f>-384.59541234258 -57.3360465592734 -443.551811837631</f>
        <v>-885.4832707394844</v>
      </c>
      <c r="R1444" t="s">
        <v>26206</v>
      </c>
      <c r="S1444" t="s">
        <v>26207</v>
      </c>
      <c r="T1444" t="s">
        <v>26208</v>
      </c>
      <c r="U1444" t="s">
        <v>26209</v>
      </c>
      <c r="V1444" t="s">
        <v>26210</v>
      </c>
      <c r="W1444" t="s">
        <v>26211</v>
      </c>
      <c r="X1444" t="s">
        <v>26212</v>
      </c>
      <c r="Y1444" t="s">
        <v>26213</v>
      </c>
    </row>
    <row r="1445" spans="1:25" x14ac:dyDescent="0.3">
      <c r="A1445">
        <v>72200</v>
      </c>
      <c r="B1445" t="s">
        <v>26214</v>
      </c>
      <c r="C1445" t="s">
        <v>26215</v>
      </c>
      <c r="D1445" t="s">
        <v>26216</v>
      </c>
      <c r="E1445" t="s">
        <v>26217</v>
      </c>
      <c r="F1445" t="s">
        <v>26218</v>
      </c>
      <c r="G1445" t="s">
        <v>26219</v>
      </c>
      <c r="H1445" t="s">
        <v>26220</v>
      </c>
      <c r="I1445" t="s">
        <v>26221</v>
      </c>
      <c r="J1445" t="s">
        <v>26222</v>
      </c>
      <c r="K1445" t="s">
        <v>26223</v>
      </c>
      <c r="L1445" t="s">
        <v>26224</v>
      </c>
      <c r="M1445" t="s">
        <v>26225</v>
      </c>
      <c r="N1445" t="s">
        <v>26226</v>
      </c>
      <c r="O1445">
        <f>-640.212445041819 -75.6036755439145 -726.161644508075</f>
        <v>-1441.9777650938086</v>
      </c>
      <c r="P1445">
        <f>-643.092989618154 -45.9532236019134 -411.044517512827</f>
        <v>-1100.0907307328944</v>
      </c>
      <c r="Q1445">
        <f>-385.210382851703 -56.8843114621077 -442.968443639897</f>
        <v>-885.06313795370761</v>
      </c>
      <c r="R1445" t="s">
        <v>26227</v>
      </c>
      <c r="S1445" t="s">
        <v>26228</v>
      </c>
      <c r="T1445" t="s">
        <v>26229</v>
      </c>
      <c r="U1445" t="s">
        <v>26230</v>
      </c>
      <c r="V1445" t="s">
        <v>26231</v>
      </c>
      <c r="W1445" t="s">
        <v>26232</v>
      </c>
      <c r="X1445" t="s">
        <v>26233</v>
      </c>
      <c r="Y1445" t="s">
        <v>26234</v>
      </c>
    </row>
    <row r="1446" spans="1:25" x14ac:dyDescent="0.3">
      <c r="A1446">
        <v>72250</v>
      </c>
      <c r="B1446" t="s">
        <v>26235</v>
      </c>
      <c r="C1446" t="s">
        <v>26236</v>
      </c>
      <c r="D1446" t="s">
        <v>26237</v>
      </c>
      <c r="E1446" t="s">
        <v>26238</v>
      </c>
      <c r="F1446" t="s">
        <v>26239</v>
      </c>
      <c r="G1446" t="s">
        <v>26240</v>
      </c>
      <c r="H1446" t="s">
        <v>26241</v>
      </c>
      <c r="I1446" t="s">
        <v>26242</v>
      </c>
      <c r="J1446" t="s">
        <v>26243</v>
      </c>
      <c r="K1446" t="s">
        <v>26244</v>
      </c>
      <c r="L1446" t="s">
        <v>26245</v>
      </c>
      <c r="M1446" t="s">
        <v>26246</v>
      </c>
      <c r="N1446" t="s">
        <v>26247</v>
      </c>
      <c r="O1446">
        <f>-639.701092221479 -73.7212984331074 -726.918354772182</f>
        <v>-1440.3407454267685</v>
      </c>
      <c r="P1446">
        <f>-643.283564330854 -45.5244438821474 -411.675115164115</f>
        <v>-1100.4831233771165</v>
      </c>
      <c r="Q1446">
        <f>-385.318808467695 -55.6253197163508 -443.206274425855</f>
        <v>-884.15040260990077</v>
      </c>
      <c r="R1446" t="s">
        <v>26248</v>
      </c>
      <c r="S1446" t="s">
        <v>26249</v>
      </c>
      <c r="T1446" t="s">
        <v>26250</v>
      </c>
      <c r="U1446" t="s">
        <v>26251</v>
      </c>
      <c r="V1446" t="s">
        <v>26252</v>
      </c>
      <c r="W1446" t="s">
        <v>26253</v>
      </c>
      <c r="X1446" t="s">
        <v>26254</v>
      </c>
      <c r="Y1446" t="s">
        <v>26255</v>
      </c>
    </row>
    <row r="1447" spans="1:25" x14ac:dyDescent="0.3">
      <c r="A1447">
        <v>72300</v>
      </c>
      <c r="B1447" t="s">
        <v>26256</v>
      </c>
      <c r="C1447" t="s">
        <v>26257</v>
      </c>
      <c r="D1447" t="s">
        <v>26258</v>
      </c>
      <c r="E1447" t="s">
        <v>26259</v>
      </c>
      <c r="F1447" t="s">
        <v>26260</v>
      </c>
      <c r="G1447" t="s">
        <v>26261</v>
      </c>
      <c r="H1447" t="s">
        <v>26262</v>
      </c>
      <c r="I1447" t="s">
        <v>26263</v>
      </c>
      <c r="J1447" t="s">
        <v>26264</v>
      </c>
      <c r="K1447" t="s">
        <v>26265</v>
      </c>
      <c r="L1447" t="s">
        <v>26266</v>
      </c>
      <c r="M1447" t="s">
        <v>26267</v>
      </c>
      <c r="N1447" t="s">
        <v>26268</v>
      </c>
      <c r="O1447">
        <f>-639.171482509882 -72.558789299643 -727.439547318906</f>
        <v>-1439.1698191284308</v>
      </c>
      <c r="P1447">
        <f>-642.763991647979 -45.5510188140133 -412.092398320551</f>
        <v>-1100.4074087825434</v>
      </c>
      <c r="Q1447">
        <f>-384.775872132749 -55.0730165549073 -443.612481070372</f>
        <v>-883.46136975802824</v>
      </c>
      <c r="R1447" t="s">
        <v>26269</v>
      </c>
      <c r="S1447" t="s">
        <v>26270</v>
      </c>
      <c r="T1447" t="s">
        <v>26271</v>
      </c>
      <c r="U1447" t="s">
        <v>26272</v>
      </c>
      <c r="V1447" t="s">
        <v>26273</v>
      </c>
      <c r="W1447" t="s">
        <v>26274</v>
      </c>
      <c r="X1447" t="s">
        <v>26275</v>
      </c>
      <c r="Y1447" t="s">
        <v>26276</v>
      </c>
    </row>
    <row r="1448" spans="1:25" x14ac:dyDescent="0.3">
      <c r="A1448">
        <v>72350</v>
      </c>
      <c r="B1448" t="s">
        <v>26277</v>
      </c>
      <c r="C1448" t="s">
        <v>26278</v>
      </c>
      <c r="D1448" t="s">
        <v>26279</v>
      </c>
      <c r="E1448" t="s">
        <v>26280</v>
      </c>
      <c r="F1448" t="s">
        <v>26281</v>
      </c>
      <c r="G1448" t="s">
        <v>26282</v>
      </c>
      <c r="H1448" t="s">
        <v>26283</v>
      </c>
      <c r="I1448" t="s">
        <v>26284</v>
      </c>
      <c r="J1448" t="s">
        <v>26285</v>
      </c>
      <c r="K1448" t="s">
        <v>26286</v>
      </c>
      <c r="L1448" t="s">
        <v>26287</v>
      </c>
      <c r="M1448" t="s">
        <v>26288</v>
      </c>
      <c r="N1448" t="s">
        <v>26289</v>
      </c>
      <c r="O1448">
        <f>-637.329324955895 -69.6640797764487 -729.177233374713</f>
        <v>-1436.1706381070567</v>
      </c>
      <c r="P1448">
        <f>-640.897051796133 -45.6129007297895 -413.590407776154</f>
        <v>-1100.1003603020765</v>
      </c>
      <c r="Q1448">
        <f>-382.977168178684 -54.1963516070682 -445.928005893348</f>
        <v>-883.10152567910018</v>
      </c>
      <c r="R1448" t="s">
        <v>26290</v>
      </c>
      <c r="S1448" t="s">
        <v>26291</v>
      </c>
      <c r="T1448" t="s">
        <v>26292</v>
      </c>
      <c r="U1448" t="s">
        <v>26293</v>
      </c>
      <c r="V1448" t="s">
        <v>26294</v>
      </c>
      <c r="W1448" t="s">
        <v>26295</v>
      </c>
      <c r="X1448" t="s">
        <v>26296</v>
      </c>
      <c r="Y1448" t="s">
        <v>26297</v>
      </c>
    </row>
    <row r="1449" spans="1:25" x14ac:dyDescent="0.3">
      <c r="A1449">
        <v>72400</v>
      </c>
      <c r="B1449" t="s">
        <v>26298</v>
      </c>
      <c r="C1449" t="s">
        <v>26299</v>
      </c>
      <c r="D1449" t="s">
        <v>26300</v>
      </c>
      <c r="E1449" t="s">
        <v>26301</v>
      </c>
      <c r="F1449" t="s">
        <v>26302</v>
      </c>
      <c r="G1449" t="s">
        <v>26303</v>
      </c>
      <c r="H1449" t="s">
        <v>26304</v>
      </c>
      <c r="I1449" t="s">
        <v>26305</v>
      </c>
      <c r="J1449" t="s">
        <v>26306</v>
      </c>
      <c r="K1449" t="s">
        <v>26307</v>
      </c>
      <c r="L1449" t="s">
        <v>26308</v>
      </c>
      <c r="M1449" t="s">
        <v>26309</v>
      </c>
      <c r="N1449" t="s">
        <v>26310</v>
      </c>
      <c r="O1449">
        <f>-635.964473729268 -68.1762778374671 -730.190555080521</f>
        <v>-1434.331306647256</v>
      </c>
      <c r="P1449">
        <f>-639.550562300621 -45.7055813533777 -414.487652863335</f>
        <v>-1099.7437965173337</v>
      </c>
      <c r="Q1449">
        <f>-381.632452757314 -54.2008546184998 -446.862651954912</f>
        <v>-882.69595933072583</v>
      </c>
      <c r="R1449" t="s">
        <v>26311</v>
      </c>
      <c r="S1449" t="s">
        <v>26312</v>
      </c>
      <c r="T1449" t="s">
        <v>26313</v>
      </c>
      <c r="U1449" t="s">
        <v>26314</v>
      </c>
      <c r="V1449" t="s">
        <v>26315</v>
      </c>
      <c r="W1449" t="s">
        <v>26316</v>
      </c>
      <c r="X1449" t="s">
        <v>26317</v>
      </c>
      <c r="Y1449" t="s">
        <v>26318</v>
      </c>
    </row>
    <row r="1450" spans="1:25" x14ac:dyDescent="0.3">
      <c r="A1450">
        <v>72450</v>
      </c>
      <c r="B1450" t="s">
        <v>26319</v>
      </c>
      <c r="C1450" t="s">
        <v>26320</v>
      </c>
      <c r="D1450" t="s">
        <v>26321</v>
      </c>
      <c r="E1450" t="s">
        <v>26322</v>
      </c>
      <c r="F1450" t="s">
        <v>26323</v>
      </c>
      <c r="G1450" t="s">
        <v>26324</v>
      </c>
      <c r="H1450" t="s">
        <v>26325</v>
      </c>
      <c r="I1450" t="s">
        <v>26326</v>
      </c>
      <c r="J1450" t="s">
        <v>26327</v>
      </c>
      <c r="K1450" t="s">
        <v>26328</v>
      </c>
      <c r="L1450" t="s">
        <v>26329</v>
      </c>
      <c r="M1450" t="s">
        <v>26330</v>
      </c>
      <c r="N1450" t="s">
        <v>26331</v>
      </c>
      <c r="O1450">
        <f>-633.87881863644 -65.9392810080301 -731.918494065381</f>
        <v>-1431.7365937098511</v>
      </c>
      <c r="P1450">
        <f>-637.275502167358 -46.1845840692256 -416.031770532881</f>
        <v>-1099.4918567694647</v>
      </c>
      <c r="Q1450">
        <f>-379.246518859988 -55.0193382804102 -447.416843121906</f>
        <v>-881.68270026230425</v>
      </c>
      <c r="R1450" t="s">
        <v>26332</v>
      </c>
      <c r="S1450" t="s">
        <v>26333</v>
      </c>
      <c r="T1450" t="s">
        <v>26334</v>
      </c>
      <c r="U1450" t="s">
        <v>26335</v>
      </c>
      <c r="V1450" t="s">
        <v>26336</v>
      </c>
      <c r="W1450" t="s">
        <v>26337</v>
      </c>
      <c r="X1450" t="s">
        <v>26338</v>
      </c>
      <c r="Y1450" t="s">
        <v>26339</v>
      </c>
    </row>
    <row r="1451" spans="1:25" x14ac:dyDescent="0.3">
      <c r="A1451">
        <v>72500</v>
      </c>
      <c r="B1451" t="s">
        <v>26340</v>
      </c>
      <c r="C1451" t="s">
        <v>26341</v>
      </c>
      <c r="D1451" t="s">
        <v>26342</v>
      </c>
      <c r="E1451" t="s">
        <v>26343</v>
      </c>
      <c r="F1451" t="s">
        <v>26344</v>
      </c>
      <c r="G1451" t="s">
        <v>26345</v>
      </c>
      <c r="H1451" t="s">
        <v>26346</v>
      </c>
      <c r="I1451" t="s">
        <v>26347</v>
      </c>
      <c r="J1451" t="s">
        <v>26348</v>
      </c>
      <c r="K1451" t="s">
        <v>26349</v>
      </c>
      <c r="L1451" t="s">
        <v>26350</v>
      </c>
      <c r="M1451" t="s">
        <v>26351</v>
      </c>
      <c r="N1451" t="s">
        <v>26352</v>
      </c>
      <c r="O1451">
        <f>-633.100902712751 -65.336607186905 -732.649857252624</f>
        <v>-1431.08736715228</v>
      </c>
      <c r="P1451">
        <f>-636.633907028679 -46.91242226589 -416.684348007104</f>
        <v>-1100.230677301673</v>
      </c>
      <c r="Q1451">
        <f>-378.513330030128 -55.7135535977231 -447.317140541512</f>
        <v>-881.54402416936307</v>
      </c>
      <c r="R1451" t="s">
        <v>26353</v>
      </c>
      <c r="S1451" t="s">
        <v>26354</v>
      </c>
      <c r="T1451" t="s">
        <v>26355</v>
      </c>
      <c r="U1451" t="s">
        <v>26356</v>
      </c>
      <c r="V1451" t="s">
        <v>26357</v>
      </c>
      <c r="W1451" t="s">
        <v>26358</v>
      </c>
      <c r="X1451" t="s">
        <v>26359</v>
      </c>
      <c r="Y1451" t="s">
        <v>26360</v>
      </c>
    </row>
    <row r="1452" spans="1:25" x14ac:dyDescent="0.3">
      <c r="A1452">
        <v>72550</v>
      </c>
      <c r="B1452" t="s">
        <v>26361</v>
      </c>
      <c r="C1452" t="s">
        <v>26362</v>
      </c>
      <c r="D1452" t="s">
        <v>26363</v>
      </c>
      <c r="E1452" t="s">
        <v>26364</v>
      </c>
      <c r="F1452" t="s">
        <v>26365</v>
      </c>
      <c r="G1452" t="s">
        <v>26366</v>
      </c>
      <c r="H1452" t="s">
        <v>26367</v>
      </c>
      <c r="I1452" t="s">
        <v>26368</v>
      </c>
      <c r="J1452" t="s">
        <v>26369</v>
      </c>
      <c r="K1452" t="s">
        <v>26370</v>
      </c>
      <c r="L1452" t="s">
        <v>26371</v>
      </c>
      <c r="M1452" t="s">
        <v>26372</v>
      </c>
      <c r="N1452" t="s">
        <v>26373</v>
      </c>
      <c r="O1452">
        <f>-631.245344881449 -64.6089599101895 -734.488568313836</f>
        <v>-1430.3428731054746</v>
      </c>
      <c r="P1452">
        <f>-635.295111886606 -48.612552201186 -418.396984420485</f>
        <v>-1102.3046485082771</v>
      </c>
      <c r="Q1452">
        <f>-377.063255405623 -56.0705311621564 -448.442719831241</f>
        <v>-881.57650639902045</v>
      </c>
      <c r="R1452" t="s">
        <v>26374</v>
      </c>
      <c r="S1452" t="s">
        <v>26375</v>
      </c>
      <c r="T1452" t="s">
        <v>26376</v>
      </c>
      <c r="U1452" t="s">
        <v>26377</v>
      </c>
      <c r="V1452" t="s">
        <v>26378</v>
      </c>
      <c r="W1452" t="s">
        <v>26379</v>
      </c>
      <c r="X1452" t="s">
        <v>26380</v>
      </c>
      <c r="Y1452" t="s">
        <v>26381</v>
      </c>
    </row>
    <row r="1453" spans="1:25" x14ac:dyDescent="0.3">
      <c r="A1453">
        <v>72600</v>
      </c>
      <c r="B1453" t="s">
        <v>26382</v>
      </c>
      <c r="C1453" t="s">
        <v>26383</v>
      </c>
      <c r="D1453" t="s">
        <v>26384</v>
      </c>
      <c r="E1453" t="s">
        <v>26385</v>
      </c>
      <c r="F1453" t="s">
        <v>26386</v>
      </c>
      <c r="G1453" t="s">
        <v>26387</v>
      </c>
      <c r="H1453" t="s">
        <v>26388</v>
      </c>
      <c r="I1453" t="s">
        <v>26389</v>
      </c>
      <c r="J1453" t="s">
        <v>26390</v>
      </c>
      <c r="K1453" t="s">
        <v>26391</v>
      </c>
      <c r="L1453" t="s">
        <v>26392</v>
      </c>
      <c r="M1453" t="s">
        <v>26393</v>
      </c>
      <c r="N1453" t="s">
        <v>26394</v>
      </c>
      <c r="O1453">
        <f>-630.361546605893 -64.5059591783643 -735.371490488856</f>
        <v>-1430.2389962731131</v>
      </c>
      <c r="P1453">
        <f>-634.461811205685 -49.3504749703816 -419.239163932008</f>
        <v>-1103.0514501080745</v>
      </c>
      <c r="Q1453">
        <f>-376.193785526961 -55.7685294128073 -449.213927289333</f>
        <v>-881.17624222910126</v>
      </c>
      <c r="R1453" t="s">
        <v>26395</v>
      </c>
      <c r="S1453" t="s">
        <v>26396</v>
      </c>
      <c r="T1453" t="s">
        <v>26397</v>
      </c>
      <c r="U1453" t="s">
        <v>26398</v>
      </c>
      <c r="V1453" t="s">
        <v>26399</v>
      </c>
      <c r="W1453" t="s">
        <v>26400</v>
      </c>
      <c r="X1453" t="s">
        <v>26401</v>
      </c>
      <c r="Y1453" t="s">
        <v>26402</v>
      </c>
    </row>
    <row r="1454" spans="1:25" x14ac:dyDescent="0.3">
      <c r="A1454">
        <v>72650</v>
      </c>
      <c r="B1454" t="s">
        <v>26403</v>
      </c>
      <c r="C1454" t="s">
        <v>26404</v>
      </c>
      <c r="D1454" t="s">
        <v>26405</v>
      </c>
      <c r="E1454" t="s">
        <v>26406</v>
      </c>
      <c r="F1454" t="s">
        <v>26407</v>
      </c>
      <c r="G1454" t="s">
        <v>26408</v>
      </c>
      <c r="H1454" t="s">
        <v>26409</v>
      </c>
      <c r="I1454" t="s">
        <v>26410</v>
      </c>
      <c r="J1454" t="s">
        <v>26411</v>
      </c>
      <c r="K1454" t="s">
        <v>26412</v>
      </c>
      <c r="L1454" t="s">
        <v>26413</v>
      </c>
      <c r="M1454" t="s">
        <v>26414</v>
      </c>
      <c r="N1454" t="s">
        <v>26415</v>
      </c>
      <c r="O1454">
        <f>-629.608434315068 -65.2128454986698 -736.839025938618</f>
        <v>-1431.6603057523557</v>
      </c>
      <c r="P1454">
        <f>-634.015351897513 -51.4873225921099 -420.645314287838</f>
        <v>-1106.1479887774608</v>
      </c>
      <c r="Q1454">
        <f>-375.617640766449 -55.4467604219353 -449.92001973787</f>
        <v>-880.9844209262543</v>
      </c>
      <c r="R1454" t="s">
        <v>26416</v>
      </c>
      <c r="S1454" t="s">
        <v>26417</v>
      </c>
      <c r="T1454" t="s">
        <v>26418</v>
      </c>
      <c r="U1454" t="s">
        <v>26419</v>
      </c>
      <c r="V1454" t="s">
        <v>26420</v>
      </c>
      <c r="W1454" t="s">
        <v>26421</v>
      </c>
      <c r="X1454" t="s">
        <v>26422</v>
      </c>
      <c r="Y1454" t="s">
        <v>26423</v>
      </c>
    </row>
    <row r="1455" spans="1:25" x14ac:dyDescent="0.3">
      <c r="A1455">
        <v>72700</v>
      </c>
      <c r="B1455" t="s">
        <v>26424</v>
      </c>
      <c r="C1455" t="s">
        <v>26425</v>
      </c>
      <c r="D1455" t="s">
        <v>26426</v>
      </c>
      <c r="E1455" t="s">
        <v>26427</v>
      </c>
      <c r="F1455" t="s">
        <v>26428</v>
      </c>
      <c r="G1455" t="s">
        <v>26429</v>
      </c>
      <c r="H1455" t="s">
        <v>26430</v>
      </c>
      <c r="I1455" t="s">
        <v>26431</v>
      </c>
      <c r="J1455" t="s">
        <v>26432</v>
      </c>
      <c r="K1455" t="s">
        <v>26433</v>
      </c>
      <c r="L1455" t="s">
        <v>26434</v>
      </c>
      <c r="M1455" t="s">
        <v>26435</v>
      </c>
      <c r="N1455" t="s">
        <v>26436</v>
      </c>
      <c r="O1455">
        <f>-628.827492760955 -65.8914883987129 -737.582833755386</f>
        <v>-1432.3018149150539</v>
      </c>
      <c r="P1455">
        <f>-634.116871072267 -52.8267504491566 -421.374777891108</f>
        <v>-1108.3183994125316</v>
      </c>
      <c r="Q1455">
        <f>-375.607227675872 -55.332588062792 -449.809664499514</f>
        <v>-880.74948023817797</v>
      </c>
      <c r="R1455" t="s">
        <v>26437</v>
      </c>
      <c r="S1455" t="s">
        <v>26438</v>
      </c>
      <c r="T1455" t="s">
        <v>26439</v>
      </c>
      <c r="U1455" t="s">
        <v>26440</v>
      </c>
      <c r="V1455" t="s">
        <v>26441</v>
      </c>
      <c r="W1455" t="s">
        <v>26442</v>
      </c>
      <c r="X1455" t="s">
        <v>26443</v>
      </c>
      <c r="Y1455" t="s">
        <v>26444</v>
      </c>
    </row>
    <row r="1456" spans="1:25" x14ac:dyDescent="0.3">
      <c r="A1456">
        <v>72750</v>
      </c>
      <c r="B1456" t="s">
        <v>26445</v>
      </c>
      <c r="C1456" t="s">
        <v>26446</v>
      </c>
      <c r="D1456" t="s">
        <v>26447</v>
      </c>
      <c r="E1456" t="s">
        <v>26448</v>
      </c>
      <c r="F1456" t="s">
        <v>26449</v>
      </c>
      <c r="G1456" t="s">
        <v>26450</v>
      </c>
      <c r="H1456" t="s">
        <v>26451</v>
      </c>
      <c r="I1456" t="s">
        <v>26452</v>
      </c>
      <c r="J1456" t="s">
        <v>26453</v>
      </c>
      <c r="K1456" t="s">
        <v>26454</v>
      </c>
      <c r="L1456" t="s">
        <v>26455</v>
      </c>
      <c r="M1456" t="s">
        <v>26456</v>
      </c>
      <c r="N1456" t="s">
        <v>26457</v>
      </c>
      <c r="O1456">
        <f>-626.148739107191 -68.1300663118614 -739.024549307768</f>
        <v>-1433.3033547268203</v>
      </c>
      <c r="P1456">
        <f>-633.747574194536 -56.4010073303068 -422.811318756711</f>
        <v>-1112.9599002815539</v>
      </c>
      <c r="Q1456">
        <f>-374.973377251776 -56.6108104859941 -448.84857298506</f>
        <v>-880.43276072283015</v>
      </c>
      <c r="R1456" t="s">
        <v>26458</v>
      </c>
      <c r="S1456" t="s">
        <v>26459</v>
      </c>
      <c r="T1456" t="s">
        <v>26460</v>
      </c>
      <c r="U1456" t="s">
        <v>26461</v>
      </c>
      <c r="V1456" t="s">
        <v>26462</v>
      </c>
      <c r="W1456" t="s">
        <v>26463</v>
      </c>
      <c r="X1456" t="s">
        <v>26464</v>
      </c>
      <c r="Y1456" t="s">
        <v>26465</v>
      </c>
    </row>
    <row r="1457" spans="1:25" x14ac:dyDescent="0.3">
      <c r="A1457">
        <v>72800</v>
      </c>
      <c r="B1457" t="s">
        <v>26466</v>
      </c>
      <c r="C1457" t="s">
        <v>26467</v>
      </c>
      <c r="D1457" t="s">
        <v>26468</v>
      </c>
      <c r="E1457" t="s">
        <v>26469</v>
      </c>
      <c r="F1457" t="s">
        <v>26470</v>
      </c>
      <c r="G1457" t="s">
        <v>26471</v>
      </c>
      <c r="H1457" t="s">
        <v>26472</v>
      </c>
      <c r="I1457" t="s">
        <v>26473</v>
      </c>
      <c r="J1457" t="s">
        <v>26474</v>
      </c>
      <c r="K1457" t="s">
        <v>26475</v>
      </c>
      <c r="L1457" t="s">
        <v>26476</v>
      </c>
      <c r="M1457" t="s">
        <v>26477</v>
      </c>
      <c r="N1457" t="s">
        <v>26478</v>
      </c>
      <c r="O1457">
        <f>-625.06637107983 -69.8037303678257 -739.647934899692</f>
        <v>-1434.5180363473478</v>
      </c>
      <c r="P1457">
        <f>-633.579001999729 -58.9572491073457 -423.426313236616</f>
        <v>-1115.9625643436907</v>
      </c>
      <c r="Q1457">
        <f>-374.674080930555 -57.2390192369587 -448.070410624122</f>
        <v>-879.98351079163581</v>
      </c>
      <c r="R1457" t="s">
        <v>26479</v>
      </c>
      <c r="S1457" t="s">
        <v>26480</v>
      </c>
      <c r="T1457" t="s">
        <v>26481</v>
      </c>
      <c r="U1457" t="s">
        <v>26482</v>
      </c>
      <c r="V1457" t="s">
        <v>26483</v>
      </c>
      <c r="W1457" t="s">
        <v>26484</v>
      </c>
      <c r="X1457" t="s">
        <v>26485</v>
      </c>
      <c r="Y1457" t="s">
        <v>26486</v>
      </c>
    </row>
    <row r="1458" spans="1:25" x14ac:dyDescent="0.3">
      <c r="A1458">
        <v>72850</v>
      </c>
      <c r="B1458" t="s">
        <v>26487</v>
      </c>
      <c r="C1458" t="s">
        <v>26488</v>
      </c>
      <c r="D1458" t="s">
        <v>26489</v>
      </c>
      <c r="E1458" t="s">
        <v>26490</v>
      </c>
      <c r="F1458" t="s">
        <v>26491</v>
      </c>
      <c r="G1458" t="s">
        <v>26492</v>
      </c>
      <c r="H1458" t="s">
        <v>26493</v>
      </c>
      <c r="I1458" t="s">
        <v>26494</v>
      </c>
      <c r="J1458" t="s">
        <v>26495</v>
      </c>
      <c r="K1458" t="s">
        <v>26496</v>
      </c>
      <c r="L1458" t="s">
        <v>26497</v>
      </c>
      <c r="M1458" t="s">
        <v>26498</v>
      </c>
      <c r="N1458" t="s">
        <v>26499</v>
      </c>
      <c r="O1458">
        <f>-622.302073195357 -73.6378099358687 -740.626422352248</f>
        <v>-1436.5663054834738</v>
      </c>
      <c r="P1458">
        <f>-632.755386294744 -64.3673781628704 -424.412875165224</f>
        <v>-1121.5356396228385</v>
      </c>
      <c r="Q1458">
        <f>-373.824847987271 -57.9823853769519 -447.998487989056</f>
        <v>-879.80572135327895</v>
      </c>
      <c r="R1458" t="s">
        <v>26500</v>
      </c>
      <c r="S1458" t="s">
        <v>26501</v>
      </c>
      <c r="T1458" t="s">
        <v>26502</v>
      </c>
      <c r="U1458" t="s">
        <v>26503</v>
      </c>
      <c r="V1458" t="s">
        <v>26504</v>
      </c>
      <c r="W1458" t="s">
        <v>26505</v>
      </c>
      <c r="X1458" t="s">
        <v>26506</v>
      </c>
      <c r="Y1458" t="s">
        <v>26507</v>
      </c>
    </row>
    <row r="1459" spans="1:25" x14ac:dyDescent="0.3">
      <c r="A1459">
        <v>72900</v>
      </c>
      <c r="B1459" t="s">
        <v>26508</v>
      </c>
      <c r="C1459" t="s">
        <v>26509</v>
      </c>
      <c r="D1459" t="s">
        <v>26510</v>
      </c>
      <c r="E1459" t="s">
        <v>26511</v>
      </c>
      <c r="F1459" t="s">
        <v>26512</v>
      </c>
      <c r="G1459" t="s">
        <v>26513</v>
      </c>
      <c r="H1459" t="s">
        <v>26514</v>
      </c>
      <c r="I1459" t="s">
        <v>26515</v>
      </c>
      <c r="J1459" t="s">
        <v>26516</v>
      </c>
      <c r="K1459" t="s">
        <v>26517</v>
      </c>
      <c r="L1459" t="s">
        <v>26518</v>
      </c>
      <c r="M1459" t="s">
        <v>26519</v>
      </c>
      <c r="N1459" t="s">
        <v>26520</v>
      </c>
      <c r="O1459">
        <f>-620.993515475433 -74.9178425171272 -741.138053318892</f>
        <v>-1437.0494113114523</v>
      </c>
      <c r="P1459">
        <f>-631.633954552471 -66.380712751808 -424.910084822143</f>
        <v>-1122.9247521264219</v>
      </c>
      <c r="Q1459">
        <f>-372.764290359123 -57.3427590765643 -448.295767869708</f>
        <v>-878.40281730539527</v>
      </c>
      <c r="R1459" t="s">
        <v>26521</v>
      </c>
      <c r="S1459" t="s">
        <v>26522</v>
      </c>
      <c r="T1459" t="s">
        <v>26523</v>
      </c>
      <c r="U1459" t="s">
        <v>26524</v>
      </c>
      <c r="V1459" t="s">
        <v>26525</v>
      </c>
      <c r="W1459" t="s">
        <v>26526</v>
      </c>
      <c r="X1459" t="s">
        <v>26527</v>
      </c>
      <c r="Y1459" t="s">
        <v>26528</v>
      </c>
    </row>
    <row r="1460" spans="1:25" x14ac:dyDescent="0.3">
      <c r="A1460">
        <v>72950</v>
      </c>
      <c r="B1460" t="s">
        <v>26529</v>
      </c>
      <c r="C1460" t="s">
        <v>26530</v>
      </c>
      <c r="D1460" t="s">
        <v>26531</v>
      </c>
      <c r="E1460" t="s">
        <v>26532</v>
      </c>
      <c r="F1460" t="s">
        <v>26533</v>
      </c>
      <c r="G1460" t="s">
        <v>26534</v>
      </c>
      <c r="H1460" t="s">
        <v>26535</v>
      </c>
      <c r="I1460" t="s">
        <v>26536</v>
      </c>
      <c r="J1460" t="s">
        <v>26537</v>
      </c>
      <c r="K1460" t="s">
        <v>26538</v>
      </c>
      <c r="L1460" t="s">
        <v>26539</v>
      </c>
      <c r="M1460" t="s">
        <v>26540</v>
      </c>
      <c r="N1460" t="s">
        <v>26541</v>
      </c>
      <c r="O1460">
        <f>-618.579005479392 -78.2768629405587 -741.59982234198</f>
        <v>-1438.4556907619308</v>
      </c>
      <c r="P1460">
        <f>-629.396935299646 -71.4189880972513 -425.337120040617</f>
        <v>-1126.1530434375143</v>
      </c>
      <c r="Q1460">
        <f>-370.709772808931 -57.7094263684739 -448.468203146487</f>
        <v>-876.88740232389182</v>
      </c>
      <c r="R1460" t="s">
        <v>26542</v>
      </c>
      <c r="S1460" t="s">
        <v>26543</v>
      </c>
      <c r="T1460" t="s">
        <v>26544</v>
      </c>
      <c r="U1460" t="s">
        <v>26545</v>
      </c>
      <c r="V1460" t="s">
        <v>26546</v>
      </c>
      <c r="W1460" t="s">
        <v>26547</v>
      </c>
      <c r="X1460" t="s">
        <v>26548</v>
      </c>
      <c r="Y1460" t="s">
        <v>26549</v>
      </c>
    </row>
    <row r="1461" spans="1:25" x14ac:dyDescent="0.3">
      <c r="A1461">
        <v>73000</v>
      </c>
      <c r="B1461" t="s">
        <v>26550</v>
      </c>
      <c r="C1461" t="s">
        <v>26551</v>
      </c>
      <c r="D1461" t="s">
        <v>26552</v>
      </c>
      <c r="E1461" t="s">
        <v>26553</v>
      </c>
      <c r="F1461" t="s">
        <v>26554</v>
      </c>
      <c r="G1461" t="s">
        <v>26555</v>
      </c>
      <c r="H1461" t="s">
        <v>26556</v>
      </c>
      <c r="I1461" t="s">
        <v>26557</v>
      </c>
      <c r="J1461" t="s">
        <v>26558</v>
      </c>
      <c r="K1461" t="s">
        <v>26559</v>
      </c>
      <c r="L1461" t="s">
        <v>26560</v>
      </c>
      <c r="M1461" t="s">
        <v>26561</v>
      </c>
      <c r="N1461" t="s">
        <v>26562</v>
      </c>
      <c r="O1461">
        <f>-617.159986911965 -80.0276183887834 -741.751939963228</f>
        <v>-1438.9395452639765</v>
      </c>
      <c r="P1461">
        <f>-627.827028520776 -74.3064729258451 -425.461506208707</f>
        <v>-1127.5950076553281</v>
      </c>
      <c r="Q1461">
        <f>-369.315856481594 -58.0346118031482 -448.897507628971</f>
        <v>-876.24797591371316</v>
      </c>
      <c r="R1461" t="s">
        <v>26563</v>
      </c>
      <c r="S1461" t="s">
        <v>26564</v>
      </c>
      <c r="T1461" t="s">
        <v>26565</v>
      </c>
      <c r="U1461" t="s">
        <v>26566</v>
      </c>
      <c r="V1461" t="s">
        <v>26567</v>
      </c>
      <c r="W1461" t="s">
        <v>26568</v>
      </c>
      <c r="X1461" t="s">
        <v>26569</v>
      </c>
      <c r="Y1461" t="s">
        <v>26570</v>
      </c>
    </row>
    <row r="1462" spans="1:25" x14ac:dyDescent="0.3">
      <c r="A1462">
        <v>73050</v>
      </c>
      <c r="B1462" t="s">
        <v>26571</v>
      </c>
      <c r="C1462" t="s">
        <v>26572</v>
      </c>
      <c r="D1462" t="s">
        <v>26573</v>
      </c>
      <c r="E1462" t="s">
        <v>26574</v>
      </c>
      <c r="F1462" t="s">
        <v>26575</v>
      </c>
      <c r="G1462" t="s">
        <v>26576</v>
      </c>
      <c r="H1462" t="s">
        <v>26577</v>
      </c>
      <c r="I1462" t="s">
        <v>26578</v>
      </c>
      <c r="J1462" t="s">
        <v>26579</v>
      </c>
      <c r="K1462" t="s">
        <v>26580</v>
      </c>
      <c r="L1462" t="s">
        <v>26581</v>
      </c>
      <c r="M1462" t="s">
        <v>26582</v>
      </c>
      <c r="N1462" t="s">
        <v>26583</v>
      </c>
      <c r="O1462">
        <f>-614.071718816117 -83.5909696473423 -741.909705338025</f>
        <v>-1439.5723938014844</v>
      </c>
      <c r="P1462">
        <f>-624.020569760427 -79.6962457378111 -425.568135046437</f>
        <v>-1129.284950544675</v>
      </c>
      <c r="Q1462">
        <f>-365.844541603611 -59.2593526618537 -449.43266731672</f>
        <v>-874.53656158218473</v>
      </c>
      <c r="R1462" t="s">
        <v>26584</v>
      </c>
      <c r="S1462" t="s">
        <v>26585</v>
      </c>
      <c r="T1462" t="s">
        <v>26586</v>
      </c>
      <c r="U1462" t="s">
        <v>26587</v>
      </c>
      <c r="V1462" t="s">
        <v>26588</v>
      </c>
      <c r="W1462" t="s">
        <v>26589</v>
      </c>
      <c r="X1462" t="s">
        <v>26590</v>
      </c>
      <c r="Y1462" t="s">
        <v>26591</v>
      </c>
    </row>
    <row r="1463" spans="1:25" x14ac:dyDescent="0.3">
      <c r="A1463">
        <v>73100</v>
      </c>
      <c r="B1463" t="s">
        <v>26592</v>
      </c>
      <c r="C1463" t="s">
        <v>26593</v>
      </c>
      <c r="D1463" t="s">
        <v>26594</v>
      </c>
      <c r="E1463" t="s">
        <v>26595</v>
      </c>
      <c r="F1463" t="s">
        <v>26596</v>
      </c>
      <c r="G1463" t="s">
        <v>26597</v>
      </c>
      <c r="H1463" t="s">
        <v>26598</v>
      </c>
      <c r="I1463" t="s">
        <v>26599</v>
      </c>
      <c r="J1463" t="s">
        <v>26600</v>
      </c>
      <c r="K1463" t="s">
        <v>26601</v>
      </c>
      <c r="L1463" t="s">
        <v>26602</v>
      </c>
      <c r="M1463" t="s">
        <v>26603</v>
      </c>
      <c r="N1463" t="s">
        <v>26604</v>
      </c>
      <c r="O1463">
        <f>-612.839117847425 -85.4046523104494 -742.078942193041</f>
        <v>-1440.3227123509155</v>
      </c>
      <c r="P1463">
        <f>-622.378273891799 -82.1166027205811 -425.717817137508</f>
        <v>-1130.2126937498881</v>
      </c>
      <c r="Q1463">
        <f>-364.378518169422 -60.0849831617447 -450.064991830089</f>
        <v>-874.52849316125571</v>
      </c>
      <c r="R1463" t="s">
        <v>26605</v>
      </c>
      <c r="S1463" t="s">
        <v>26606</v>
      </c>
      <c r="T1463" t="s">
        <v>26607</v>
      </c>
      <c r="U1463" t="s">
        <v>26608</v>
      </c>
      <c r="V1463" t="s">
        <v>26609</v>
      </c>
      <c r="W1463" t="s">
        <v>26610</v>
      </c>
      <c r="X1463" t="s">
        <v>26611</v>
      </c>
      <c r="Y1463" t="s">
        <v>26612</v>
      </c>
    </row>
    <row r="1464" spans="1:25" x14ac:dyDescent="0.3">
      <c r="A1464">
        <v>73150</v>
      </c>
      <c r="B1464" t="s">
        <v>26613</v>
      </c>
      <c r="C1464" t="s">
        <v>26614</v>
      </c>
      <c r="D1464" t="s">
        <v>26615</v>
      </c>
      <c r="E1464" t="s">
        <v>26616</v>
      </c>
      <c r="F1464" t="s">
        <v>26617</v>
      </c>
      <c r="G1464" t="s">
        <v>26618</v>
      </c>
      <c r="H1464" t="s">
        <v>26619</v>
      </c>
      <c r="I1464" t="s">
        <v>26620</v>
      </c>
      <c r="J1464" t="s">
        <v>26621</v>
      </c>
      <c r="K1464" t="s">
        <v>26622</v>
      </c>
      <c r="L1464" t="s">
        <v>26623</v>
      </c>
      <c r="M1464" t="s">
        <v>26624</v>
      </c>
      <c r="N1464" t="s">
        <v>26625</v>
      </c>
      <c r="O1464">
        <f>-610.997726220671 -88.7362686218833 -742.849899171247</f>
        <v>-1442.5838940138012</v>
      </c>
      <c r="P1464">
        <f>-619.390060722631 -86.9082445398515 -426.444454177063</f>
        <v>-1132.7427594395454</v>
      </c>
      <c r="Q1464">
        <f>-361.713665360973 -61.8684729947308 -451.303025603495</f>
        <v>-874.88516395919874</v>
      </c>
      <c r="R1464" t="s">
        <v>26626</v>
      </c>
      <c r="S1464" t="s">
        <v>26627</v>
      </c>
      <c r="T1464" t="s">
        <v>26628</v>
      </c>
      <c r="U1464" t="s">
        <v>26629</v>
      </c>
      <c r="V1464" t="s">
        <v>26630</v>
      </c>
      <c r="W1464" t="s">
        <v>26631</v>
      </c>
      <c r="X1464" t="s">
        <v>26632</v>
      </c>
      <c r="Y1464" t="s">
        <v>26633</v>
      </c>
    </row>
    <row r="1465" spans="1:25" x14ac:dyDescent="0.3">
      <c r="A1465">
        <v>73200</v>
      </c>
      <c r="B1465" t="s">
        <v>26634</v>
      </c>
      <c r="C1465" t="s">
        <v>26635</v>
      </c>
      <c r="D1465" t="s">
        <v>26636</v>
      </c>
      <c r="E1465" t="s">
        <v>26637</v>
      </c>
      <c r="F1465" t="s">
        <v>26638</v>
      </c>
      <c r="G1465" t="s">
        <v>26639</v>
      </c>
      <c r="H1465" t="s">
        <v>26640</v>
      </c>
      <c r="I1465" t="s">
        <v>26641</v>
      </c>
      <c r="J1465" t="s">
        <v>26642</v>
      </c>
      <c r="K1465" t="s">
        <v>26643</v>
      </c>
      <c r="L1465" t="s">
        <v>26644</v>
      </c>
      <c r="M1465" t="s">
        <v>26645</v>
      </c>
      <c r="N1465" t="s">
        <v>26646</v>
      </c>
      <c r="O1465">
        <f>-609.869012874673 -89.7856602735117 -743.293432383855</f>
        <v>-1442.9481055320398</v>
      </c>
      <c r="P1465">
        <f>-618.08619462461 -88.5502596069612 -426.880495684323</f>
        <v>-1133.5169499158942</v>
      </c>
      <c r="Q1465">
        <f>-360.598711854987 -62.1102483705868 -452.241444959502</f>
        <v>-874.95040518507585</v>
      </c>
      <c r="R1465" t="s">
        <v>26647</v>
      </c>
      <c r="S1465" t="s">
        <v>26648</v>
      </c>
      <c r="T1465" t="s">
        <v>26649</v>
      </c>
      <c r="U1465" t="s">
        <v>26650</v>
      </c>
      <c r="V1465" t="s">
        <v>26651</v>
      </c>
      <c r="W1465" t="s">
        <v>26652</v>
      </c>
      <c r="X1465" t="s">
        <v>26653</v>
      </c>
      <c r="Y1465" t="s">
        <v>26654</v>
      </c>
    </row>
    <row r="1466" spans="1:25" x14ac:dyDescent="0.3">
      <c r="A1466">
        <v>73250</v>
      </c>
      <c r="B1466" t="s">
        <v>26655</v>
      </c>
      <c r="C1466" t="s">
        <v>26656</v>
      </c>
      <c r="D1466" t="s">
        <v>26657</v>
      </c>
      <c r="E1466" t="s">
        <v>26658</v>
      </c>
      <c r="F1466" t="s">
        <v>26659</v>
      </c>
      <c r="G1466" t="s">
        <v>26660</v>
      </c>
      <c r="H1466" t="s">
        <v>26661</v>
      </c>
      <c r="I1466" t="s">
        <v>26662</v>
      </c>
      <c r="J1466" t="s">
        <v>26663</v>
      </c>
      <c r="K1466" t="s">
        <v>26664</v>
      </c>
      <c r="L1466" t="s">
        <v>26665</v>
      </c>
      <c r="M1466" t="s">
        <v>26666</v>
      </c>
      <c r="N1466" t="s">
        <v>26667</v>
      </c>
      <c r="O1466">
        <f>-607.711418274234 -91.4701427925124 -743.699743781328</f>
        <v>-1442.8813048480745</v>
      </c>
      <c r="P1466">
        <f>-614.973872724714 -90.9031969235004 -427.261452301458</f>
        <v>-1133.1385219496724</v>
      </c>
      <c r="Q1466">
        <f>-357.786481285735 -62.5373923593413 -453.569422500936</f>
        <v>-873.89329614601229</v>
      </c>
      <c r="R1466" t="s">
        <v>26668</v>
      </c>
      <c r="S1466" t="s">
        <v>26669</v>
      </c>
      <c r="T1466" t="s">
        <v>26670</v>
      </c>
      <c r="U1466" t="s">
        <v>26671</v>
      </c>
      <c r="V1466" t="s">
        <v>26672</v>
      </c>
      <c r="W1466" t="s">
        <v>26673</v>
      </c>
      <c r="X1466" t="s">
        <v>26674</v>
      </c>
      <c r="Y1466" t="s">
        <v>26675</v>
      </c>
    </row>
    <row r="1467" spans="1:25" x14ac:dyDescent="0.3">
      <c r="A1467">
        <v>73300</v>
      </c>
      <c r="B1467" t="s">
        <v>26676</v>
      </c>
      <c r="C1467" t="s">
        <v>26677</v>
      </c>
      <c r="D1467" t="s">
        <v>26678</v>
      </c>
      <c r="E1467" t="s">
        <v>26679</v>
      </c>
      <c r="F1467" t="s">
        <v>26680</v>
      </c>
      <c r="G1467" t="s">
        <v>26681</v>
      </c>
      <c r="H1467" t="s">
        <v>26682</v>
      </c>
      <c r="I1467" t="s">
        <v>26683</v>
      </c>
      <c r="J1467" t="s">
        <v>26684</v>
      </c>
      <c r="K1467" t="s">
        <v>26685</v>
      </c>
      <c r="L1467" t="s">
        <v>26686</v>
      </c>
      <c r="M1467" t="s">
        <v>26687</v>
      </c>
      <c r="N1467" t="s">
        <v>26688</v>
      </c>
      <c r="O1467">
        <f>-606.638328720605 -92.5028944719888 -743.534010494665</f>
        <v>-1442.6752336872589</v>
      </c>
      <c r="P1467">
        <f>-613.499189308171 -92.2344322321248 -427.086337142857</f>
        <v>-1132.8199586831529</v>
      </c>
      <c r="Q1467">
        <f>-356.448084189569 -63.3429503353261 -454.143284651477</f>
        <v>-873.93431917637213</v>
      </c>
      <c r="R1467" t="s">
        <v>26689</v>
      </c>
      <c r="S1467" t="s">
        <v>26690</v>
      </c>
      <c r="T1467" t="s">
        <v>26691</v>
      </c>
      <c r="U1467" t="s">
        <v>26692</v>
      </c>
      <c r="V1467" t="s">
        <v>26693</v>
      </c>
      <c r="W1467" t="s">
        <v>26694</v>
      </c>
      <c r="X1467" t="s">
        <v>26695</v>
      </c>
      <c r="Y1467" t="s">
        <v>26696</v>
      </c>
    </row>
    <row r="1468" spans="1:25" x14ac:dyDescent="0.3">
      <c r="A1468">
        <v>73350</v>
      </c>
      <c r="B1468" t="s">
        <v>26697</v>
      </c>
      <c r="C1468" t="s">
        <v>26698</v>
      </c>
      <c r="D1468" t="s">
        <v>26699</v>
      </c>
      <c r="E1468" t="s">
        <v>26700</v>
      </c>
      <c r="F1468" t="s">
        <v>26701</v>
      </c>
      <c r="G1468" t="s">
        <v>26702</v>
      </c>
      <c r="H1468" t="s">
        <v>26703</v>
      </c>
      <c r="I1468" t="s">
        <v>26704</v>
      </c>
      <c r="J1468" t="s">
        <v>26705</v>
      </c>
      <c r="K1468" t="s">
        <v>26706</v>
      </c>
      <c r="L1468" t="s">
        <v>26707</v>
      </c>
      <c r="M1468" t="s">
        <v>26708</v>
      </c>
      <c r="N1468" t="s">
        <v>26709</v>
      </c>
      <c r="O1468">
        <f>-605.19347152108 -93.8436105729663 -743.139283956059</f>
        <v>-1442.1763660501053</v>
      </c>
      <c r="P1468">
        <f>-610.556769977736 -93.1746068531299 -426.663303179583</f>
        <v>-1130.3946800104491</v>
      </c>
      <c r="Q1468">
        <f>-353.719997349216 -63.5757281910246 -454.961738758365</f>
        <v>-872.25746429860556</v>
      </c>
      <c r="R1468" t="s">
        <v>26710</v>
      </c>
      <c r="S1468" t="s">
        <v>26711</v>
      </c>
      <c r="T1468" t="s">
        <v>26712</v>
      </c>
      <c r="U1468" t="s">
        <v>26713</v>
      </c>
      <c r="V1468" t="s">
        <v>26714</v>
      </c>
      <c r="W1468" t="s">
        <v>26715</v>
      </c>
      <c r="X1468" t="s">
        <v>26716</v>
      </c>
      <c r="Y1468" t="s">
        <v>26717</v>
      </c>
    </row>
    <row r="1469" spans="1:25" x14ac:dyDescent="0.3">
      <c r="A1469">
        <v>73400</v>
      </c>
      <c r="B1469" t="s">
        <v>26718</v>
      </c>
      <c r="C1469" t="s">
        <v>26719</v>
      </c>
      <c r="D1469" t="s">
        <v>26720</v>
      </c>
      <c r="E1469" t="s">
        <v>26721</v>
      </c>
      <c r="F1469" t="s">
        <v>26722</v>
      </c>
      <c r="G1469" t="s">
        <v>26723</v>
      </c>
      <c r="H1469" t="s">
        <v>26724</v>
      </c>
      <c r="I1469" t="s">
        <v>26725</v>
      </c>
      <c r="J1469" t="s">
        <v>26726</v>
      </c>
      <c r="K1469" t="s">
        <v>26727</v>
      </c>
      <c r="L1469" t="s">
        <v>26728</v>
      </c>
      <c r="M1469" t="s">
        <v>26729</v>
      </c>
      <c r="N1469" t="s">
        <v>26730</v>
      </c>
      <c r="O1469">
        <f>-604.375644729606 -94.2058994240208 -742.853441502404</f>
        <v>-1441.4349856560309</v>
      </c>
      <c r="P1469">
        <f>-609.204755585523 -93.3450579498401 -426.369287008172</f>
        <v>-1128.919100543535</v>
      </c>
      <c r="Q1469">
        <f>-352.465476036912 -63.4276880890518 -455.212987000374</f>
        <v>-871.10615112633786</v>
      </c>
      <c r="R1469" t="s">
        <v>26731</v>
      </c>
      <c r="S1469" t="s">
        <v>26732</v>
      </c>
      <c r="T1469" t="s">
        <v>26733</v>
      </c>
      <c r="U1469" t="s">
        <v>26734</v>
      </c>
      <c r="V1469" t="s">
        <v>26735</v>
      </c>
      <c r="W1469" t="s">
        <v>26736</v>
      </c>
      <c r="X1469" t="s">
        <v>26737</v>
      </c>
      <c r="Y1469" t="s">
        <v>26738</v>
      </c>
    </row>
    <row r="1470" spans="1:25" x14ac:dyDescent="0.3">
      <c r="A1470">
        <v>73450</v>
      </c>
      <c r="B1470" t="s">
        <v>26739</v>
      </c>
      <c r="C1470" t="s">
        <v>26740</v>
      </c>
      <c r="D1470" t="s">
        <v>26741</v>
      </c>
      <c r="E1470" t="s">
        <v>26742</v>
      </c>
      <c r="F1470" t="s">
        <v>26743</v>
      </c>
      <c r="G1470" t="s">
        <v>26744</v>
      </c>
      <c r="H1470" t="s">
        <v>26745</v>
      </c>
      <c r="I1470" t="s">
        <v>26746</v>
      </c>
      <c r="J1470" t="s">
        <v>26747</v>
      </c>
      <c r="K1470" t="s">
        <v>26748</v>
      </c>
      <c r="L1470" t="s">
        <v>26749</v>
      </c>
      <c r="M1470" t="s">
        <v>26750</v>
      </c>
      <c r="N1470" t="s">
        <v>26751</v>
      </c>
      <c r="O1470">
        <f>-602.842508429412 -94.0421425476993 -742.169982021609</f>
        <v>-1439.0546329987203</v>
      </c>
      <c r="P1470">
        <f>-607.16664463739 -92.3836330002353 -425.681892560566</f>
        <v>-1125.2321701981914</v>
      </c>
      <c r="Q1470">
        <f>-350.564523139382 -61.9702406988029 -455.218467395177</f>
        <v>-867.75323123336193</v>
      </c>
      <c r="R1470" t="s">
        <v>26752</v>
      </c>
      <c r="S1470" t="s">
        <v>26753</v>
      </c>
      <c r="T1470" t="s">
        <v>26754</v>
      </c>
      <c r="U1470" t="s">
        <v>26755</v>
      </c>
      <c r="V1470" t="s">
        <v>26756</v>
      </c>
      <c r="W1470" t="s">
        <v>26757</v>
      </c>
      <c r="X1470" t="s">
        <v>26758</v>
      </c>
      <c r="Y1470" t="s">
        <v>26759</v>
      </c>
    </row>
    <row r="1471" spans="1:25" x14ac:dyDescent="0.3">
      <c r="A1471">
        <v>73500</v>
      </c>
      <c r="B1471" t="s">
        <v>26760</v>
      </c>
      <c r="C1471" t="s">
        <v>26761</v>
      </c>
      <c r="D1471" t="s">
        <v>26762</v>
      </c>
      <c r="E1471" t="s">
        <v>26763</v>
      </c>
      <c r="F1471" t="s">
        <v>26764</v>
      </c>
      <c r="G1471" t="s">
        <v>26765</v>
      </c>
      <c r="H1471" t="s">
        <v>26766</v>
      </c>
      <c r="I1471" t="s">
        <v>26767</v>
      </c>
      <c r="J1471" t="s">
        <v>26768</v>
      </c>
      <c r="K1471" t="s">
        <v>26769</v>
      </c>
      <c r="L1471" t="s">
        <v>26770</v>
      </c>
      <c r="M1471" t="s">
        <v>26771</v>
      </c>
      <c r="N1471" t="s">
        <v>26772</v>
      </c>
      <c r="O1471">
        <f>-601.834448466922 -93.8209056005776 -741.612652424796</f>
        <v>-1437.2680064922956</v>
      </c>
      <c r="P1471">
        <f>-605.798746124731 -91.4663647969755 -425.124071707449</f>
        <v>-1122.3891826291556</v>
      </c>
      <c r="Q1471">
        <f>-349.200598804268 -61.3506791261107 -454.998646135284</f>
        <v>-865.54992406566271</v>
      </c>
      <c r="R1471" t="s">
        <v>26773</v>
      </c>
      <c r="S1471" t="s">
        <v>26774</v>
      </c>
      <c r="T1471" t="s">
        <v>26775</v>
      </c>
      <c r="U1471" t="s">
        <v>26776</v>
      </c>
      <c r="V1471" t="s">
        <v>26777</v>
      </c>
      <c r="W1471" t="s">
        <v>26778</v>
      </c>
      <c r="X1471" t="s">
        <v>26779</v>
      </c>
      <c r="Y1471" t="s">
        <v>26780</v>
      </c>
    </row>
    <row r="1472" spans="1:25" x14ac:dyDescent="0.3">
      <c r="A1472">
        <v>73550</v>
      </c>
      <c r="B1472" t="s">
        <v>26781</v>
      </c>
      <c r="C1472" t="s">
        <v>26782</v>
      </c>
      <c r="D1472" t="s">
        <v>26783</v>
      </c>
      <c r="E1472" t="s">
        <v>26784</v>
      </c>
      <c r="F1472" t="s">
        <v>26785</v>
      </c>
      <c r="G1472" t="s">
        <v>26786</v>
      </c>
      <c r="H1472" t="s">
        <v>26787</v>
      </c>
      <c r="I1472" t="s">
        <v>26788</v>
      </c>
      <c r="J1472" t="s">
        <v>26789</v>
      </c>
      <c r="K1472" t="s">
        <v>26790</v>
      </c>
      <c r="L1472" t="s">
        <v>26791</v>
      </c>
      <c r="M1472" t="s">
        <v>26792</v>
      </c>
      <c r="N1472" t="s">
        <v>26793</v>
      </c>
      <c r="O1472">
        <f>-598.965415515416 -92.6871297952737 -740.645105242963</f>
        <v>-1432.2976505536526</v>
      </c>
      <c r="P1472">
        <f>-603.215189051516 -88.0458880017277 -424.185633886931</f>
        <v>-1115.4467109401746</v>
      </c>
      <c r="Q1472">
        <f>-346.601762073448 -59.144830311446 -455.110072290433</f>
        <v>-860.85666467532701</v>
      </c>
      <c r="R1472" t="s">
        <v>26794</v>
      </c>
      <c r="S1472" t="s">
        <v>26795</v>
      </c>
      <c r="T1472" t="s">
        <v>26796</v>
      </c>
      <c r="U1472" t="s">
        <v>26797</v>
      </c>
      <c r="V1472" t="s">
        <v>26798</v>
      </c>
      <c r="W1472" t="s">
        <v>26799</v>
      </c>
      <c r="X1472" t="s">
        <v>26800</v>
      </c>
      <c r="Y1472" t="s">
        <v>26801</v>
      </c>
    </row>
    <row r="1473" spans="1:25" x14ac:dyDescent="0.3">
      <c r="A1473">
        <v>73600</v>
      </c>
      <c r="B1473" t="s">
        <v>26802</v>
      </c>
      <c r="C1473" t="s">
        <v>26803</v>
      </c>
      <c r="D1473" t="s">
        <v>26804</v>
      </c>
      <c r="E1473" t="s">
        <v>26805</v>
      </c>
      <c r="F1473" t="s">
        <v>26806</v>
      </c>
      <c r="G1473" t="s">
        <v>26807</v>
      </c>
      <c r="H1473" t="s">
        <v>26808</v>
      </c>
      <c r="I1473" t="s">
        <v>26809</v>
      </c>
      <c r="J1473" t="s">
        <v>26810</v>
      </c>
      <c r="K1473" t="s">
        <v>26811</v>
      </c>
      <c r="L1473" t="s">
        <v>26812</v>
      </c>
      <c r="M1473" t="s">
        <v>26813</v>
      </c>
      <c r="N1473" t="s">
        <v>26814</v>
      </c>
      <c r="O1473">
        <f>-597.521525605058 -91.7288829516767 -740.264681704596</f>
        <v>-1429.5150902613307</v>
      </c>
      <c r="P1473">
        <f>-601.664644277102 -86.1747679275336 -423.818515542282</f>
        <v>-1111.6579277469175</v>
      </c>
      <c r="Q1473">
        <f>-345.007484633614 -57.9464659754121 -455.000522606514</f>
        <v>-857.95447321554002</v>
      </c>
      <c r="R1473" t="s">
        <v>26815</v>
      </c>
      <c r="S1473" t="s">
        <v>26816</v>
      </c>
      <c r="T1473" t="s">
        <v>26817</v>
      </c>
      <c r="U1473" t="s">
        <v>26818</v>
      </c>
      <c r="V1473" t="s">
        <v>26819</v>
      </c>
      <c r="W1473" t="s">
        <v>26820</v>
      </c>
      <c r="X1473" t="s">
        <v>26821</v>
      </c>
      <c r="Y1473" t="s">
        <v>26822</v>
      </c>
    </row>
    <row r="1474" spans="1:25" x14ac:dyDescent="0.3">
      <c r="A1474">
        <v>73650</v>
      </c>
      <c r="B1474" t="s">
        <v>26823</v>
      </c>
      <c r="C1474" t="s">
        <v>26824</v>
      </c>
      <c r="D1474" t="s">
        <v>26825</v>
      </c>
      <c r="E1474" t="s">
        <v>26826</v>
      </c>
      <c r="F1474" t="s">
        <v>26827</v>
      </c>
      <c r="G1474" t="s">
        <v>26828</v>
      </c>
      <c r="H1474" t="s">
        <v>26829</v>
      </c>
      <c r="I1474" t="s">
        <v>26830</v>
      </c>
      <c r="J1474" t="s">
        <v>26831</v>
      </c>
      <c r="K1474" t="s">
        <v>26832</v>
      </c>
      <c r="L1474" t="s">
        <v>26833</v>
      </c>
      <c r="M1474" t="s">
        <v>26834</v>
      </c>
      <c r="N1474" t="s">
        <v>26835</v>
      </c>
      <c r="O1474">
        <f>-595.265096308955 -89.3042524996106 -739.458501516744</f>
        <v>-1424.0278503253096</v>
      </c>
      <c r="P1474">
        <f>-599.430570524894 -82.4204428624987 -423.038761184773</f>
        <v>-1104.8897745721658</v>
      </c>
      <c r="Q1474">
        <f>-342.646063790739 -55.0510479596064 -453.936795699545</f>
        <v>-851.63390744989033</v>
      </c>
      <c r="R1474" t="s">
        <v>26836</v>
      </c>
      <c r="S1474" t="s">
        <v>26837</v>
      </c>
      <c r="T1474" t="s">
        <v>26838</v>
      </c>
      <c r="U1474" t="s">
        <v>26839</v>
      </c>
      <c r="V1474" t="s">
        <v>26840</v>
      </c>
      <c r="W1474" t="s">
        <v>26841</v>
      </c>
      <c r="X1474" t="s">
        <v>26842</v>
      </c>
      <c r="Y1474" t="s">
        <v>26843</v>
      </c>
    </row>
    <row r="1475" spans="1:25" x14ac:dyDescent="0.3">
      <c r="A1475">
        <v>73700</v>
      </c>
      <c r="B1475" t="s">
        <v>26844</v>
      </c>
      <c r="C1475" t="s">
        <v>26845</v>
      </c>
      <c r="D1475" t="s">
        <v>26846</v>
      </c>
      <c r="E1475" t="s">
        <v>26847</v>
      </c>
      <c r="F1475" t="s">
        <v>26848</v>
      </c>
      <c r="G1475" t="s">
        <v>26849</v>
      </c>
      <c r="H1475" t="s">
        <v>26850</v>
      </c>
      <c r="I1475" t="s">
        <v>26851</v>
      </c>
      <c r="J1475" t="s">
        <v>26852</v>
      </c>
      <c r="K1475" t="s">
        <v>26853</v>
      </c>
      <c r="L1475" t="s">
        <v>26854</v>
      </c>
      <c r="M1475" t="s">
        <v>26855</v>
      </c>
      <c r="N1475" t="s">
        <v>26856</v>
      </c>
      <c r="O1475">
        <f>-594.273611319932 -88.0895797641788 -739.150024583918</f>
        <v>-1421.5132156680288</v>
      </c>
      <c r="P1475">
        <f>-598.444286081755 -81.0174262917144 -422.734456058102</f>
        <v>-1102.1961684315713</v>
      </c>
      <c r="Q1475">
        <f>-341.589737886653 -53.9648382519181 -453.327615839102</f>
        <v>-848.88219197767307</v>
      </c>
      <c r="R1475" t="s">
        <v>26857</v>
      </c>
      <c r="S1475" t="s">
        <v>26858</v>
      </c>
      <c r="T1475" t="s">
        <v>26859</v>
      </c>
      <c r="U1475" t="s">
        <v>26860</v>
      </c>
      <c r="V1475" t="s">
        <v>26861</v>
      </c>
      <c r="W1475" t="s">
        <v>26862</v>
      </c>
      <c r="X1475" t="s">
        <v>26863</v>
      </c>
      <c r="Y1475" t="s">
        <v>26864</v>
      </c>
    </row>
    <row r="1476" spans="1:25" x14ac:dyDescent="0.3">
      <c r="A1476">
        <v>73750</v>
      </c>
      <c r="B1476" t="s">
        <v>26865</v>
      </c>
      <c r="C1476" t="s">
        <v>26866</v>
      </c>
      <c r="D1476" t="s">
        <v>26867</v>
      </c>
      <c r="E1476" t="s">
        <v>26868</v>
      </c>
      <c r="F1476" t="s">
        <v>26869</v>
      </c>
      <c r="G1476" t="s">
        <v>26870</v>
      </c>
      <c r="H1476" t="s">
        <v>26871</v>
      </c>
      <c r="I1476" t="s">
        <v>26872</v>
      </c>
      <c r="J1476" t="s">
        <v>26873</v>
      </c>
      <c r="K1476" t="s">
        <v>26874</v>
      </c>
      <c r="L1476" t="s">
        <v>26875</v>
      </c>
      <c r="M1476" t="s">
        <v>26876</v>
      </c>
      <c r="N1476" t="s">
        <v>26877</v>
      </c>
      <c r="O1476">
        <f>-593.354077614051 -86.5621463531556 -738.860475143833</f>
        <v>-1418.7766991110398</v>
      </c>
      <c r="P1476">
        <f>-597.447948732529 -79.2232467198203 -422.450070211521</f>
        <v>-1099.1212656638702</v>
      </c>
      <c r="Q1476">
        <f>-340.483041764724 -52.5364469801302 -452.431527048217</f>
        <v>-845.45101579307129</v>
      </c>
      <c r="R1476" t="s">
        <v>26878</v>
      </c>
      <c r="S1476" t="s">
        <v>26879</v>
      </c>
      <c r="T1476" t="s">
        <v>26880</v>
      </c>
      <c r="U1476" t="s">
        <v>26881</v>
      </c>
      <c r="V1476" t="s">
        <v>26882</v>
      </c>
      <c r="W1476" t="s">
        <v>26883</v>
      </c>
      <c r="X1476" t="s">
        <v>26884</v>
      </c>
      <c r="Y1476" t="s">
        <v>26885</v>
      </c>
    </row>
    <row r="1477" spans="1:25" x14ac:dyDescent="0.3">
      <c r="A1477">
        <v>73800</v>
      </c>
      <c r="B1477" t="s">
        <v>26886</v>
      </c>
      <c r="C1477" t="s">
        <v>26887</v>
      </c>
      <c r="D1477" t="s">
        <v>26888</v>
      </c>
      <c r="E1477" t="s">
        <v>26889</v>
      </c>
      <c r="F1477" t="s">
        <v>26890</v>
      </c>
      <c r="G1477" t="s">
        <v>26891</v>
      </c>
      <c r="H1477" t="s">
        <v>26892</v>
      </c>
      <c r="I1477" t="s">
        <v>26893</v>
      </c>
      <c r="J1477" t="s">
        <v>26894</v>
      </c>
      <c r="K1477" t="s">
        <v>26895</v>
      </c>
      <c r="L1477" t="s">
        <v>26896</v>
      </c>
      <c r="M1477" t="s">
        <v>26897</v>
      </c>
      <c r="N1477" t="s">
        <v>26898</v>
      </c>
      <c r="O1477">
        <f>-591.708001474772 -82.3336279332548 -738.043526950563</f>
        <v>-1412.0851563585898</v>
      </c>
      <c r="P1477">
        <f>-596.404034027928 -74.2016354369398 -421.660887810836</f>
        <v>-1092.2665572757037</v>
      </c>
      <c r="Q1477">
        <f>-339.2425863985 -49.2025851227738 -451.411787638067</f>
        <v>-839.8569591593407</v>
      </c>
      <c r="R1477" t="s">
        <v>26899</v>
      </c>
      <c r="S1477" t="s">
        <v>26900</v>
      </c>
      <c r="T1477" t="s">
        <v>26901</v>
      </c>
      <c r="U1477" t="s">
        <v>26902</v>
      </c>
      <c r="V1477" t="s">
        <v>26903</v>
      </c>
      <c r="W1477" t="s">
        <v>26904</v>
      </c>
      <c r="X1477" t="s">
        <v>26905</v>
      </c>
      <c r="Y1477" t="s">
        <v>26906</v>
      </c>
    </row>
    <row r="1478" spans="1:25" x14ac:dyDescent="0.3">
      <c r="A1478">
        <v>73850</v>
      </c>
      <c r="B1478" t="s">
        <v>26907</v>
      </c>
      <c r="C1478" t="s">
        <v>26908</v>
      </c>
      <c r="D1478" t="s">
        <v>26909</v>
      </c>
      <c r="E1478" t="s">
        <v>26910</v>
      </c>
      <c r="F1478" t="s">
        <v>26911</v>
      </c>
      <c r="G1478" t="s">
        <v>26912</v>
      </c>
      <c r="H1478" t="s">
        <v>26913</v>
      </c>
      <c r="I1478" t="s">
        <v>26914</v>
      </c>
      <c r="J1478" t="s">
        <v>26915</v>
      </c>
      <c r="K1478" t="s">
        <v>26916</v>
      </c>
      <c r="L1478" t="s">
        <v>26917</v>
      </c>
      <c r="M1478" t="s">
        <v>26918</v>
      </c>
      <c r="N1478" t="s">
        <v>26919</v>
      </c>
      <c r="O1478">
        <f>-591.321829379402 -80.880632389496 -738.02907956502</f>
        <v>-1410.2315413339179</v>
      </c>
      <c r="P1478">
        <f>-596.220179675065 -72.6334239354521 -421.652324653843</f>
        <v>-1090.5059282643601</v>
      </c>
      <c r="Q1478">
        <f>-339.013539762064 -48.0708513931947 -451.375698871347</f>
        <v>-838.46009002660571</v>
      </c>
      <c r="R1478" t="s">
        <v>26920</v>
      </c>
      <c r="S1478" t="s">
        <v>26921</v>
      </c>
      <c r="T1478" t="s">
        <v>26922</v>
      </c>
      <c r="U1478" t="s">
        <v>26923</v>
      </c>
      <c r="V1478" t="s">
        <v>26924</v>
      </c>
      <c r="W1478" t="s">
        <v>26925</v>
      </c>
      <c r="X1478" t="s">
        <v>26926</v>
      </c>
      <c r="Y1478" t="s">
        <v>26927</v>
      </c>
    </row>
    <row r="1479" spans="1:25" x14ac:dyDescent="0.3">
      <c r="A1479">
        <v>73900</v>
      </c>
      <c r="B1479" t="s">
        <v>26928</v>
      </c>
      <c r="C1479" t="s">
        <v>26929</v>
      </c>
      <c r="D1479" t="s">
        <v>26930</v>
      </c>
      <c r="E1479" t="s">
        <v>26931</v>
      </c>
      <c r="F1479" t="s">
        <v>26932</v>
      </c>
      <c r="G1479" t="s">
        <v>26933</v>
      </c>
      <c r="H1479" t="s">
        <v>26934</v>
      </c>
      <c r="I1479" t="s">
        <v>26935</v>
      </c>
      <c r="J1479" t="s">
        <v>26936</v>
      </c>
      <c r="K1479" t="s">
        <v>26937</v>
      </c>
      <c r="L1479" t="s">
        <v>26938</v>
      </c>
      <c r="M1479" t="s">
        <v>26939</v>
      </c>
      <c r="N1479" t="s">
        <v>26940</v>
      </c>
      <c r="O1479">
        <f>-591.076155042384 -79.480213857225 -738.095187941661</f>
        <v>-1408.6515568412701</v>
      </c>
      <c r="P1479">
        <f>-596.290122720901 -71.3749708664097 -421.719944618735</f>
        <v>-1089.3850382060457</v>
      </c>
      <c r="Q1479">
        <f>-339.042251348061 -47.0284333963173 -451.263789166474</f>
        <v>-837.33447391085224</v>
      </c>
      <c r="R1479" t="s">
        <v>26941</v>
      </c>
      <c r="S1479" t="s">
        <v>26942</v>
      </c>
      <c r="T1479" t="s">
        <v>26943</v>
      </c>
      <c r="U1479" t="s">
        <v>26944</v>
      </c>
      <c r="V1479" t="s">
        <v>26945</v>
      </c>
      <c r="W1479" t="s">
        <v>26946</v>
      </c>
      <c r="X1479" t="s">
        <v>26947</v>
      </c>
      <c r="Y1479" t="s">
        <v>26948</v>
      </c>
    </row>
    <row r="1480" spans="1:25" x14ac:dyDescent="0.3">
      <c r="A1480">
        <v>73950</v>
      </c>
      <c r="B1480" t="s">
        <v>26949</v>
      </c>
      <c r="C1480" t="s">
        <v>26950</v>
      </c>
      <c r="D1480" t="s">
        <v>26951</v>
      </c>
      <c r="E1480" t="s">
        <v>26952</v>
      </c>
      <c r="F1480" t="s">
        <v>26953</v>
      </c>
      <c r="G1480" t="s">
        <v>26954</v>
      </c>
      <c r="H1480" t="s">
        <v>26955</v>
      </c>
      <c r="I1480" t="s">
        <v>26956</v>
      </c>
      <c r="J1480" t="s">
        <v>26957</v>
      </c>
      <c r="K1480" t="s">
        <v>26958</v>
      </c>
      <c r="L1480" t="s">
        <v>26959</v>
      </c>
      <c r="M1480" t="s">
        <v>26960</v>
      </c>
      <c r="N1480" t="s">
        <v>26961</v>
      </c>
      <c r="O1480">
        <f>-590.630034975077 -75.8332450771291 -738.483511685083</f>
        <v>-1404.946791737289</v>
      </c>
      <c r="P1480">
        <f>-595.961149770555 -67.7621582000729 -422.109450183462</f>
        <v>-1085.83275815409</v>
      </c>
      <c r="Q1480">
        <f>-338.491304410552 -44.2812318153624 -450.39244994387</f>
        <v>-833.16498616978447</v>
      </c>
      <c r="R1480" t="s">
        <v>26962</v>
      </c>
      <c r="S1480" t="s">
        <v>26963</v>
      </c>
      <c r="T1480" t="s">
        <v>26964</v>
      </c>
      <c r="U1480" t="s">
        <v>26965</v>
      </c>
      <c r="V1480" t="s">
        <v>26966</v>
      </c>
      <c r="W1480" t="s">
        <v>26967</v>
      </c>
      <c r="X1480" t="s">
        <v>26968</v>
      </c>
      <c r="Y1480" t="s">
        <v>26969</v>
      </c>
    </row>
    <row r="1481" spans="1:25" x14ac:dyDescent="0.3">
      <c r="A1481">
        <v>74000</v>
      </c>
      <c r="B1481" t="s">
        <v>26970</v>
      </c>
      <c r="C1481" t="s">
        <v>26971</v>
      </c>
      <c r="D1481" t="s">
        <v>26972</v>
      </c>
      <c r="E1481" t="s">
        <v>26973</v>
      </c>
      <c r="F1481" t="s">
        <v>26974</v>
      </c>
      <c r="G1481" t="s">
        <v>26975</v>
      </c>
      <c r="H1481" t="s">
        <v>26976</v>
      </c>
      <c r="I1481" t="s">
        <v>26977</v>
      </c>
      <c r="J1481" t="s">
        <v>26978</v>
      </c>
      <c r="K1481" t="s">
        <v>26979</v>
      </c>
      <c r="L1481" t="s">
        <v>26980</v>
      </c>
      <c r="M1481" t="s">
        <v>26981</v>
      </c>
      <c r="N1481" t="s">
        <v>26982</v>
      </c>
      <c r="O1481">
        <f>-590.604617971968 -74.0821722130097 -738.67193204228</f>
        <v>-1403.3587222272577</v>
      </c>
      <c r="P1481">
        <f>-596.362204395548 -65.9362284928318 -422.307155137858</f>
        <v>-1084.6055880262379</v>
      </c>
      <c r="Q1481">
        <f>-338.799506759918 -43.0347735780731 -450.217963523238</f>
        <v>-832.05224386122904</v>
      </c>
      <c r="R1481" t="s">
        <v>26983</v>
      </c>
      <c r="S1481" t="s">
        <v>26984</v>
      </c>
      <c r="T1481" t="s">
        <v>26985</v>
      </c>
      <c r="U1481" t="s">
        <v>26986</v>
      </c>
      <c r="V1481" t="s">
        <v>26987</v>
      </c>
      <c r="W1481" t="s">
        <v>26988</v>
      </c>
      <c r="X1481" t="s">
        <v>26989</v>
      </c>
      <c r="Y1481" t="s">
        <v>26990</v>
      </c>
    </row>
    <row r="1482" spans="1:25" x14ac:dyDescent="0.3">
      <c r="A1482">
        <v>74050</v>
      </c>
      <c r="B1482" t="s">
        <v>26991</v>
      </c>
      <c r="C1482" t="s">
        <v>26992</v>
      </c>
      <c r="D1482" t="s">
        <v>26993</v>
      </c>
      <c r="E1482" t="s">
        <v>26994</v>
      </c>
      <c r="F1482" t="s">
        <v>26995</v>
      </c>
      <c r="G1482" t="s">
        <v>26996</v>
      </c>
      <c r="H1482" t="s">
        <v>26997</v>
      </c>
      <c r="I1482" t="s">
        <v>26998</v>
      </c>
      <c r="J1482" t="s">
        <v>26999</v>
      </c>
      <c r="K1482" t="s">
        <v>27000</v>
      </c>
      <c r="L1482" t="s">
        <v>27001</v>
      </c>
      <c r="M1482" t="s">
        <v>27002</v>
      </c>
      <c r="N1482" t="s">
        <v>27003</v>
      </c>
      <c r="O1482">
        <f>-590.977009119452 -70.7294014762151 -739.014698459658</f>
        <v>-1400.7211090553251</v>
      </c>
      <c r="P1482">
        <f>-597.487080572314 -62.6344678586768 -422.663191101541</f>
        <v>-1082.7847395325316</v>
      </c>
      <c r="Q1482">
        <f>-339.745388844021 -41.0022877602385 -449.927366087323</f>
        <v>-830.67504269158258</v>
      </c>
      <c r="R1482" t="s">
        <v>27004</v>
      </c>
      <c r="S1482" t="s">
        <v>27005</v>
      </c>
      <c r="T1482" t="s">
        <v>27006</v>
      </c>
      <c r="U1482" t="s">
        <v>27007</v>
      </c>
      <c r="V1482" t="s">
        <v>27008</v>
      </c>
      <c r="W1482" t="s">
        <v>27009</v>
      </c>
      <c r="X1482" t="s">
        <v>27010</v>
      </c>
      <c r="Y1482" t="s">
        <v>27011</v>
      </c>
    </row>
    <row r="1483" spans="1:25" x14ac:dyDescent="0.3">
      <c r="A1483">
        <v>74100</v>
      </c>
      <c r="B1483" t="s">
        <v>27012</v>
      </c>
      <c r="C1483" t="s">
        <v>27013</v>
      </c>
      <c r="D1483" t="s">
        <v>27014</v>
      </c>
      <c r="E1483" t="s">
        <v>27015</v>
      </c>
      <c r="F1483" t="s">
        <v>27016</v>
      </c>
      <c r="G1483" t="s">
        <v>27017</v>
      </c>
      <c r="H1483" t="s">
        <v>27018</v>
      </c>
      <c r="I1483" t="s">
        <v>27019</v>
      </c>
      <c r="J1483" t="s">
        <v>27020</v>
      </c>
      <c r="K1483" t="s">
        <v>27021</v>
      </c>
      <c r="L1483" t="s">
        <v>27022</v>
      </c>
      <c r="M1483" t="s">
        <v>27023</v>
      </c>
      <c r="N1483" t="s">
        <v>27024</v>
      </c>
      <c r="O1483">
        <f>-591.16338933057 -69.2450964601783 -739.193970770976</f>
        <v>-1399.6024565617242</v>
      </c>
      <c r="P1483">
        <f>-598.085220473633 -61.2376912701729 -422.849030985965</f>
        <v>-1082.1719427297708</v>
      </c>
      <c r="Q1483">
        <f>-340.275267960832 -40.1862239209147 -449.921319665416</f>
        <v>-830.38281154716265</v>
      </c>
      <c r="R1483" t="s">
        <v>27025</v>
      </c>
      <c r="S1483" t="s">
        <v>27026</v>
      </c>
      <c r="T1483" t="s">
        <v>27027</v>
      </c>
      <c r="U1483" t="s">
        <v>27028</v>
      </c>
      <c r="V1483" t="s">
        <v>27029</v>
      </c>
      <c r="W1483" t="s">
        <v>27030</v>
      </c>
      <c r="X1483" t="s">
        <v>27031</v>
      </c>
      <c r="Y1483" t="s">
        <v>27032</v>
      </c>
    </row>
    <row r="1484" spans="1:25" x14ac:dyDescent="0.3">
      <c r="A1484">
        <v>74150</v>
      </c>
      <c r="B1484" t="s">
        <v>27033</v>
      </c>
      <c r="C1484" t="s">
        <v>27034</v>
      </c>
      <c r="D1484" t="s">
        <v>27035</v>
      </c>
      <c r="E1484" t="s">
        <v>27036</v>
      </c>
      <c r="F1484" t="s">
        <v>27037</v>
      </c>
      <c r="G1484" t="s">
        <v>27038</v>
      </c>
      <c r="H1484" t="s">
        <v>27039</v>
      </c>
      <c r="I1484" t="s">
        <v>27040</v>
      </c>
      <c r="J1484" t="s">
        <v>27041</v>
      </c>
      <c r="K1484" t="s">
        <v>27042</v>
      </c>
      <c r="L1484" t="s">
        <v>27043</v>
      </c>
      <c r="M1484" t="s">
        <v>27044</v>
      </c>
      <c r="N1484" t="s">
        <v>27045</v>
      </c>
      <c r="O1484">
        <f>-591.401981475788 -66.5158932132872 -739.56076706727</f>
        <v>-1397.4786417563453</v>
      </c>
      <c r="P1484">
        <f>-598.787314278781 -59.2390601669688 -423.208554182079</f>
        <v>-1081.2349286278288</v>
      </c>
      <c r="Q1484">
        <f>-340.83897330902 -39.2296055095146 -449.746957620398</f>
        <v>-829.81553643893267</v>
      </c>
      <c r="R1484" t="s">
        <v>27046</v>
      </c>
      <c r="S1484" t="s">
        <v>27047</v>
      </c>
      <c r="T1484" t="s">
        <v>27048</v>
      </c>
      <c r="U1484" t="s">
        <v>27049</v>
      </c>
      <c r="V1484" t="s">
        <v>27050</v>
      </c>
      <c r="W1484" t="s">
        <v>27051</v>
      </c>
      <c r="X1484" t="s">
        <v>27052</v>
      </c>
      <c r="Y1484" t="s">
        <v>27053</v>
      </c>
    </row>
    <row r="1485" spans="1:25" x14ac:dyDescent="0.3">
      <c r="A1485">
        <v>74200</v>
      </c>
      <c r="B1485" t="s">
        <v>27054</v>
      </c>
      <c r="C1485" t="s">
        <v>27055</v>
      </c>
      <c r="D1485" t="s">
        <v>27056</v>
      </c>
      <c r="E1485" t="s">
        <v>27057</v>
      </c>
      <c r="F1485" t="s">
        <v>27058</v>
      </c>
      <c r="G1485" t="s">
        <v>27059</v>
      </c>
      <c r="H1485" t="s">
        <v>27060</v>
      </c>
      <c r="I1485" t="s">
        <v>27061</v>
      </c>
      <c r="J1485" t="s">
        <v>27062</v>
      </c>
      <c r="K1485" t="s">
        <v>27063</v>
      </c>
      <c r="L1485" t="s">
        <v>27064</v>
      </c>
      <c r="M1485" t="s">
        <v>27065</v>
      </c>
      <c r="N1485" t="s">
        <v>27066</v>
      </c>
      <c r="O1485">
        <f>-591.33074705716 -65.1616674502598 -739.780809362135</f>
        <v>-1396.2732238695548</v>
      </c>
      <c r="P1485">
        <f>-599.182360447763 -58.3286580118249 -423.429936974582</f>
        <v>-1080.9409554341701</v>
      </c>
      <c r="Q1485">
        <f>-341.215614967187 -38.5327918792214 -449.950695961129</f>
        <v>-829.69910280753743</v>
      </c>
      <c r="R1485" t="s">
        <v>27067</v>
      </c>
      <c r="S1485" t="s">
        <v>27068</v>
      </c>
      <c r="T1485" t="s">
        <v>27069</v>
      </c>
      <c r="U1485" t="s">
        <v>27070</v>
      </c>
      <c r="V1485" t="s">
        <v>27071</v>
      </c>
      <c r="W1485" t="s">
        <v>27072</v>
      </c>
      <c r="X1485" t="s">
        <v>27073</v>
      </c>
      <c r="Y1485" t="s">
        <v>27074</v>
      </c>
    </row>
    <row r="1486" spans="1:25" x14ac:dyDescent="0.3">
      <c r="A1486">
        <v>74250</v>
      </c>
      <c r="B1486" t="s">
        <v>27075</v>
      </c>
      <c r="C1486" t="s">
        <v>27076</v>
      </c>
      <c r="D1486" t="s">
        <v>27077</v>
      </c>
      <c r="E1486" t="s">
        <v>27078</v>
      </c>
      <c r="F1486" t="s">
        <v>27079</v>
      </c>
      <c r="G1486" t="s">
        <v>27080</v>
      </c>
      <c r="H1486" t="s">
        <v>27081</v>
      </c>
      <c r="I1486" t="s">
        <v>27082</v>
      </c>
      <c r="J1486" t="s">
        <v>27083</v>
      </c>
      <c r="K1486" t="s">
        <v>27084</v>
      </c>
      <c r="L1486" t="s">
        <v>27085</v>
      </c>
      <c r="M1486" t="s">
        <v>27086</v>
      </c>
      <c r="N1486" t="s">
        <v>27087</v>
      </c>
      <c r="O1486">
        <f>-591.463044401288 -62.5357463423222 -740.15099777824</f>
        <v>-1394.1497885218503</v>
      </c>
      <c r="P1486">
        <f>-599.729643108444 -56.343107424769 -423.797604860448</f>
        <v>-1079.8703553936609</v>
      </c>
      <c r="Q1486">
        <f>-341.673651086025 -37.5229193621649 -450.159476997926</f>
        <v>-829.35604744611589</v>
      </c>
      <c r="R1486" t="s">
        <v>27088</v>
      </c>
      <c r="S1486" t="s">
        <v>27089</v>
      </c>
      <c r="T1486" t="s">
        <v>27090</v>
      </c>
      <c r="U1486" t="s">
        <v>27091</v>
      </c>
      <c r="V1486" t="s">
        <v>27092</v>
      </c>
      <c r="W1486" t="s">
        <v>27093</v>
      </c>
      <c r="X1486" t="s">
        <v>27094</v>
      </c>
      <c r="Y1486" t="s">
        <v>27095</v>
      </c>
    </row>
    <row r="1487" spans="1:25" x14ac:dyDescent="0.3">
      <c r="A1487">
        <v>74300</v>
      </c>
      <c r="B1487" t="s">
        <v>27096</v>
      </c>
      <c r="C1487" t="s">
        <v>27097</v>
      </c>
      <c r="D1487" t="s">
        <v>27098</v>
      </c>
      <c r="E1487" t="s">
        <v>27099</v>
      </c>
      <c r="F1487" t="s">
        <v>27100</v>
      </c>
      <c r="G1487" t="s">
        <v>27101</v>
      </c>
      <c r="H1487" t="s">
        <v>27102</v>
      </c>
      <c r="I1487" t="s">
        <v>27103</v>
      </c>
      <c r="J1487" t="s">
        <v>27104</v>
      </c>
      <c r="K1487" t="s">
        <v>27105</v>
      </c>
      <c r="L1487" t="s">
        <v>27106</v>
      </c>
      <c r="M1487" t="s">
        <v>27107</v>
      </c>
      <c r="N1487" t="s">
        <v>27108</v>
      </c>
      <c r="O1487">
        <f>-591.483525504315 -61.3558122820486 -740.291493576843</f>
        <v>-1393.1308313632067</v>
      </c>
      <c r="P1487">
        <f>-600.05188380838 -55.3687454391732 -423.942086948617</f>
        <v>-1079.3627161961701</v>
      </c>
      <c r="Q1487">
        <f>-341.956787653318 -37.006582346407 -450.244171987655</f>
        <v>-829.20754198737995</v>
      </c>
      <c r="R1487" t="s">
        <v>27109</v>
      </c>
      <c r="S1487" t="s">
        <v>27110</v>
      </c>
      <c r="T1487" t="s">
        <v>27111</v>
      </c>
      <c r="U1487" t="s">
        <v>27112</v>
      </c>
      <c r="V1487" t="s">
        <v>27113</v>
      </c>
      <c r="W1487" t="s">
        <v>27114</v>
      </c>
      <c r="X1487" t="s">
        <v>27115</v>
      </c>
      <c r="Y1487" t="s">
        <v>27116</v>
      </c>
    </row>
    <row r="1488" spans="1:25" x14ac:dyDescent="0.3">
      <c r="A1488">
        <v>74350</v>
      </c>
      <c r="B1488" t="s">
        <v>27117</v>
      </c>
      <c r="C1488" t="s">
        <v>27118</v>
      </c>
      <c r="D1488" t="s">
        <v>27119</v>
      </c>
      <c r="E1488" t="s">
        <v>27120</v>
      </c>
      <c r="F1488" t="s">
        <v>27121</v>
      </c>
      <c r="G1488" t="s">
        <v>27122</v>
      </c>
      <c r="H1488" t="s">
        <v>27123</v>
      </c>
      <c r="I1488" t="s">
        <v>27124</v>
      </c>
      <c r="J1488" t="s">
        <v>27125</v>
      </c>
      <c r="K1488" t="s">
        <v>27126</v>
      </c>
      <c r="L1488" t="s">
        <v>27127</v>
      </c>
      <c r="M1488" t="s">
        <v>27128</v>
      </c>
      <c r="N1488" t="s">
        <v>27129</v>
      </c>
      <c r="O1488">
        <f>-591.123893047395 -59.1021000014011 -740.587312518554</f>
        <v>-1390.8133055673502</v>
      </c>
      <c r="P1488">
        <f>-599.862554755086 -53.4586756036622 -424.236272837878</f>
        <v>-1077.5575031966262</v>
      </c>
      <c r="Q1488">
        <f>-341.672149537627 -35.4546056579186 -449.841645370957</f>
        <v>-826.96840056650262</v>
      </c>
      <c r="R1488" t="s">
        <v>27130</v>
      </c>
      <c r="S1488" t="s">
        <v>27131</v>
      </c>
      <c r="T1488" t="s">
        <v>27132</v>
      </c>
      <c r="U1488" t="s">
        <v>27133</v>
      </c>
      <c r="V1488" t="s">
        <v>27134</v>
      </c>
      <c r="W1488" t="s">
        <v>27135</v>
      </c>
      <c r="X1488" t="s">
        <v>27136</v>
      </c>
      <c r="Y1488" t="s">
        <v>27137</v>
      </c>
    </row>
    <row r="1489" spans="1:25" x14ac:dyDescent="0.3">
      <c r="A1489">
        <v>74400</v>
      </c>
      <c r="B1489" t="s">
        <v>27138</v>
      </c>
      <c r="C1489" t="s">
        <v>27139</v>
      </c>
      <c r="D1489" t="s">
        <v>27140</v>
      </c>
      <c r="E1489" t="s">
        <v>27141</v>
      </c>
      <c r="F1489" t="s">
        <v>27142</v>
      </c>
      <c r="G1489" t="s">
        <v>27143</v>
      </c>
      <c r="H1489" t="s">
        <v>27144</v>
      </c>
      <c r="I1489" t="s">
        <v>27145</v>
      </c>
      <c r="J1489" t="s">
        <v>27146</v>
      </c>
      <c r="K1489" t="s">
        <v>27147</v>
      </c>
      <c r="L1489" t="s">
        <v>27148</v>
      </c>
      <c r="M1489" t="s">
        <v>27149</v>
      </c>
      <c r="N1489" t="s">
        <v>27150</v>
      </c>
      <c r="O1489">
        <f>-590.764188209004 -58.0698458132902 -740.724903105321</f>
        <v>-1389.5589371276151</v>
      </c>
      <c r="P1489">
        <f>-599.981190555257 -52.7958897332933 -424.381118393728</f>
        <v>-1077.1581986822782</v>
      </c>
      <c r="Q1489">
        <f>-341.769235606389 -34.5592029236525 -449.601087641827</f>
        <v>-825.92952617186847</v>
      </c>
      <c r="R1489" t="s">
        <v>27151</v>
      </c>
      <c r="S1489" t="s">
        <v>27152</v>
      </c>
      <c r="T1489" t="s">
        <v>27153</v>
      </c>
      <c r="U1489" t="s">
        <v>27154</v>
      </c>
      <c r="V1489" t="s">
        <v>27155</v>
      </c>
      <c r="W1489" t="s">
        <v>27156</v>
      </c>
      <c r="X1489" t="s">
        <v>27157</v>
      </c>
      <c r="Y1489" t="s">
        <v>27158</v>
      </c>
    </row>
    <row r="1490" spans="1:25" x14ac:dyDescent="0.3">
      <c r="A1490">
        <v>74450</v>
      </c>
      <c r="B1490" t="s">
        <v>27159</v>
      </c>
      <c r="C1490" t="s">
        <v>27160</v>
      </c>
      <c r="D1490" t="s">
        <v>27161</v>
      </c>
      <c r="E1490" t="s">
        <v>27162</v>
      </c>
      <c r="F1490" t="s">
        <v>27163</v>
      </c>
      <c r="G1490" t="s">
        <v>27164</v>
      </c>
      <c r="H1490" t="s">
        <v>27165</v>
      </c>
      <c r="I1490" t="s">
        <v>27166</v>
      </c>
      <c r="J1490" t="s">
        <v>27167</v>
      </c>
      <c r="K1490" t="s">
        <v>27168</v>
      </c>
      <c r="L1490" t="s">
        <v>27169</v>
      </c>
      <c r="M1490" t="s">
        <v>27170</v>
      </c>
      <c r="N1490" t="s">
        <v>27171</v>
      </c>
      <c r="O1490">
        <f>-589.886836245868 -55.9471935601212 -741.105378426961</f>
        <v>-1386.9394082329502</v>
      </c>
      <c r="P1490">
        <f>-599.805884032473 -50.7930258898434 -424.780811411361</f>
        <v>-1075.3797213336775</v>
      </c>
      <c r="Q1490">
        <f>-341.436106347978 -32.8021528766433 -448.517626156326</f>
        <v>-822.75588538094735</v>
      </c>
      <c r="R1490" t="s">
        <v>27172</v>
      </c>
      <c r="S1490" t="s">
        <v>27173</v>
      </c>
      <c r="T1490" t="s">
        <v>27174</v>
      </c>
      <c r="U1490" t="s">
        <v>27175</v>
      </c>
      <c r="V1490" t="s">
        <v>27176</v>
      </c>
      <c r="W1490" t="s">
        <v>27177</v>
      </c>
      <c r="X1490" t="s">
        <v>27178</v>
      </c>
      <c r="Y1490" t="s">
        <v>27179</v>
      </c>
    </row>
    <row r="1491" spans="1:25" x14ac:dyDescent="0.3">
      <c r="A1491">
        <v>74500</v>
      </c>
      <c r="B1491" t="s">
        <v>27180</v>
      </c>
      <c r="C1491" t="s">
        <v>27181</v>
      </c>
      <c r="D1491" t="s">
        <v>27182</v>
      </c>
      <c r="E1491" t="s">
        <v>27183</v>
      </c>
      <c r="F1491" t="s">
        <v>27184</v>
      </c>
      <c r="G1491" t="s">
        <v>27185</v>
      </c>
      <c r="H1491" t="s">
        <v>27186</v>
      </c>
      <c r="I1491" t="s">
        <v>27187</v>
      </c>
      <c r="J1491" t="s">
        <v>27188</v>
      </c>
      <c r="K1491" t="s">
        <v>27189</v>
      </c>
      <c r="L1491" t="s">
        <v>27190</v>
      </c>
      <c r="M1491" t="s">
        <v>27191</v>
      </c>
      <c r="N1491" t="s">
        <v>27192</v>
      </c>
      <c r="O1491">
        <f>-589.611143740697 -54.8589563395565 -741.293815801096</f>
        <v>-1385.7639158813495</v>
      </c>
      <c r="P1491">
        <f>-599.840643112041 -49.6174928876846 -424.980447449265</f>
        <v>-1074.4385834489906</v>
      </c>
      <c r="Q1491">
        <f>-341.409824734308 -31.5849632849909 -448.010783865449</f>
        <v>-821.00557188474795</v>
      </c>
      <c r="R1491" t="s">
        <v>27193</v>
      </c>
      <c r="S1491" t="s">
        <v>27194</v>
      </c>
      <c r="T1491" t="s">
        <v>27195</v>
      </c>
      <c r="U1491" t="s">
        <v>27196</v>
      </c>
      <c r="V1491" t="s">
        <v>27197</v>
      </c>
      <c r="W1491" t="s">
        <v>27198</v>
      </c>
      <c r="X1491" t="s">
        <v>27199</v>
      </c>
      <c r="Y1491" t="s">
        <v>27200</v>
      </c>
    </row>
    <row r="1492" spans="1:25" x14ac:dyDescent="0.3">
      <c r="A1492">
        <v>74550</v>
      </c>
      <c r="B1492" t="s">
        <v>27201</v>
      </c>
      <c r="C1492" t="s">
        <v>27202</v>
      </c>
      <c r="D1492" t="s">
        <v>27203</v>
      </c>
      <c r="E1492" t="s">
        <v>27204</v>
      </c>
      <c r="F1492" t="s">
        <v>27205</v>
      </c>
      <c r="G1492" t="s">
        <v>27206</v>
      </c>
      <c r="H1492" t="s">
        <v>27207</v>
      </c>
      <c r="I1492" t="s">
        <v>27208</v>
      </c>
      <c r="J1492" t="s">
        <v>27209</v>
      </c>
      <c r="K1492" t="s">
        <v>27210</v>
      </c>
      <c r="L1492" t="s">
        <v>27211</v>
      </c>
      <c r="M1492" t="s">
        <v>27212</v>
      </c>
      <c r="N1492" t="s">
        <v>27213</v>
      </c>
      <c r="O1492">
        <f>-588.852030061767 -52.7613700784134 -741.640712914418</f>
        <v>-1383.2541130545983</v>
      </c>
      <c r="P1492">
        <f>-599.55706209458 -47.6682142602913 -425.340829756391</f>
        <v>-1072.5661061112623</v>
      </c>
      <c r="Q1492">
        <f>-341.151657472069 -28.9428834503319 -448.101775771229</f>
        <v>-818.19631669362991</v>
      </c>
      <c r="R1492" t="s">
        <v>27214</v>
      </c>
      <c r="S1492" t="s">
        <v>27215</v>
      </c>
      <c r="T1492" t="s">
        <v>27216</v>
      </c>
      <c r="U1492" t="s">
        <v>27217</v>
      </c>
      <c r="V1492" t="s">
        <v>27218</v>
      </c>
      <c r="W1492" t="s">
        <v>27219</v>
      </c>
      <c r="X1492" t="s">
        <v>27220</v>
      </c>
      <c r="Y1492" t="s">
        <v>27221</v>
      </c>
    </row>
    <row r="1493" spans="1:25" x14ac:dyDescent="0.3">
      <c r="A1493">
        <v>74600</v>
      </c>
      <c r="B1493" t="s">
        <v>27222</v>
      </c>
      <c r="C1493" t="s">
        <v>27223</v>
      </c>
      <c r="D1493" t="s">
        <v>27224</v>
      </c>
      <c r="E1493" t="s">
        <v>27225</v>
      </c>
      <c r="F1493" t="s">
        <v>27226</v>
      </c>
      <c r="G1493" t="s">
        <v>27227</v>
      </c>
      <c r="H1493" t="s">
        <v>27228</v>
      </c>
      <c r="I1493" t="s">
        <v>27229</v>
      </c>
      <c r="J1493" t="s">
        <v>27230</v>
      </c>
      <c r="K1493" t="s">
        <v>27231</v>
      </c>
      <c r="L1493" t="s">
        <v>27232</v>
      </c>
      <c r="M1493" t="s">
        <v>27233</v>
      </c>
      <c r="N1493" t="s">
        <v>27234</v>
      </c>
      <c r="O1493">
        <f>-588.551111451483 -51.6595692882338 -741.865917585079</f>
        <v>-1382.0765983247959</v>
      </c>
      <c r="P1493">
        <f>-599.310854530903 -46.8123862456112 -425.563982645163</f>
        <v>-1071.6872234216771</v>
      </c>
      <c r="Q1493">
        <f>-340.945306002973 -27.7181806365709 -448.470727927482</f>
        <v>-817.13421456702588</v>
      </c>
      <c r="R1493" t="s">
        <v>27235</v>
      </c>
      <c r="S1493" t="s">
        <v>27236</v>
      </c>
      <c r="T1493" t="s">
        <v>27237</v>
      </c>
      <c r="U1493" t="s">
        <v>27238</v>
      </c>
      <c r="V1493" t="s">
        <v>27239</v>
      </c>
      <c r="W1493" t="s">
        <v>27240</v>
      </c>
      <c r="X1493" t="s">
        <v>27241</v>
      </c>
      <c r="Y1493" t="s">
        <v>27242</v>
      </c>
    </row>
    <row r="1494" spans="1:25" x14ac:dyDescent="0.3">
      <c r="A1494">
        <v>74650</v>
      </c>
      <c r="B1494" t="s">
        <v>27243</v>
      </c>
      <c r="C1494" t="s">
        <v>27244</v>
      </c>
      <c r="D1494" t="s">
        <v>27245</v>
      </c>
      <c r="E1494" t="s">
        <v>27246</v>
      </c>
      <c r="F1494" t="s">
        <v>27247</v>
      </c>
      <c r="G1494" t="s">
        <v>27248</v>
      </c>
      <c r="H1494" t="s">
        <v>27249</v>
      </c>
      <c r="I1494" t="s">
        <v>27250</v>
      </c>
      <c r="J1494" t="s">
        <v>27251</v>
      </c>
      <c r="K1494" t="s">
        <v>27252</v>
      </c>
      <c r="L1494" t="s">
        <v>27253</v>
      </c>
      <c r="M1494" t="s">
        <v>27254</v>
      </c>
      <c r="N1494" t="s">
        <v>27255</v>
      </c>
      <c r="O1494">
        <f>-588.292836549172 -49.6117858447037 -742.252134404282</f>
        <v>-1380.1567567981576</v>
      </c>
      <c r="P1494">
        <f>-598.836844315758 -45.6583652129327 -425.930420926928</f>
        <v>-1070.4256304556186</v>
      </c>
      <c r="Q1494">
        <f>-340.591251085735 -25.364784558906 -449.155366664353</f>
        <v>-815.111402308994</v>
      </c>
      <c r="R1494" t="s">
        <v>27256</v>
      </c>
      <c r="S1494" t="s">
        <v>27257</v>
      </c>
      <c r="T1494" t="s">
        <v>27258</v>
      </c>
      <c r="U1494" t="s">
        <v>27259</v>
      </c>
      <c r="V1494" t="s">
        <v>27260</v>
      </c>
      <c r="W1494" t="s">
        <v>27261</v>
      </c>
      <c r="X1494" t="s">
        <v>27262</v>
      </c>
      <c r="Y1494" t="s">
        <v>27263</v>
      </c>
    </row>
    <row r="1495" spans="1:25" x14ac:dyDescent="0.3">
      <c r="A1495">
        <v>74700</v>
      </c>
      <c r="B1495" t="s">
        <v>27264</v>
      </c>
      <c r="C1495" t="s">
        <v>27265</v>
      </c>
      <c r="D1495" t="s">
        <v>27266</v>
      </c>
      <c r="E1495" t="s">
        <v>27267</v>
      </c>
      <c r="F1495" t="s">
        <v>27268</v>
      </c>
      <c r="G1495" t="s">
        <v>27269</v>
      </c>
      <c r="H1495" t="s">
        <v>27270</v>
      </c>
      <c r="I1495" t="s">
        <v>27271</v>
      </c>
      <c r="J1495" t="s">
        <v>27272</v>
      </c>
      <c r="K1495" t="s">
        <v>27273</v>
      </c>
      <c r="L1495" t="s">
        <v>27274</v>
      </c>
      <c r="M1495" t="s">
        <v>27275</v>
      </c>
      <c r="N1495" t="s">
        <v>27276</v>
      </c>
      <c r="O1495">
        <f>-588.114161564539 -48.8559451898616 -742.387769980804</f>
        <v>-1379.3578767352046</v>
      </c>
      <c r="P1495">
        <f>-598.932969974219 -44.9717498693469 -426.07455769321</f>
        <v>-1069.979277536776</v>
      </c>
      <c r="Q1495">
        <f>-340.694079845624 -25.0852636113618 -449.72356297442</f>
        <v>-815.50290643140579</v>
      </c>
      <c r="R1495" t="s">
        <v>27277</v>
      </c>
      <c r="S1495" t="s">
        <v>27278</v>
      </c>
      <c r="T1495" t="s">
        <v>27279</v>
      </c>
      <c r="U1495" t="s">
        <v>27280</v>
      </c>
      <c r="V1495" t="s">
        <v>27281</v>
      </c>
      <c r="W1495" t="s">
        <v>27282</v>
      </c>
      <c r="X1495" t="s">
        <v>27283</v>
      </c>
      <c r="Y1495" t="s">
        <v>27284</v>
      </c>
    </row>
    <row r="1496" spans="1:25" x14ac:dyDescent="0.3">
      <c r="A1496">
        <v>74750</v>
      </c>
      <c r="B1496" t="s">
        <v>27285</v>
      </c>
      <c r="C1496" t="s">
        <v>27286</v>
      </c>
      <c r="D1496" t="s">
        <v>27287</v>
      </c>
      <c r="E1496" t="s">
        <v>27288</v>
      </c>
      <c r="F1496" t="s">
        <v>27289</v>
      </c>
      <c r="G1496" t="s">
        <v>27290</v>
      </c>
      <c r="H1496" t="s">
        <v>27291</v>
      </c>
      <c r="I1496" t="s">
        <v>27292</v>
      </c>
      <c r="J1496" t="s">
        <v>27293</v>
      </c>
      <c r="K1496" t="s">
        <v>27294</v>
      </c>
      <c r="L1496" t="s">
        <v>27295</v>
      </c>
      <c r="M1496" t="s">
        <v>27296</v>
      </c>
      <c r="N1496" t="s">
        <v>27297</v>
      </c>
      <c r="O1496">
        <f>-588.175604674537 -47.0644457628509 -742.719904254576</f>
        <v>-1377.959954691964</v>
      </c>
      <c r="P1496">
        <f>-598.383206615791 -44.0671396757439 -426.376708091693</f>
        <v>-1068.8270543832277</v>
      </c>
      <c r="Q1496">
        <f>-340.237131774255 -24.7044575348264 -451.431382928337</f>
        <v>-816.37297223741837</v>
      </c>
      <c r="R1496" t="s">
        <v>27298</v>
      </c>
      <c r="S1496" t="s">
        <v>27299</v>
      </c>
      <c r="T1496" t="s">
        <v>27300</v>
      </c>
      <c r="U1496" t="s">
        <v>27301</v>
      </c>
      <c r="V1496" t="s">
        <v>27302</v>
      </c>
      <c r="W1496" t="s">
        <v>27303</v>
      </c>
      <c r="X1496" t="s">
        <v>27304</v>
      </c>
      <c r="Y1496" t="s">
        <v>27305</v>
      </c>
    </row>
    <row r="1497" spans="1:25" x14ac:dyDescent="0.3">
      <c r="A1497">
        <v>74800</v>
      </c>
      <c r="B1497" t="s">
        <v>27306</v>
      </c>
      <c r="C1497" t="s">
        <v>27307</v>
      </c>
      <c r="D1497" t="s">
        <v>27308</v>
      </c>
      <c r="E1497" t="s">
        <v>27309</v>
      </c>
      <c r="F1497" t="s">
        <v>27310</v>
      </c>
      <c r="G1497" t="s">
        <v>27311</v>
      </c>
      <c r="H1497" t="s">
        <v>27312</v>
      </c>
      <c r="I1497" t="s">
        <v>27313</v>
      </c>
      <c r="J1497" t="s">
        <v>27314</v>
      </c>
      <c r="K1497" t="s">
        <v>27315</v>
      </c>
      <c r="L1497" t="s">
        <v>27316</v>
      </c>
      <c r="M1497" t="s">
        <v>27317</v>
      </c>
      <c r="N1497" t="s">
        <v>27318</v>
      </c>
      <c r="O1497">
        <f>-588.317740392647 -46.12840500576 -743.050816628964</f>
        <v>-1377.496962027371</v>
      </c>
      <c r="P1497">
        <f>-598.256915579215 -43.6466967956787 -426.694638587984</f>
        <v>-1068.5982509628777</v>
      </c>
      <c r="Q1497">
        <f>-340.159932484838 -24.2031727173869 -452.189057196015</f>
        <v>-816.55216239823994</v>
      </c>
      <c r="R1497" t="s">
        <v>27319</v>
      </c>
      <c r="S1497" t="s">
        <v>27320</v>
      </c>
      <c r="T1497" t="s">
        <v>27321</v>
      </c>
      <c r="U1497" t="s">
        <v>27322</v>
      </c>
      <c r="V1497" t="s">
        <v>27323</v>
      </c>
      <c r="W1497" t="s">
        <v>27324</v>
      </c>
      <c r="X1497" t="s">
        <v>27325</v>
      </c>
      <c r="Y1497" t="s">
        <v>27326</v>
      </c>
    </row>
    <row r="1498" spans="1:25" x14ac:dyDescent="0.3">
      <c r="A1498">
        <v>74850</v>
      </c>
      <c r="B1498" t="s">
        <v>27327</v>
      </c>
      <c r="C1498" t="s">
        <v>27328</v>
      </c>
      <c r="D1498" t="s">
        <v>27329</v>
      </c>
      <c r="E1498" t="s">
        <v>27330</v>
      </c>
      <c r="F1498" t="s">
        <v>27331</v>
      </c>
      <c r="G1498" t="s">
        <v>27332</v>
      </c>
      <c r="H1498" t="s">
        <v>27333</v>
      </c>
      <c r="I1498" t="s">
        <v>27334</v>
      </c>
      <c r="J1498" t="s">
        <v>27335</v>
      </c>
      <c r="K1498" t="s">
        <v>27336</v>
      </c>
      <c r="L1498" t="s">
        <v>27337</v>
      </c>
      <c r="M1498" t="s">
        <v>27338</v>
      </c>
      <c r="N1498" t="s">
        <v>27339</v>
      </c>
      <c r="O1498">
        <f>-588.637953966058 -44.6204130391905 -743.506396481412</f>
        <v>-1376.7647634866605</v>
      </c>
      <c r="P1498">
        <f>-598.376921495859 -43.1858050686017 -427.137516861392</f>
        <v>-1068.7002434258527</v>
      </c>
      <c r="Q1498">
        <f>-340.335661225913 -24.079259997942 -453.43805429788</f>
        <v>-817.85297552173506</v>
      </c>
      <c r="R1498" t="s">
        <v>27340</v>
      </c>
      <c r="S1498" t="s">
        <v>27341</v>
      </c>
      <c r="T1498" t="s">
        <v>27342</v>
      </c>
      <c r="U1498" t="s">
        <v>27343</v>
      </c>
      <c r="V1498" t="s">
        <v>27344</v>
      </c>
      <c r="W1498" t="s">
        <v>27345</v>
      </c>
      <c r="X1498" t="s">
        <v>27346</v>
      </c>
      <c r="Y1498" t="s">
        <v>27347</v>
      </c>
    </row>
    <row r="1499" spans="1:25" x14ac:dyDescent="0.3">
      <c r="A1499">
        <v>74900</v>
      </c>
      <c r="B1499" t="s">
        <v>27348</v>
      </c>
      <c r="C1499" t="s">
        <v>27349</v>
      </c>
      <c r="D1499" t="s">
        <v>27350</v>
      </c>
      <c r="E1499" t="s">
        <v>27351</v>
      </c>
      <c r="F1499" t="s">
        <v>27352</v>
      </c>
      <c r="G1499" t="s">
        <v>27353</v>
      </c>
      <c r="H1499" t="s">
        <v>27354</v>
      </c>
      <c r="I1499" t="s">
        <v>27355</v>
      </c>
      <c r="J1499" t="s">
        <v>27356</v>
      </c>
      <c r="K1499" t="s">
        <v>27357</v>
      </c>
      <c r="L1499" t="s">
        <v>27358</v>
      </c>
      <c r="M1499" t="s">
        <v>27359</v>
      </c>
      <c r="N1499" t="s">
        <v>27360</v>
      </c>
      <c r="O1499">
        <f>-589.031631497628 -44.0654753120723 -743.686893600837</f>
        <v>-1376.7840004105374</v>
      </c>
      <c r="P1499">
        <f>-598.636989991227 -42.7722236288735 -427.313244916103</f>
        <v>-1068.7224585362035</v>
      </c>
      <c r="Q1499">
        <f>-340.63464592352 -24.1269790558588 -454.317020571654</f>
        <v>-819.07864555103276</v>
      </c>
      <c r="R1499" t="s">
        <v>27361</v>
      </c>
      <c r="S1499" t="s">
        <v>27362</v>
      </c>
      <c r="T1499" t="s">
        <v>27363</v>
      </c>
      <c r="U1499" t="s">
        <v>27364</v>
      </c>
      <c r="V1499" t="s">
        <v>27365</v>
      </c>
      <c r="W1499" t="s">
        <v>27366</v>
      </c>
      <c r="X1499" t="s">
        <v>27367</v>
      </c>
      <c r="Y1499" t="s">
        <v>27368</v>
      </c>
    </row>
    <row r="1500" spans="1:25" x14ac:dyDescent="0.3">
      <c r="A1500">
        <v>74950</v>
      </c>
      <c r="B1500" t="s">
        <v>27369</v>
      </c>
      <c r="C1500" t="s">
        <v>27370</v>
      </c>
      <c r="D1500" t="s">
        <v>27371</v>
      </c>
      <c r="E1500" t="s">
        <v>27372</v>
      </c>
      <c r="F1500" t="s">
        <v>27373</v>
      </c>
      <c r="G1500" t="s">
        <v>27374</v>
      </c>
      <c r="H1500" t="s">
        <v>27375</v>
      </c>
      <c r="I1500" t="s">
        <v>27376</v>
      </c>
      <c r="J1500" t="s">
        <v>27377</v>
      </c>
      <c r="K1500" t="s">
        <v>27378</v>
      </c>
      <c r="L1500" t="s">
        <v>27379</v>
      </c>
      <c r="M1500" t="s">
        <v>27380</v>
      </c>
      <c r="N1500" t="s">
        <v>27381</v>
      </c>
      <c r="O1500">
        <f>-589.766280763162 -43.3490790017793 -743.969380926083</f>
        <v>-1377.0847406910243</v>
      </c>
      <c r="P1500">
        <f>-599.45826869107 -42.6638610945872 -427.59643328484</f>
        <v>-1069.7185630704971</v>
      </c>
      <c r="Q1500">
        <f>-341.496288464318 -24.5362616060738 -455.328656572381</f>
        <v>-821.36120664277291</v>
      </c>
      <c r="R1500" t="s">
        <v>27382</v>
      </c>
      <c r="S1500" t="s">
        <v>27383</v>
      </c>
      <c r="T1500" t="s">
        <v>27384</v>
      </c>
      <c r="U1500" t="s">
        <v>27385</v>
      </c>
      <c r="V1500" t="s">
        <v>27386</v>
      </c>
      <c r="W1500" t="s">
        <v>27387</v>
      </c>
      <c r="X1500" t="s">
        <v>27388</v>
      </c>
      <c r="Y1500" t="s">
        <v>27389</v>
      </c>
    </row>
    <row r="1501" spans="1:25" x14ac:dyDescent="0.3">
      <c r="A1501">
        <v>75000</v>
      </c>
      <c r="B1501" t="s">
        <v>27390</v>
      </c>
      <c r="C1501" t="s">
        <v>27391</v>
      </c>
      <c r="D1501" t="s">
        <v>27392</v>
      </c>
      <c r="E1501" t="s">
        <v>27393</v>
      </c>
      <c r="F1501" t="s">
        <v>27394</v>
      </c>
      <c r="G1501" t="s">
        <v>27395</v>
      </c>
      <c r="H1501" t="s">
        <v>27396</v>
      </c>
      <c r="I1501" t="s">
        <v>27397</v>
      </c>
      <c r="J1501" t="s">
        <v>27398</v>
      </c>
      <c r="K1501" t="s">
        <v>27399</v>
      </c>
      <c r="L1501" t="s">
        <v>27400</v>
      </c>
      <c r="M1501" t="s">
        <v>27401</v>
      </c>
      <c r="N1501" t="s">
        <v>27402</v>
      </c>
      <c r="O1501">
        <f>-590.400574948485 -42.9632348875882 -744.141374333551</f>
        <v>-1377.505184169624</v>
      </c>
      <c r="P1501">
        <f>-600.378414008725 -42.4165573492648 -427.777293240331</f>
        <v>-1070.572264598321</v>
      </c>
      <c r="Q1501">
        <f>-342.409011369112 -24.5160748816393 -455.587559008354</f>
        <v>-822.51264525910528</v>
      </c>
      <c r="R1501" t="s">
        <v>27403</v>
      </c>
      <c r="S1501" t="s">
        <v>27404</v>
      </c>
      <c r="T1501" t="s">
        <v>27405</v>
      </c>
      <c r="U1501" t="s">
        <v>27406</v>
      </c>
      <c r="V1501" t="s">
        <v>27407</v>
      </c>
      <c r="W1501" t="s">
        <v>27408</v>
      </c>
      <c r="X1501" t="s">
        <v>27409</v>
      </c>
      <c r="Y1501" t="s">
        <v>27410</v>
      </c>
    </row>
    <row r="1502" spans="1:25" x14ac:dyDescent="0.3">
      <c r="A1502">
        <v>75050</v>
      </c>
      <c r="B1502" t="s">
        <v>27411</v>
      </c>
      <c r="C1502" t="s">
        <v>27412</v>
      </c>
      <c r="D1502" t="s">
        <v>27413</v>
      </c>
      <c r="E1502" t="s">
        <v>27414</v>
      </c>
      <c r="F1502" t="s">
        <v>27415</v>
      </c>
      <c r="G1502" t="s">
        <v>27416</v>
      </c>
      <c r="H1502" t="s">
        <v>27417</v>
      </c>
      <c r="I1502" t="s">
        <v>27418</v>
      </c>
      <c r="J1502" t="s">
        <v>27419</v>
      </c>
      <c r="K1502" t="s">
        <v>27420</v>
      </c>
      <c r="L1502" t="s">
        <v>27421</v>
      </c>
      <c r="M1502" t="s">
        <v>27422</v>
      </c>
      <c r="N1502" t="s">
        <v>27423</v>
      </c>
      <c r="O1502">
        <f>-591.334467538191 -42.3875233423064 -744.655139510267</f>
        <v>-1378.3771303907643</v>
      </c>
      <c r="P1502">
        <f>-601.917264812482 -42.363486367313 -428.310065310824</f>
        <v>-1072.5908164906191</v>
      </c>
      <c r="Q1502">
        <f>-343.878762990732 -24.4957353978723 -455.49344664588</f>
        <v>-823.86794503448436</v>
      </c>
      <c r="R1502" t="s">
        <v>27424</v>
      </c>
      <c r="S1502" t="s">
        <v>27425</v>
      </c>
      <c r="T1502" t="s">
        <v>27426</v>
      </c>
      <c r="U1502" t="s">
        <v>27427</v>
      </c>
      <c r="V1502" t="s">
        <v>27428</v>
      </c>
      <c r="W1502" t="s">
        <v>27429</v>
      </c>
      <c r="X1502" t="s">
        <v>27430</v>
      </c>
      <c r="Y1502" t="s">
        <v>27431</v>
      </c>
    </row>
    <row r="1503" spans="1:25" x14ac:dyDescent="0.3">
      <c r="A1503">
        <v>75100</v>
      </c>
      <c r="B1503" t="s">
        <v>27432</v>
      </c>
      <c r="C1503" t="s">
        <v>27433</v>
      </c>
      <c r="D1503" t="s">
        <v>27434</v>
      </c>
      <c r="E1503" t="s">
        <v>27435</v>
      </c>
      <c r="F1503" t="s">
        <v>27436</v>
      </c>
      <c r="G1503" t="s">
        <v>27437</v>
      </c>
      <c r="H1503" t="s">
        <v>27438</v>
      </c>
      <c r="I1503" t="s">
        <v>27439</v>
      </c>
      <c r="J1503" t="s">
        <v>27440</v>
      </c>
      <c r="K1503" t="s">
        <v>27441</v>
      </c>
      <c r="L1503" t="s">
        <v>27442</v>
      </c>
      <c r="M1503" t="s">
        <v>27443</v>
      </c>
      <c r="N1503" t="s">
        <v>27444</v>
      </c>
      <c r="O1503">
        <f>-591.956793947518 -42.1610437792692 -745.014629812714</f>
        <v>-1379.1324675395012</v>
      </c>
      <c r="P1503">
        <f>-602.812768824347 -42.3613134389977 -428.678848341816</f>
        <v>-1073.8529306051607</v>
      </c>
      <c r="Q1503">
        <f>-344.757561701028 -24.3913286983243 -455.634631125279</f>
        <v>-824.78352152463128</v>
      </c>
      <c r="R1503" t="s">
        <v>27445</v>
      </c>
      <c r="S1503" t="s">
        <v>27446</v>
      </c>
      <c r="T1503" t="s">
        <v>27447</v>
      </c>
      <c r="U1503" t="s">
        <v>27448</v>
      </c>
      <c r="V1503" t="s">
        <v>27449</v>
      </c>
      <c r="W1503" t="s">
        <v>27450</v>
      </c>
      <c r="X1503" t="s">
        <v>27451</v>
      </c>
      <c r="Y1503" t="s">
        <v>27452</v>
      </c>
    </row>
    <row r="1504" spans="1:25" x14ac:dyDescent="0.3">
      <c r="A1504">
        <v>75150</v>
      </c>
      <c r="B1504" t="s">
        <v>27453</v>
      </c>
      <c r="C1504" t="s">
        <v>27454</v>
      </c>
      <c r="D1504" t="s">
        <v>27455</v>
      </c>
      <c r="E1504" t="s">
        <v>27456</v>
      </c>
      <c r="F1504" t="s">
        <v>27457</v>
      </c>
      <c r="G1504" t="s">
        <v>27458</v>
      </c>
      <c r="H1504" t="s">
        <v>27459</v>
      </c>
      <c r="I1504" t="s">
        <v>27460</v>
      </c>
      <c r="J1504" t="s">
        <v>27461</v>
      </c>
      <c r="K1504" t="s">
        <v>27462</v>
      </c>
      <c r="L1504" t="s">
        <v>27463</v>
      </c>
      <c r="M1504" t="s">
        <v>27464</v>
      </c>
      <c r="N1504" t="s">
        <v>27465</v>
      </c>
      <c r="O1504">
        <f>-593.702553785752 -41.8221500617537 -745.373896648814</f>
        <v>-1380.8986004963199</v>
      </c>
      <c r="P1504">
        <f>-604.388262820427 -42.6440691173389 -429.033287377236</f>
        <v>-1076.0656193150019</v>
      </c>
      <c r="Q1504">
        <f>-346.284981611275 -24.6904628041216 -455.536447149409</f>
        <v>-826.51189156480564</v>
      </c>
      <c r="R1504" t="s">
        <v>27466</v>
      </c>
      <c r="S1504" t="s">
        <v>27467</v>
      </c>
      <c r="T1504" t="s">
        <v>27468</v>
      </c>
      <c r="U1504" t="s">
        <v>27469</v>
      </c>
      <c r="V1504" t="s">
        <v>27470</v>
      </c>
      <c r="W1504" t="s">
        <v>27471</v>
      </c>
      <c r="X1504" t="s">
        <v>27472</v>
      </c>
      <c r="Y1504" t="s">
        <v>27473</v>
      </c>
    </row>
    <row r="1505" spans="1:25" x14ac:dyDescent="0.3">
      <c r="A1505">
        <v>75200</v>
      </c>
      <c r="B1505" t="s">
        <v>27474</v>
      </c>
      <c r="C1505" t="s">
        <v>27475</v>
      </c>
      <c r="D1505" t="s">
        <v>27476</v>
      </c>
      <c r="E1505" t="s">
        <v>27477</v>
      </c>
      <c r="F1505" t="s">
        <v>27478</v>
      </c>
      <c r="G1505" t="s">
        <v>27479</v>
      </c>
      <c r="H1505" t="s">
        <v>27480</v>
      </c>
      <c r="I1505" t="s">
        <v>27481</v>
      </c>
      <c r="J1505" t="s">
        <v>27482</v>
      </c>
      <c r="K1505" t="s">
        <v>27483</v>
      </c>
      <c r="L1505" t="s">
        <v>27484</v>
      </c>
      <c r="M1505" t="s">
        <v>27485</v>
      </c>
      <c r="N1505" t="s">
        <v>27486</v>
      </c>
      <c r="O1505">
        <f>-594.704809081258 -41.8136818110752 -745.513678969882</f>
        <v>-1382.0321698622151</v>
      </c>
      <c r="P1505">
        <f>-605.33241080004 -42.7102937974482 -429.171321794192</f>
        <v>-1077.2140263916801</v>
      </c>
      <c r="Q1505">
        <f>-347.212573604559 -24.7918084214282 -455.536871071371</f>
        <v>-827.54125309735821</v>
      </c>
      <c r="R1505" t="s">
        <v>27487</v>
      </c>
      <c r="S1505" t="s">
        <v>27488</v>
      </c>
      <c r="T1505" t="s">
        <v>27489</v>
      </c>
      <c r="U1505" t="s">
        <v>27490</v>
      </c>
      <c r="V1505" t="s">
        <v>27491</v>
      </c>
      <c r="W1505" t="s">
        <v>27492</v>
      </c>
      <c r="X1505" t="s">
        <v>27493</v>
      </c>
      <c r="Y1505" t="s">
        <v>27494</v>
      </c>
    </row>
    <row r="1506" spans="1:25" x14ac:dyDescent="0.3">
      <c r="A1506">
        <v>75250</v>
      </c>
      <c r="B1506" t="s">
        <v>27495</v>
      </c>
      <c r="C1506" t="s">
        <v>27496</v>
      </c>
      <c r="D1506" t="s">
        <v>27497</v>
      </c>
      <c r="E1506" t="s">
        <v>27498</v>
      </c>
      <c r="F1506" t="s">
        <v>27499</v>
      </c>
      <c r="G1506" t="s">
        <v>27500</v>
      </c>
      <c r="H1506" t="s">
        <v>27501</v>
      </c>
      <c r="I1506" t="s">
        <v>27502</v>
      </c>
      <c r="J1506" t="s">
        <v>27503</v>
      </c>
      <c r="K1506" t="s">
        <v>27504</v>
      </c>
      <c r="L1506" t="s">
        <v>27505</v>
      </c>
      <c r="M1506" t="s">
        <v>27506</v>
      </c>
      <c r="N1506" t="s">
        <v>27507</v>
      </c>
      <c r="O1506">
        <f>-596.86942495569 -42.3010244373629 -745.577160731118</f>
        <v>-1384.7476101241709</v>
      </c>
      <c r="P1506">
        <f>-607.285355758444 -43.4676326948061 -429.228766512396</f>
        <v>-1079.9817549656461</v>
      </c>
      <c r="Q1506">
        <f>-349.135555146754 -25.8319601161174 -455.491202498922</f>
        <v>-830.45871776179342</v>
      </c>
      <c r="R1506" t="s">
        <v>27508</v>
      </c>
      <c r="S1506" t="s">
        <v>27509</v>
      </c>
      <c r="T1506" t="s">
        <v>27510</v>
      </c>
      <c r="U1506" t="s">
        <v>27511</v>
      </c>
      <c r="V1506" t="s">
        <v>27512</v>
      </c>
      <c r="W1506" t="s">
        <v>27513</v>
      </c>
      <c r="X1506" t="s">
        <v>27514</v>
      </c>
      <c r="Y1506" t="s">
        <v>27515</v>
      </c>
    </row>
    <row r="1507" spans="1:25" x14ac:dyDescent="0.3">
      <c r="A1507">
        <v>75300</v>
      </c>
      <c r="B1507" t="s">
        <v>27516</v>
      </c>
      <c r="C1507" t="s">
        <v>27517</v>
      </c>
      <c r="D1507" t="s">
        <v>27518</v>
      </c>
      <c r="E1507" t="s">
        <v>27519</v>
      </c>
      <c r="F1507" t="s">
        <v>27520</v>
      </c>
      <c r="G1507" t="s">
        <v>27521</v>
      </c>
      <c r="H1507" t="s">
        <v>27522</v>
      </c>
      <c r="I1507" t="s">
        <v>27523</v>
      </c>
      <c r="J1507" t="s">
        <v>27524</v>
      </c>
      <c r="K1507" t="s">
        <v>27525</v>
      </c>
      <c r="L1507" t="s">
        <v>27526</v>
      </c>
      <c r="M1507" t="s">
        <v>27527</v>
      </c>
      <c r="N1507" t="s">
        <v>27528</v>
      </c>
      <c r="O1507">
        <f>-597.654259135172 -42.6733236179905 -745.608825122521</f>
        <v>-1385.9364078756835</v>
      </c>
      <c r="P1507">
        <f>-608.099596028814 -43.9730173796017 -429.261896985892</f>
        <v>-1081.3345103943077</v>
      </c>
      <c r="Q1507">
        <f>-349.975612913099 -26.1703937883779 -455.665449016012</f>
        <v>-831.81145571748891</v>
      </c>
      <c r="R1507" t="s">
        <v>27529</v>
      </c>
      <c r="S1507" t="s">
        <v>27530</v>
      </c>
      <c r="T1507" t="s">
        <v>27531</v>
      </c>
      <c r="U1507" t="s">
        <v>27532</v>
      </c>
      <c r="V1507" t="s">
        <v>27533</v>
      </c>
      <c r="W1507" t="s">
        <v>27534</v>
      </c>
      <c r="X1507" t="s">
        <v>27535</v>
      </c>
      <c r="Y1507" t="s">
        <v>27536</v>
      </c>
    </row>
    <row r="1508" spans="1:25" x14ac:dyDescent="0.3">
      <c r="A1508">
        <v>75350</v>
      </c>
      <c r="B1508" t="s">
        <v>27537</v>
      </c>
      <c r="C1508" t="s">
        <v>27538</v>
      </c>
      <c r="D1508" t="s">
        <v>27539</v>
      </c>
      <c r="E1508" t="s">
        <v>27540</v>
      </c>
      <c r="F1508" t="s">
        <v>27541</v>
      </c>
      <c r="G1508" t="s">
        <v>27542</v>
      </c>
      <c r="H1508" t="s">
        <v>27543</v>
      </c>
      <c r="I1508" t="s">
        <v>27544</v>
      </c>
      <c r="J1508" t="s">
        <v>27545</v>
      </c>
      <c r="K1508" t="s">
        <v>27546</v>
      </c>
      <c r="L1508" t="s">
        <v>27547</v>
      </c>
      <c r="M1508" t="s">
        <v>27548</v>
      </c>
      <c r="N1508" t="s">
        <v>27549</v>
      </c>
      <c r="O1508">
        <f>-599.221650579047 -43.6603940477075 -745.684763543395</f>
        <v>-1388.5668081701497</v>
      </c>
      <c r="P1508">
        <f>-609.222265891272 -44.9575775026431 -429.323501979075</f>
        <v>-1083.50334537299</v>
      </c>
      <c r="Q1508">
        <f>-351.188127116616 -26.7400644201959 -456.315503128208</f>
        <v>-834.2436946650198</v>
      </c>
      <c r="R1508" t="s">
        <v>27550</v>
      </c>
      <c r="S1508" t="s">
        <v>27551</v>
      </c>
      <c r="T1508" t="s">
        <v>27552</v>
      </c>
      <c r="U1508" t="s">
        <v>27553</v>
      </c>
      <c r="V1508" t="s">
        <v>27554</v>
      </c>
      <c r="W1508" t="s">
        <v>27555</v>
      </c>
      <c r="X1508" t="s">
        <v>27556</v>
      </c>
      <c r="Y1508" t="s">
        <v>27557</v>
      </c>
    </row>
    <row r="1509" spans="1:25" x14ac:dyDescent="0.3">
      <c r="A1509">
        <v>75400</v>
      </c>
      <c r="B1509" t="s">
        <v>27558</v>
      </c>
      <c r="C1509" t="s">
        <v>27559</v>
      </c>
      <c r="D1509" t="s">
        <v>27560</v>
      </c>
      <c r="E1509" t="s">
        <v>27561</v>
      </c>
      <c r="F1509" t="s">
        <v>27562</v>
      </c>
      <c r="G1509" t="s">
        <v>27563</v>
      </c>
      <c r="H1509" t="s">
        <v>27564</v>
      </c>
      <c r="I1509" t="s">
        <v>27565</v>
      </c>
      <c r="J1509" t="s">
        <v>27566</v>
      </c>
      <c r="K1509" t="s">
        <v>27567</v>
      </c>
      <c r="L1509" t="s">
        <v>27568</v>
      </c>
      <c r="M1509" t="s">
        <v>27569</v>
      </c>
      <c r="N1509" t="s">
        <v>27570</v>
      </c>
      <c r="O1509">
        <f>-599.849943872785 -44.4012776951492 -745.704225039202</f>
        <v>-1389.9554466071363</v>
      </c>
      <c r="P1509">
        <f>-609.87177541987 -45.5083269997592 -429.342831742784</f>
        <v>-1084.7229341624134</v>
      </c>
      <c r="Q1509">
        <f>-351.885686449629 -27.0501813682968 -456.628841992935</f>
        <v>-835.5647098108609</v>
      </c>
      <c r="R1509" t="s">
        <v>27571</v>
      </c>
      <c r="S1509" t="s">
        <v>27572</v>
      </c>
      <c r="T1509" t="s">
        <v>27573</v>
      </c>
      <c r="U1509" t="s">
        <v>27574</v>
      </c>
      <c r="V1509" t="s">
        <v>27575</v>
      </c>
      <c r="W1509" t="s">
        <v>27576</v>
      </c>
      <c r="X1509" t="s">
        <v>27577</v>
      </c>
      <c r="Y1509" t="s">
        <v>27578</v>
      </c>
    </row>
    <row r="1510" spans="1:25" x14ac:dyDescent="0.3">
      <c r="A1510">
        <v>75450</v>
      </c>
      <c r="B1510" t="s">
        <v>27579</v>
      </c>
      <c r="C1510" t="s">
        <v>27580</v>
      </c>
      <c r="D1510" t="s">
        <v>27581</v>
      </c>
      <c r="E1510" t="s">
        <v>27582</v>
      </c>
      <c r="F1510" t="s">
        <v>27583</v>
      </c>
      <c r="G1510" t="s">
        <v>27584</v>
      </c>
      <c r="H1510" t="s">
        <v>27585</v>
      </c>
      <c r="I1510" t="s">
        <v>27586</v>
      </c>
      <c r="J1510" t="s">
        <v>27587</v>
      </c>
      <c r="K1510" t="s">
        <v>27588</v>
      </c>
      <c r="L1510" t="s">
        <v>27589</v>
      </c>
      <c r="M1510" t="s">
        <v>27590</v>
      </c>
      <c r="N1510" t="s">
        <v>27591</v>
      </c>
      <c r="O1510">
        <f>-601.099593252422 -45.8321304771741 -745.791795296955</f>
        <v>-1392.723519026551</v>
      </c>
      <c r="P1510">
        <f>-611.186312963309 -46.5626276111786 -429.431462420674</f>
        <v>-1087.1804029951616</v>
      </c>
      <c r="Q1510">
        <f>-353.290494853101 -27.5531676836783 -457.188400150406</f>
        <v>-838.03206268718532</v>
      </c>
      <c r="R1510" t="s">
        <v>27592</v>
      </c>
      <c r="S1510" t="s">
        <v>27593</v>
      </c>
      <c r="T1510" t="s">
        <v>27594</v>
      </c>
      <c r="U1510" t="s">
        <v>27595</v>
      </c>
      <c r="V1510" t="s">
        <v>27596</v>
      </c>
      <c r="W1510" t="s">
        <v>27597</v>
      </c>
      <c r="X1510" t="s">
        <v>27598</v>
      </c>
      <c r="Y1510" t="s">
        <v>27599</v>
      </c>
    </row>
    <row r="1511" spans="1:25" x14ac:dyDescent="0.3">
      <c r="A1511">
        <v>75500</v>
      </c>
      <c r="B1511" t="s">
        <v>27600</v>
      </c>
      <c r="C1511" t="s">
        <v>27601</v>
      </c>
      <c r="D1511" t="s">
        <v>27602</v>
      </c>
      <c r="E1511" t="s">
        <v>27603</v>
      </c>
      <c r="F1511" t="s">
        <v>27604</v>
      </c>
      <c r="G1511" t="s">
        <v>27605</v>
      </c>
      <c r="H1511" t="s">
        <v>27606</v>
      </c>
      <c r="I1511" t="s">
        <v>27607</v>
      </c>
      <c r="J1511" t="s">
        <v>27608</v>
      </c>
      <c r="K1511" t="s">
        <v>27609</v>
      </c>
      <c r="L1511" t="s">
        <v>27610</v>
      </c>
      <c r="M1511" t="s">
        <v>27611</v>
      </c>
      <c r="N1511" t="s">
        <v>27612</v>
      </c>
      <c r="O1511">
        <f>-602.01467477296 -46.6495470077639 -745.707609314585</f>
        <v>-1394.3718310953091</v>
      </c>
      <c r="P1511">
        <f>-611.860597548542 -47.3750642502589 -429.339561955942</f>
        <v>-1088.5752237547429</v>
      </c>
      <c r="Q1511">
        <f>-354.056750100968 -27.6933539125414 -457.479661667296</f>
        <v>-839.22976568080537</v>
      </c>
      <c r="R1511" t="s">
        <v>27613</v>
      </c>
      <c r="S1511" t="s">
        <v>27614</v>
      </c>
      <c r="T1511" t="s">
        <v>27615</v>
      </c>
      <c r="U1511" t="s">
        <v>27616</v>
      </c>
      <c r="V1511" t="s">
        <v>27617</v>
      </c>
      <c r="W1511" t="s">
        <v>27618</v>
      </c>
      <c r="X1511" t="s">
        <v>27619</v>
      </c>
      <c r="Y1511" t="s">
        <v>27620</v>
      </c>
    </row>
    <row r="1512" spans="1:25" x14ac:dyDescent="0.3">
      <c r="A1512">
        <v>75550</v>
      </c>
      <c r="B1512" t="s">
        <v>27621</v>
      </c>
      <c r="C1512" t="s">
        <v>27622</v>
      </c>
      <c r="D1512" t="s">
        <v>27623</v>
      </c>
      <c r="E1512" t="s">
        <v>27624</v>
      </c>
      <c r="F1512" t="s">
        <v>27625</v>
      </c>
      <c r="G1512" t="s">
        <v>27626</v>
      </c>
      <c r="H1512" t="s">
        <v>27627</v>
      </c>
      <c r="I1512" t="s">
        <v>27628</v>
      </c>
      <c r="J1512" t="s">
        <v>27629</v>
      </c>
      <c r="K1512" t="s">
        <v>27630</v>
      </c>
      <c r="L1512" t="s">
        <v>27631</v>
      </c>
      <c r="M1512" t="s">
        <v>27632</v>
      </c>
      <c r="N1512" t="s">
        <v>27633</v>
      </c>
      <c r="O1512">
        <f>-603.990601375237 -49.4953573328012 -745.034183921951</f>
        <v>-1398.5201426299891</v>
      </c>
      <c r="P1512">
        <f>-612.856365812164 -49.6497430170816 -428.636376726229</f>
        <v>-1091.1424855554747</v>
      </c>
      <c r="Q1512">
        <f>-355.405731472021 -28.1304644072281 -458.605422970601</f>
        <v>-842.14161884985015</v>
      </c>
      <c r="R1512" t="s">
        <v>27634</v>
      </c>
      <c r="S1512" t="s">
        <v>27635</v>
      </c>
      <c r="T1512" t="s">
        <v>27636</v>
      </c>
      <c r="U1512" t="s">
        <v>27637</v>
      </c>
      <c r="V1512" t="s">
        <v>27638</v>
      </c>
      <c r="W1512" t="s">
        <v>27639</v>
      </c>
      <c r="X1512" t="s">
        <v>27640</v>
      </c>
      <c r="Y1512" t="s">
        <v>27641</v>
      </c>
    </row>
    <row r="1513" spans="1:25" x14ac:dyDescent="0.3">
      <c r="A1513">
        <v>75600</v>
      </c>
      <c r="B1513" t="s">
        <v>27642</v>
      </c>
      <c r="C1513" t="s">
        <v>27643</v>
      </c>
      <c r="D1513" t="s">
        <v>27644</v>
      </c>
      <c r="E1513" t="s">
        <v>27645</v>
      </c>
      <c r="F1513" t="s">
        <v>27646</v>
      </c>
      <c r="G1513" t="s">
        <v>27647</v>
      </c>
      <c r="H1513" t="s">
        <v>27648</v>
      </c>
      <c r="I1513" t="s">
        <v>27649</v>
      </c>
      <c r="J1513" t="s">
        <v>27650</v>
      </c>
      <c r="K1513" t="s">
        <v>27651</v>
      </c>
      <c r="L1513" t="s">
        <v>27652</v>
      </c>
      <c r="M1513" t="s">
        <v>27653</v>
      </c>
      <c r="N1513" t="s">
        <v>27654</v>
      </c>
      <c r="O1513">
        <f>-605.464880755498 -51.1298413485326 -744.673113769356</f>
        <v>-1401.2678358733865</v>
      </c>
      <c r="P1513">
        <f>-613.048432798506 -51.0061578178711 -428.241982629532</f>
        <v>-1092.2965732459093</v>
      </c>
      <c r="Q1513">
        <f>-355.861579142656 -28.1679870642397 -459.473414465539</f>
        <v>-843.50298067243466</v>
      </c>
      <c r="R1513" t="s">
        <v>27655</v>
      </c>
      <c r="S1513" t="s">
        <v>27656</v>
      </c>
      <c r="T1513" t="s">
        <v>27657</v>
      </c>
      <c r="U1513" t="s">
        <v>27658</v>
      </c>
      <c r="V1513" t="s">
        <v>27659</v>
      </c>
      <c r="W1513" t="s">
        <v>27660</v>
      </c>
      <c r="X1513" t="s">
        <v>27661</v>
      </c>
      <c r="Y1513" t="s">
        <v>27662</v>
      </c>
    </row>
    <row r="1514" spans="1:25" x14ac:dyDescent="0.3">
      <c r="A1514">
        <v>75650</v>
      </c>
      <c r="B1514" t="s">
        <v>27663</v>
      </c>
      <c r="C1514" t="s">
        <v>27664</v>
      </c>
      <c r="D1514" t="s">
        <v>27665</v>
      </c>
      <c r="E1514" t="s">
        <v>27666</v>
      </c>
      <c r="F1514" t="s">
        <v>27667</v>
      </c>
      <c r="G1514" t="s">
        <v>27668</v>
      </c>
      <c r="H1514" t="s">
        <v>27669</v>
      </c>
      <c r="I1514" t="s">
        <v>27670</v>
      </c>
      <c r="J1514" t="s">
        <v>27671</v>
      </c>
      <c r="K1514" t="s">
        <v>27672</v>
      </c>
      <c r="L1514" t="s">
        <v>27673</v>
      </c>
      <c r="M1514" t="s">
        <v>27674</v>
      </c>
      <c r="N1514" t="s">
        <v>27675</v>
      </c>
      <c r="O1514">
        <f>-607.362138202235 -54.3346688557813 -744.584418774153</f>
        <v>-1406.2812258321692</v>
      </c>
      <c r="P1514">
        <f>-613.130575847935 -54.7777061261834 -428.115151252601</f>
        <v>-1096.0234332267194</v>
      </c>
      <c r="Q1514">
        <f>-356.637156864391 -27.8140575322218 -461.673152998949</f>
        <v>-846.12436739556176</v>
      </c>
      <c r="R1514" t="s">
        <v>27676</v>
      </c>
      <c r="S1514" t="s">
        <v>27677</v>
      </c>
      <c r="T1514" t="s">
        <v>27678</v>
      </c>
      <c r="U1514" t="s">
        <v>27679</v>
      </c>
      <c r="V1514" t="s">
        <v>27680</v>
      </c>
      <c r="W1514" t="s">
        <v>27681</v>
      </c>
      <c r="X1514" t="s">
        <v>27682</v>
      </c>
      <c r="Y1514" t="s">
        <v>27683</v>
      </c>
    </row>
    <row r="1515" spans="1:25" x14ac:dyDescent="0.3">
      <c r="A1515">
        <v>75700</v>
      </c>
      <c r="B1515" t="s">
        <v>27684</v>
      </c>
      <c r="C1515" t="s">
        <v>27685</v>
      </c>
      <c r="D1515" t="s">
        <v>27686</v>
      </c>
      <c r="E1515" t="s">
        <v>27687</v>
      </c>
      <c r="F1515" t="s">
        <v>27688</v>
      </c>
      <c r="G1515" t="s">
        <v>27689</v>
      </c>
      <c r="H1515" t="s">
        <v>27690</v>
      </c>
      <c r="I1515" t="s">
        <v>27691</v>
      </c>
      <c r="J1515" t="s">
        <v>27692</v>
      </c>
      <c r="K1515" t="s">
        <v>27693</v>
      </c>
      <c r="L1515" t="s">
        <v>27694</v>
      </c>
      <c r="M1515" t="s">
        <v>27695</v>
      </c>
      <c r="N1515" t="s">
        <v>27696</v>
      </c>
      <c r="O1515">
        <f>-607.780311188344 -56.1446869082506 -744.510225414871</f>
        <v>-1408.4352235114657</v>
      </c>
      <c r="P1515">
        <f>-613.025632962991 -56.9113791822047 -428.032642008385</f>
        <v>-1097.9696541535807</v>
      </c>
      <c r="Q1515">
        <f>-356.865829451307 -27.7973837759616 -462.334022775786</f>
        <v>-846.99723600305458</v>
      </c>
      <c r="R1515" t="s">
        <v>27697</v>
      </c>
      <c r="S1515" t="s">
        <v>27698</v>
      </c>
      <c r="T1515" t="s">
        <v>27699</v>
      </c>
      <c r="U1515" t="s">
        <v>27700</v>
      </c>
      <c r="V1515" t="s">
        <v>27701</v>
      </c>
      <c r="W1515" t="s">
        <v>27702</v>
      </c>
      <c r="X1515" t="s">
        <v>27703</v>
      </c>
      <c r="Y1515" t="s">
        <v>27704</v>
      </c>
    </row>
    <row r="1516" spans="1:25" x14ac:dyDescent="0.3">
      <c r="A1516">
        <v>75750</v>
      </c>
      <c r="B1516" t="s">
        <v>27705</v>
      </c>
      <c r="C1516" t="s">
        <v>27706</v>
      </c>
      <c r="D1516" t="s">
        <v>27707</v>
      </c>
      <c r="E1516" t="s">
        <v>27708</v>
      </c>
      <c r="F1516" t="s">
        <v>27709</v>
      </c>
      <c r="G1516" t="s">
        <v>27710</v>
      </c>
      <c r="H1516" t="s">
        <v>27711</v>
      </c>
      <c r="I1516" t="s">
        <v>27712</v>
      </c>
      <c r="J1516" t="s">
        <v>27713</v>
      </c>
      <c r="K1516" t="s">
        <v>27714</v>
      </c>
      <c r="L1516" t="s">
        <v>27715</v>
      </c>
      <c r="M1516" t="s">
        <v>27716</v>
      </c>
      <c r="N1516" t="s">
        <v>27717</v>
      </c>
      <c r="O1516">
        <f>-607.324877134508 -59.0813580606741 -744.276064297323</f>
        <v>-1410.6822994925051</v>
      </c>
      <c r="P1516">
        <f>-612.421269009136 -59.9247917349273 -427.796191110456</f>
        <v>-1100.1422518545194</v>
      </c>
      <c r="Q1516">
        <f>-356.665190070264 -27.8969383236515 -462.510634338661</f>
        <v>-847.07276273257651</v>
      </c>
      <c r="R1516" t="s">
        <v>27718</v>
      </c>
      <c r="S1516" t="s">
        <v>27719</v>
      </c>
      <c r="T1516" t="s">
        <v>27720</v>
      </c>
      <c r="U1516" t="s">
        <v>27721</v>
      </c>
      <c r="V1516" t="s">
        <v>27722</v>
      </c>
      <c r="W1516" t="s">
        <v>27723</v>
      </c>
      <c r="X1516" t="s">
        <v>27724</v>
      </c>
      <c r="Y1516" t="s">
        <v>27725</v>
      </c>
    </row>
    <row r="1517" spans="1:25" x14ac:dyDescent="0.3">
      <c r="A1517">
        <v>75800</v>
      </c>
      <c r="B1517" t="s">
        <v>27726</v>
      </c>
      <c r="C1517" t="s">
        <v>27727</v>
      </c>
      <c r="D1517" t="s">
        <v>27728</v>
      </c>
      <c r="E1517" t="s">
        <v>27729</v>
      </c>
      <c r="F1517" t="s">
        <v>27730</v>
      </c>
      <c r="G1517" t="s">
        <v>27731</v>
      </c>
      <c r="H1517" t="s">
        <v>27732</v>
      </c>
      <c r="I1517" t="s">
        <v>27733</v>
      </c>
      <c r="J1517" t="s">
        <v>27734</v>
      </c>
      <c r="K1517" t="s">
        <v>27735</v>
      </c>
      <c r="L1517" t="s">
        <v>27736</v>
      </c>
      <c r="M1517" t="s">
        <v>27737</v>
      </c>
      <c r="N1517" t="s">
        <v>27738</v>
      </c>
      <c r="O1517">
        <f>-606.905332386256 -60.6255712984578 -744.035910660024</f>
        <v>-1411.5668143447378</v>
      </c>
      <c r="P1517">
        <f>-612.091962442073 -61.2723578052589 -427.557074012773</f>
        <v>-1100.921394260105</v>
      </c>
      <c r="Q1517">
        <f>-356.459676174895 -28.3022505886804 -462.300946053869</f>
        <v>-847.06287281744437</v>
      </c>
      <c r="R1517" t="s">
        <v>27739</v>
      </c>
      <c r="S1517" t="s">
        <v>27740</v>
      </c>
      <c r="T1517" t="s">
        <v>27741</v>
      </c>
      <c r="U1517" t="s">
        <v>27742</v>
      </c>
      <c r="V1517" t="s">
        <v>27743</v>
      </c>
      <c r="W1517" t="s">
        <v>27744</v>
      </c>
      <c r="X1517" t="s">
        <v>27745</v>
      </c>
      <c r="Y1517" t="s">
        <v>27746</v>
      </c>
    </row>
    <row r="1518" spans="1:25" x14ac:dyDescent="0.3">
      <c r="A1518">
        <v>75850</v>
      </c>
      <c r="B1518" t="s">
        <v>27747</v>
      </c>
      <c r="C1518" t="s">
        <v>27748</v>
      </c>
      <c r="D1518" t="s">
        <v>27749</v>
      </c>
      <c r="E1518" t="s">
        <v>27750</v>
      </c>
      <c r="F1518" t="s">
        <v>27751</v>
      </c>
      <c r="G1518" t="s">
        <v>27752</v>
      </c>
      <c r="H1518" t="s">
        <v>27753</v>
      </c>
      <c r="I1518" t="s">
        <v>27754</v>
      </c>
      <c r="J1518" t="s">
        <v>27755</v>
      </c>
      <c r="K1518" t="s">
        <v>27756</v>
      </c>
      <c r="L1518" t="s">
        <v>27757</v>
      </c>
      <c r="M1518" t="s">
        <v>27758</v>
      </c>
      <c r="N1518" t="s">
        <v>27759</v>
      </c>
      <c r="O1518">
        <f>-605.354832393522 -64.0314668185963 -743.287174343098</f>
        <v>-1412.6734735552163</v>
      </c>
      <c r="P1518">
        <f>-611.771065383408 -64.290230024563 -426.830315072991</f>
        <v>-1102.8916104809621</v>
      </c>
      <c r="Q1518">
        <f>-356.52941761563 -28.3452395867262 -461.495951256227</f>
        <v>-846.37060845858321</v>
      </c>
      <c r="R1518" t="s">
        <v>27760</v>
      </c>
      <c r="S1518" t="s">
        <v>27761</v>
      </c>
      <c r="T1518" t="s">
        <v>27762</v>
      </c>
      <c r="U1518" t="s">
        <v>27763</v>
      </c>
      <c r="V1518" t="s">
        <v>27764</v>
      </c>
      <c r="W1518" t="s">
        <v>27765</v>
      </c>
      <c r="X1518" t="s">
        <v>27766</v>
      </c>
      <c r="Y1518" t="s">
        <v>27767</v>
      </c>
    </row>
    <row r="1519" spans="1:25" x14ac:dyDescent="0.3">
      <c r="A1519">
        <v>75900</v>
      </c>
      <c r="B1519" t="s">
        <v>27768</v>
      </c>
      <c r="C1519" t="s">
        <v>27769</v>
      </c>
      <c r="D1519" t="s">
        <v>27770</v>
      </c>
      <c r="E1519" t="s">
        <v>27771</v>
      </c>
      <c r="F1519" t="s">
        <v>27772</v>
      </c>
      <c r="G1519" t="s">
        <v>27773</v>
      </c>
      <c r="H1519" t="s">
        <v>27774</v>
      </c>
      <c r="I1519" t="s">
        <v>27775</v>
      </c>
      <c r="J1519" t="s">
        <v>27776</v>
      </c>
      <c r="K1519" t="s">
        <v>27777</v>
      </c>
      <c r="L1519" t="s">
        <v>27778</v>
      </c>
      <c r="M1519" t="s">
        <v>27779</v>
      </c>
      <c r="N1519" t="s">
        <v>27780</v>
      </c>
      <c r="O1519">
        <f>-604.220188490923 -65.8883710927526 -742.604729044562</f>
        <v>-1412.7132886282375</v>
      </c>
      <c r="P1519">
        <f>-611.666943429066 -65.8247358684214 -426.170436421558</f>
        <v>-1103.6621157190455</v>
      </c>
      <c r="Q1519">
        <f>-356.636454099617 -28.1209329624664 -460.520604227652</f>
        <v>-845.27799128973538</v>
      </c>
      <c r="R1519" t="s">
        <v>27781</v>
      </c>
      <c r="S1519" t="s">
        <v>27782</v>
      </c>
      <c r="T1519" t="s">
        <v>27783</v>
      </c>
      <c r="U1519" t="s">
        <v>27784</v>
      </c>
      <c r="V1519" t="s">
        <v>27785</v>
      </c>
      <c r="W1519" t="s">
        <v>27786</v>
      </c>
      <c r="X1519" t="s">
        <v>27787</v>
      </c>
      <c r="Y1519" t="s">
        <v>27788</v>
      </c>
    </row>
    <row r="1520" spans="1:25" x14ac:dyDescent="0.3">
      <c r="A1520">
        <v>75950</v>
      </c>
      <c r="B1520" t="s">
        <v>27789</v>
      </c>
      <c r="C1520" t="s">
        <v>27790</v>
      </c>
      <c r="D1520" t="s">
        <v>27791</v>
      </c>
      <c r="E1520" t="s">
        <v>27792</v>
      </c>
      <c r="F1520" t="s">
        <v>27793</v>
      </c>
      <c r="G1520" t="s">
        <v>27794</v>
      </c>
      <c r="H1520" t="s">
        <v>27795</v>
      </c>
      <c r="I1520" t="s">
        <v>27796</v>
      </c>
      <c r="J1520" t="s">
        <v>27797</v>
      </c>
      <c r="K1520" t="s">
        <v>27798</v>
      </c>
      <c r="L1520" t="s">
        <v>27799</v>
      </c>
      <c r="M1520" t="s">
        <v>27800</v>
      </c>
      <c r="N1520" t="s">
        <v>27801</v>
      </c>
      <c r="O1520">
        <f>-601.631374521816 -70.2503697638167 -740.630871720841</f>
        <v>-1412.5126160064738</v>
      </c>
      <c r="P1520">
        <f>-612.9517821414 -67.9901957580105 -424.31949987136</f>
        <v>-1105.2614777707704</v>
      </c>
      <c r="Q1520">
        <f>-358.830388665684 -24.1573702170685 -458.128601586052</f>
        <v>-841.11636046880449</v>
      </c>
      <c r="R1520" t="s">
        <v>27802</v>
      </c>
      <c r="S1520" t="s">
        <v>27803</v>
      </c>
      <c r="T1520" t="s">
        <v>27804</v>
      </c>
      <c r="U1520" t="s">
        <v>27805</v>
      </c>
      <c r="V1520" t="s">
        <v>27806</v>
      </c>
      <c r="W1520" t="s">
        <v>27807</v>
      </c>
      <c r="X1520" t="s">
        <v>27808</v>
      </c>
      <c r="Y1520" t="s">
        <v>27809</v>
      </c>
    </row>
    <row r="1521" spans="1:25" x14ac:dyDescent="0.3">
      <c r="A1521">
        <v>76000</v>
      </c>
      <c r="B1521" t="s">
        <v>27810</v>
      </c>
      <c r="C1521" t="s">
        <v>27811</v>
      </c>
      <c r="D1521" t="s">
        <v>27812</v>
      </c>
      <c r="E1521" t="s">
        <v>27813</v>
      </c>
      <c r="F1521" t="s">
        <v>27814</v>
      </c>
      <c r="G1521" t="s">
        <v>27815</v>
      </c>
      <c r="H1521" t="s">
        <v>27816</v>
      </c>
      <c r="I1521" t="s">
        <v>27817</v>
      </c>
      <c r="J1521" t="s">
        <v>27818</v>
      </c>
      <c r="K1521" t="s">
        <v>27819</v>
      </c>
      <c r="L1521" t="s">
        <v>27820</v>
      </c>
      <c r="M1521" t="s">
        <v>27821</v>
      </c>
      <c r="N1521" t="s">
        <v>27822</v>
      </c>
      <c r="O1521">
        <f>-600.786714735471 -73.8083949625984 -738.791392600015</f>
        <v>-1413.3865022980845</v>
      </c>
      <c r="P1521">
        <f>-615.080943637712 -70.2393068765266 -422.612348442835</f>
        <v>-1107.9325989570737</v>
      </c>
      <c r="Q1521">
        <f>-362.203013434794 -20.1735873909354 -457.083028901991</f>
        <v>-839.45962972772031</v>
      </c>
      <c r="R1521" t="s">
        <v>27823</v>
      </c>
      <c r="S1521" t="s">
        <v>27824</v>
      </c>
      <c r="T1521" t="s">
        <v>27825</v>
      </c>
      <c r="U1521" t="s">
        <v>27826</v>
      </c>
      <c r="V1521" t="s">
        <v>27827</v>
      </c>
      <c r="W1521" t="s">
        <v>27828</v>
      </c>
      <c r="X1521" t="s">
        <v>27829</v>
      </c>
      <c r="Y1521" t="s">
        <v>27830</v>
      </c>
    </row>
    <row r="1522" spans="1:25" x14ac:dyDescent="0.3">
      <c r="A1522">
        <v>76050</v>
      </c>
      <c r="B1522" t="s">
        <v>27831</v>
      </c>
      <c r="C1522" t="s">
        <v>27832</v>
      </c>
      <c r="D1522" t="s">
        <v>27833</v>
      </c>
      <c r="E1522" t="s">
        <v>27834</v>
      </c>
      <c r="F1522" t="s">
        <v>27835</v>
      </c>
      <c r="G1522" t="s">
        <v>27836</v>
      </c>
      <c r="H1522" t="s">
        <v>27837</v>
      </c>
      <c r="I1522" t="s">
        <v>27838</v>
      </c>
      <c r="J1522" t="s">
        <v>27839</v>
      </c>
      <c r="K1522" t="s">
        <v>27840</v>
      </c>
      <c r="L1522" t="s">
        <v>27841</v>
      </c>
      <c r="M1522" t="s">
        <v>27842</v>
      </c>
      <c r="N1522" t="s">
        <v>27843</v>
      </c>
      <c r="O1522">
        <f>-599.141518672916 -83.5853640865444 -732.992312759151</f>
        <v>-1415.7191955186113</v>
      </c>
      <c r="P1522">
        <f>-619.188599925115 -73.9626949102933 -417.252421021357</f>
        <v>-1110.4037158567653</v>
      </c>
      <c r="Q1522">
        <f>-369.435056959912 -11.3970778335013 -454.004587919718</f>
        <v>-834.83672271313128</v>
      </c>
      <c r="R1522" t="s">
        <v>27844</v>
      </c>
      <c r="S1522" t="s">
        <v>27845</v>
      </c>
      <c r="T1522" t="s">
        <v>27846</v>
      </c>
      <c r="U1522" t="s">
        <v>27847</v>
      </c>
      <c r="V1522" t="s">
        <v>27848</v>
      </c>
      <c r="W1522" t="s">
        <v>27849</v>
      </c>
      <c r="X1522" t="s">
        <v>27850</v>
      </c>
      <c r="Y1522" t="s">
        <v>27851</v>
      </c>
    </row>
    <row r="1523" spans="1:25" x14ac:dyDescent="0.3">
      <c r="A1523">
        <v>76100</v>
      </c>
      <c r="B1523" t="s">
        <v>27852</v>
      </c>
      <c r="C1523" t="s">
        <v>27853</v>
      </c>
      <c r="D1523" t="s">
        <v>27854</v>
      </c>
      <c r="E1523" t="s">
        <v>27855</v>
      </c>
      <c r="F1523" t="s">
        <v>27856</v>
      </c>
      <c r="G1523" t="s">
        <v>27857</v>
      </c>
      <c r="H1523" t="s">
        <v>27858</v>
      </c>
      <c r="I1523" t="s">
        <v>27859</v>
      </c>
      <c r="J1523" t="s">
        <v>27860</v>
      </c>
      <c r="K1523" t="s">
        <v>27861</v>
      </c>
      <c r="L1523" t="s">
        <v>27862</v>
      </c>
      <c r="M1523" t="s">
        <v>27863</v>
      </c>
      <c r="N1523" t="s">
        <v>27864</v>
      </c>
      <c r="O1523">
        <f>-598.486783789783 -90.4180462598351 -728.874325600911</f>
        <v>-1417.779155650529</v>
      </c>
      <c r="P1523">
        <f>-621.646388762842 -76.0203554589209 -413.529191111131</f>
        <v>-1111.1959353328939</v>
      </c>
      <c r="Q1523">
        <f>-373.563876518437 -8.24933581165351 -452.313494636989</f>
        <v>-834.12670696707949</v>
      </c>
      <c r="R1523" t="s">
        <v>27865</v>
      </c>
      <c r="S1523" t="s">
        <v>27866</v>
      </c>
      <c r="T1523" t="s">
        <v>27867</v>
      </c>
      <c r="U1523" t="s">
        <v>27868</v>
      </c>
      <c r="V1523" t="s">
        <v>27869</v>
      </c>
      <c r="W1523" t="s">
        <v>27870</v>
      </c>
      <c r="X1523" t="s">
        <v>27871</v>
      </c>
      <c r="Y1523" t="s">
        <v>27872</v>
      </c>
    </row>
    <row r="1524" spans="1:25" x14ac:dyDescent="0.3">
      <c r="A1524">
        <v>76150</v>
      </c>
      <c r="B1524" t="s">
        <v>27873</v>
      </c>
      <c r="C1524" t="s">
        <v>27874</v>
      </c>
      <c r="D1524" t="s">
        <v>27875</v>
      </c>
      <c r="E1524" t="s">
        <v>27876</v>
      </c>
      <c r="F1524" t="s">
        <v>27877</v>
      </c>
      <c r="G1524" t="s">
        <v>27878</v>
      </c>
      <c r="H1524" t="s">
        <v>27879</v>
      </c>
      <c r="I1524" t="s">
        <v>27880</v>
      </c>
      <c r="J1524" t="s">
        <v>27881</v>
      </c>
      <c r="K1524" t="s">
        <v>27882</v>
      </c>
      <c r="L1524" t="s">
        <v>27883</v>
      </c>
      <c r="M1524" t="s">
        <v>27884</v>
      </c>
      <c r="N1524" t="s">
        <v>27885</v>
      </c>
      <c r="O1524">
        <f>-596.293443307689 -104.772035363351 -720.05850245484</f>
        <v>-1421.1239811258799</v>
      </c>
      <c r="P1524">
        <f>-624.619049007547 -79.6779587451406 -405.806737093922</f>
        <v>-1110.1037448466095</v>
      </c>
      <c r="Q1524">
        <f>-378.572177619382 -5.94544648700094 -446.629749959234</f>
        <v>-831.14737406561699</v>
      </c>
      <c r="R1524" t="s">
        <v>27886</v>
      </c>
      <c r="S1524" t="s">
        <v>27887</v>
      </c>
      <c r="T1524" t="s">
        <v>27888</v>
      </c>
      <c r="U1524" t="s">
        <v>27889</v>
      </c>
      <c r="V1524" t="s">
        <v>27890</v>
      </c>
      <c r="W1524" t="s">
        <v>27891</v>
      </c>
      <c r="X1524" t="s">
        <v>27892</v>
      </c>
      <c r="Y1524" t="s">
        <v>27893</v>
      </c>
    </row>
    <row r="1525" spans="1:25" x14ac:dyDescent="0.3">
      <c r="A1525">
        <v>76200</v>
      </c>
      <c r="B1525" t="s">
        <v>27894</v>
      </c>
      <c r="C1525" t="s">
        <v>27895</v>
      </c>
      <c r="D1525" t="s">
        <v>27896</v>
      </c>
      <c r="E1525" t="s">
        <v>27897</v>
      </c>
      <c r="F1525" t="s">
        <v>27898</v>
      </c>
      <c r="G1525" t="s">
        <v>27899</v>
      </c>
      <c r="H1525" t="s">
        <v>27900</v>
      </c>
      <c r="I1525" t="s">
        <v>27901</v>
      </c>
      <c r="J1525" t="s">
        <v>27902</v>
      </c>
      <c r="K1525" t="s">
        <v>27903</v>
      </c>
      <c r="L1525" t="s">
        <v>27904</v>
      </c>
      <c r="M1525" t="s">
        <v>27905</v>
      </c>
      <c r="N1525" t="s">
        <v>27906</v>
      </c>
      <c r="O1525">
        <f>-594.779331142826 -111.301664197113 -716.584327360688</f>
        <v>-1422.665322700627</v>
      </c>
      <c r="P1525">
        <f>-625.576124045765 -82.2252577140987 -402.908884454002</f>
        <v>-1110.7102662138657</v>
      </c>
      <c r="Q1525">
        <f>-380.061929133032 -6.69966847654109 -443.660534131553</f>
        <v>-830.42213174112612</v>
      </c>
      <c r="R1525" t="s">
        <v>27907</v>
      </c>
      <c r="S1525" t="s">
        <v>27908</v>
      </c>
      <c r="T1525" t="s">
        <v>27909</v>
      </c>
      <c r="U1525" t="s">
        <v>27910</v>
      </c>
      <c r="V1525" t="s">
        <v>27911</v>
      </c>
      <c r="W1525" t="s">
        <v>27912</v>
      </c>
      <c r="X1525" t="s">
        <v>27913</v>
      </c>
      <c r="Y1525" t="s">
        <v>27914</v>
      </c>
    </row>
    <row r="1526" spans="1:25" x14ac:dyDescent="0.3">
      <c r="A1526">
        <v>76250</v>
      </c>
      <c r="B1526" t="s">
        <v>27915</v>
      </c>
      <c r="C1526" t="s">
        <v>27916</v>
      </c>
      <c r="D1526" t="s">
        <v>27917</v>
      </c>
      <c r="E1526" t="s">
        <v>27918</v>
      </c>
      <c r="F1526" t="s">
        <v>27919</v>
      </c>
      <c r="G1526" t="s">
        <v>27920</v>
      </c>
      <c r="H1526" t="s">
        <v>27921</v>
      </c>
      <c r="I1526" t="s">
        <v>27922</v>
      </c>
      <c r="J1526" t="s">
        <v>27923</v>
      </c>
      <c r="K1526" t="s">
        <v>27924</v>
      </c>
      <c r="L1526" t="s">
        <v>27925</v>
      </c>
      <c r="M1526" t="s">
        <v>27926</v>
      </c>
      <c r="N1526" t="s">
        <v>27927</v>
      </c>
      <c r="O1526">
        <f>-591.935231938275 -120.93331914638 -712.847165453201</f>
        <v>-1425.715716537856</v>
      </c>
      <c r="P1526">
        <f>-625.287924838395 -90.0830231006494 -399.602712868008</f>
        <v>-1114.9736608070525</v>
      </c>
      <c r="Q1526">
        <f>-380.854089999303 -11.2909712962094 -440.663319475382</f>
        <v>-832.80838077089447</v>
      </c>
      <c r="R1526" t="s">
        <v>27928</v>
      </c>
      <c r="S1526" t="s">
        <v>27929</v>
      </c>
      <c r="T1526" t="s">
        <v>27930</v>
      </c>
      <c r="U1526" t="s">
        <v>27931</v>
      </c>
      <c r="V1526" t="s">
        <v>27932</v>
      </c>
      <c r="W1526" t="s">
        <v>27933</v>
      </c>
      <c r="X1526" t="s">
        <v>27934</v>
      </c>
      <c r="Y1526" t="s">
        <v>27935</v>
      </c>
    </row>
    <row r="1527" spans="1:25" x14ac:dyDescent="0.3">
      <c r="A1527">
        <v>76300</v>
      </c>
      <c r="B1527" t="s">
        <v>27936</v>
      </c>
      <c r="C1527" t="s">
        <v>27937</v>
      </c>
      <c r="D1527" t="s">
        <v>27938</v>
      </c>
      <c r="E1527" t="s">
        <v>27939</v>
      </c>
      <c r="F1527" t="s">
        <v>27940</v>
      </c>
      <c r="G1527" t="s">
        <v>27941</v>
      </c>
      <c r="H1527" t="s">
        <v>27942</v>
      </c>
      <c r="I1527" t="s">
        <v>27943</v>
      </c>
      <c r="J1527" t="s">
        <v>27944</v>
      </c>
      <c r="K1527" t="s">
        <v>27945</v>
      </c>
      <c r="L1527" t="s">
        <v>27946</v>
      </c>
      <c r="M1527" t="s">
        <v>27947</v>
      </c>
      <c r="N1527" t="s">
        <v>27948</v>
      </c>
      <c r="O1527">
        <f>-590.248658407145 -124.782163807589 -712.095547227541</f>
        <v>-1427.1263694422751</v>
      </c>
      <c r="P1527">
        <f>-624.090469646699 -95.0359531292561 -398.796787259136</f>
        <v>-1117.9232100350912</v>
      </c>
      <c r="Q1527">
        <f>-380.0887979351 -15.2090695952429 -440.425190350212</f>
        <v>-835.72305788055496</v>
      </c>
      <c r="R1527" t="s">
        <v>27949</v>
      </c>
      <c r="S1527" t="s">
        <v>27950</v>
      </c>
      <c r="T1527" t="s">
        <v>27951</v>
      </c>
      <c r="U1527" t="s">
        <v>27952</v>
      </c>
      <c r="V1527" t="s">
        <v>27953</v>
      </c>
      <c r="W1527" t="s">
        <v>27954</v>
      </c>
      <c r="X1527" t="s">
        <v>27955</v>
      </c>
      <c r="Y1527" t="s">
        <v>27956</v>
      </c>
    </row>
    <row r="1528" spans="1:25" x14ac:dyDescent="0.3">
      <c r="A1528">
        <v>76350</v>
      </c>
      <c r="B1528" t="s">
        <v>27957</v>
      </c>
      <c r="C1528" t="s">
        <v>27958</v>
      </c>
      <c r="D1528" t="s">
        <v>27959</v>
      </c>
      <c r="E1528" t="s">
        <v>27960</v>
      </c>
      <c r="F1528" t="s">
        <v>27961</v>
      </c>
      <c r="G1528" t="s">
        <v>27962</v>
      </c>
      <c r="H1528" t="s">
        <v>27963</v>
      </c>
      <c r="I1528" t="s">
        <v>27964</v>
      </c>
      <c r="J1528" t="s">
        <v>27965</v>
      </c>
      <c r="K1528" t="s">
        <v>27966</v>
      </c>
      <c r="L1528" t="s">
        <v>27967</v>
      </c>
      <c r="M1528" t="s">
        <v>27968</v>
      </c>
      <c r="N1528" t="s">
        <v>27969</v>
      </c>
      <c r="O1528">
        <f>-587.614382321801 -131.302034043368 -712.161730593698</f>
        <v>-1431.0781469588669</v>
      </c>
      <c r="P1528">
        <f>-621.103439646062 -104.601077190532 -398.550850526416</f>
        <v>-1124.25536736301</v>
      </c>
      <c r="Q1528">
        <f>-378.266078774269 -22.4674611774899 -442.438861304011</f>
        <v>-843.17240125576996</v>
      </c>
      <c r="R1528" t="s">
        <v>27970</v>
      </c>
      <c r="S1528" t="s">
        <v>27971</v>
      </c>
      <c r="T1528" t="s">
        <v>27972</v>
      </c>
      <c r="U1528" t="s">
        <v>27973</v>
      </c>
      <c r="V1528" t="s">
        <v>27974</v>
      </c>
      <c r="W1528" t="s">
        <v>27975</v>
      </c>
      <c r="X1528" t="s">
        <v>27976</v>
      </c>
      <c r="Y1528" t="s">
        <v>27977</v>
      </c>
    </row>
    <row r="1529" spans="1:25" x14ac:dyDescent="0.3">
      <c r="A1529">
        <v>76400</v>
      </c>
      <c r="B1529" t="s">
        <v>27978</v>
      </c>
      <c r="C1529" t="s">
        <v>27979</v>
      </c>
      <c r="D1529" t="s">
        <v>27980</v>
      </c>
      <c r="E1529" t="s">
        <v>27981</v>
      </c>
      <c r="F1529" t="s">
        <v>27982</v>
      </c>
      <c r="G1529" t="s">
        <v>27983</v>
      </c>
      <c r="H1529" t="s">
        <v>27984</v>
      </c>
      <c r="I1529" t="s">
        <v>27985</v>
      </c>
      <c r="J1529" t="s">
        <v>27986</v>
      </c>
      <c r="K1529" t="s">
        <v>27987</v>
      </c>
      <c r="L1529" t="s">
        <v>27988</v>
      </c>
      <c r="M1529" t="s">
        <v>27989</v>
      </c>
      <c r="N1529" t="s">
        <v>27990</v>
      </c>
      <c r="O1529">
        <f>-586.571278252678 -133.940121304268 -713.019591108474</f>
        <v>-1433.5309906654199</v>
      </c>
      <c r="P1529">
        <f>-619.551002912129 -109.162127615046 -399.197148144277</f>
        <v>-1127.910278671452</v>
      </c>
      <c r="Q1529">
        <f>-377.390484140371 -25.769197099798 -444.4295238107</f>
        <v>-847.58920505086894</v>
      </c>
      <c r="R1529" t="s">
        <v>27991</v>
      </c>
      <c r="S1529" t="s">
        <v>27992</v>
      </c>
      <c r="T1529" t="s">
        <v>27993</v>
      </c>
      <c r="U1529" t="s">
        <v>27994</v>
      </c>
      <c r="V1529" t="s">
        <v>27995</v>
      </c>
      <c r="W1529" t="s">
        <v>27996</v>
      </c>
      <c r="X1529" t="s">
        <v>27997</v>
      </c>
      <c r="Y1529" t="s">
        <v>27998</v>
      </c>
    </row>
    <row r="1530" spans="1:25" x14ac:dyDescent="0.3">
      <c r="A1530">
        <v>76450</v>
      </c>
      <c r="B1530" t="s">
        <v>27999</v>
      </c>
      <c r="C1530" t="s">
        <v>28000</v>
      </c>
      <c r="D1530" t="s">
        <v>28001</v>
      </c>
      <c r="E1530" t="s">
        <v>28002</v>
      </c>
      <c r="F1530" t="s">
        <v>28003</v>
      </c>
      <c r="G1530" t="s">
        <v>28004</v>
      </c>
      <c r="H1530" t="s">
        <v>28005</v>
      </c>
      <c r="I1530" t="s">
        <v>28006</v>
      </c>
      <c r="J1530" t="s">
        <v>28007</v>
      </c>
      <c r="K1530" t="s">
        <v>28008</v>
      </c>
      <c r="L1530" t="s">
        <v>28009</v>
      </c>
      <c r="M1530" t="s">
        <v>28010</v>
      </c>
      <c r="N1530" t="s">
        <v>28011</v>
      </c>
      <c r="O1530">
        <f>-584.618897946346 -137.82670043413 -716.199698843206</f>
        <v>-1438.6452972236821</v>
      </c>
      <c r="P1530">
        <f>-616.240035015149 -117.897233793401 -401.892293109351</f>
        <v>-1136.029561917901</v>
      </c>
      <c r="Q1530">
        <f>-375.380602520052 -31.9467976071967 -449.234725385018</f>
        <v>-856.56212551226668</v>
      </c>
      <c r="R1530" t="s">
        <v>28012</v>
      </c>
      <c r="S1530" t="s">
        <v>28013</v>
      </c>
      <c r="T1530" t="s">
        <v>28014</v>
      </c>
      <c r="U1530" t="s">
        <v>28015</v>
      </c>
      <c r="V1530" t="s">
        <v>28016</v>
      </c>
      <c r="W1530" t="s">
        <v>28017</v>
      </c>
      <c r="X1530" t="s">
        <v>28018</v>
      </c>
      <c r="Y1530" t="s">
        <v>28019</v>
      </c>
    </row>
    <row r="1531" spans="1:25" x14ac:dyDescent="0.3">
      <c r="A1531">
        <v>76500</v>
      </c>
      <c r="B1531" t="s">
        <v>28020</v>
      </c>
      <c r="C1531" t="s">
        <v>28021</v>
      </c>
      <c r="D1531" t="s">
        <v>28022</v>
      </c>
      <c r="E1531" t="s">
        <v>28023</v>
      </c>
      <c r="F1531" t="s">
        <v>28024</v>
      </c>
      <c r="G1531" t="s">
        <v>28025</v>
      </c>
      <c r="H1531" t="s">
        <v>28026</v>
      </c>
      <c r="I1531" t="s">
        <v>28027</v>
      </c>
      <c r="J1531" t="s">
        <v>28028</v>
      </c>
      <c r="K1531" t="s">
        <v>28029</v>
      </c>
      <c r="L1531" t="s">
        <v>28030</v>
      </c>
      <c r="M1531" t="s">
        <v>28031</v>
      </c>
      <c r="N1531" t="s">
        <v>28032</v>
      </c>
      <c r="O1531">
        <f>-583.737395254013 -139.209879139021 -718.386098475774</f>
        <v>-1441.3333728688081</v>
      </c>
      <c r="P1531">
        <f>-614.802849681431 -121.95734658066 -403.865005074031</f>
        <v>-1140.625201336122</v>
      </c>
      <c r="Q1531">
        <f>-374.304185860199 -35.0819850733287 -451.352787389415</f>
        <v>-860.73895832294284</v>
      </c>
      <c r="R1531" t="s">
        <v>28033</v>
      </c>
      <c r="S1531" t="s">
        <v>28034</v>
      </c>
      <c r="T1531" t="s">
        <v>28035</v>
      </c>
      <c r="U1531" t="s">
        <v>28036</v>
      </c>
      <c r="V1531" t="s">
        <v>28037</v>
      </c>
      <c r="W1531" t="s">
        <v>28038</v>
      </c>
      <c r="X1531" t="s">
        <v>28039</v>
      </c>
      <c r="Y1531" t="s">
        <v>28040</v>
      </c>
    </row>
    <row r="1532" spans="1:25" x14ac:dyDescent="0.3">
      <c r="A1532">
        <v>76550</v>
      </c>
      <c r="B1532" t="s">
        <v>28041</v>
      </c>
      <c r="C1532" t="s">
        <v>28042</v>
      </c>
      <c r="D1532" t="s">
        <v>28043</v>
      </c>
      <c r="E1532" t="s">
        <v>28044</v>
      </c>
      <c r="F1532" t="s">
        <v>28045</v>
      </c>
      <c r="G1532" t="s">
        <v>28046</v>
      </c>
      <c r="H1532" t="s">
        <v>28047</v>
      </c>
      <c r="I1532" t="s">
        <v>28048</v>
      </c>
      <c r="J1532" t="s">
        <v>28049</v>
      </c>
      <c r="K1532" t="s">
        <v>28050</v>
      </c>
      <c r="L1532" t="s">
        <v>28051</v>
      </c>
      <c r="M1532" t="s">
        <v>28052</v>
      </c>
      <c r="N1532">
        <f>-582.668729188093 -2.11088470330105 -766.210060284449</f>
        <v>-1350.989674175843</v>
      </c>
      <c r="O1532">
        <f>-581.080438312362 -142.556019772747 -722.670294133877</f>
        <v>-1446.306752218986</v>
      </c>
      <c r="P1532">
        <f>-611.347355535436 -130.954944293535 -407.812370837765</f>
        <v>-1150.1146706667359</v>
      </c>
      <c r="Q1532">
        <f>-371.413089926804 -42.5549242257716 -455.341721647519</f>
        <v>-869.30973580009459</v>
      </c>
      <c r="R1532" t="s">
        <v>28053</v>
      </c>
      <c r="S1532" t="s">
        <v>28054</v>
      </c>
      <c r="T1532" t="s">
        <v>28055</v>
      </c>
      <c r="U1532" t="s">
        <v>28056</v>
      </c>
      <c r="V1532" t="s">
        <v>28057</v>
      </c>
      <c r="W1532" t="s">
        <v>28058</v>
      </c>
      <c r="X1532" t="s">
        <v>28059</v>
      </c>
      <c r="Y1532" t="s">
        <v>28060</v>
      </c>
    </row>
    <row r="1533" spans="1:25" x14ac:dyDescent="0.3">
      <c r="A1533">
        <v>76600</v>
      </c>
      <c r="B1533" t="s">
        <v>28061</v>
      </c>
      <c r="C1533" t="s">
        <v>28062</v>
      </c>
      <c r="D1533" t="s">
        <v>28063</v>
      </c>
      <c r="E1533" t="s">
        <v>28064</v>
      </c>
      <c r="F1533" t="s">
        <v>28065</v>
      </c>
      <c r="G1533" t="s">
        <v>28066</v>
      </c>
      <c r="H1533" t="s">
        <v>28067</v>
      </c>
      <c r="I1533" t="s">
        <v>28068</v>
      </c>
      <c r="J1533" t="s">
        <v>28069</v>
      </c>
      <c r="K1533" t="s">
        <v>28070</v>
      </c>
      <c r="L1533" t="s">
        <v>28071</v>
      </c>
      <c r="M1533" t="s">
        <v>28072</v>
      </c>
      <c r="N1533">
        <f>-582.08147385619 -3.49530013711524 -767.025294245562</f>
        <v>-1352.6020682388671</v>
      </c>
      <c r="O1533">
        <f>-579.792912043028 -144.370956356424 -724.92912906677</f>
        <v>-1449.092997466222</v>
      </c>
      <c r="P1533">
        <f>-609.494580565518 -135.605250515031 -409.925704943526</f>
        <v>-1155.0255360240751</v>
      </c>
      <c r="Q1533">
        <f>-369.388580698123 -47.0771213675223 -456.336207539761</f>
        <v>-872.80190960540631</v>
      </c>
      <c r="R1533" t="s">
        <v>28073</v>
      </c>
      <c r="S1533" t="s">
        <v>28074</v>
      </c>
      <c r="T1533" t="s">
        <v>28075</v>
      </c>
      <c r="U1533" t="s">
        <v>28076</v>
      </c>
      <c r="V1533" t="s">
        <v>28077</v>
      </c>
      <c r="W1533" t="s">
        <v>28078</v>
      </c>
      <c r="X1533" t="s">
        <v>28079</v>
      </c>
      <c r="Y1533" t="s">
        <v>28080</v>
      </c>
    </row>
    <row r="1534" spans="1:25" x14ac:dyDescent="0.3">
      <c r="A1534">
        <v>76650</v>
      </c>
      <c r="B1534" t="s">
        <v>28081</v>
      </c>
      <c r="C1534" t="s">
        <v>28082</v>
      </c>
      <c r="D1534" t="s">
        <v>28083</v>
      </c>
      <c r="E1534" t="s">
        <v>28084</v>
      </c>
      <c r="F1534" t="s">
        <v>28085</v>
      </c>
      <c r="G1534" t="s">
        <v>28086</v>
      </c>
      <c r="H1534" t="s">
        <v>28087</v>
      </c>
      <c r="I1534" t="s">
        <v>28088</v>
      </c>
      <c r="J1534" t="s">
        <v>28089</v>
      </c>
      <c r="K1534" t="s">
        <v>28090</v>
      </c>
      <c r="L1534" t="s">
        <v>28091</v>
      </c>
      <c r="M1534" t="s">
        <v>28092</v>
      </c>
      <c r="N1534">
        <f>-581.448363336518 -5.89195591429757 -769.110462686201</f>
        <v>-1356.4507819370165</v>
      </c>
      <c r="O1534">
        <f>-577.753430864106 -147.456598113075 -729.550356224905</f>
        <v>-1454.7603852020861</v>
      </c>
      <c r="P1534">
        <f>-606.303209655332 -143.944426346684 -414.338094463218</f>
        <v>-1164.5857304652341</v>
      </c>
      <c r="Q1534">
        <f>-366.21259559976 -54.2773115663863 -458.591143289583</f>
        <v>-879.08105045572927</v>
      </c>
      <c r="R1534" t="s">
        <v>28093</v>
      </c>
      <c r="S1534" t="s">
        <v>28094</v>
      </c>
      <c r="T1534" t="s">
        <v>28095</v>
      </c>
      <c r="U1534" t="s">
        <v>28096</v>
      </c>
      <c r="V1534" t="s">
        <v>28097</v>
      </c>
      <c r="W1534" t="s">
        <v>28098</v>
      </c>
      <c r="X1534" t="s">
        <v>28099</v>
      </c>
      <c r="Y1534" t="s">
        <v>28100</v>
      </c>
    </row>
    <row r="1535" spans="1:25" x14ac:dyDescent="0.3">
      <c r="A1535">
        <v>76700</v>
      </c>
      <c r="B1535" t="s">
        <v>28101</v>
      </c>
      <c r="C1535" t="s">
        <v>28102</v>
      </c>
      <c r="D1535" t="s">
        <v>28103</v>
      </c>
      <c r="E1535" t="s">
        <v>28104</v>
      </c>
      <c r="F1535" t="s">
        <v>28105</v>
      </c>
      <c r="G1535" t="s">
        <v>28106</v>
      </c>
      <c r="H1535" t="s">
        <v>28107</v>
      </c>
      <c r="I1535" t="s">
        <v>28108</v>
      </c>
      <c r="J1535" t="s">
        <v>28109</v>
      </c>
      <c r="K1535" t="s">
        <v>28110</v>
      </c>
      <c r="L1535" t="s">
        <v>28111</v>
      </c>
      <c r="M1535" t="s">
        <v>28112</v>
      </c>
      <c r="N1535">
        <f>-581.372755881897 -7.01878442385487 -770.173130724459</f>
        <v>-1358.5646710302108</v>
      </c>
      <c r="O1535">
        <f>-576.868168695821 -148.913228906688 -731.875846790481</f>
        <v>-1457.6572443929899</v>
      </c>
      <c r="P1535">
        <f>-605.21608928997 -147.681897598285 -416.628275854544</f>
        <v>-1169.526262742799</v>
      </c>
      <c r="Q1535">
        <f>-365.029042833138 -57.5887518519814 -459.470584491487</f>
        <v>-882.0883791766064</v>
      </c>
      <c r="R1535" t="s">
        <v>28113</v>
      </c>
      <c r="S1535" t="s">
        <v>28114</v>
      </c>
      <c r="T1535" t="s">
        <v>28115</v>
      </c>
      <c r="U1535" t="s">
        <v>28116</v>
      </c>
      <c r="V1535" t="s">
        <v>28117</v>
      </c>
      <c r="W1535" t="s">
        <v>28118</v>
      </c>
      <c r="X1535" t="s">
        <v>28119</v>
      </c>
      <c r="Y1535" t="s">
        <v>28120</v>
      </c>
    </row>
    <row r="1536" spans="1:25" x14ac:dyDescent="0.3">
      <c r="A1536">
        <v>76750</v>
      </c>
      <c r="B1536" t="s">
        <v>28121</v>
      </c>
      <c r="C1536" t="s">
        <v>28122</v>
      </c>
      <c r="D1536" t="s">
        <v>28123</v>
      </c>
      <c r="E1536" t="s">
        <v>28124</v>
      </c>
      <c r="F1536" t="s">
        <v>28125</v>
      </c>
      <c r="G1536" t="s">
        <v>28126</v>
      </c>
      <c r="H1536" t="s">
        <v>28127</v>
      </c>
      <c r="I1536" t="s">
        <v>28128</v>
      </c>
      <c r="J1536" t="s">
        <v>28129</v>
      </c>
      <c r="K1536" t="s">
        <v>28130</v>
      </c>
      <c r="L1536" t="s">
        <v>28131</v>
      </c>
      <c r="M1536" t="s">
        <v>28132</v>
      </c>
      <c r="N1536">
        <f>-582.145104897486 -8.85342531461811 -772.592629135945</f>
        <v>-1363.5911593480491</v>
      </c>
      <c r="O1536">
        <f>-575.97657489857 -151.247077367665 -736.448559177603</f>
        <v>-1463.672211443838</v>
      </c>
      <c r="P1536">
        <f>-602.549941390635 -154.453283950841 -421.060341617462</f>
        <v>-1178.0635669589381</v>
      </c>
      <c r="Q1536">
        <f>-362.491412426854 -62.9433848987887 -461.556077704095</f>
        <v>-886.99087502973771</v>
      </c>
      <c r="R1536" t="s">
        <v>28133</v>
      </c>
      <c r="S1536" t="s">
        <v>28134</v>
      </c>
      <c r="T1536" t="s">
        <v>28135</v>
      </c>
      <c r="U1536" t="s">
        <v>28136</v>
      </c>
      <c r="V1536">
        <f>-558.808331956754 -4.54472998165056 -231.369309605783</f>
        <v>-794.72237154418758</v>
      </c>
      <c r="W1536" t="s">
        <v>28137</v>
      </c>
      <c r="X1536" t="s">
        <v>28138</v>
      </c>
      <c r="Y1536" t="s">
        <v>28139</v>
      </c>
    </row>
    <row r="1537" spans="1:25" x14ac:dyDescent="0.3">
      <c r="A1537">
        <v>76800</v>
      </c>
      <c r="B1537" t="s">
        <v>28140</v>
      </c>
      <c r="C1537" t="s">
        <v>28141</v>
      </c>
      <c r="D1537" t="s">
        <v>28142</v>
      </c>
      <c r="E1537" t="s">
        <v>28143</v>
      </c>
      <c r="F1537" t="s">
        <v>28144</v>
      </c>
      <c r="G1537" t="s">
        <v>28145</v>
      </c>
      <c r="H1537" t="s">
        <v>28146</v>
      </c>
      <c r="I1537" t="s">
        <v>28147</v>
      </c>
      <c r="J1537" t="s">
        <v>28148</v>
      </c>
      <c r="K1537" t="s">
        <v>28149</v>
      </c>
      <c r="L1537" t="s">
        <v>28150</v>
      </c>
      <c r="M1537" t="s">
        <v>28151</v>
      </c>
      <c r="N1537">
        <f>-582.781443225527 -10.0216420342326 -773.804495247535</f>
        <v>-1366.6075805072946</v>
      </c>
      <c r="O1537">
        <f>-575.60816709912 -152.602067586345 -738.5565053856</f>
        <v>-1466.766740071065</v>
      </c>
      <c r="P1537">
        <f>-600.471447466898 -157.302049888976 -423.047524526057</f>
        <v>-1180.8210218819311</v>
      </c>
      <c r="Q1537">
        <f>-360.471316668104 -65.1626685319011 -462.447182164408</f>
        <v>-888.08116736441309</v>
      </c>
      <c r="R1537" t="s">
        <v>28152</v>
      </c>
      <c r="S1537" t="s">
        <v>28153</v>
      </c>
      <c r="T1537" t="s">
        <v>28154</v>
      </c>
      <c r="U1537" t="s">
        <v>28155</v>
      </c>
      <c r="V1537">
        <f>-558.127291910896 -9.98006514723738 -233.018544099599</f>
        <v>-801.12590115773241</v>
      </c>
      <c r="W1537" t="s">
        <v>28156</v>
      </c>
      <c r="X1537" t="s">
        <v>28157</v>
      </c>
      <c r="Y1537" t="s">
        <v>28158</v>
      </c>
    </row>
    <row r="1538" spans="1:25" x14ac:dyDescent="0.3">
      <c r="A1538">
        <v>76850</v>
      </c>
      <c r="B1538" t="s">
        <v>28159</v>
      </c>
      <c r="C1538" t="s">
        <v>28160</v>
      </c>
      <c r="D1538" t="s">
        <v>28161</v>
      </c>
      <c r="E1538" t="s">
        <v>28162</v>
      </c>
      <c r="F1538" t="s">
        <v>28163</v>
      </c>
      <c r="G1538" t="s">
        <v>28164</v>
      </c>
      <c r="H1538" t="s">
        <v>28165</v>
      </c>
      <c r="I1538" t="s">
        <v>28166</v>
      </c>
      <c r="J1538" t="s">
        <v>28167</v>
      </c>
      <c r="K1538" t="s">
        <v>28168</v>
      </c>
      <c r="L1538" t="s">
        <v>28169</v>
      </c>
      <c r="M1538" t="s">
        <v>28170</v>
      </c>
      <c r="N1538">
        <f>-583.938567895336 -13.1029918100264 -775.755534203217</f>
        <v>-1372.7970939085794</v>
      </c>
      <c r="O1538">
        <f>-574.680448045275 -155.880000896932 -741.928018158052</f>
        <v>-1472.4884671002592</v>
      </c>
      <c r="P1538">
        <f>-595.091779016464 -164.037168727589 -426.170209463693</f>
        <v>-1185.299157207746</v>
      </c>
      <c r="Q1538">
        <f>-356.59748913907 -67.6399994959222 -464.512030720798</f>
        <v>-888.7495193557902</v>
      </c>
      <c r="R1538" t="s">
        <v>28171</v>
      </c>
      <c r="S1538" t="s">
        <v>28172</v>
      </c>
      <c r="T1538" t="s">
        <v>28173</v>
      </c>
      <c r="U1538" t="s">
        <v>28174</v>
      </c>
      <c r="V1538">
        <f>-558.379439000348 -20.0864351405994 -236.006557899527</f>
        <v>-814.47243204047447</v>
      </c>
      <c r="W1538" t="s">
        <v>28175</v>
      </c>
      <c r="X1538" t="s">
        <v>28176</v>
      </c>
      <c r="Y1538" t="s">
        <v>28177</v>
      </c>
    </row>
    <row r="1539" spans="1:25" x14ac:dyDescent="0.3">
      <c r="A1539">
        <v>76900</v>
      </c>
      <c r="B1539" t="s">
        <v>28178</v>
      </c>
      <c r="C1539" t="s">
        <v>28179</v>
      </c>
      <c r="D1539" t="s">
        <v>28180</v>
      </c>
      <c r="E1539" t="s">
        <v>28181</v>
      </c>
      <c r="F1539" t="s">
        <v>28182</v>
      </c>
      <c r="G1539" t="s">
        <v>28183</v>
      </c>
      <c r="H1539" t="s">
        <v>28184</v>
      </c>
      <c r="I1539" t="s">
        <v>28185</v>
      </c>
      <c r="J1539" t="s">
        <v>28186</v>
      </c>
      <c r="K1539" t="s">
        <v>28187</v>
      </c>
      <c r="L1539" t="s">
        <v>28188</v>
      </c>
      <c r="M1539" t="s">
        <v>28189</v>
      </c>
      <c r="N1539">
        <f>-584.71010000763 -14.7025778619236 -776.335863866459</f>
        <v>-1375.7485417360126</v>
      </c>
      <c r="O1539">
        <f>-574.421409302043 -157.577934665112 -743.04314475014</f>
        <v>-1475.0424887172949</v>
      </c>
      <c r="P1539">
        <f>-591.935730042161 -166.82289765697 -427.141305018753</f>
        <v>-1185.899932717884</v>
      </c>
      <c r="Q1539">
        <f>-354.57467059763 -67.6047391927198 -465.318737828495</f>
        <v>-887.49814761884477</v>
      </c>
      <c r="R1539" t="s">
        <v>28190</v>
      </c>
      <c r="S1539" t="s">
        <v>28191</v>
      </c>
      <c r="T1539" t="s">
        <v>28192</v>
      </c>
      <c r="U1539" t="s">
        <v>28193</v>
      </c>
      <c r="V1539">
        <f>-559.19461901192 -24.2164750801126 -237.011824347537</f>
        <v>-820.42291843956957</v>
      </c>
      <c r="W1539" t="s">
        <v>28194</v>
      </c>
      <c r="X1539" t="s">
        <v>28195</v>
      </c>
      <c r="Y1539" t="s">
        <v>28196</v>
      </c>
    </row>
    <row r="1540" spans="1:25" x14ac:dyDescent="0.3">
      <c r="A1540">
        <v>76950</v>
      </c>
      <c r="B1540" t="s">
        <v>28197</v>
      </c>
      <c r="C1540" t="s">
        <v>28198</v>
      </c>
      <c r="D1540" t="s">
        <v>28199</v>
      </c>
      <c r="E1540" t="s">
        <v>28200</v>
      </c>
      <c r="F1540" t="s">
        <v>28201</v>
      </c>
      <c r="G1540" t="s">
        <v>28202</v>
      </c>
      <c r="H1540" t="s">
        <v>28203</v>
      </c>
      <c r="I1540" t="s">
        <v>28204</v>
      </c>
      <c r="J1540" t="s">
        <v>28205</v>
      </c>
      <c r="K1540" t="s">
        <v>28206</v>
      </c>
      <c r="L1540" t="s">
        <v>28207</v>
      </c>
      <c r="M1540" t="s">
        <v>28208</v>
      </c>
      <c r="N1540">
        <f>-587.391261874613 -18.2163386114828 -776.524041883983</f>
        <v>-1382.1316423700787</v>
      </c>
      <c r="O1540">
        <f>-575.306860632597 -161.123514226409 -744.031388957536</f>
        <v>-1480.4617638165419</v>
      </c>
      <c r="P1540">
        <f>-585.417308988502 -172.535141907165 -427.876697740388</f>
        <v>-1185.8291486360549</v>
      </c>
      <c r="Q1540">
        <f>-351.298692108781 -65.8822140445434 -466.030328278259</f>
        <v>-883.21123443158331</v>
      </c>
      <c r="R1540" t="s">
        <v>28209</v>
      </c>
      <c r="S1540" t="s">
        <v>28210</v>
      </c>
      <c r="T1540" t="s">
        <v>28211</v>
      </c>
      <c r="U1540" t="s">
        <v>28212</v>
      </c>
      <c r="V1540">
        <f>-562.770768922981 -32.5700500833752 -237.551338204175</f>
        <v>-832.8921572105312</v>
      </c>
      <c r="W1540" t="s">
        <v>28213</v>
      </c>
      <c r="X1540" t="s">
        <v>28214</v>
      </c>
      <c r="Y1540" t="s">
        <v>28215</v>
      </c>
    </row>
    <row r="1541" spans="1:25" x14ac:dyDescent="0.3">
      <c r="A1541">
        <v>77000</v>
      </c>
      <c r="B1541" t="s">
        <v>28216</v>
      </c>
      <c r="C1541" t="s">
        <v>28217</v>
      </c>
      <c r="D1541" t="s">
        <v>28218</v>
      </c>
      <c r="E1541" t="s">
        <v>28219</v>
      </c>
      <c r="F1541" t="s">
        <v>28220</v>
      </c>
      <c r="G1541" t="s">
        <v>28221</v>
      </c>
      <c r="H1541" t="s">
        <v>28222</v>
      </c>
      <c r="I1541" t="s">
        <v>28223</v>
      </c>
      <c r="J1541" t="s">
        <v>28224</v>
      </c>
      <c r="K1541" t="s">
        <v>28225</v>
      </c>
      <c r="L1541" t="s">
        <v>28226</v>
      </c>
      <c r="M1541" t="s">
        <v>28227</v>
      </c>
      <c r="N1541">
        <f>-588.856604852909 -20.8713067302315 -776.093042513717</f>
        <v>-1385.8209540968573</v>
      </c>
      <c r="O1541">
        <f>-575.992891750489 -163.65360452663 -743.514719298046</f>
        <v>-1483.161215575165</v>
      </c>
      <c r="P1541">
        <f>-581.556715912342 -174.975430937636 -427.244228138203</f>
        <v>-1183.776374988181</v>
      </c>
      <c r="Q1541">
        <f>-349.245546509118 -64.5248671043594 -465.640128050011</f>
        <v>-879.4105416634884</v>
      </c>
      <c r="R1541" t="s">
        <v>28228</v>
      </c>
      <c r="S1541" t="s">
        <v>28229</v>
      </c>
      <c r="T1541" t="s">
        <v>28230</v>
      </c>
      <c r="U1541" t="s">
        <v>28231</v>
      </c>
      <c r="V1541">
        <f>-564.377684237289 -35.869999499618 -237.178758830022</f>
        <v>-837.42644256692893</v>
      </c>
      <c r="W1541" t="s">
        <v>28232</v>
      </c>
      <c r="X1541" t="s">
        <v>28233</v>
      </c>
      <c r="Y1541" t="s">
        <v>28234</v>
      </c>
    </row>
    <row r="1542" spans="1:25" x14ac:dyDescent="0.3">
      <c r="A1542">
        <v>77050</v>
      </c>
      <c r="B1542" t="s">
        <v>28235</v>
      </c>
      <c r="C1542" t="s">
        <v>28236</v>
      </c>
      <c r="D1542" t="s">
        <v>28237</v>
      </c>
      <c r="E1542" t="s">
        <v>28238</v>
      </c>
      <c r="F1542" t="s">
        <v>28239</v>
      </c>
      <c r="G1542" t="s">
        <v>28240</v>
      </c>
      <c r="H1542">
        <f>-585.322268988253 -1.40789565498017 -843.870674558803</f>
        <v>-1430.6008392020362</v>
      </c>
      <c r="I1542">
        <f>-545.853810671971 -1.57067035114846 -937.813204967592</f>
        <v>-1485.2376859907115</v>
      </c>
      <c r="J1542" t="s">
        <v>28241</v>
      </c>
      <c r="K1542" t="s">
        <v>28242</v>
      </c>
      <c r="L1542" t="s">
        <v>28243</v>
      </c>
      <c r="M1542" t="s">
        <v>28244</v>
      </c>
      <c r="N1542">
        <f>-590.928573056682 -27.9438184989035 -774.463552486784</f>
        <v>-1393.3359440423696</v>
      </c>
      <c r="O1542">
        <f>-576.854487755953 -170.307788228191 -740.41315848475</f>
        <v>-1487.5754344688939</v>
      </c>
      <c r="P1542">
        <f>-572.212669380858 -179.205741369293 -424.050176237336</f>
        <v>-1175.468586987487</v>
      </c>
      <c r="Q1542">
        <f>-344.257324969062 -60.8575497974632 -464.941901730648</f>
        <v>-870.05677649717313</v>
      </c>
      <c r="R1542" t="s">
        <v>28245</v>
      </c>
      <c r="S1542" t="s">
        <v>28246</v>
      </c>
      <c r="T1542" t="s">
        <v>28247</v>
      </c>
      <c r="U1542" t="s">
        <v>28248</v>
      </c>
      <c r="V1542">
        <f>-566.050194976291 -40.2602178168593 -235.841669296057</f>
        <v>-842.15208208920728</v>
      </c>
      <c r="W1542" t="s">
        <v>28249</v>
      </c>
      <c r="X1542" t="s">
        <v>28250</v>
      </c>
      <c r="Y1542" t="s">
        <v>28251</v>
      </c>
    </row>
    <row r="1543" spans="1:25" x14ac:dyDescent="0.3">
      <c r="A1543">
        <v>77100</v>
      </c>
      <c r="B1543" t="s">
        <v>28252</v>
      </c>
      <c r="C1543" t="s">
        <v>28253</v>
      </c>
      <c r="D1543" t="s">
        <v>28254</v>
      </c>
      <c r="E1543" t="s">
        <v>28255</v>
      </c>
      <c r="F1543" t="s">
        <v>28256</v>
      </c>
      <c r="G1543" t="s">
        <v>28257</v>
      </c>
      <c r="H1543">
        <f>-585.963993077693 -5.19827631998623 -843.184033934088</f>
        <v>-1434.3463033317671</v>
      </c>
      <c r="I1543">
        <f>-546.774355863273 -5.84045409642545 -937.24110598596</f>
        <v>-1489.8559159456584</v>
      </c>
      <c r="J1543" t="s">
        <v>28258</v>
      </c>
      <c r="K1543" t="s">
        <v>28259</v>
      </c>
      <c r="L1543" t="s">
        <v>28260</v>
      </c>
      <c r="M1543" t="s">
        <v>28261</v>
      </c>
      <c r="N1543">
        <f>-591.464021879113 -31.1817624947334 -773.559890299131</f>
        <v>-1396.2056746729775</v>
      </c>
      <c r="O1543">
        <f>-576.903938623467 -173.181751452272 -738.314529703354</f>
        <v>-1488.4002197790928</v>
      </c>
      <c r="P1543">
        <f>-566.681092974206 -179.597181988016 -422.022672681581</f>
        <v>-1168.3009476438031</v>
      </c>
      <c r="Q1543">
        <f>-341.272810260161 -57.0078714277049 -464.50787971292</f>
        <v>-862.78856140078597</v>
      </c>
      <c r="R1543" t="s">
        <v>28262</v>
      </c>
      <c r="S1543" t="s">
        <v>28263</v>
      </c>
      <c r="T1543" t="s">
        <v>28264</v>
      </c>
      <c r="U1543" t="s">
        <v>28265</v>
      </c>
      <c r="V1543">
        <f>-566.058110598809 -41.1389816794801 -235.070725273908</f>
        <v>-842.26781755219713</v>
      </c>
      <c r="W1543" t="s">
        <v>28266</v>
      </c>
      <c r="X1543" t="s">
        <v>28267</v>
      </c>
      <c r="Y1543" t="s">
        <v>28268</v>
      </c>
    </row>
    <row r="1544" spans="1:25" x14ac:dyDescent="0.3">
      <c r="A1544">
        <v>77150</v>
      </c>
      <c r="B1544" t="s">
        <v>28269</v>
      </c>
      <c r="C1544" t="s">
        <v>28270</v>
      </c>
      <c r="D1544" t="s">
        <v>28271</v>
      </c>
      <c r="E1544" t="s">
        <v>28272</v>
      </c>
      <c r="F1544" t="s">
        <v>28273</v>
      </c>
      <c r="G1544" t="s">
        <v>28274</v>
      </c>
      <c r="H1544">
        <f>-586.219289528337 -13.2303484773222 -841.68195746327</f>
        <v>-1441.1315954689292</v>
      </c>
      <c r="I1544">
        <f>-547.602169666899 -15.1775104610178 -935.957675883174</f>
        <v>-1498.7373560110909</v>
      </c>
      <c r="J1544" t="s">
        <v>28275</v>
      </c>
      <c r="K1544" t="s">
        <v>28276</v>
      </c>
      <c r="L1544" t="s">
        <v>28277</v>
      </c>
      <c r="M1544" t="s">
        <v>28278</v>
      </c>
      <c r="N1544">
        <f>-591.580048758704 -37.9162405041859 -771.576309273493</f>
        <v>-1401.0725985363829</v>
      </c>
      <c r="O1544">
        <f>-575.661166980873 -179.084088034039 -733.585277326156</f>
        <v>-1488.330532341068</v>
      </c>
      <c r="P1544">
        <f>-557.686100581366 -178.746111877058 -417.574241951452</f>
        <v>-1154.0064544098759</v>
      </c>
      <c r="Q1544">
        <f>-336.577342391904 -50.0056312699671 -464.252633943732</f>
        <v>-850.83560760560306</v>
      </c>
      <c r="R1544" t="s">
        <v>28279</v>
      </c>
      <c r="S1544" t="s">
        <v>28280</v>
      </c>
      <c r="T1544" t="s">
        <v>28281</v>
      </c>
      <c r="U1544" t="s">
        <v>28282</v>
      </c>
      <c r="V1544">
        <f>-563.695086980977 -41.2769950449529 -233.92334930975</f>
        <v>-838.89543133567986</v>
      </c>
      <c r="W1544" t="s">
        <v>28283</v>
      </c>
      <c r="X1544" t="s">
        <v>28284</v>
      </c>
      <c r="Y1544" t="s">
        <v>28285</v>
      </c>
    </row>
    <row r="1545" spans="1:25" x14ac:dyDescent="0.3">
      <c r="A1545">
        <v>77200</v>
      </c>
      <c r="B1545" t="s">
        <v>28286</v>
      </c>
      <c r="C1545" t="s">
        <v>28287</v>
      </c>
      <c r="D1545" t="s">
        <v>28288</v>
      </c>
      <c r="E1545" t="s">
        <v>28289</v>
      </c>
      <c r="F1545" t="s">
        <v>28290</v>
      </c>
      <c r="G1545">
        <f>-610.672719945637 -0.677355019885908 -691.937060913443</f>
        <v>-1303.287135878966</v>
      </c>
      <c r="H1545">
        <f>-585.616134119558 -16.3016896370652 -841.362799700024</f>
        <v>-1443.2806234566472</v>
      </c>
      <c r="I1545">
        <f>-547.268273227381 -18.9442013871699 -935.731383333945</f>
        <v>-1501.9438579484959</v>
      </c>
      <c r="J1545" t="s">
        <v>28291</v>
      </c>
      <c r="K1545" t="s">
        <v>28292</v>
      </c>
      <c r="L1545" t="s">
        <v>28293</v>
      </c>
      <c r="M1545" t="s">
        <v>28294</v>
      </c>
      <c r="N1545">
        <f>-590.913543458212 -40.3658689804031 -771.036655773861</f>
        <v>-1402.316068212476</v>
      </c>
      <c r="O1545">
        <f>-574.194783423918 -181.12503337754 -731.74615544595</f>
        <v>-1487.0659722474079</v>
      </c>
      <c r="P1545">
        <f>-553.828077143656 -177.949463669405 -415.895903587952</f>
        <v>-1147.6734444010128</v>
      </c>
      <c r="Q1545">
        <f>-334.719847926236 -46.7141946126735 -464.997189216429</f>
        <v>-846.43123175533856</v>
      </c>
      <c r="R1545" t="s">
        <v>28295</v>
      </c>
      <c r="S1545" t="s">
        <v>28296</v>
      </c>
      <c r="T1545" t="s">
        <v>28297</v>
      </c>
      <c r="U1545" t="s">
        <v>28298</v>
      </c>
      <c r="V1545">
        <f>-561.965940138738 -40.1349891994391 -233.651092266922</f>
        <v>-835.75202160509912</v>
      </c>
      <c r="W1545" t="s">
        <v>28299</v>
      </c>
      <c r="X1545" t="s">
        <v>28300</v>
      </c>
      <c r="Y1545" t="s">
        <v>28301</v>
      </c>
    </row>
    <row r="1546" spans="1:25" x14ac:dyDescent="0.3">
      <c r="A1546">
        <v>77250</v>
      </c>
      <c r="B1546" t="s">
        <v>28302</v>
      </c>
      <c r="C1546" t="s">
        <v>28303</v>
      </c>
      <c r="D1546" t="s">
        <v>28304</v>
      </c>
      <c r="E1546" t="s">
        <v>28305</v>
      </c>
      <c r="F1546" t="s">
        <v>28306</v>
      </c>
      <c r="G1546">
        <f>-608.654082375352 -1.11334636910692 -692.490198940725</f>
        <v>-1302.2576276851839</v>
      </c>
      <c r="H1546">
        <f>-583.924374787427 -18.4887659534127 -841.777096402237</f>
        <v>-1444.1902371430767</v>
      </c>
      <c r="I1546">
        <f>-546.034766579224 -22.285818050756 -936.291230015271</f>
        <v>-1504.6118146452509</v>
      </c>
      <c r="J1546" t="s">
        <v>28307</v>
      </c>
      <c r="K1546" t="s">
        <v>28308</v>
      </c>
      <c r="L1546" t="s">
        <v>28309</v>
      </c>
      <c r="M1546" t="s">
        <v>28310</v>
      </c>
      <c r="N1546">
        <f>-588.941867778141 -41.7004281770683 -771.144325271479</f>
        <v>-1401.7866212266883</v>
      </c>
      <c r="O1546">
        <f>-570.65753889933 -181.781239697331 -730.130981750747</f>
        <v>-1482.569760347408</v>
      </c>
      <c r="P1546">
        <f>-548.261079875866 -174.458006483182 -414.487363184654</f>
        <v>-1137.2064495437021</v>
      </c>
      <c r="Q1546">
        <f>-331.88618215187 -40.0864538644332 -467.100982891939</f>
        <v>-839.07361890824222</v>
      </c>
      <c r="R1546" t="s">
        <v>28311</v>
      </c>
      <c r="S1546" t="s">
        <v>28312</v>
      </c>
      <c r="T1546" t="s">
        <v>28313</v>
      </c>
      <c r="U1546" t="s">
        <v>28314</v>
      </c>
      <c r="V1546">
        <f>-558.354229046808 -36.0935908129734 -233.944558571779</f>
        <v>-828.39237843156036</v>
      </c>
      <c r="W1546" t="s">
        <v>28315</v>
      </c>
      <c r="X1546" t="s">
        <v>28316</v>
      </c>
      <c r="Y1546" t="s">
        <v>28317</v>
      </c>
    </row>
    <row r="1547" spans="1:25" x14ac:dyDescent="0.3">
      <c r="A1547">
        <v>77300</v>
      </c>
      <c r="B1547" t="s">
        <v>28318</v>
      </c>
      <c r="C1547" t="s">
        <v>28319</v>
      </c>
      <c r="D1547" t="s">
        <v>28320</v>
      </c>
      <c r="E1547" t="s">
        <v>28321</v>
      </c>
      <c r="F1547" t="s">
        <v>28322</v>
      </c>
      <c r="G1547" t="s">
        <v>28323</v>
      </c>
      <c r="H1547">
        <f>-583.557707352083 -17.7080629562768 -842.125905279431</f>
        <v>-1443.3916755877908</v>
      </c>
      <c r="I1547">
        <f>-545.889188368611 -21.8831054812945 -936.712522515372</f>
        <v>-1504.4848163652775</v>
      </c>
      <c r="J1547" t="s">
        <v>28324</v>
      </c>
      <c r="K1547" t="s">
        <v>28325</v>
      </c>
      <c r="L1547" t="s">
        <v>28326</v>
      </c>
      <c r="M1547" t="s">
        <v>28327</v>
      </c>
      <c r="N1547">
        <f>-588.363338249563 -40.7323226982912 -771.417263789866</f>
        <v>-1400.5129247377201</v>
      </c>
      <c r="O1547">
        <f>-569.31628583156 -180.568657417738 -729.944394229444</f>
        <v>-1479.829337478742</v>
      </c>
      <c r="P1547">
        <f>-546.580186908737 -171.738462158705 -414.363482623653</f>
        <v>-1132.682131691095</v>
      </c>
      <c r="Q1547">
        <f>-330.958055010206 -36.5173583655721 -467.883620596949</f>
        <v>-835.35903397272705</v>
      </c>
      <c r="R1547" t="s">
        <v>28328</v>
      </c>
      <c r="S1547" t="s">
        <v>28329</v>
      </c>
      <c r="T1547" t="s">
        <v>28330</v>
      </c>
      <c r="U1547" t="s">
        <v>28331</v>
      </c>
      <c r="V1547">
        <f>-557.391993693124 -33.9241138168138 -234.005851678146</f>
        <v>-825.32195918808384</v>
      </c>
      <c r="W1547" t="s">
        <v>28332</v>
      </c>
      <c r="X1547" t="s">
        <v>28333</v>
      </c>
      <c r="Y1547" t="s">
        <v>28334</v>
      </c>
    </row>
    <row r="1548" spans="1:25" x14ac:dyDescent="0.3">
      <c r="A1548">
        <v>77350</v>
      </c>
      <c r="B1548" t="s">
        <v>28335</v>
      </c>
      <c r="C1548" t="s">
        <v>28336</v>
      </c>
      <c r="D1548" t="s">
        <v>28337</v>
      </c>
      <c r="E1548" t="s">
        <v>28338</v>
      </c>
      <c r="F1548" t="s">
        <v>28339</v>
      </c>
      <c r="G1548" t="s">
        <v>28340</v>
      </c>
      <c r="H1548">
        <f>-583.874809043948 -14.5960082705483 -843.200379995621</f>
        <v>-1441.6711973101173</v>
      </c>
      <c r="I1548">
        <f>-546.782671726431 -19.1381898058116 -937.997613788643</f>
        <v>-1503.9184753208856</v>
      </c>
      <c r="J1548" t="s">
        <v>28341</v>
      </c>
      <c r="K1548" t="s">
        <v>28342</v>
      </c>
      <c r="L1548" t="s">
        <v>28343</v>
      </c>
      <c r="M1548" t="s">
        <v>28344</v>
      </c>
      <c r="N1548">
        <f>-588.144896186137 -37.525457596367 -772.426628546328</f>
        <v>-1398.0969823288319</v>
      </c>
      <c r="O1548">
        <f>-568.050790848608 -177.090614317794 -730.696766555169</f>
        <v>-1475.8381717215711</v>
      </c>
      <c r="P1548">
        <f>-545.512188195602 -166.495458825104 -415.156072490642</f>
        <v>-1127.1637195113481</v>
      </c>
      <c r="Q1548">
        <f>-330.802062943786 -29.8699117508011 -468.775884452295</f>
        <v>-829.44785914688214</v>
      </c>
      <c r="R1548" t="s">
        <v>28345</v>
      </c>
      <c r="S1548" t="s">
        <v>28346</v>
      </c>
      <c r="T1548" t="s">
        <v>28347</v>
      </c>
      <c r="U1548" t="s">
        <v>28348</v>
      </c>
      <c r="V1548">
        <f>-555.422310712993 -29.2291897684092 -234.490222928186</f>
        <v>-819.14172340958817</v>
      </c>
      <c r="W1548" t="s">
        <v>28349</v>
      </c>
      <c r="X1548" t="s">
        <v>28350</v>
      </c>
      <c r="Y1548" t="s">
        <v>28351</v>
      </c>
    </row>
    <row r="1549" spans="1:25" x14ac:dyDescent="0.3">
      <c r="A1549">
        <v>77400</v>
      </c>
      <c r="B1549" t="s">
        <v>28352</v>
      </c>
      <c r="C1549" t="s">
        <v>28353</v>
      </c>
      <c r="D1549" t="s">
        <v>28354</v>
      </c>
      <c r="E1549" t="s">
        <v>28355</v>
      </c>
      <c r="F1549" t="s">
        <v>28356</v>
      </c>
      <c r="G1549" t="s">
        <v>28357</v>
      </c>
      <c r="H1549">
        <f>-583.545823787048 -11.9594415594827 -843.960210092115</f>
        <v>-1439.4654754386456</v>
      </c>
      <c r="I1549">
        <f>-546.755543531999 -16.3795931717348 -938.880731292129</f>
        <v>-1502.0158679958627</v>
      </c>
      <c r="J1549" t="s">
        <v>28358</v>
      </c>
      <c r="K1549" t="s">
        <v>28359</v>
      </c>
      <c r="L1549" t="s">
        <v>28360</v>
      </c>
      <c r="M1549" t="s">
        <v>28361</v>
      </c>
      <c r="N1549">
        <f>-587.604894527858 -35.1222978703913 -773.249957765922</f>
        <v>-1395.9771501641712</v>
      </c>
      <c r="O1549">
        <f>-567.25135285825 -174.762579459747 -731.88947211448</f>
        <v>-1473.9034044324771</v>
      </c>
      <c r="P1549">
        <f>-544.877587308614 -164.642102589816 -416.32141142591</f>
        <v>-1125.8411013243399</v>
      </c>
      <c r="Q1549">
        <f>-330.161385361519 -27.8682130094187 -469.536483294634</f>
        <v>-827.5660816655718</v>
      </c>
      <c r="R1549" t="s">
        <v>28362</v>
      </c>
      <c r="S1549" t="s">
        <v>28363</v>
      </c>
      <c r="T1549" t="s">
        <v>28364</v>
      </c>
      <c r="U1549" t="s">
        <v>28365</v>
      </c>
      <c r="V1549">
        <f>-554.67620536444 -27.415907035421 -234.769672982409</f>
        <v>-816.86178538227</v>
      </c>
      <c r="W1549" t="s">
        <v>28366</v>
      </c>
      <c r="X1549" t="s">
        <v>28367</v>
      </c>
      <c r="Y1549" t="s">
        <v>28368</v>
      </c>
    </row>
    <row r="1550" spans="1:25" x14ac:dyDescent="0.3">
      <c r="A1550">
        <v>77450</v>
      </c>
      <c r="B1550" t="s">
        <v>28369</v>
      </c>
      <c r="C1550" t="s">
        <v>28370</v>
      </c>
      <c r="D1550" t="s">
        <v>28371</v>
      </c>
      <c r="E1550" t="s">
        <v>28372</v>
      </c>
      <c r="F1550" t="s">
        <v>28373</v>
      </c>
      <c r="G1550" t="s">
        <v>28374</v>
      </c>
      <c r="H1550">
        <f>-585.073285705705 -4.32335095647022 -845.448728378484</f>
        <v>-1434.8453650406591</v>
      </c>
      <c r="I1550">
        <f>-549.073101387884 -7.91517406163052 -940.706780406</f>
        <v>-1497.6950558555145</v>
      </c>
      <c r="J1550" t="s">
        <v>28375</v>
      </c>
      <c r="K1550" t="s">
        <v>28376</v>
      </c>
      <c r="L1550" t="s">
        <v>28377</v>
      </c>
      <c r="M1550" t="s">
        <v>28378</v>
      </c>
      <c r="N1550">
        <f>-588.511600312805 -28.4677071654389 -775.034694803875</f>
        <v>-1392.0140022821188</v>
      </c>
      <c r="O1550">
        <f>-567.763206945123 -168.596762036384 -735.525163874736</f>
        <v>-1471.885132856243</v>
      </c>
      <c r="P1550">
        <f>-545.015455341927 -160.579109106686 -419.923357318163</f>
        <v>-1125.517921766776</v>
      </c>
      <c r="Q1550">
        <f>-329.625868436389 -23.899315531371 -470.599477830705</f>
        <v>-824.12466179846501</v>
      </c>
      <c r="R1550" t="s">
        <v>28379</v>
      </c>
      <c r="S1550" t="s">
        <v>28380</v>
      </c>
      <c r="T1550" t="s">
        <v>28381</v>
      </c>
      <c r="U1550" t="s">
        <v>28382</v>
      </c>
      <c r="V1550">
        <f>-553.653405871999 -24.7172536070589 -235.318047621279</f>
        <v>-813.68870710033684</v>
      </c>
      <c r="W1550" t="s">
        <v>28383</v>
      </c>
      <c r="X1550" t="s">
        <v>28384</v>
      </c>
      <c r="Y1550" t="s">
        <v>28385</v>
      </c>
    </row>
    <row r="1551" spans="1:25" x14ac:dyDescent="0.3">
      <c r="A1551">
        <v>77500</v>
      </c>
      <c r="B1551" t="s">
        <v>28386</v>
      </c>
      <c r="C1551" t="s">
        <v>28387</v>
      </c>
      <c r="D1551" t="s">
        <v>28388</v>
      </c>
      <c r="E1551" t="s">
        <v>28389</v>
      </c>
      <c r="F1551" t="s">
        <v>28390</v>
      </c>
      <c r="G1551" t="s">
        <v>28391</v>
      </c>
      <c r="H1551" t="s">
        <v>28392</v>
      </c>
      <c r="I1551">
        <f>-550.956202348155 -2.56041478986435 -941.744141520172</f>
        <v>-1495.2607586581912</v>
      </c>
      <c r="J1551" t="s">
        <v>28393</v>
      </c>
      <c r="K1551" t="s">
        <v>28394</v>
      </c>
      <c r="L1551" t="s">
        <v>28395</v>
      </c>
      <c r="M1551" t="s">
        <v>28396</v>
      </c>
      <c r="N1551">
        <f>-589.538002011435 -24.4695980226784 -776.101128117326</f>
        <v>-1390.1087281514392</v>
      </c>
      <c r="O1551">
        <f>-568.765337818357 -164.945573899766 -737.906342847199</f>
        <v>-1471.6172545653221</v>
      </c>
      <c r="P1551">
        <f>-545.596443879771 -159.232595355168 -422.285104652294</f>
        <v>-1127.114143887233</v>
      </c>
      <c r="Q1551">
        <f>-329.815354584043 -22.5189174596605 -471.171849789006</f>
        <v>-823.50612183270948</v>
      </c>
      <c r="R1551" t="s">
        <v>28397</v>
      </c>
      <c r="S1551" t="s">
        <v>28398</v>
      </c>
      <c r="T1551" t="s">
        <v>28399</v>
      </c>
      <c r="U1551" t="s">
        <v>28400</v>
      </c>
      <c r="V1551">
        <f>-553.302064943456 -23.5529818662067 -235.64342888542</f>
        <v>-812.49847569508267</v>
      </c>
      <c r="W1551" t="s">
        <v>28401</v>
      </c>
      <c r="X1551" t="s">
        <v>28402</v>
      </c>
      <c r="Y1551" t="s">
        <v>28403</v>
      </c>
    </row>
    <row r="1552" spans="1:25" x14ac:dyDescent="0.3">
      <c r="A1552">
        <v>77550</v>
      </c>
      <c r="B1552" t="s">
        <v>28404</v>
      </c>
      <c r="C1552" t="s">
        <v>28405</v>
      </c>
      <c r="D1552" t="s">
        <v>28406</v>
      </c>
      <c r="E1552" t="s">
        <v>28407</v>
      </c>
      <c r="F1552" t="s">
        <v>28408</v>
      </c>
      <c r="G1552" t="s">
        <v>28409</v>
      </c>
      <c r="H1552" t="s">
        <v>28410</v>
      </c>
      <c r="I1552" t="s">
        <v>28411</v>
      </c>
      <c r="J1552" t="s">
        <v>28412</v>
      </c>
      <c r="K1552" t="s">
        <v>28413</v>
      </c>
      <c r="L1552" t="s">
        <v>28414</v>
      </c>
      <c r="M1552" t="s">
        <v>28415</v>
      </c>
      <c r="N1552">
        <f>-590.593875200514 -14.6077099522195 -778.449996157001</f>
        <v>-1383.6515813097344</v>
      </c>
      <c r="O1552">
        <f>-569.525144699089 -155.926322377692 -743.757327336622</f>
        <v>-1469.208794413403</v>
      </c>
      <c r="P1552">
        <f>-544.256114885049 -157.078280635252 -428.247760097723</f>
        <v>-1129.582155618024</v>
      </c>
      <c r="Q1552">
        <f>-327.506571186091 -20.57848456946 -473.297678778784</f>
        <v>-821.38273453433499</v>
      </c>
      <c r="R1552" t="s">
        <v>28416</v>
      </c>
      <c r="S1552" t="s">
        <v>28417</v>
      </c>
      <c r="T1552" t="s">
        <v>28418</v>
      </c>
      <c r="U1552" t="s">
        <v>28419</v>
      </c>
      <c r="V1552">
        <f>-551.940715990964 -22.2544642995861 -236.185641880418</f>
        <v>-810.38082217096803</v>
      </c>
      <c r="W1552" t="s">
        <v>28420</v>
      </c>
      <c r="X1552" t="s">
        <v>28421</v>
      </c>
      <c r="Y1552" t="s">
        <v>28422</v>
      </c>
    </row>
    <row r="1553" spans="1:25" x14ac:dyDescent="0.3">
      <c r="A1553">
        <v>77600</v>
      </c>
      <c r="B1553" t="s">
        <v>28423</v>
      </c>
      <c r="C1553" t="s">
        <v>28424</v>
      </c>
      <c r="D1553" t="s">
        <v>28425</v>
      </c>
      <c r="E1553" t="s">
        <v>28426</v>
      </c>
      <c r="F1553" t="s">
        <v>28427</v>
      </c>
      <c r="G1553" t="s">
        <v>28428</v>
      </c>
      <c r="H1553" t="s">
        <v>28429</v>
      </c>
      <c r="I1553" t="s">
        <v>28430</v>
      </c>
      <c r="J1553" t="s">
        <v>28431</v>
      </c>
      <c r="K1553" t="s">
        <v>28432</v>
      </c>
      <c r="L1553" t="s">
        <v>28433</v>
      </c>
      <c r="M1553" t="s">
        <v>28434</v>
      </c>
      <c r="N1553">
        <f>-590.961832755064 -9.14967720573804 -779.694692450321</f>
        <v>-1379.8062024111232</v>
      </c>
      <c r="O1553">
        <f>-569.893942702464 -150.958783578725 -747.011263135752</f>
        <v>-1467.863989416941</v>
      </c>
      <c r="P1553">
        <f>-543.32800442136 -156.115931066176 -431.648270697526</f>
        <v>-1131.092206185062</v>
      </c>
      <c r="Q1553">
        <f>-326.263344936548 -19.5777891372052 -475.033688730381</f>
        <v>-820.87482280413428</v>
      </c>
      <c r="R1553" t="s">
        <v>28435</v>
      </c>
      <c r="S1553" t="s">
        <v>28436</v>
      </c>
      <c r="T1553" t="s">
        <v>28437</v>
      </c>
      <c r="U1553" t="s">
        <v>28438</v>
      </c>
      <c r="V1553">
        <f>-550.848163429376 -21.848740905222 -236.649810914065</f>
        <v>-809.34671524866303</v>
      </c>
      <c r="W1553" t="s">
        <v>28439</v>
      </c>
      <c r="X1553" t="s">
        <v>28440</v>
      </c>
      <c r="Y1553" t="s">
        <v>28441</v>
      </c>
    </row>
    <row r="1554" spans="1:25" x14ac:dyDescent="0.3">
      <c r="A1554">
        <v>77650</v>
      </c>
      <c r="B1554" t="s">
        <v>28442</v>
      </c>
      <c r="C1554" t="s">
        <v>28443</v>
      </c>
      <c r="D1554" t="s">
        <v>28444</v>
      </c>
      <c r="E1554" t="s">
        <v>28445</v>
      </c>
      <c r="F1554" t="s">
        <v>28446</v>
      </c>
      <c r="G1554" t="s">
        <v>28447</v>
      </c>
      <c r="H1554" t="s">
        <v>28448</v>
      </c>
      <c r="I1554" t="s">
        <v>28449</v>
      </c>
      <c r="J1554" t="s">
        <v>28450</v>
      </c>
      <c r="K1554" t="s">
        <v>28451</v>
      </c>
      <c r="L1554" t="s">
        <v>28452</v>
      </c>
      <c r="M1554" t="s">
        <v>28453</v>
      </c>
      <c r="N1554">
        <f>-591.67052011855 -3.68730420118982 -781.072251247201</f>
        <v>-1376.430075566941</v>
      </c>
      <c r="O1554">
        <f>-570.732635898391 -146.007672339786 -750.531594525839</f>
        <v>-1467.271902764016</v>
      </c>
      <c r="P1554">
        <f>-542.978403986984 -155.435945514947 -435.36976771664</f>
        <v>-1133.7841172185708</v>
      </c>
      <c r="Q1554">
        <f>-325.659995615846 -18.8513941056156 -477.315139327933</f>
        <v>-821.82652904939459</v>
      </c>
      <c r="R1554" t="s">
        <v>28454</v>
      </c>
      <c r="S1554" t="s">
        <v>28455</v>
      </c>
      <c r="T1554" t="s">
        <v>28456</v>
      </c>
      <c r="U1554" t="s">
        <v>28457</v>
      </c>
      <c r="V1554">
        <f>-549.738208531532 -21.828176437057 -237.204396550624</f>
        <v>-808.77078151921296</v>
      </c>
      <c r="W1554" t="s">
        <v>28458</v>
      </c>
      <c r="X1554" t="s">
        <v>28459</v>
      </c>
      <c r="Y1554" t="s">
        <v>28460</v>
      </c>
    </row>
    <row r="1555" spans="1:25" x14ac:dyDescent="0.3">
      <c r="A1555">
        <v>77700</v>
      </c>
      <c r="B1555" t="s">
        <v>28461</v>
      </c>
      <c r="C1555" t="s">
        <v>28462</v>
      </c>
      <c r="D1555" t="s">
        <v>28463</v>
      </c>
      <c r="E1555" t="s">
        <v>28464</v>
      </c>
      <c r="F1555" t="s">
        <v>28465</v>
      </c>
      <c r="G1555" t="s">
        <v>28466</v>
      </c>
      <c r="H1555" t="s">
        <v>28467</v>
      </c>
      <c r="I1555" t="s">
        <v>28468</v>
      </c>
      <c r="J1555" t="s">
        <v>28469</v>
      </c>
      <c r="K1555" t="s">
        <v>28470</v>
      </c>
      <c r="L1555" t="s">
        <v>28471</v>
      </c>
      <c r="M1555" t="s">
        <v>28472</v>
      </c>
      <c r="N1555" t="s">
        <v>28473</v>
      </c>
      <c r="O1555">
        <f>-574.121950588547 -135.828006112252 -757.634183773336</f>
        <v>-1467.584140474135</v>
      </c>
      <c r="P1555">
        <f>-544.251068355409 -153.789036975978 -443.037012946896</f>
        <v>-1141.077118278283</v>
      </c>
      <c r="Q1555">
        <f>-326.651920601695 -16.7363923313267 -481.885924843669</f>
        <v>-825.27423777669071</v>
      </c>
      <c r="R1555" t="s">
        <v>28474</v>
      </c>
      <c r="S1555" t="s">
        <v>28475</v>
      </c>
      <c r="T1555" t="s">
        <v>28476</v>
      </c>
      <c r="U1555" t="s">
        <v>28477</v>
      </c>
      <c r="V1555">
        <f>-549.025490905832 -21.7375301912875 -238.656390220955</f>
        <v>-809.41941131807459</v>
      </c>
      <c r="W1555" t="s">
        <v>28478</v>
      </c>
      <c r="X1555" t="s">
        <v>28479</v>
      </c>
      <c r="Y1555" t="s">
        <v>28480</v>
      </c>
    </row>
    <row r="1556" spans="1:25" x14ac:dyDescent="0.3">
      <c r="A1556">
        <v>77750</v>
      </c>
      <c r="B1556" t="s">
        <v>28481</v>
      </c>
      <c r="C1556" t="s">
        <v>28482</v>
      </c>
      <c r="D1556" t="s">
        <v>28483</v>
      </c>
      <c r="E1556" t="s">
        <v>28484</v>
      </c>
      <c r="F1556" t="s">
        <v>28485</v>
      </c>
      <c r="G1556" t="s">
        <v>28486</v>
      </c>
      <c r="H1556" t="s">
        <v>28487</v>
      </c>
      <c r="I1556" t="s">
        <v>28488</v>
      </c>
      <c r="J1556" t="s">
        <v>28489</v>
      </c>
      <c r="K1556" t="s">
        <v>28490</v>
      </c>
      <c r="L1556" t="s">
        <v>28491</v>
      </c>
      <c r="M1556" t="s">
        <v>28492</v>
      </c>
      <c r="N1556" t="s">
        <v>28493</v>
      </c>
      <c r="O1556">
        <f>-575.921268643614 -126.04191727643 -762.977985452614</f>
        <v>-1464.9411713726581</v>
      </c>
      <c r="P1556">
        <f>-546.063564872862 -149.26251334576 -448.724186730146</f>
        <v>-1144.050264948768</v>
      </c>
      <c r="Q1556">
        <f>-327.097060602795 -13.7701771151271 -485.297021760895</f>
        <v>-826.16425947881714</v>
      </c>
      <c r="R1556" t="s">
        <v>28494</v>
      </c>
      <c r="S1556" t="s">
        <v>28495</v>
      </c>
      <c r="T1556" t="s">
        <v>28496</v>
      </c>
      <c r="U1556" t="s">
        <v>28497</v>
      </c>
      <c r="V1556">
        <f>-548.893038495298 -20.940382984327 -239.107990433037</f>
        <v>-808.94141191266203</v>
      </c>
      <c r="W1556" t="s">
        <v>28498</v>
      </c>
      <c r="X1556" t="s">
        <v>28499</v>
      </c>
      <c r="Y1556" t="s">
        <v>28500</v>
      </c>
    </row>
    <row r="1557" spans="1:25" x14ac:dyDescent="0.3">
      <c r="A1557">
        <v>77800</v>
      </c>
      <c r="B1557" t="s">
        <v>28501</v>
      </c>
      <c r="C1557" t="s">
        <v>28502</v>
      </c>
      <c r="D1557" t="s">
        <v>28503</v>
      </c>
      <c r="E1557" t="s">
        <v>28504</v>
      </c>
      <c r="F1557" t="s">
        <v>28505</v>
      </c>
      <c r="G1557" t="s">
        <v>28506</v>
      </c>
      <c r="H1557" t="s">
        <v>28507</v>
      </c>
      <c r="I1557" t="s">
        <v>28508</v>
      </c>
      <c r="J1557" t="s">
        <v>28509</v>
      </c>
      <c r="K1557" t="s">
        <v>28510</v>
      </c>
      <c r="L1557" t="s">
        <v>28511</v>
      </c>
      <c r="M1557" t="s">
        <v>28512</v>
      </c>
      <c r="N1557" t="s">
        <v>28513</v>
      </c>
      <c r="O1557">
        <f>-575.809153491986 -122.090738937369 -764.614788085444</f>
        <v>-1462.514680514799</v>
      </c>
      <c r="P1557">
        <f>-546.545432319281 -148.101807380185 -450.523683559982</f>
        <v>-1145.1709232594478</v>
      </c>
      <c r="Q1557">
        <f>-326.422565579179 -14.197663603002 -485.987038020963</f>
        <v>-826.60726720314392</v>
      </c>
      <c r="R1557" t="s">
        <v>28514</v>
      </c>
      <c r="S1557" t="s">
        <v>28515</v>
      </c>
      <c r="T1557" t="s">
        <v>28516</v>
      </c>
      <c r="U1557" t="s">
        <v>28517</v>
      </c>
      <c r="V1557">
        <f>-548.527816766592 -20.0512438540793 -239.060718837228</f>
        <v>-807.63977945789929</v>
      </c>
      <c r="W1557" t="s">
        <v>28518</v>
      </c>
      <c r="X1557" t="s">
        <v>28519</v>
      </c>
      <c r="Y1557" t="s">
        <v>28520</v>
      </c>
    </row>
    <row r="1558" spans="1:25" x14ac:dyDescent="0.3">
      <c r="A1558">
        <v>77850</v>
      </c>
      <c r="B1558" t="s">
        <v>28521</v>
      </c>
      <c r="C1558" t="s">
        <v>28522</v>
      </c>
      <c r="D1558" t="s">
        <v>28523</v>
      </c>
      <c r="E1558" t="s">
        <v>28524</v>
      </c>
      <c r="F1558" t="s">
        <v>28525</v>
      </c>
      <c r="G1558" t="s">
        <v>28526</v>
      </c>
      <c r="H1558" t="s">
        <v>28527</v>
      </c>
      <c r="I1558" t="s">
        <v>28528</v>
      </c>
      <c r="J1558" t="s">
        <v>28529</v>
      </c>
      <c r="K1558" t="s">
        <v>28530</v>
      </c>
      <c r="L1558" t="s">
        <v>28531</v>
      </c>
      <c r="M1558" t="s">
        <v>28532</v>
      </c>
      <c r="N1558" t="s">
        <v>28533</v>
      </c>
      <c r="O1558">
        <f>-574.284246282576 -114.218729847302 -767.083209232317</f>
        <v>-1455.586185362195</v>
      </c>
      <c r="P1558">
        <f>-546.655720161596 -143.494118622074 -453.131162737327</f>
        <v>-1143.2810015209971</v>
      </c>
      <c r="Q1558">
        <f>-323.24214212248 -14.5386063951912 -486.280693702706</f>
        <v>-824.06144222037722</v>
      </c>
      <c r="R1558" t="s">
        <v>28534</v>
      </c>
      <c r="S1558" t="s">
        <v>28535</v>
      </c>
      <c r="T1558" t="s">
        <v>28536</v>
      </c>
      <c r="U1558" t="s">
        <v>28537</v>
      </c>
      <c r="V1558">
        <f>-546.957391845429 -17.2568771250651 -239.374779182199</f>
        <v>-803.58904815269307</v>
      </c>
      <c r="W1558" t="s">
        <v>28538</v>
      </c>
      <c r="X1558" t="s">
        <v>28539</v>
      </c>
      <c r="Y1558" t="s">
        <v>28540</v>
      </c>
    </row>
    <row r="1559" spans="1:25" x14ac:dyDescent="0.3">
      <c r="A1559">
        <v>77900</v>
      </c>
      <c r="B1559" t="s">
        <v>28541</v>
      </c>
      <c r="C1559" t="s">
        <v>28542</v>
      </c>
      <c r="D1559" t="s">
        <v>28543</v>
      </c>
      <c r="E1559" t="s">
        <v>28544</v>
      </c>
      <c r="F1559" t="s">
        <v>28545</v>
      </c>
      <c r="G1559" t="s">
        <v>28546</v>
      </c>
      <c r="H1559" t="s">
        <v>28547</v>
      </c>
      <c r="I1559" t="s">
        <v>28548</v>
      </c>
      <c r="J1559" t="s">
        <v>28549</v>
      </c>
      <c r="K1559" t="s">
        <v>28550</v>
      </c>
      <c r="L1559" t="s">
        <v>28551</v>
      </c>
      <c r="M1559" t="s">
        <v>28552</v>
      </c>
      <c r="N1559" t="s">
        <v>28553</v>
      </c>
      <c r="O1559">
        <f>-572.440800176297 -110.877438032138 -767.639109898538</f>
        <v>-1450.9573481069729</v>
      </c>
      <c r="P1559">
        <f>-546.854581479887 -142.062911971205 -453.69809403315</f>
        <v>-1142.615587484242</v>
      </c>
      <c r="Q1559">
        <f>-321.46230689794 -16.3751147520179 -485.993454707261</f>
        <v>-823.83087635721881</v>
      </c>
      <c r="R1559" t="s">
        <v>28554</v>
      </c>
      <c r="S1559" t="s">
        <v>28555</v>
      </c>
      <c r="T1559" t="s">
        <v>28556</v>
      </c>
      <c r="U1559" t="s">
        <v>28557</v>
      </c>
      <c r="V1559">
        <f>-546.322638123018 -15.4557024992826 -239.377884217532</f>
        <v>-801.15622483983259</v>
      </c>
      <c r="W1559" t="s">
        <v>28558</v>
      </c>
      <c r="X1559" t="s">
        <v>28559</v>
      </c>
      <c r="Y1559" t="s">
        <v>28560</v>
      </c>
    </row>
    <row r="1560" spans="1:25" x14ac:dyDescent="0.3">
      <c r="A1560">
        <v>77950</v>
      </c>
      <c r="B1560" t="s">
        <v>28561</v>
      </c>
      <c r="C1560" t="s">
        <v>28562</v>
      </c>
      <c r="D1560" t="s">
        <v>28563</v>
      </c>
      <c r="E1560" t="s">
        <v>28564</v>
      </c>
      <c r="F1560" t="s">
        <v>28565</v>
      </c>
      <c r="G1560" t="s">
        <v>28566</v>
      </c>
      <c r="H1560" t="s">
        <v>28567</v>
      </c>
      <c r="I1560" t="s">
        <v>28568</v>
      </c>
      <c r="J1560" t="s">
        <v>28569</v>
      </c>
      <c r="K1560" t="s">
        <v>28570</v>
      </c>
      <c r="L1560" t="s">
        <v>28571</v>
      </c>
      <c r="M1560" t="s">
        <v>28572</v>
      </c>
      <c r="N1560" t="s">
        <v>28573</v>
      </c>
      <c r="O1560">
        <f>-569.151254500583 -104.551156129493 -768.640114050527</f>
        <v>-1442.342524680603</v>
      </c>
      <c r="P1560">
        <f>-549.005091947587 -137.483049065631 -454.481281304178</f>
        <v>-1140.969422317396</v>
      </c>
      <c r="Q1560">
        <f>-318.572578609395 -20.5337665097197 -483.905564193747</f>
        <v>-823.01190931286169</v>
      </c>
      <c r="R1560" t="s">
        <v>28574</v>
      </c>
      <c r="S1560" t="s">
        <v>28575</v>
      </c>
      <c r="T1560" t="s">
        <v>28576</v>
      </c>
      <c r="U1560" t="s">
        <v>28577</v>
      </c>
      <c r="V1560">
        <f>-545.079647592288 -11.3448413545002 -239.916562080097</f>
        <v>-796.34105102688522</v>
      </c>
      <c r="W1560" t="s">
        <v>28578</v>
      </c>
      <c r="X1560" t="s">
        <v>28579</v>
      </c>
      <c r="Y1560" t="s">
        <v>28580</v>
      </c>
    </row>
    <row r="1561" spans="1:25" x14ac:dyDescent="0.3">
      <c r="A1561">
        <v>78000</v>
      </c>
      <c r="B1561" t="s">
        <v>28581</v>
      </c>
      <c r="C1561" t="s">
        <v>28582</v>
      </c>
      <c r="D1561" t="s">
        <v>28583</v>
      </c>
      <c r="E1561" t="s">
        <v>28584</v>
      </c>
      <c r="F1561" t="s">
        <v>28585</v>
      </c>
      <c r="G1561" t="s">
        <v>28586</v>
      </c>
      <c r="H1561" t="s">
        <v>28587</v>
      </c>
      <c r="I1561" t="s">
        <v>28588</v>
      </c>
      <c r="J1561" t="s">
        <v>28589</v>
      </c>
      <c r="K1561" t="s">
        <v>28590</v>
      </c>
      <c r="L1561" t="s">
        <v>28591</v>
      </c>
      <c r="M1561" t="s">
        <v>28592</v>
      </c>
      <c r="N1561" t="s">
        <v>28593</v>
      </c>
      <c r="O1561">
        <f>-567.095158277802 -101.234405114194 -769.126605100562</f>
        <v>-1437.4561684925579</v>
      </c>
      <c r="P1561">
        <f>-549.745396082319 -134.230546279696 -454.80752235663</f>
        <v>-1138.7834647186451</v>
      </c>
      <c r="Q1561">
        <f>-316.713033236482 -22.0931708787418 -482.43330999703</f>
        <v>-821.2395141122538</v>
      </c>
      <c r="R1561" t="s">
        <v>28594</v>
      </c>
      <c r="S1561" t="s">
        <v>28595</v>
      </c>
      <c r="T1561" t="s">
        <v>28596</v>
      </c>
      <c r="U1561" t="s">
        <v>28597</v>
      </c>
      <c r="V1561">
        <f>-545.548510637018 -9.42286542240549 -240.021873384305</f>
        <v>-794.99324944372847</v>
      </c>
      <c r="W1561" t="s">
        <v>28598</v>
      </c>
      <c r="X1561" t="s">
        <v>28599</v>
      </c>
      <c r="Y1561" t="s">
        <v>28600</v>
      </c>
    </row>
    <row r="1562" spans="1:25" x14ac:dyDescent="0.3">
      <c r="A1562">
        <v>78050</v>
      </c>
      <c r="B1562" t="s">
        <v>28601</v>
      </c>
      <c r="C1562" t="s">
        <v>28602</v>
      </c>
      <c r="D1562" t="s">
        <v>28603</v>
      </c>
      <c r="E1562" t="s">
        <v>28604</v>
      </c>
      <c r="F1562" t="s">
        <v>28605</v>
      </c>
      <c r="G1562" t="s">
        <v>28606</v>
      </c>
      <c r="H1562" t="s">
        <v>28607</v>
      </c>
      <c r="I1562" t="s">
        <v>28608</v>
      </c>
      <c r="J1562" t="s">
        <v>28609</v>
      </c>
      <c r="K1562" t="s">
        <v>28610</v>
      </c>
      <c r="L1562" t="s">
        <v>28611</v>
      </c>
      <c r="M1562" t="s">
        <v>28612</v>
      </c>
      <c r="N1562" t="s">
        <v>28613</v>
      </c>
      <c r="O1562">
        <f>-563.621515252647 -96.221018758991 -770.619062058731</f>
        <v>-1430.4615960703691</v>
      </c>
      <c r="P1562">
        <f>-553.235812280606 -129.110641996909 -455.981775310586</f>
        <v>-1138.3282295881011</v>
      </c>
      <c r="Q1562">
        <f>-316.269280986097 -24.5830292807309 -479.7066451511</f>
        <v>-820.5589554179279</v>
      </c>
      <c r="R1562" t="s">
        <v>28614</v>
      </c>
      <c r="S1562" t="s">
        <v>28615</v>
      </c>
      <c r="T1562" t="s">
        <v>28616</v>
      </c>
      <c r="U1562" t="s">
        <v>28617</v>
      </c>
      <c r="V1562">
        <f>-546.848330494747 -6.18395601459315 -240.522744131535</f>
        <v>-793.55503064087509</v>
      </c>
      <c r="W1562" t="s">
        <v>28618</v>
      </c>
      <c r="X1562" t="s">
        <v>28619</v>
      </c>
      <c r="Y1562" t="s">
        <v>28620</v>
      </c>
    </row>
    <row r="1563" spans="1:25" x14ac:dyDescent="0.3">
      <c r="A1563">
        <v>78100</v>
      </c>
      <c r="B1563" t="s">
        <v>28621</v>
      </c>
      <c r="C1563" t="s">
        <v>28622</v>
      </c>
      <c r="D1563" t="s">
        <v>28623</v>
      </c>
      <c r="E1563" t="s">
        <v>28624</v>
      </c>
      <c r="F1563" t="s">
        <v>28625</v>
      </c>
      <c r="G1563" t="s">
        <v>28626</v>
      </c>
      <c r="H1563" t="s">
        <v>28627</v>
      </c>
      <c r="I1563" t="s">
        <v>28628</v>
      </c>
      <c r="J1563" t="s">
        <v>28629</v>
      </c>
      <c r="K1563" t="s">
        <v>28630</v>
      </c>
      <c r="L1563" t="s">
        <v>28631</v>
      </c>
      <c r="M1563" t="s">
        <v>28632</v>
      </c>
      <c r="N1563" t="s">
        <v>28633</v>
      </c>
      <c r="O1563">
        <f>-562.969110162303 -94.1005627576851 -770.889846658447</f>
        <v>-1427.959519578435</v>
      </c>
      <c r="P1563">
        <f>-554.432136022407 -127.884727152511 -456.291847433449</f>
        <v>-1138.6087106083669</v>
      </c>
      <c r="Q1563">
        <f>-316.242446264492 -25.5829114688961 -477.317746256228</f>
        <v>-819.14310398961607</v>
      </c>
      <c r="R1563" t="s">
        <v>28634</v>
      </c>
      <c r="S1563" t="s">
        <v>28635</v>
      </c>
      <c r="T1563" t="s">
        <v>28636</v>
      </c>
      <c r="U1563" t="s">
        <v>28637</v>
      </c>
      <c r="V1563">
        <f>-548.007601102434 -4.78173586817297 -240.60175007915</f>
        <v>-793.39108704975706</v>
      </c>
      <c r="W1563" t="s">
        <v>28638</v>
      </c>
      <c r="X1563" t="s">
        <v>28639</v>
      </c>
      <c r="Y1563" t="s">
        <v>28640</v>
      </c>
    </row>
    <row r="1564" spans="1:25" x14ac:dyDescent="0.3">
      <c r="A1564">
        <v>78150</v>
      </c>
      <c r="B1564" t="s">
        <v>28641</v>
      </c>
      <c r="C1564" t="s">
        <v>28642</v>
      </c>
      <c r="D1564" t="s">
        <v>28643</v>
      </c>
      <c r="E1564" t="s">
        <v>28644</v>
      </c>
      <c r="F1564" t="s">
        <v>28645</v>
      </c>
      <c r="G1564" t="s">
        <v>28646</v>
      </c>
      <c r="H1564" t="s">
        <v>28647</v>
      </c>
      <c r="I1564" t="s">
        <v>28648</v>
      </c>
      <c r="J1564" t="s">
        <v>28649</v>
      </c>
      <c r="K1564" t="s">
        <v>28650</v>
      </c>
      <c r="L1564" t="s">
        <v>28651</v>
      </c>
      <c r="M1564" t="s">
        <v>28652</v>
      </c>
      <c r="N1564" t="s">
        <v>28653</v>
      </c>
      <c r="O1564">
        <f>-562.10841926538 -91.9542969577653 -771.095719383786</f>
        <v>-1425.1584356069313</v>
      </c>
      <c r="P1564">
        <f>-555.334440369991 -126.289211966714 -456.514429749175</f>
        <v>-1138.1380820858799</v>
      </c>
      <c r="Q1564">
        <f>-316.398630972401 -25.4559464071758 -476.120945262929</f>
        <v>-817.97552264250589</v>
      </c>
      <c r="R1564" t="s">
        <v>28654</v>
      </c>
      <c r="S1564" t="s">
        <v>28655</v>
      </c>
      <c r="T1564" t="s">
        <v>28656</v>
      </c>
      <c r="U1564" t="s">
        <v>28657</v>
      </c>
      <c r="V1564">
        <f>-549.02817650124 -2.79728964679407 -240.858406948013</f>
        <v>-792.68387309604702</v>
      </c>
      <c r="W1564" t="s">
        <v>28658</v>
      </c>
      <c r="X1564" t="s">
        <v>28659</v>
      </c>
      <c r="Y1564" t="s">
        <v>28660</v>
      </c>
    </row>
    <row r="1565" spans="1:25" x14ac:dyDescent="0.3">
      <c r="A1565">
        <v>78200</v>
      </c>
      <c r="B1565" t="s">
        <v>28661</v>
      </c>
      <c r="C1565" t="s">
        <v>28662</v>
      </c>
      <c r="D1565" t="s">
        <v>28663</v>
      </c>
      <c r="E1565" t="s">
        <v>28664</v>
      </c>
      <c r="F1565" t="s">
        <v>28665</v>
      </c>
      <c r="G1565" t="s">
        <v>28666</v>
      </c>
      <c r="H1565" t="s">
        <v>28667</v>
      </c>
      <c r="I1565" t="s">
        <v>28668</v>
      </c>
      <c r="J1565" t="s">
        <v>28669</v>
      </c>
      <c r="K1565" t="s">
        <v>28670</v>
      </c>
      <c r="L1565" t="s">
        <v>28671</v>
      </c>
      <c r="M1565" t="s">
        <v>28672</v>
      </c>
      <c r="N1565" t="s">
        <v>28673</v>
      </c>
      <c r="O1565">
        <f>-561.007093230966 -90.021335326021 -771.404859641108</f>
        <v>-1422.4332881980949</v>
      </c>
      <c r="P1565">
        <f>-556.42868428867 -125.233111232501 -456.880737495956</f>
        <v>-1138.542533017127</v>
      </c>
      <c r="Q1565">
        <f>-316.873216080077 -25.7142942392395 -475.622281809904</f>
        <v>-818.20979212922043</v>
      </c>
      <c r="R1565" t="s">
        <v>28674</v>
      </c>
      <c r="S1565" t="s">
        <v>28675</v>
      </c>
      <c r="T1565" t="s">
        <v>28676</v>
      </c>
      <c r="U1565" t="s">
        <v>28677</v>
      </c>
      <c r="V1565">
        <f>-549.673490898609 -0.663363020291172 -241.710231118989</f>
        <v>-792.04708503788913</v>
      </c>
      <c r="W1565" t="s">
        <v>28678</v>
      </c>
      <c r="X1565" t="s">
        <v>28679</v>
      </c>
      <c r="Y1565" t="s">
        <v>28680</v>
      </c>
    </row>
    <row r="1566" spans="1:25" x14ac:dyDescent="0.3">
      <c r="A1566">
        <v>78250</v>
      </c>
      <c r="B1566" t="s">
        <v>28681</v>
      </c>
      <c r="C1566" t="s">
        <v>28682</v>
      </c>
      <c r="D1566" t="s">
        <v>28683</v>
      </c>
      <c r="E1566" t="s">
        <v>28684</v>
      </c>
      <c r="F1566" t="s">
        <v>28685</v>
      </c>
      <c r="G1566" t="s">
        <v>28686</v>
      </c>
      <c r="H1566" t="s">
        <v>28687</v>
      </c>
      <c r="I1566" t="s">
        <v>28688</v>
      </c>
      <c r="J1566" t="s">
        <v>28689</v>
      </c>
      <c r="K1566" t="s">
        <v>28690</v>
      </c>
      <c r="L1566" t="s">
        <v>28691</v>
      </c>
      <c r="M1566" t="s">
        <v>28692</v>
      </c>
      <c r="N1566" t="s">
        <v>28693</v>
      </c>
      <c r="O1566">
        <f>-558.95912009537 -84.6871016174705 -772.339972623531</f>
        <v>-1415.9861943363717</v>
      </c>
      <c r="P1566">
        <f>-556.652991932459 -119.14796317464 -457.707987448591</f>
        <v>-1133.5089425556901</v>
      </c>
      <c r="Q1566">
        <f>-316.115812499001 -22.4597509681078 -478.572453146293</f>
        <v>-817.14801661340175</v>
      </c>
      <c r="R1566" t="s">
        <v>28694</v>
      </c>
      <c r="S1566" t="s">
        <v>28695</v>
      </c>
      <c r="T1566" t="s">
        <v>28696</v>
      </c>
      <c r="U1566" t="s">
        <v>28697</v>
      </c>
      <c r="V1566" t="s">
        <v>28698</v>
      </c>
      <c r="W1566" t="s">
        <v>28699</v>
      </c>
      <c r="X1566" t="s">
        <v>28700</v>
      </c>
      <c r="Y1566" t="s">
        <v>28701</v>
      </c>
    </row>
    <row r="1567" spans="1:25" x14ac:dyDescent="0.3">
      <c r="A1567">
        <v>78300</v>
      </c>
      <c r="B1567" t="s">
        <v>28702</v>
      </c>
      <c r="C1567" t="s">
        <v>28703</v>
      </c>
      <c r="D1567" t="s">
        <v>28704</v>
      </c>
      <c r="E1567" t="s">
        <v>28705</v>
      </c>
      <c r="F1567" t="s">
        <v>28706</v>
      </c>
      <c r="G1567" t="s">
        <v>28707</v>
      </c>
      <c r="H1567" t="s">
        <v>28708</v>
      </c>
      <c r="I1567" t="s">
        <v>28709</v>
      </c>
      <c r="J1567" t="s">
        <v>28710</v>
      </c>
      <c r="K1567" t="s">
        <v>28711</v>
      </c>
      <c r="L1567" t="s">
        <v>28712</v>
      </c>
      <c r="M1567" t="s">
        <v>28713</v>
      </c>
      <c r="N1567" t="s">
        <v>28714</v>
      </c>
      <c r="O1567">
        <f>-558.471495805074 -82.3720841316269 -773.029074786177</f>
        <v>-1413.872654722878</v>
      </c>
      <c r="P1567">
        <f>-555.864087191835 -116.303611378641 -458.341854648436</f>
        <v>-1130.5095532189121</v>
      </c>
      <c r="Q1567">
        <f>-315.470393177722 -19.3572009023712 -479.655648109076</f>
        <v>-814.48324218916923</v>
      </c>
      <c r="R1567" t="s">
        <v>28715</v>
      </c>
      <c r="S1567" t="s">
        <v>28716</v>
      </c>
      <c r="T1567" t="s">
        <v>28717</v>
      </c>
      <c r="U1567" t="s">
        <v>28718</v>
      </c>
      <c r="V1567" t="s">
        <v>28719</v>
      </c>
      <c r="W1567" t="s">
        <v>28720</v>
      </c>
      <c r="X1567" t="s">
        <v>28721</v>
      </c>
      <c r="Y1567" t="s">
        <v>28722</v>
      </c>
    </row>
    <row r="1568" spans="1:25" x14ac:dyDescent="0.3">
      <c r="A1568">
        <v>78350</v>
      </c>
      <c r="B1568" t="s">
        <v>28723</v>
      </c>
      <c r="C1568" t="s">
        <v>28724</v>
      </c>
      <c r="D1568" t="s">
        <v>28725</v>
      </c>
      <c r="E1568" t="s">
        <v>28726</v>
      </c>
      <c r="F1568" t="s">
        <v>28727</v>
      </c>
      <c r="G1568" t="s">
        <v>28728</v>
      </c>
      <c r="H1568" t="s">
        <v>28729</v>
      </c>
      <c r="I1568" t="s">
        <v>28730</v>
      </c>
      <c r="J1568" t="s">
        <v>28731</v>
      </c>
      <c r="K1568" t="s">
        <v>28732</v>
      </c>
      <c r="L1568" t="s">
        <v>28733</v>
      </c>
      <c r="M1568" t="s">
        <v>28734</v>
      </c>
      <c r="N1568" t="s">
        <v>28735</v>
      </c>
      <c r="O1568">
        <f>-557.702819453633 -77.8220779132103 -774.416801004811</f>
        <v>-1409.9416983716542</v>
      </c>
      <c r="P1568">
        <f>-554.842322667093 -113.599131536137 -459.936144988497</f>
        <v>-1128.3775991917269</v>
      </c>
      <c r="Q1568">
        <f>-315.239910540291 -14.6840346957708 -481.115056822388</f>
        <v>-811.0390020584498</v>
      </c>
      <c r="R1568" t="s">
        <v>28736</v>
      </c>
      <c r="S1568" t="s">
        <v>28737</v>
      </c>
      <c r="T1568" t="s">
        <v>28738</v>
      </c>
      <c r="U1568" t="s">
        <v>28739</v>
      </c>
      <c r="V1568" t="s">
        <v>28740</v>
      </c>
      <c r="W1568" t="s">
        <v>28741</v>
      </c>
      <c r="X1568" t="s">
        <v>28742</v>
      </c>
      <c r="Y1568" t="s">
        <v>28743</v>
      </c>
    </row>
    <row r="1569" spans="1:25" x14ac:dyDescent="0.3">
      <c r="A1569">
        <v>78400</v>
      </c>
      <c r="B1569" t="s">
        <v>28744</v>
      </c>
      <c r="C1569" t="s">
        <v>28745</v>
      </c>
      <c r="D1569" t="s">
        <v>28746</v>
      </c>
      <c r="E1569" t="s">
        <v>28747</v>
      </c>
      <c r="F1569" t="s">
        <v>28748</v>
      </c>
      <c r="G1569" t="s">
        <v>28749</v>
      </c>
      <c r="H1569" t="s">
        <v>28750</v>
      </c>
      <c r="I1569" t="s">
        <v>28751</v>
      </c>
      <c r="J1569" t="s">
        <v>28752</v>
      </c>
      <c r="K1569" t="s">
        <v>28753</v>
      </c>
      <c r="L1569" t="s">
        <v>28754</v>
      </c>
      <c r="M1569" t="s">
        <v>28755</v>
      </c>
      <c r="N1569" t="s">
        <v>28756</v>
      </c>
      <c r="O1569">
        <f>-557.300602973511 -75.3990504852763 -775.113986067799</f>
        <v>-1407.8136395265865</v>
      </c>
      <c r="P1569">
        <f>-554.185227515945 -112.026369929933 -460.733641583715</f>
        <v>-1126.945239029593</v>
      </c>
      <c r="Q1569">
        <f>-314.858091938933 -12.2457635753453 -480.94307104391</f>
        <v>-808.04692655818826</v>
      </c>
      <c r="R1569" t="s">
        <v>28757</v>
      </c>
      <c r="S1569" t="s">
        <v>28758</v>
      </c>
      <c r="T1569" t="s">
        <v>28759</v>
      </c>
      <c r="U1569" t="s">
        <v>28760</v>
      </c>
      <c r="V1569" t="s">
        <v>28761</v>
      </c>
      <c r="W1569" t="s">
        <v>28762</v>
      </c>
      <c r="X1569" t="s">
        <v>28763</v>
      </c>
      <c r="Y1569" t="s">
        <v>28764</v>
      </c>
    </row>
    <row r="1570" spans="1:25" x14ac:dyDescent="0.3">
      <c r="A1570">
        <v>78450</v>
      </c>
      <c r="B1570" t="s">
        <v>28765</v>
      </c>
      <c r="C1570" t="s">
        <v>28766</v>
      </c>
      <c r="D1570" t="s">
        <v>28767</v>
      </c>
      <c r="E1570" t="s">
        <v>28768</v>
      </c>
      <c r="F1570" t="s">
        <v>28769</v>
      </c>
      <c r="G1570" t="s">
        <v>28770</v>
      </c>
      <c r="H1570" t="s">
        <v>28771</v>
      </c>
      <c r="I1570" t="s">
        <v>28772</v>
      </c>
      <c r="J1570" t="s">
        <v>28773</v>
      </c>
      <c r="K1570" t="s">
        <v>28774</v>
      </c>
      <c r="L1570" t="s">
        <v>28775</v>
      </c>
      <c r="M1570" t="s">
        <v>28776</v>
      </c>
      <c r="N1570" t="s">
        <v>28777</v>
      </c>
      <c r="O1570">
        <f>-556.668182615053 -70.9760496434315 -776.49323977722</f>
        <v>-1404.1374720357044</v>
      </c>
      <c r="P1570">
        <f>-553.551205100006 -109.975073783615 -462.398381786947</f>
        <v>-1125.9246606705681</v>
      </c>
      <c r="Q1570">
        <f>-314.6045042263 -8.98914141092882 -481.062345190067</f>
        <v>-804.6559908272958</v>
      </c>
      <c r="R1570" t="s">
        <v>28778</v>
      </c>
      <c r="S1570" t="s">
        <v>28779</v>
      </c>
      <c r="T1570" t="s">
        <v>28780</v>
      </c>
      <c r="U1570" t="s">
        <v>28781</v>
      </c>
      <c r="V1570" t="s">
        <v>28782</v>
      </c>
      <c r="W1570" t="s">
        <v>28783</v>
      </c>
      <c r="X1570" t="s">
        <v>28784</v>
      </c>
      <c r="Y1570" t="s">
        <v>28785</v>
      </c>
    </row>
    <row r="1571" spans="1:25" x14ac:dyDescent="0.3">
      <c r="A1571">
        <v>78500</v>
      </c>
      <c r="B1571" t="s">
        <v>28786</v>
      </c>
      <c r="C1571" t="s">
        <v>28787</v>
      </c>
      <c r="D1571" t="s">
        <v>28788</v>
      </c>
      <c r="E1571" t="s">
        <v>28789</v>
      </c>
      <c r="F1571" t="s">
        <v>28790</v>
      </c>
      <c r="G1571" t="s">
        <v>28791</v>
      </c>
      <c r="H1571" t="s">
        <v>28792</v>
      </c>
      <c r="I1571" t="s">
        <v>28793</v>
      </c>
      <c r="J1571" t="s">
        <v>28794</v>
      </c>
      <c r="K1571" t="s">
        <v>28795</v>
      </c>
      <c r="L1571" t="s">
        <v>28796</v>
      </c>
      <c r="M1571" t="s">
        <v>28797</v>
      </c>
      <c r="N1571" t="s">
        <v>28798</v>
      </c>
      <c r="O1571">
        <f>-555.400435040816 -69.1808565039796 -776.641597954459</f>
        <v>-1401.2228894992545</v>
      </c>
      <c r="P1571">
        <f>-552.568826608222 -108.675231943447 -462.606048495355</f>
        <v>-1123.850107047024</v>
      </c>
      <c r="Q1571">
        <f>-313.661691209986 -7.52356438856873 -480.874242584769</f>
        <v>-802.05949818332374</v>
      </c>
      <c r="R1571" t="s">
        <v>28799</v>
      </c>
      <c r="S1571" t="s">
        <v>28800</v>
      </c>
      <c r="T1571" t="s">
        <v>28801</v>
      </c>
      <c r="U1571" t="s">
        <v>28802</v>
      </c>
      <c r="V1571" t="s">
        <v>28803</v>
      </c>
      <c r="W1571" t="s">
        <v>28804</v>
      </c>
      <c r="X1571" t="s">
        <v>28805</v>
      </c>
      <c r="Y1571" t="s">
        <v>28806</v>
      </c>
    </row>
    <row r="1572" spans="1:25" x14ac:dyDescent="0.3">
      <c r="A1572">
        <v>78550</v>
      </c>
      <c r="B1572" t="s">
        <v>28807</v>
      </c>
      <c r="C1572" t="s">
        <v>28808</v>
      </c>
      <c r="D1572" t="s">
        <v>28809</v>
      </c>
      <c r="E1572" t="s">
        <v>28810</v>
      </c>
      <c r="F1572" t="s">
        <v>28811</v>
      </c>
      <c r="G1572" t="s">
        <v>28812</v>
      </c>
      <c r="H1572" t="s">
        <v>28813</v>
      </c>
      <c r="I1572" t="s">
        <v>28814</v>
      </c>
      <c r="J1572" t="s">
        <v>28815</v>
      </c>
      <c r="K1572" t="s">
        <v>28816</v>
      </c>
      <c r="L1572" t="s">
        <v>28817</v>
      </c>
      <c r="M1572" t="s">
        <v>28818</v>
      </c>
      <c r="N1572" t="s">
        <v>28819</v>
      </c>
      <c r="O1572">
        <f>-553.34922399684 -66.6473313054862 -776.712197992663</f>
        <v>-1396.7087532949893</v>
      </c>
      <c r="P1572">
        <f>-550.963734756908 -106.590077768316 -462.729532051132</f>
        <v>-1120.2833445763561</v>
      </c>
      <c r="Q1572">
        <f>-312.070821131952 -5.35119968536924 -480.699769996178</f>
        <v>-798.12179081349927</v>
      </c>
      <c r="R1572" t="s">
        <v>28820</v>
      </c>
      <c r="S1572" t="s">
        <v>28821</v>
      </c>
      <c r="T1572" t="s">
        <v>28822</v>
      </c>
      <c r="U1572" t="s">
        <v>28823</v>
      </c>
      <c r="V1572" t="s">
        <v>28824</v>
      </c>
      <c r="W1572" t="s">
        <v>28825</v>
      </c>
      <c r="X1572" t="s">
        <v>28826</v>
      </c>
      <c r="Y1572" t="s">
        <v>28827</v>
      </c>
    </row>
    <row r="1573" spans="1:25" x14ac:dyDescent="0.3">
      <c r="A1573">
        <v>78600</v>
      </c>
      <c r="B1573" t="s">
        <v>28828</v>
      </c>
      <c r="C1573" t="s">
        <v>28829</v>
      </c>
      <c r="D1573" t="s">
        <v>28830</v>
      </c>
      <c r="E1573" t="s">
        <v>28831</v>
      </c>
      <c r="F1573" t="s">
        <v>28832</v>
      </c>
      <c r="G1573" t="s">
        <v>28833</v>
      </c>
      <c r="H1573" t="s">
        <v>28834</v>
      </c>
      <c r="I1573" t="s">
        <v>28835</v>
      </c>
      <c r="J1573" t="s">
        <v>28836</v>
      </c>
      <c r="K1573" t="s">
        <v>28837</v>
      </c>
      <c r="L1573" t="s">
        <v>28838</v>
      </c>
      <c r="M1573" t="s">
        <v>28839</v>
      </c>
      <c r="N1573" t="s">
        <v>28840</v>
      </c>
      <c r="O1573">
        <f>-552.346714719951 -65.2800148649794 -776.836566331991</f>
        <v>-1394.4632959169214</v>
      </c>
      <c r="P1573">
        <f>-550.148710379628 -105.371074862022 -462.871463666047</f>
        <v>-1118.391248907697</v>
      </c>
      <c r="Q1573">
        <f>-311.315022878934 -3.93556754334054 -480.517108932084</f>
        <v>-795.76769935435846</v>
      </c>
      <c r="R1573" t="s">
        <v>28841</v>
      </c>
      <c r="S1573" t="s">
        <v>28842</v>
      </c>
      <c r="T1573" t="s">
        <v>28843</v>
      </c>
      <c r="U1573" t="s">
        <v>28844</v>
      </c>
      <c r="V1573" t="s">
        <v>28845</v>
      </c>
      <c r="W1573" t="s">
        <v>28846</v>
      </c>
      <c r="X1573" t="s">
        <v>28847</v>
      </c>
      <c r="Y1573" t="s">
        <v>28848</v>
      </c>
    </row>
    <row r="1574" spans="1:25" x14ac:dyDescent="0.3">
      <c r="A1574">
        <v>78650</v>
      </c>
      <c r="B1574" t="s">
        <v>28849</v>
      </c>
      <c r="C1574" t="s">
        <v>28850</v>
      </c>
      <c r="D1574" t="s">
        <v>28851</v>
      </c>
      <c r="E1574" t="s">
        <v>28852</v>
      </c>
      <c r="F1574" t="s">
        <v>28853</v>
      </c>
      <c r="G1574" t="s">
        <v>28854</v>
      </c>
      <c r="H1574" t="s">
        <v>28855</v>
      </c>
      <c r="I1574" t="s">
        <v>28856</v>
      </c>
      <c r="J1574" t="s">
        <v>28857</v>
      </c>
      <c r="K1574" t="s">
        <v>28858</v>
      </c>
      <c r="L1574" t="s">
        <v>28859</v>
      </c>
      <c r="M1574" t="s">
        <v>28860</v>
      </c>
      <c r="N1574" t="s">
        <v>28861</v>
      </c>
      <c r="O1574">
        <f>-549.423653719686 -62.1786684110295 -777.006107715488</f>
        <v>-1388.6084298462035</v>
      </c>
      <c r="P1574">
        <f>-548.655313948352 -102.72839319638 -463.093113941851</f>
        <v>-1114.4768210865832</v>
      </c>
      <c r="Q1574">
        <f>-310.008416895496 -0.822128153532731 -480.553121913165</f>
        <v>-791.38366696219373</v>
      </c>
      <c r="R1574" t="s">
        <v>28862</v>
      </c>
      <c r="S1574" t="s">
        <v>28863</v>
      </c>
      <c r="T1574" t="s">
        <v>28864</v>
      </c>
      <c r="U1574" t="s">
        <v>28865</v>
      </c>
      <c r="V1574" t="s">
        <v>28866</v>
      </c>
      <c r="W1574" t="s">
        <v>28867</v>
      </c>
      <c r="X1574" t="s">
        <v>28868</v>
      </c>
      <c r="Y1574" t="s">
        <v>28869</v>
      </c>
    </row>
    <row r="1575" spans="1:25" x14ac:dyDescent="0.3">
      <c r="A1575">
        <v>78700</v>
      </c>
      <c r="B1575" t="s">
        <v>28870</v>
      </c>
      <c r="C1575" t="s">
        <v>28871</v>
      </c>
      <c r="D1575" t="s">
        <v>28872</v>
      </c>
      <c r="E1575" t="s">
        <v>28873</v>
      </c>
      <c r="F1575" t="s">
        <v>28874</v>
      </c>
      <c r="G1575" t="s">
        <v>28875</v>
      </c>
      <c r="H1575" t="s">
        <v>28876</v>
      </c>
      <c r="I1575" t="s">
        <v>28877</v>
      </c>
      <c r="J1575" t="s">
        <v>28878</v>
      </c>
      <c r="K1575" t="s">
        <v>28879</v>
      </c>
      <c r="L1575" t="s">
        <v>28880</v>
      </c>
      <c r="M1575" t="s">
        <v>28881</v>
      </c>
      <c r="N1575" t="s">
        <v>28882</v>
      </c>
      <c r="O1575">
        <f>-549.076254732207 -60.7034843917095 -777.216882315129</f>
        <v>-1386.9966214390456</v>
      </c>
      <c r="P1575">
        <f>-548.763446964767 -101.245212826215 -463.302217166254</f>
        <v>-1113.3108769572361</v>
      </c>
      <c r="Q1575" t="s">
        <v>28883</v>
      </c>
      <c r="R1575" t="s">
        <v>28884</v>
      </c>
      <c r="S1575" t="s">
        <v>28885</v>
      </c>
      <c r="T1575" t="s">
        <v>28886</v>
      </c>
      <c r="U1575" t="s">
        <v>28887</v>
      </c>
      <c r="V1575" t="s">
        <v>28888</v>
      </c>
      <c r="W1575" t="s">
        <v>28889</v>
      </c>
      <c r="X1575" t="s">
        <v>28890</v>
      </c>
      <c r="Y1575" t="s">
        <v>28891</v>
      </c>
    </row>
    <row r="1576" spans="1:25" x14ac:dyDescent="0.3">
      <c r="A1576">
        <v>78750</v>
      </c>
      <c r="B1576" t="s">
        <v>28892</v>
      </c>
      <c r="C1576" t="s">
        <v>28893</v>
      </c>
      <c r="D1576" t="s">
        <v>28894</v>
      </c>
      <c r="E1576" t="s">
        <v>28895</v>
      </c>
      <c r="F1576" t="s">
        <v>28896</v>
      </c>
      <c r="G1576" t="s">
        <v>28897</v>
      </c>
      <c r="H1576" t="s">
        <v>28898</v>
      </c>
      <c r="I1576" t="s">
        <v>28899</v>
      </c>
      <c r="J1576" t="s">
        <v>28900</v>
      </c>
      <c r="K1576" t="s">
        <v>28901</v>
      </c>
      <c r="L1576" t="s">
        <v>28902</v>
      </c>
      <c r="M1576" t="s">
        <v>28903</v>
      </c>
      <c r="N1576" t="s">
        <v>28904</v>
      </c>
      <c r="O1576">
        <f>-548.43451872085 -59.1529796562565 -777.286198807812</f>
        <v>-1384.8736971849185</v>
      </c>
      <c r="P1576">
        <f>-548.758013298501 -99.6441279954067 -463.364951826612</f>
        <v>-1111.7670931205198</v>
      </c>
      <c r="Q1576" t="s">
        <v>28905</v>
      </c>
      <c r="R1576" t="s">
        <v>28906</v>
      </c>
      <c r="S1576" t="s">
        <v>28907</v>
      </c>
      <c r="T1576" t="s">
        <v>28908</v>
      </c>
      <c r="U1576" t="s">
        <v>28909</v>
      </c>
      <c r="V1576" t="s">
        <v>28910</v>
      </c>
      <c r="W1576" t="s">
        <v>28911</v>
      </c>
      <c r="X1576" t="s">
        <v>28912</v>
      </c>
      <c r="Y1576" t="s">
        <v>28913</v>
      </c>
    </row>
    <row r="1577" spans="1:25" x14ac:dyDescent="0.3">
      <c r="A1577">
        <v>78800</v>
      </c>
      <c r="B1577" t="s">
        <v>28914</v>
      </c>
      <c r="C1577" t="s">
        <v>28915</v>
      </c>
      <c r="D1577" t="s">
        <v>28916</v>
      </c>
      <c r="E1577" t="s">
        <v>28917</v>
      </c>
      <c r="F1577" t="s">
        <v>28918</v>
      </c>
      <c r="G1577" t="s">
        <v>28919</v>
      </c>
      <c r="H1577" t="s">
        <v>28920</v>
      </c>
      <c r="I1577" t="s">
        <v>28921</v>
      </c>
      <c r="J1577" t="s">
        <v>28922</v>
      </c>
      <c r="K1577" t="s">
        <v>28923</v>
      </c>
      <c r="L1577" t="s">
        <v>28924</v>
      </c>
      <c r="M1577" t="s">
        <v>28925</v>
      </c>
      <c r="N1577" t="s">
        <v>28926</v>
      </c>
      <c r="O1577">
        <f>-548.366757928539 -58.7754489757981 -777.226429097588</f>
        <v>-1384.3686360019251</v>
      </c>
      <c r="P1577">
        <f>-548.664711251287 -98.3168152865487 -463.184109648468</f>
        <v>-1110.1656361863038</v>
      </c>
      <c r="Q1577" t="s">
        <v>28927</v>
      </c>
      <c r="R1577" t="s">
        <v>28928</v>
      </c>
      <c r="S1577" t="s">
        <v>28929</v>
      </c>
      <c r="T1577" t="s">
        <v>28930</v>
      </c>
      <c r="U1577" t="s">
        <v>28931</v>
      </c>
      <c r="V1577" t="s">
        <v>28932</v>
      </c>
      <c r="W1577" t="s">
        <v>28933</v>
      </c>
      <c r="X1577" t="s">
        <v>28934</v>
      </c>
      <c r="Y1577" t="s">
        <v>28935</v>
      </c>
    </row>
    <row r="1578" spans="1:25" x14ac:dyDescent="0.3">
      <c r="A1578">
        <v>78850</v>
      </c>
      <c r="B1578" t="s">
        <v>28936</v>
      </c>
      <c r="C1578" t="s">
        <v>28937</v>
      </c>
      <c r="D1578" t="s">
        <v>28938</v>
      </c>
      <c r="E1578" t="s">
        <v>28939</v>
      </c>
      <c r="F1578" t="s">
        <v>28940</v>
      </c>
      <c r="G1578" t="s">
        <v>28941</v>
      </c>
      <c r="H1578" t="s">
        <v>28942</v>
      </c>
      <c r="I1578" t="s">
        <v>28943</v>
      </c>
      <c r="J1578" t="s">
        <v>28944</v>
      </c>
      <c r="K1578" t="s">
        <v>28945</v>
      </c>
      <c r="L1578" t="s">
        <v>28946</v>
      </c>
      <c r="M1578" t="s">
        <v>28947</v>
      </c>
      <c r="N1578" t="s">
        <v>28948</v>
      </c>
      <c r="O1578">
        <f>-548.639293980176 -59.4097501196543 -776.870921287711</f>
        <v>-1384.9199653875412</v>
      </c>
      <c r="P1578">
        <f>-548.564376488686 -96.7339507127244 -462.557314963961</f>
        <v>-1107.8556421653714</v>
      </c>
      <c r="Q1578" t="s">
        <v>28949</v>
      </c>
      <c r="R1578" t="s">
        <v>28950</v>
      </c>
      <c r="S1578" t="s">
        <v>28951</v>
      </c>
      <c r="T1578" t="s">
        <v>28952</v>
      </c>
      <c r="U1578" t="s">
        <v>28953</v>
      </c>
      <c r="V1578" t="s">
        <v>28954</v>
      </c>
      <c r="W1578" t="s">
        <v>28955</v>
      </c>
      <c r="X1578" t="s">
        <v>28956</v>
      </c>
      <c r="Y1578" t="s">
        <v>28957</v>
      </c>
    </row>
    <row r="1579" spans="1:25" x14ac:dyDescent="0.3">
      <c r="A1579">
        <v>78900</v>
      </c>
      <c r="B1579" t="s">
        <v>28958</v>
      </c>
      <c r="C1579" t="s">
        <v>28959</v>
      </c>
      <c r="D1579" t="s">
        <v>28960</v>
      </c>
      <c r="E1579" t="s">
        <v>28961</v>
      </c>
      <c r="F1579" t="s">
        <v>28962</v>
      </c>
      <c r="G1579" t="s">
        <v>28963</v>
      </c>
      <c r="H1579" t="s">
        <v>28964</v>
      </c>
      <c r="I1579" t="s">
        <v>28965</v>
      </c>
      <c r="J1579" t="s">
        <v>28966</v>
      </c>
      <c r="K1579" t="s">
        <v>28967</v>
      </c>
      <c r="L1579" t="s">
        <v>28968</v>
      </c>
      <c r="M1579" t="s">
        <v>28969</v>
      </c>
      <c r="N1579" t="s">
        <v>28970</v>
      </c>
      <c r="O1579">
        <f>-549.715367607356 -60.052530449748 -776.461226482355</f>
        <v>-1386.229124539459</v>
      </c>
      <c r="P1579">
        <f>-549.475103781664 -95.6599094927383 -461.948381047724</f>
        <v>-1107.0833943221262</v>
      </c>
      <c r="Q1579" t="s">
        <v>28971</v>
      </c>
      <c r="R1579" t="s">
        <v>28972</v>
      </c>
      <c r="S1579" t="s">
        <v>28973</v>
      </c>
      <c r="T1579" t="s">
        <v>28974</v>
      </c>
      <c r="U1579" t="s">
        <v>28975</v>
      </c>
      <c r="V1579" t="s">
        <v>28976</v>
      </c>
      <c r="W1579" t="s">
        <v>28977</v>
      </c>
      <c r="X1579" t="s">
        <v>28978</v>
      </c>
      <c r="Y1579" t="s">
        <v>28979</v>
      </c>
    </row>
    <row r="1580" spans="1:25" x14ac:dyDescent="0.3">
      <c r="A1580">
        <v>78950</v>
      </c>
      <c r="B1580" t="s">
        <v>28980</v>
      </c>
      <c r="C1580" t="s">
        <v>28981</v>
      </c>
      <c r="D1580" t="s">
        <v>28982</v>
      </c>
      <c r="E1580" t="s">
        <v>28983</v>
      </c>
      <c r="F1580" t="s">
        <v>28984</v>
      </c>
      <c r="G1580" t="s">
        <v>28985</v>
      </c>
      <c r="H1580" t="s">
        <v>28986</v>
      </c>
      <c r="I1580" t="s">
        <v>28987</v>
      </c>
      <c r="J1580" t="s">
        <v>28988</v>
      </c>
      <c r="K1580" t="s">
        <v>28989</v>
      </c>
      <c r="L1580" t="s">
        <v>28990</v>
      </c>
      <c r="M1580" t="s">
        <v>28991</v>
      </c>
      <c r="N1580" t="s">
        <v>28992</v>
      </c>
      <c r="O1580">
        <f>-551.643036218419 -60.4251216413836 -776.071500699816</f>
        <v>-1388.1396585596185</v>
      </c>
      <c r="P1580">
        <f>-551.241966597113 -93.4818122077743 -461.280647288752</f>
        <v>-1106.0044260936393</v>
      </c>
      <c r="Q1580" t="s">
        <v>28993</v>
      </c>
      <c r="R1580" t="s">
        <v>28994</v>
      </c>
      <c r="S1580" t="s">
        <v>28995</v>
      </c>
      <c r="T1580" t="s">
        <v>28996</v>
      </c>
      <c r="U1580" t="s">
        <v>28997</v>
      </c>
      <c r="V1580" t="s">
        <v>28998</v>
      </c>
      <c r="W1580" t="s">
        <v>28999</v>
      </c>
      <c r="X1580" t="s">
        <v>29000</v>
      </c>
      <c r="Y1580" t="s">
        <v>29001</v>
      </c>
    </row>
    <row r="1581" spans="1:25" x14ac:dyDescent="0.3">
      <c r="A1581">
        <v>79000</v>
      </c>
      <c r="B1581" t="s">
        <v>29002</v>
      </c>
      <c r="C1581" t="s">
        <v>29003</v>
      </c>
      <c r="D1581" t="s">
        <v>29004</v>
      </c>
      <c r="E1581" t="s">
        <v>29005</v>
      </c>
      <c r="F1581" t="s">
        <v>29006</v>
      </c>
      <c r="G1581" t="s">
        <v>29007</v>
      </c>
      <c r="H1581" t="s">
        <v>29008</v>
      </c>
      <c r="I1581" t="s">
        <v>29009</v>
      </c>
      <c r="J1581" t="s">
        <v>29010</v>
      </c>
      <c r="K1581" t="s">
        <v>29011</v>
      </c>
      <c r="L1581" t="s">
        <v>29012</v>
      </c>
      <c r="M1581" t="s">
        <v>29013</v>
      </c>
      <c r="N1581" t="s">
        <v>29014</v>
      </c>
      <c r="O1581">
        <f>-553.365973301059 -60.1291694430242 -775.995796158868</f>
        <v>-1389.4909389029513</v>
      </c>
      <c r="P1581">
        <f>-552.595556206674 -92.4721067490566 -461.131541151204</f>
        <v>-1106.1992041069345</v>
      </c>
      <c r="Q1581" t="s">
        <v>29015</v>
      </c>
      <c r="R1581" t="s">
        <v>29016</v>
      </c>
      <c r="S1581" t="s">
        <v>29017</v>
      </c>
      <c r="T1581" t="s">
        <v>29018</v>
      </c>
      <c r="U1581" t="s">
        <v>29019</v>
      </c>
      <c r="V1581" t="s">
        <v>29020</v>
      </c>
      <c r="W1581" t="s">
        <v>29021</v>
      </c>
      <c r="X1581" t="s">
        <v>29022</v>
      </c>
      <c r="Y1581" t="s">
        <v>29023</v>
      </c>
    </row>
    <row r="1582" spans="1:25" x14ac:dyDescent="0.3">
      <c r="A1582">
        <v>79050</v>
      </c>
      <c r="B1582" t="s">
        <v>29024</v>
      </c>
      <c r="C1582" t="s">
        <v>29025</v>
      </c>
      <c r="D1582" t="s">
        <v>29026</v>
      </c>
      <c r="E1582" t="s">
        <v>29027</v>
      </c>
      <c r="F1582" t="s">
        <v>29028</v>
      </c>
      <c r="G1582" t="s">
        <v>29029</v>
      </c>
      <c r="H1582" t="s">
        <v>29030</v>
      </c>
      <c r="I1582" t="s">
        <v>29031</v>
      </c>
      <c r="J1582" t="s">
        <v>29032</v>
      </c>
      <c r="K1582" t="s">
        <v>29033</v>
      </c>
      <c r="L1582" t="s">
        <v>29034</v>
      </c>
      <c r="M1582" t="s">
        <v>29035</v>
      </c>
      <c r="N1582" t="s">
        <v>29036</v>
      </c>
      <c r="O1582">
        <f>-555.745961740938 -59.0113624922099 -775.702034881557</f>
        <v>-1390.459359114705</v>
      </c>
      <c r="P1582">
        <f>-555.096403071142 -91.1845323203679 -460.820107092725</f>
        <v>-1107.101042484235</v>
      </c>
      <c r="Q1582" t="s">
        <v>29037</v>
      </c>
      <c r="R1582" t="s">
        <v>29038</v>
      </c>
      <c r="S1582" t="s">
        <v>29039</v>
      </c>
      <c r="T1582" t="s">
        <v>29040</v>
      </c>
      <c r="U1582" t="s">
        <v>29041</v>
      </c>
      <c r="V1582" t="s">
        <v>29042</v>
      </c>
      <c r="W1582" t="s">
        <v>29043</v>
      </c>
      <c r="X1582" t="s">
        <v>29044</v>
      </c>
      <c r="Y1582" t="s">
        <v>29045</v>
      </c>
    </row>
    <row r="1583" spans="1:25" x14ac:dyDescent="0.3">
      <c r="A1583">
        <v>79100</v>
      </c>
      <c r="B1583" t="s">
        <v>29046</v>
      </c>
      <c r="C1583" t="s">
        <v>29047</v>
      </c>
      <c r="D1583" t="s">
        <v>29048</v>
      </c>
      <c r="E1583" t="s">
        <v>29049</v>
      </c>
      <c r="F1583" t="s">
        <v>29050</v>
      </c>
      <c r="G1583" t="s">
        <v>29051</v>
      </c>
      <c r="H1583" t="s">
        <v>29052</v>
      </c>
      <c r="I1583" t="s">
        <v>29053</v>
      </c>
      <c r="J1583" t="s">
        <v>29054</v>
      </c>
      <c r="K1583" t="s">
        <v>29055</v>
      </c>
      <c r="L1583" t="s">
        <v>29056</v>
      </c>
      <c r="M1583" t="s">
        <v>29057</v>
      </c>
      <c r="N1583" t="s">
        <v>29058</v>
      </c>
      <c r="O1583">
        <f>-556.98338932772 -58.3429791990777 -775.555741813283</f>
        <v>-1390.8821103400808</v>
      </c>
      <c r="P1583">
        <f>-555.936200756758 -90.568225702528 -460.680205652959</f>
        <v>-1107.184632112245</v>
      </c>
      <c r="Q1583" t="s">
        <v>29059</v>
      </c>
      <c r="R1583" t="s">
        <v>29060</v>
      </c>
      <c r="S1583" t="s">
        <v>29061</v>
      </c>
      <c r="T1583" t="s">
        <v>29062</v>
      </c>
      <c r="U1583" t="s">
        <v>29063</v>
      </c>
      <c r="V1583" t="s">
        <v>29064</v>
      </c>
      <c r="W1583" t="s">
        <v>29065</v>
      </c>
      <c r="X1583" t="s">
        <v>29066</v>
      </c>
      <c r="Y1583" t="s">
        <v>29067</v>
      </c>
    </row>
    <row r="1584" spans="1:25" x14ac:dyDescent="0.3">
      <c r="A1584">
        <v>79150</v>
      </c>
      <c r="B1584" t="s">
        <v>29068</v>
      </c>
      <c r="C1584" t="s">
        <v>29069</v>
      </c>
      <c r="D1584" t="s">
        <v>29070</v>
      </c>
      <c r="E1584" t="s">
        <v>29071</v>
      </c>
      <c r="F1584" t="s">
        <v>29072</v>
      </c>
      <c r="G1584" t="s">
        <v>29073</v>
      </c>
      <c r="H1584" t="s">
        <v>29074</v>
      </c>
      <c r="I1584" t="s">
        <v>29075</v>
      </c>
      <c r="J1584" t="s">
        <v>29076</v>
      </c>
      <c r="K1584" t="s">
        <v>29077</v>
      </c>
      <c r="L1584" t="s">
        <v>29078</v>
      </c>
      <c r="M1584" t="s">
        <v>29079</v>
      </c>
      <c r="N1584" t="s">
        <v>29080</v>
      </c>
      <c r="O1584">
        <f>-560.101553205009 -56.8175681387854 -775.787644268633</f>
        <v>-1392.7067656124275</v>
      </c>
      <c r="P1584">
        <f>-558.080927412956 -89.9369531175767 -461.009576973742</f>
        <v>-1109.0274575042747</v>
      </c>
      <c r="Q1584" t="s">
        <v>29081</v>
      </c>
      <c r="R1584" t="s">
        <v>29082</v>
      </c>
      <c r="S1584" t="s">
        <v>29083</v>
      </c>
      <c r="T1584" t="s">
        <v>29084</v>
      </c>
      <c r="U1584" t="s">
        <v>29085</v>
      </c>
      <c r="V1584" t="s">
        <v>29086</v>
      </c>
      <c r="W1584" t="s">
        <v>29087</v>
      </c>
      <c r="X1584" t="s">
        <v>29088</v>
      </c>
      <c r="Y1584" t="s">
        <v>29089</v>
      </c>
    </row>
    <row r="1585" spans="1:25" x14ac:dyDescent="0.3">
      <c r="A1585">
        <v>79200</v>
      </c>
      <c r="B1585" t="s">
        <v>29090</v>
      </c>
      <c r="C1585" t="s">
        <v>29091</v>
      </c>
      <c r="D1585" t="s">
        <v>29092</v>
      </c>
      <c r="E1585" t="s">
        <v>29093</v>
      </c>
      <c r="F1585" t="s">
        <v>29094</v>
      </c>
      <c r="G1585" t="s">
        <v>29095</v>
      </c>
      <c r="H1585" t="s">
        <v>29096</v>
      </c>
      <c r="I1585" t="s">
        <v>29097</v>
      </c>
      <c r="J1585" t="s">
        <v>29098</v>
      </c>
      <c r="K1585" t="s">
        <v>29099</v>
      </c>
      <c r="L1585" t="s">
        <v>29100</v>
      </c>
      <c r="M1585" t="s">
        <v>29101</v>
      </c>
      <c r="N1585" t="s">
        <v>29102</v>
      </c>
      <c r="O1585">
        <f>-561.560325287264 -55.871996540073 -775.875582384027</f>
        <v>-1393.3079042113641</v>
      </c>
      <c r="P1585">
        <f>-559.012219893784 -89.5625449790869 -461.161994122777</f>
        <v>-1109.736758995648</v>
      </c>
      <c r="Q1585" t="s">
        <v>29103</v>
      </c>
      <c r="R1585" t="s">
        <v>29104</v>
      </c>
      <c r="S1585" t="s">
        <v>29105</v>
      </c>
      <c r="T1585" t="s">
        <v>29106</v>
      </c>
      <c r="U1585" t="s">
        <v>29107</v>
      </c>
      <c r="V1585" t="s">
        <v>29108</v>
      </c>
      <c r="W1585" t="s">
        <v>29109</v>
      </c>
      <c r="X1585" t="s">
        <v>29110</v>
      </c>
      <c r="Y1585" t="s">
        <v>29111</v>
      </c>
    </row>
    <row r="1586" spans="1:25" x14ac:dyDescent="0.3">
      <c r="A1586">
        <v>79250</v>
      </c>
      <c r="B1586" t="s">
        <v>29112</v>
      </c>
      <c r="C1586" t="s">
        <v>29113</v>
      </c>
      <c r="D1586" t="s">
        <v>29114</v>
      </c>
      <c r="E1586" t="s">
        <v>29115</v>
      </c>
      <c r="F1586" t="s">
        <v>29116</v>
      </c>
      <c r="G1586" t="s">
        <v>29117</v>
      </c>
      <c r="H1586" t="s">
        <v>29118</v>
      </c>
      <c r="I1586" t="s">
        <v>29119</v>
      </c>
      <c r="J1586" t="s">
        <v>29120</v>
      </c>
      <c r="K1586" t="s">
        <v>29121</v>
      </c>
      <c r="L1586" t="s">
        <v>29122</v>
      </c>
      <c r="M1586" t="s">
        <v>29123</v>
      </c>
      <c r="N1586" t="s">
        <v>29124</v>
      </c>
      <c r="O1586">
        <f>-564.446505262213 -54.1947582945011 -775.919286811093</f>
        <v>-1394.5605503678071</v>
      </c>
      <c r="P1586">
        <f>-560.435723110312 -89.830862038586 -461.435347948373</f>
        <v>-1111.701933097271</v>
      </c>
      <c r="Q1586" t="s">
        <v>29125</v>
      </c>
      <c r="R1586" t="s">
        <v>29126</v>
      </c>
      <c r="S1586" t="s">
        <v>29127</v>
      </c>
      <c r="T1586" t="s">
        <v>29128</v>
      </c>
      <c r="U1586" t="s">
        <v>29129</v>
      </c>
      <c r="V1586" t="s">
        <v>29130</v>
      </c>
      <c r="W1586" t="s">
        <v>29131</v>
      </c>
      <c r="X1586" t="s">
        <v>29132</v>
      </c>
      <c r="Y1586" t="s">
        <v>29133</v>
      </c>
    </row>
    <row r="1587" spans="1:25" x14ac:dyDescent="0.3">
      <c r="A1587">
        <v>79300</v>
      </c>
      <c r="B1587" t="s">
        <v>29134</v>
      </c>
      <c r="C1587" t="s">
        <v>29135</v>
      </c>
      <c r="D1587" t="s">
        <v>29136</v>
      </c>
      <c r="E1587" t="s">
        <v>29137</v>
      </c>
      <c r="F1587" t="s">
        <v>29138</v>
      </c>
      <c r="G1587" t="s">
        <v>29139</v>
      </c>
      <c r="H1587" t="s">
        <v>29140</v>
      </c>
      <c r="I1587" t="s">
        <v>29141</v>
      </c>
      <c r="J1587" t="s">
        <v>29142</v>
      </c>
      <c r="K1587" t="s">
        <v>29143</v>
      </c>
      <c r="L1587" t="s">
        <v>29144</v>
      </c>
      <c r="M1587" t="s">
        <v>29145</v>
      </c>
      <c r="N1587" t="s">
        <v>29146</v>
      </c>
      <c r="O1587">
        <f>-565.606714556489 -53.5221779979561 -775.855823058527</f>
        <v>-1394.9847156129722</v>
      </c>
      <c r="P1587">
        <f>-561.074227949248 -89.9568612365808 -461.470440762359</f>
        <v>-1112.5015299481879</v>
      </c>
      <c r="Q1587" t="s">
        <v>29147</v>
      </c>
      <c r="R1587" t="s">
        <v>29148</v>
      </c>
      <c r="S1587" t="s">
        <v>29149</v>
      </c>
      <c r="T1587" t="s">
        <v>29150</v>
      </c>
      <c r="U1587" t="s">
        <v>29151</v>
      </c>
      <c r="V1587" t="s">
        <v>29152</v>
      </c>
      <c r="W1587" t="s">
        <v>29153</v>
      </c>
      <c r="X1587" t="s">
        <v>29154</v>
      </c>
      <c r="Y1587" t="s">
        <v>29155</v>
      </c>
    </row>
    <row r="1588" spans="1:25" x14ac:dyDescent="0.3">
      <c r="A1588">
        <v>79350</v>
      </c>
      <c r="B1588" t="s">
        <v>29156</v>
      </c>
      <c r="C1588" t="s">
        <v>29157</v>
      </c>
      <c r="D1588" t="s">
        <v>29158</v>
      </c>
      <c r="E1588" t="s">
        <v>29159</v>
      </c>
      <c r="F1588" t="s">
        <v>29160</v>
      </c>
      <c r="G1588" t="s">
        <v>29161</v>
      </c>
      <c r="H1588" t="s">
        <v>29162</v>
      </c>
      <c r="I1588" t="s">
        <v>29163</v>
      </c>
      <c r="J1588" t="s">
        <v>29164</v>
      </c>
      <c r="K1588" t="s">
        <v>29165</v>
      </c>
      <c r="L1588" t="s">
        <v>29166</v>
      </c>
      <c r="M1588" t="s">
        <v>29167</v>
      </c>
      <c r="N1588" t="s">
        <v>29168</v>
      </c>
      <c r="O1588">
        <f>-567.264850904006 -52.314541456552 -775.747946983729</f>
        <v>-1395.3273393442869</v>
      </c>
      <c r="P1588">
        <f>-563.83791571218 -88.6593077160674 -461.338102806781</f>
        <v>-1113.8353262350283</v>
      </c>
      <c r="Q1588" t="s">
        <v>29169</v>
      </c>
      <c r="R1588" t="s">
        <v>29170</v>
      </c>
      <c r="S1588" t="s">
        <v>29171</v>
      </c>
      <c r="T1588" t="s">
        <v>29172</v>
      </c>
      <c r="U1588" t="s">
        <v>29173</v>
      </c>
      <c r="V1588" t="s">
        <v>29174</v>
      </c>
      <c r="W1588" t="s">
        <v>29175</v>
      </c>
      <c r="X1588" t="s">
        <v>29176</v>
      </c>
      <c r="Y1588" t="s">
        <v>29177</v>
      </c>
    </row>
    <row r="1589" spans="1:25" x14ac:dyDescent="0.3">
      <c r="A1589">
        <v>79400</v>
      </c>
      <c r="B1589" t="s">
        <v>29178</v>
      </c>
      <c r="C1589" t="s">
        <v>29179</v>
      </c>
      <c r="D1589" t="s">
        <v>29180</v>
      </c>
      <c r="E1589" t="s">
        <v>29181</v>
      </c>
      <c r="F1589" t="s">
        <v>29182</v>
      </c>
      <c r="G1589" t="s">
        <v>29183</v>
      </c>
      <c r="H1589" t="s">
        <v>29184</v>
      </c>
      <c r="I1589" t="s">
        <v>29185</v>
      </c>
      <c r="J1589" t="s">
        <v>29186</v>
      </c>
      <c r="K1589" t="s">
        <v>29187</v>
      </c>
      <c r="L1589" t="s">
        <v>29188</v>
      </c>
      <c r="M1589" t="s">
        <v>29189</v>
      </c>
      <c r="N1589" t="s">
        <v>29190</v>
      </c>
      <c r="O1589">
        <f>-567.711053059536 -51.7989016213071 -775.563260097013</f>
        <v>-1395.073214777856</v>
      </c>
      <c r="P1589">
        <f>-564.538569348256 -88.249362075979 -461.163204048007</f>
        <v>-1113.951135472242</v>
      </c>
      <c r="Q1589" t="s">
        <v>29191</v>
      </c>
      <c r="R1589" t="s">
        <v>29192</v>
      </c>
      <c r="S1589" t="s">
        <v>29193</v>
      </c>
      <c r="T1589" t="s">
        <v>29194</v>
      </c>
      <c r="U1589" t="s">
        <v>29195</v>
      </c>
      <c r="V1589" t="s">
        <v>29196</v>
      </c>
      <c r="W1589" t="s">
        <v>29197</v>
      </c>
      <c r="X1589" t="s">
        <v>29198</v>
      </c>
      <c r="Y1589" t="s">
        <v>29199</v>
      </c>
    </row>
    <row r="1590" spans="1:25" x14ac:dyDescent="0.3">
      <c r="A1590">
        <v>79450</v>
      </c>
      <c r="B1590" t="s">
        <v>29200</v>
      </c>
      <c r="C1590" t="s">
        <v>29201</v>
      </c>
      <c r="D1590" t="s">
        <v>29202</v>
      </c>
      <c r="E1590" t="s">
        <v>29203</v>
      </c>
      <c r="F1590" t="s">
        <v>29204</v>
      </c>
      <c r="G1590" t="s">
        <v>29205</v>
      </c>
      <c r="H1590" t="s">
        <v>29206</v>
      </c>
      <c r="I1590" t="s">
        <v>29207</v>
      </c>
      <c r="J1590" t="s">
        <v>29208</v>
      </c>
      <c r="K1590" t="s">
        <v>29209</v>
      </c>
      <c r="L1590" t="s">
        <v>29210</v>
      </c>
      <c r="M1590" t="s">
        <v>29211</v>
      </c>
      <c r="N1590" t="s">
        <v>29212</v>
      </c>
      <c r="O1590">
        <f>-568.64199101552 -50.512137572375 -775.435930429206</f>
        <v>-1394.5900590171009</v>
      </c>
      <c r="P1590">
        <f>-566.398985705852 -86.6863015765139 -460.995845911657</f>
        <v>-1114.0811331940229</v>
      </c>
      <c r="Q1590" t="s">
        <v>29213</v>
      </c>
      <c r="R1590" t="s">
        <v>29214</v>
      </c>
      <c r="S1590" t="s">
        <v>29215</v>
      </c>
      <c r="T1590" t="s">
        <v>29216</v>
      </c>
      <c r="U1590" t="s">
        <v>29217</v>
      </c>
      <c r="V1590" t="s">
        <v>29218</v>
      </c>
      <c r="W1590" t="s">
        <v>29219</v>
      </c>
      <c r="X1590" t="s">
        <v>29220</v>
      </c>
      <c r="Y1590" t="s">
        <v>29221</v>
      </c>
    </row>
    <row r="1591" spans="1:25" x14ac:dyDescent="0.3">
      <c r="A1591">
        <v>79500</v>
      </c>
      <c r="B1591" t="s">
        <v>29222</v>
      </c>
      <c r="C1591" t="s">
        <v>29223</v>
      </c>
      <c r="D1591" t="s">
        <v>29224</v>
      </c>
      <c r="E1591" t="s">
        <v>29225</v>
      </c>
      <c r="F1591" t="s">
        <v>29226</v>
      </c>
      <c r="G1591" t="s">
        <v>29227</v>
      </c>
      <c r="H1591" t="s">
        <v>29228</v>
      </c>
      <c r="I1591" t="s">
        <v>29229</v>
      </c>
      <c r="J1591" t="s">
        <v>29230</v>
      </c>
      <c r="K1591" t="s">
        <v>29231</v>
      </c>
      <c r="L1591" t="s">
        <v>29232</v>
      </c>
      <c r="M1591" t="s">
        <v>29233</v>
      </c>
      <c r="N1591" t="s">
        <v>29234</v>
      </c>
      <c r="O1591">
        <f>-569.051379387795 -49.6740822252248 -775.487046830897</f>
        <v>-1394.2125084439167</v>
      </c>
      <c r="P1591">
        <f>-567.002344323586 -85.9000417872521 -461.051626909012</f>
        <v>-1113.9540130198502</v>
      </c>
      <c r="Q1591" t="s">
        <v>29235</v>
      </c>
      <c r="R1591" t="s">
        <v>29236</v>
      </c>
      <c r="S1591" t="s">
        <v>29237</v>
      </c>
      <c r="T1591" t="s">
        <v>29238</v>
      </c>
      <c r="U1591" t="s">
        <v>29239</v>
      </c>
      <c r="V1591" t="s">
        <v>29240</v>
      </c>
      <c r="W1591" t="s">
        <v>29241</v>
      </c>
      <c r="X1591" t="s">
        <v>29242</v>
      </c>
      <c r="Y1591" t="s">
        <v>29243</v>
      </c>
    </row>
    <row r="1592" spans="1:25" x14ac:dyDescent="0.3">
      <c r="A1592">
        <v>79550</v>
      </c>
      <c r="B1592" t="s">
        <v>29244</v>
      </c>
      <c r="C1592" t="s">
        <v>29245</v>
      </c>
      <c r="D1592" t="s">
        <v>29246</v>
      </c>
      <c r="E1592" t="s">
        <v>29247</v>
      </c>
      <c r="F1592" t="s">
        <v>29248</v>
      </c>
      <c r="G1592" t="s">
        <v>29249</v>
      </c>
      <c r="H1592" t="s">
        <v>29250</v>
      </c>
      <c r="I1592" t="s">
        <v>29251</v>
      </c>
      <c r="J1592" t="s">
        <v>29252</v>
      </c>
      <c r="K1592" t="s">
        <v>29253</v>
      </c>
      <c r="L1592" t="s">
        <v>29254</v>
      </c>
      <c r="M1592" t="s">
        <v>29255</v>
      </c>
      <c r="N1592" t="s">
        <v>29256</v>
      </c>
      <c r="O1592">
        <f>-569.74724044355 -48.0463634154726 -775.650551492063</f>
        <v>-1393.4441553510856</v>
      </c>
      <c r="P1592">
        <f>-568.337479790881 -83.5452855036001 -461.128680949851</f>
        <v>-1113.0114462443321</v>
      </c>
      <c r="Q1592" t="s">
        <v>29257</v>
      </c>
      <c r="R1592" t="s">
        <v>29258</v>
      </c>
      <c r="S1592" t="s">
        <v>29259</v>
      </c>
      <c r="T1592" t="s">
        <v>29260</v>
      </c>
      <c r="U1592" t="s">
        <v>29261</v>
      </c>
      <c r="V1592" t="s">
        <v>29262</v>
      </c>
      <c r="W1592" t="s">
        <v>29263</v>
      </c>
      <c r="X1592" t="s">
        <v>29264</v>
      </c>
      <c r="Y1592" t="s">
        <v>29265</v>
      </c>
    </row>
    <row r="1593" spans="1:25" x14ac:dyDescent="0.3">
      <c r="A1593">
        <v>79600</v>
      </c>
      <c r="B1593" t="s">
        <v>29266</v>
      </c>
      <c r="C1593" t="s">
        <v>29267</v>
      </c>
      <c r="D1593" t="s">
        <v>29268</v>
      </c>
      <c r="E1593" t="s">
        <v>29269</v>
      </c>
      <c r="F1593" t="s">
        <v>29270</v>
      </c>
      <c r="G1593" t="s">
        <v>29271</v>
      </c>
      <c r="H1593" t="s">
        <v>29272</v>
      </c>
      <c r="I1593" t="s">
        <v>29273</v>
      </c>
      <c r="J1593" t="s">
        <v>29274</v>
      </c>
      <c r="K1593" t="s">
        <v>29275</v>
      </c>
      <c r="L1593" t="s">
        <v>29276</v>
      </c>
      <c r="M1593" t="s">
        <v>29277</v>
      </c>
      <c r="N1593" t="s">
        <v>29278</v>
      </c>
      <c r="O1593">
        <f>-570.140053280264 -47.5865496923575 -775.57352019831</f>
        <v>-1393.3001231709316</v>
      </c>
      <c r="P1593">
        <f>-568.584198963793 -82.9411070931237 -461.036086921709</f>
        <v>-1112.5613929786257</v>
      </c>
      <c r="Q1593" t="s">
        <v>29279</v>
      </c>
      <c r="R1593" t="s">
        <v>29280</v>
      </c>
      <c r="S1593" t="s">
        <v>29281</v>
      </c>
      <c r="T1593" t="s">
        <v>29282</v>
      </c>
      <c r="U1593" t="s">
        <v>29283</v>
      </c>
      <c r="V1593" t="s">
        <v>29284</v>
      </c>
      <c r="W1593" t="s">
        <v>29285</v>
      </c>
      <c r="X1593" t="s">
        <v>29286</v>
      </c>
      <c r="Y1593" t="s">
        <v>29287</v>
      </c>
    </row>
    <row r="1594" spans="1:25" x14ac:dyDescent="0.3">
      <c r="A1594">
        <v>79650</v>
      </c>
      <c r="B1594" t="s">
        <v>29288</v>
      </c>
      <c r="C1594" t="s">
        <v>29289</v>
      </c>
      <c r="D1594" t="s">
        <v>29290</v>
      </c>
      <c r="E1594" t="s">
        <v>29291</v>
      </c>
      <c r="F1594" t="s">
        <v>29292</v>
      </c>
      <c r="G1594" t="s">
        <v>29293</v>
      </c>
      <c r="H1594" t="s">
        <v>29294</v>
      </c>
      <c r="I1594" t="s">
        <v>29295</v>
      </c>
      <c r="J1594" t="s">
        <v>29296</v>
      </c>
      <c r="K1594" t="s">
        <v>29297</v>
      </c>
      <c r="L1594" t="s">
        <v>29298</v>
      </c>
      <c r="M1594" t="s">
        <v>29299</v>
      </c>
      <c r="N1594" t="s">
        <v>29300</v>
      </c>
      <c r="O1594">
        <f>-571.178981316727 -47.167522388723 -775.40217346085</f>
        <v>-1393.7486771663</v>
      </c>
      <c r="P1594">
        <f>-569.18096438542 -82.1759565728557 -460.828526942672</f>
        <v>-1112.1854479009478</v>
      </c>
      <c r="Q1594" t="s">
        <v>29301</v>
      </c>
      <c r="R1594" t="s">
        <v>29302</v>
      </c>
      <c r="S1594" t="s">
        <v>29303</v>
      </c>
      <c r="T1594" t="s">
        <v>29304</v>
      </c>
      <c r="U1594" t="s">
        <v>29305</v>
      </c>
      <c r="V1594" t="s">
        <v>29306</v>
      </c>
      <c r="W1594" t="s">
        <v>29307</v>
      </c>
      <c r="X1594" t="s">
        <v>29308</v>
      </c>
      <c r="Y1594" t="s">
        <v>29309</v>
      </c>
    </row>
    <row r="1595" spans="1:25" x14ac:dyDescent="0.3">
      <c r="A1595">
        <v>79700</v>
      </c>
      <c r="B1595" t="s">
        <v>29310</v>
      </c>
      <c r="C1595" t="s">
        <v>29311</v>
      </c>
      <c r="D1595" t="s">
        <v>29312</v>
      </c>
      <c r="E1595" t="s">
        <v>29313</v>
      </c>
      <c r="F1595" t="s">
        <v>29314</v>
      </c>
      <c r="G1595" t="s">
        <v>29315</v>
      </c>
      <c r="H1595" t="s">
        <v>29316</v>
      </c>
      <c r="I1595" t="s">
        <v>29317</v>
      </c>
      <c r="J1595" t="s">
        <v>29318</v>
      </c>
      <c r="K1595" t="s">
        <v>29319</v>
      </c>
      <c r="L1595" t="s">
        <v>29320</v>
      </c>
      <c r="M1595" t="s">
        <v>29321</v>
      </c>
      <c r="N1595" t="s">
        <v>29322</v>
      </c>
      <c r="O1595">
        <f>-571.527055782884 -47.1135124628117 -775.252775943618</f>
        <v>-1393.8933441893137</v>
      </c>
      <c r="P1595">
        <f>-569.086038201927 -81.9563382775566 -460.663830201211</f>
        <v>-1111.7062066806945</v>
      </c>
      <c r="Q1595" t="s">
        <v>29323</v>
      </c>
      <c r="R1595" t="s">
        <v>29324</v>
      </c>
      <c r="S1595" t="s">
        <v>29325</v>
      </c>
      <c r="T1595" t="s">
        <v>29326</v>
      </c>
      <c r="U1595" t="s">
        <v>29327</v>
      </c>
      <c r="V1595" t="s">
        <v>29328</v>
      </c>
      <c r="W1595" t="s">
        <v>29329</v>
      </c>
      <c r="X1595" t="s">
        <v>29330</v>
      </c>
      <c r="Y1595" t="s">
        <v>29331</v>
      </c>
    </row>
    <row r="1596" spans="1:25" x14ac:dyDescent="0.3">
      <c r="A1596">
        <v>79750</v>
      </c>
      <c r="B1596" t="s">
        <v>29332</v>
      </c>
      <c r="C1596" t="s">
        <v>29333</v>
      </c>
      <c r="D1596" t="s">
        <v>29334</v>
      </c>
      <c r="E1596" t="s">
        <v>29335</v>
      </c>
      <c r="F1596" t="s">
        <v>29336</v>
      </c>
      <c r="G1596" t="s">
        <v>29337</v>
      </c>
      <c r="H1596" t="s">
        <v>29338</v>
      </c>
      <c r="I1596" t="s">
        <v>29339</v>
      </c>
      <c r="J1596" t="s">
        <v>29340</v>
      </c>
      <c r="K1596" t="s">
        <v>29341</v>
      </c>
      <c r="L1596" t="s">
        <v>29342</v>
      </c>
      <c r="M1596" t="s">
        <v>29343</v>
      </c>
      <c r="N1596" t="s">
        <v>29344</v>
      </c>
      <c r="O1596">
        <f>-571.803908265279 -47.6273984084678 -774.529970177114</f>
        <v>-1393.9612768508609</v>
      </c>
      <c r="P1596">
        <f>-568.600063185461 -81.6647283062657 -459.859786319899</f>
        <v>-1110.1245778116256</v>
      </c>
      <c r="Q1596" t="s">
        <v>29345</v>
      </c>
      <c r="R1596" t="s">
        <v>29346</v>
      </c>
      <c r="S1596" t="s">
        <v>29347</v>
      </c>
      <c r="T1596" t="s">
        <v>29348</v>
      </c>
      <c r="U1596" t="s">
        <v>29349</v>
      </c>
      <c r="V1596" t="s">
        <v>29350</v>
      </c>
      <c r="W1596" t="s">
        <v>29351</v>
      </c>
      <c r="X1596" t="s">
        <v>29352</v>
      </c>
      <c r="Y1596" t="s">
        <v>29353</v>
      </c>
    </row>
    <row r="1597" spans="1:25" x14ac:dyDescent="0.3">
      <c r="A1597">
        <v>79800</v>
      </c>
      <c r="B1597" t="s">
        <v>29354</v>
      </c>
      <c r="C1597" t="s">
        <v>29355</v>
      </c>
      <c r="D1597" t="s">
        <v>29356</v>
      </c>
      <c r="E1597" t="s">
        <v>29357</v>
      </c>
      <c r="F1597" t="s">
        <v>29358</v>
      </c>
      <c r="G1597" t="s">
        <v>29359</v>
      </c>
      <c r="H1597" t="s">
        <v>29360</v>
      </c>
      <c r="I1597" t="s">
        <v>29361</v>
      </c>
      <c r="J1597" t="s">
        <v>29362</v>
      </c>
      <c r="K1597" t="s">
        <v>29363</v>
      </c>
      <c r="L1597" t="s">
        <v>29364</v>
      </c>
      <c r="M1597" t="s">
        <v>29365</v>
      </c>
      <c r="N1597" t="s">
        <v>29366</v>
      </c>
      <c r="O1597">
        <f>-571.881563935883 -47.6731144021151 -774.181589799109</f>
        <v>-1393.7362681371071</v>
      </c>
      <c r="P1597">
        <f>-568.170261559343 -81.4972057872562 -459.493901416184</f>
        <v>-1109.1613687627832</v>
      </c>
      <c r="Q1597" t="s">
        <v>29367</v>
      </c>
      <c r="R1597" t="s">
        <v>29368</v>
      </c>
      <c r="S1597" t="s">
        <v>29369</v>
      </c>
      <c r="T1597" t="s">
        <v>29370</v>
      </c>
      <c r="U1597" t="s">
        <v>29371</v>
      </c>
      <c r="V1597" t="s">
        <v>29372</v>
      </c>
      <c r="W1597" t="s">
        <v>29373</v>
      </c>
      <c r="X1597" t="s">
        <v>29374</v>
      </c>
      <c r="Y1597" t="s">
        <v>29375</v>
      </c>
    </row>
    <row r="1598" spans="1:25" x14ac:dyDescent="0.3">
      <c r="A1598">
        <v>79850</v>
      </c>
      <c r="B1598" t="s">
        <v>29376</v>
      </c>
      <c r="C1598" t="s">
        <v>29377</v>
      </c>
      <c r="D1598" t="s">
        <v>29378</v>
      </c>
      <c r="E1598" t="s">
        <v>29379</v>
      </c>
      <c r="F1598" t="s">
        <v>29380</v>
      </c>
      <c r="G1598" t="s">
        <v>29381</v>
      </c>
      <c r="H1598" t="s">
        <v>29382</v>
      </c>
      <c r="I1598" t="s">
        <v>29383</v>
      </c>
      <c r="J1598" t="s">
        <v>29384</v>
      </c>
      <c r="K1598" t="s">
        <v>29385</v>
      </c>
      <c r="L1598" t="s">
        <v>29386</v>
      </c>
      <c r="M1598" t="s">
        <v>29387</v>
      </c>
      <c r="N1598" t="s">
        <v>29388</v>
      </c>
      <c r="O1598">
        <f>-571.745640109427 -47.086923176847 -773.871249130664</f>
        <v>-1392.703812416938</v>
      </c>
      <c r="P1598">
        <f>-567.436505746778 -79.7048602672232 -459.063819192224</f>
        <v>-1106.2051852062252</v>
      </c>
      <c r="Q1598" t="s">
        <v>29389</v>
      </c>
      <c r="R1598" t="s">
        <v>29390</v>
      </c>
      <c r="S1598" t="s">
        <v>29391</v>
      </c>
      <c r="T1598" t="s">
        <v>29392</v>
      </c>
      <c r="U1598" t="s">
        <v>29393</v>
      </c>
      <c r="V1598" t="s">
        <v>29394</v>
      </c>
      <c r="W1598" t="s">
        <v>29395</v>
      </c>
      <c r="X1598" t="s">
        <v>29396</v>
      </c>
      <c r="Y1598" t="s">
        <v>29397</v>
      </c>
    </row>
    <row r="1599" spans="1:25" x14ac:dyDescent="0.3">
      <c r="A1599">
        <v>79900</v>
      </c>
      <c r="B1599" t="s">
        <v>29398</v>
      </c>
      <c r="C1599" t="s">
        <v>29399</v>
      </c>
      <c r="D1599" t="s">
        <v>29400</v>
      </c>
      <c r="E1599" t="s">
        <v>29401</v>
      </c>
      <c r="F1599" t="s">
        <v>29402</v>
      </c>
      <c r="G1599" t="s">
        <v>29403</v>
      </c>
      <c r="H1599" t="s">
        <v>29404</v>
      </c>
      <c r="I1599" t="s">
        <v>29405</v>
      </c>
      <c r="J1599" t="s">
        <v>29406</v>
      </c>
      <c r="K1599" t="s">
        <v>29407</v>
      </c>
      <c r="L1599" t="s">
        <v>29408</v>
      </c>
      <c r="M1599" t="s">
        <v>29409</v>
      </c>
      <c r="N1599" t="s">
        <v>29410</v>
      </c>
      <c r="O1599">
        <f>-571.579785199604 -46.6774210775839 -773.75765151435</f>
        <v>-1392.0148577915379</v>
      </c>
      <c r="P1599">
        <f>-567.33223959543 -78.6742955734817 -458.885645983889</f>
        <v>-1104.8921811528007</v>
      </c>
      <c r="Q1599" t="s">
        <v>29411</v>
      </c>
      <c r="R1599" t="s">
        <v>29412</v>
      </c>
      <c r="S1599" t="s">
        <v>29413</v>
      </c>
      <c r="T1599" t="s">
        <v>29414</v>
      </c>
      <c r="U1599" t="s">
        <v>29415</v>
      </c>
      <c r="V1599" t="s">
        <v>29416</v>
      </c>
      <c r="W1599" t="s">
        <v>29417</v>
      </c>
      <c r="X1599" t="s">
        <v>29418</v>
      </c>
      <c r="Y1599" t="s">
        <v>29419</v>
      </c>
    </row>
    <row r="1600" spans="1:25" x14ac:dyDescent="0.3">
      <c r="A1600">
        <v>79950</v>
      </c>
      <c r="B1600" t="s">
        <v>29420</v>
      </c>
      <c r="C1600" t="s">
        <v>29421</v>
      </c>
      <c r="D1600" t="s">
        <v>29422</v>
      </c>
      <c r="E1600" t="s">
        <v>29423</v>
      </c>
      <c r="F1600" t="s">
        <v>29424</v>
      </c>
      <c r="G1600" t="s">
        <v>29425</v>
      </c>
      <c r="H1600" t="s">
        <v>29426</v>
      </c>
      <c r="I1600" t="s">
        <v>29427</v>
      </c>
      <c r="J1600" t="s">
        <v>29428</v>
      </c>
      <c r="K1600" t="s">
        <v>29429</v>
      </c>
      <c r="L1600" t="s">
        <v>29430</v>
      </c>
      <c r="M1600" t="s">
        <v>29431</v>
      </c>
      <c r="N1600" t="s">
        <v>29432</v>
      </c>
      <c r="O1600">
        <f>-570.553042501919 -45.672932536138 -773.503433745133</f>
        <v>-1389.7294087831899</v>
      </c>
      <c r="P1600">
        <f>-567.018032327304 -77.2968143219819 -458.584968564853</f>
        <v>-1102.8998152141389</v>
      </c>
      <c r="Q1600" t="s">
        <v>29433</v>
      </c>
      <c r="R1600" t="s">
        <v>29434</v>
      </c>
      <c r="S1600" t="s">
        <v>29435</v>
      </c>
      <c r="T1600" t="s">
        <v>29436</v>
      </c>
      <c r="U1600" t="s">
        <v>29437</v>
      </c>
      <c r="V1600" t="s">
        <v>29438</v>
      </c>
      <c r="W1600" t="s">
        <v>29439</v>
      </c>
      <c r="X1600" t="s">
        <v>29440</v>
      </c>
      <c r="Y1600" t="s">
        <v>29441</v>
      </c>
    </row>
    <row r="1601" spans="1:25" x14ac:dyDescent="0.3">
      <c r="A1601">
        <v>80000</v>
      </c>
      <c r="B1601" t="s">
        <v>29442</v>
      </c>
      <c r="C1601" t="s">
        <v>29443</v>
      </c>
      <c r="D1601" t="s">
        <v>29444</v>
      </c>
      <c r="E1601" t="s">
        <v>29445</v>
      </c>
      <c r="F1601" t="s">
        <v>29446</v>
      </c>
      <c r="G1601" t="s">
        <v>29447</v>
      </c>
      <c r="H1601" t="s">
        <v>29448</v>
      </c>
      <c r="I1601" t="s">
        <v>29449</v>
      </c>
      <c r="J1601" t="s">
        <v>29450</v>
      </c>
      <c r="K1601" t="s">
        <v>29451</v>
      </c>
      <c r="L1601" t="s">
        <v>29452</v>
      </c>
      <c r="M1601" t="s">
        <v>29453</v>
      </c>
      <c r="N1601" t="s">
        <v>29454</v>
      </c>
      <c r="O1601">
        <f>-570.09905961207 -45.0956970224179 -773.368566240964</f>
        <v>-1388.5633228754518</v>
      </c>
      <c r="P1601">
        <f>-566.803702791898 -76.3664662682534 -458.41234889409</f>
        <v>-1101.5825179542412</v>
      </c>
      <c r="Q1601" t="s">
        <v>29455</v>
      </c>
      <c r="R1601" t="s">
        <v>29456</v>
      </c>
      <c r="S1601" t="s">
        <v>29457</v>
      </c>
      <c r="T1601" t="s">
        <v>29458</v>
      </c>
      <c r="U1601" t="s">
        <v>29459</v>
      </c>
      <c r="V1601" t="s">
        <v>29460</v>
      </c>
      <c r="W1601" t="s">
        <v>29461</v>
      </c>
      <c r="X1601" t="s">
        <v>29462</v>
      </c>
      <c r="Y1601" t="s">
        <v>29463</v>
      </c>
    </row>
    <row r="1602" spans="1:25" x14ac:dyDescent="0.3">
      <c r="A1602">
        <v>80050</v>
      </c>
      <c r="B1602" t="s">
        <v>29464</v>
      </c>
      <c r="C1602" t="s">
        <v>29465</v>
      </c>
      <c r="D1602" t="s">
        <v>29466</v>
      </c>
      <c r="E1602" t="s">
        <v>29467</v>
      </c>
      <c r="F1602" t="s">
        <v>29468</v>
      </c>
      <c r="G1602" t="s">
        <v>29469</v>
      </c>
      <c r="H1602" t="s">
        <v>29470</v>
      </c>
      <c r="I1602" t="s">
        <v>29471</v>
      </c>
      <c r="J1602" t="s">
        <v>29472</v>
      </c>
      <c r="K1602" t="s">
        <v>29473</v>
      </c>
      <c r="L1602" t="s">
        <v>29474</v>
      </c>
      <c r="M1602" t="s">
        <v>29475</v>
      </c>
      <c r="N1602" t="s">
        <v>29476</v>
      </c>
      <c r="O1602">
        <f>-569.515669904892 -44.2586553406143 -772.985661097485</f>
        <v>-1386.7599863429914</v>
      </c>
      <c r="P1602">
        <f>-565.924183788224 -74.600404998127 -457.941877855402</f>
        <v>-1098.466466641753</v>
      </c>
      <c r="Q1602" t="s">
        <v>29477</v>
      </c>
      <c r="R1602" t="s">
        <v>29478</v>
      </c>
      <c r="S1602" t="s">
        <v>29479</v>
      </c>
      <c r="T1602" t="s">
        <v>29480</v>
      </c>
      <c r="U1602" t="s">
        <v>29481</v>
      </c>
      <c r="V1602" t="s">
        <v>29482</v>
      </c>
      <c r="W1602" t="s">
        <v>29483</v>
      </c>
      <c r="X1602" t="s">
        <v>29484</v>
      </c>
      <c r="Y1602" t="s">
        <v>29485</v>
      </c>
    </row>
    <row r="1603" spans="1:25" x14ac:dyDescent="0.3">
      <c r="A1603">
        <v>80100</v>
      </c>
      <c r="B1603" t="s">
        <v>29486</v>
      </c>
      <c r="C1603" t="s">
        <v>29487</v>
      </c>
      <c r="D1603" t="s">
        <v>29488</v>
      </c>
      <c r="E1603" t="s">
        <v>29489</v>
      </c>
      <c r="F1603" t="s">
        <v>29490</v>
      </c>
      <c r="G1603" t="s">
        <v>29491</v>
      </c>
      <c r="H1603" t="s">
        <v>29492</v>
      </c>
      <c r="I1603" t="s">
        <v>29493</v>
      </c>
      <c r="J1603" t="s">
        <v>29494</v>
      </c>
      <c r="K1603" t="s">
        <v>29495</v>
      </c>
      <c r="L1603" t="s">
        <v>29496</v>
      </c>
      <c r="M1603" t="s">
        <v>29497</v>
      </c>
      <c r="N1603" t="s">
        <v>29498</v>
      </c>
      <c r="O1603">
        <f>-568.935929910122 -44.0523123810401 -772.803003603809</f>
        <v>-1385.7912458949711</v>
      </c>
      <c r="P1603">
        <f>-565.436850341768 -73.9439815246253 -457.71517409459</f>
        <v>-1097.0960059609833</v>
      </c>
      <c r="Q1603" t="s">
        <v>29499</v>
      </c>
      <c r="R1603" t="s">
        <v>29500</v>
      </c>
      <c r="S1603" t="s">
        <v>29501</v>
      </c>
      <c r="T1603" t="s">
        <v>29502</v>
      </c>
      <c r="U1603" t="s">
        <v>29503</v>
      </c>
      <c r="V1603" t="s">
        <v>29504</v>
      </c>
      <c r="W1603" t="s">
        <v>29505</v>
      </c>
      <c r="X1603" t="s">
        <v>29506</v>
      </c>
      <c r="Y1603" t="s">
        <v>29507</v>
      </c>
    </row>
    <row r="1604" spans="1:25" x14ac:dyDescent="0.3">
      <c r="A1604">
        <v>80150</v>
      </c>
      <c r="B1604" t="s">
        <v>29508</v>
      </c>
      <c r="C1604" t="s">
        <v>29509</v>
      </c>
      <c r="D1604" t="s">
        <v>29510</v>
      </c>
      <c r="E1604" t="s">
        <v>29511</v>
      </c>
      <c r="F1604" t="s">
        <v>29512</v>
      </c>
      <c r="G1604" t="s">
        <v>29513</v>
      </c>
      <c r="H1604" t="s">
        <v>29514</v>
      </c>
      <c r="I1604" t="s">
        <v>29515</v>
      </c>
      <c r="J1604" t="s">
        <v>29516</v>
      </c>
      <c r="K1604" t="s">
        <v>29517</v>
      </c>
      <c r="L1604" t="s">
        <v>29518</v>
      </c>
      <c r="M1604" t="s">
        <v>29519</v>
      </c>
      <c r="N1604" t="s">
        <v>29520</v>
      </c>
      <c r="O1604">
        <f>-568.08275283531 -43.5504760498895 -772.520675679795</f>
        <v>-1384.1539045649945</v>
      </c>
      <c r="P1604">
        <f>-564.806009823791 -73.2648940674519 -457.413398539416</f>
        <v>-1095.4843024306588</v>
      </c>
      <c r="Q1604" t="s">
        <v>29521</v>
      </c>
      <c r="R1604" t="s">
        <v>29522</v>
      </c>
      <c r="S1604" t="s">
        <v>29523</v>
      </c>
      <c r="T1604" t="s">
        <v>29524</v>
      </c>
      <c r="U1604" t="s">
        <v>29525</v>
      </c>
      <c r="V1604" t="s">
        <v>29526</v>
      </c>
      <c r="W1604" t="s">
        <v>29527</v>
      </c>
      <c r="X1604" t="s">
        <v>29528</v>
      </c>
      <c r="Y1604" t="s">
        <v>29529</v>
      </c>
    </row>
    <row r="1605" spans="1:25" x14ac:dyDescent="0.3">
      <c r="A1605">
        <v>80200</v>
      </c>
      <c r="B1605" t="s">
        <v>29530</v>
      </c>
      <c r="C1605" t="s">
        <v>29531</v>
      </c>
      <c r="D1605" t="s">
        <v>29532</v>
      </c>
      <c r="E1605" t="s">
        <v>29533</v>
      </c>
      <c r="F1605" t="s">
        <v>29534</v>
      </c>
      <c r="G1605" t="s">
        <v>29535</v>
      </c>
      <c r="H1605" t="s">
        <v>29536</v>
      </c>
      <c r="I1605" t="s">
        <v>29537</v>
      </c>
      <c r="J1605" t="s">
        <v>29538</v>
      </c>
      <c r="K1605" t="s">
        <v>29539</v>
      </c>
      <c r="L1605" t="s">
        <v>29540</v>
      </c>
      <c r="M1605" t="s">
        <v>29541</v>
      </c>
      <c r="N1605" t="s">
        <v>29542</v>
      </c>
      <c r="O1605">
        <f>-567.497606522948 -43.354849641443 -772.437523126136</f>
        <v>-1383.2899792905271</v>
      </c>
      <c r="P1605">
        <f>-564.513263947872 -72.9635968673749 -457.317599019481</f>
        <v>-1094.7944598347281</v>
      </c>
      <c r="Q1605" t="s">
        <v>29543</v>
      </c>
      <c r="R1605" t="s">
        <v>29544</v>
      </c>
      <c r="S1605" t="s">
        <v>29545</v>
      </c>
      <c r="T1605" t="s">
        <v>29546</v>
      </c>
      <c r="U1605" t="s">
        <v>29547</v>
      </c>
      <c r="V1605" t="s">
        <v>29548</v>
      </c>
      <c r="W1605" t="s">
        <v>29549</v>
      </c>
      <c r="X1605" t="s">
        <v>29550</v>
      </c>
      <c r="Y1605" t="s">
        <v>29551</v>
      </c>
    </row>
    <row r="1606" spans="1:25" x14ac:dyDescent="0.3">
      <c r="A1606">
        <v>80250</v>
      </c>
      <c r="B1606" t="s">
        <v>29552</v>
      </c>
      <c r="C1606" t="s">
        <v>29553</v>
      </c>
      <c r="D1606" t="s">
        <v>29554</v>
      </c>
      <c r="E1606" t="s">
        <v>29555</v>
      </c>
      <c r="F1606" t="s">
        <v>29556</v>
      </c>
      <c r="G1606" t="s">
        <v>29557</v>
      </c>
      <c r="H1606" t="s">
        <v>29558</v>
      </c>
      <c r="I1606" t="s">
        <v>29559</v>
      </c>
      <c r="J1606" t="s">
        <v>29560</v>
      </c>
      <c r="K1606" t="s">
        <v>29561</v>
      </c>
      <c r="L1606" t="s">
        <v>29562</v>
      </c>
      <c r="M1606" t="s">
        <v>29563</v>
      </c>
      <c r="N1606" t="s">
        <v>29564</v>
      </c>
      <c r="O1606">
        <f>-567.005491442281 -42.6536041743755 -772.299562360993</f>
        <v>-1381.9586579776496</v>
      </c>
      <c r="P1606">
        <f>-564.294749118016 -72.0459612405757 -457.156789008474</f>
        <v>-1093.4974993670658</v>
      </c>
      <c r="Q1606" t="s">
        <v>29565</v>
      </c>
      <c r="R1606" t="s">
        <v>29566</v>
      </c>
      <c r="S1606" t="s">
        <v>29567</v>
      </c>
      <c r="T1606" t="s">
        <v>29568</v>
      </c>
      <c r="U1606" t="s">
        <v>29569</v>
      </c>
      <c r="V1606" t="s">
        <v>29570</v>
      </c>
      <c r="W1606" t="s">
        <v>29571</v>
      </c>
      <c r="X1606" t="s">
        <v>29572</v>
      </c>
      <c r="Y1606" t="s">
        <v>29573</v>
      </c>
    </row>
    <row r="1607" spans="1:25" x14ac:dyDescent="0.3">
      <c r="A1607">
        <v>80300</v>
      </c>
      <c r="B1607" t="s">
        <v>29574</v>
      </c>
      <c r="C1607" t="s">
        <v>29575</v>
      </c>
      <c r="D1607" t="s">
        <v>29576</v>
      </c>
      <c r="E1607" t="s">
        <v>29577</v>
      </c>
      <c r="F1607" t="s">
        <v>29578</v>
      </c>
      <c r="G1607" t="s">
        <v>29579</v>
      </c>
      <c r="H1607" t="s">
        <v>29580</v>
      </c>
      <c r="I1607" t="s">
        <v>29581</v>
      </c>
      <c r="J1607" t="s">
        <v>29582</v>
      </c>
      <c r="K1607" t="s">
        <v>29583</v>
      </c>
      <c r="L1607" t="s">
        <v>29584</v>
      </c>
      <c r="M1607" t="s">
        <v>29585</v>
      </c>
      <c r="N1607" t="s">
        <v>29586</v>
      </c>
      <c r="O1607">
        <f>-567.042220350723 -42.33343613648 -772.261376665711</f>
        <v>-1381.6370331529142</v>
      </c>
      <c r="P1607">
        <f>-564.157625939942 -71.4528522718833 -457.094809059519</f>
        <v>-1092.7052872713443</v>
      </c>
      <c r="Q1607" t="s">
        <v>29587</v>
      </c>
      <c r="R1607" t="s">
        <v>29588</v>
      </c>
      <c r="S1607" t="s">
        <v>29589</v>
      </c>
      <c r="T1607" t="s">
        <v>29590</v>
      </c>
      <c r="U1607" t="s">
        <v>29591</v>
      </c>
      <c r="V1607" t="s">
        <v>29592</v>
      </c>
      <c r="W1607" t="s">
        <v>29593</v>
      </c>
      <c r="X1607" t="s">
        <v>29594</v>
      </c>
      <c r="Y1607" t="s">
        <v>29595</v>
      </c>
    </row>
    <row r="1608" spans="1:25" x14ac:dyDescent="0.3">
      <c r="A1608">
        <v>80350</v>
      </c>
      <c r="B1608" t="s">
        <v>29596</v>
      </c>
      <c r="C1608" t="s">
        <v>29597</v>
      </c>
      <c r="D1608" t="s">
        <v>29598</v>
      </c>
      <c r="E1608" t="s">
        <v>29599</v>
      </c>
      <c r="F1608" t="s">
        <v>29600</v>
      </c>
      <c r="G1608" t="s">
        <v>29601</v>
      </c>
      <c r="H1608" t="s">
        <v>29602</v>
      </c>
      <c r="I1608" t="s">
        <v>29603</v>
      </c>
      <c r="J1608" t="s">
        <v>29604</v>
      </c>
      <c r="K1608" t="s">
        <v>29605</v>
      </c>
      <c r="L1608" t="s">
        <v>29606</v>
      </c>
      <c r="M1608" t="s">
        <v>29607</v>
      </c>
      <c r="N1608" t="s">
        <v>29608</v>
      </c>
      <c r="O1608">
        <f>-567.257533594338 -41.7458154457827 -772.161656233935</f>
        <v>-1381.1650052740556</v>
      </c>
      <c r="P1608">
        <f>-564.091056760439 -70.4049506755505 -456.955695096573</f>
        <v>-1091.4517025325624</v>
      </c>
      <c r="Q1608" t="s">
        <v>29609</v>
      </c>
      <c r="R1608" t="s">
        <v>29610</v>
      </c>
      <c r="S1608" t="s">
        <v>29611</v>
      </c>
      <c r="T1608" t="s">
        <v>29612</v>
      </c>
      <c r="U1608" t="s">
        <v>29613</v>
      </c>
      <c r="V1608" t="s">
        <v>29614</v>
      </c>
      <c r="W1608" t="s">
        <v>29615</v>
      </c>
      <c r="X1608" t="s">
        <v>29616</v>
      </c>
      <c r="Y1608" t="s">
        <v>29617</v>
      </c>
    </row>
    <row r="1609" spans="1:25" x14ac:dyDescent="0.3">
      <c r="A1609">
        <v>80400</v>
      </c>
      <c r="B1609" t="s">
        <v>29618</v>
      </c>
      <c r="C1609" t="s">
        <v>29619</v>
      </c>
      <c r="D1609" t="s">
        <v>29620</v>
      </c>
      <c r="E1609" t="s">
        <v>29621</v>
      </c>
      <c r="F1609" t="s">
        <v>29622</v>
      </c>
      <c r="G1609" t="s">
        <v>29623</v>
      </c>
      <c r="H1609" t="s">
        <v>29624</v>
      </c>
      <c r="I1609" t="s">
        <v>29625</v>
      </c>
      <c r="J1609" t="s">
        <v>29626</v>
      </c>
      <c r="K1609" t="s">
        <v>29627</v>
      </c>
      <c r="L1609" t="s">
        <v>29628</v>
      </c>
      <c r="M1609" t="s">
        <v>29629</v>
      </c>
      <c r="N1609" t="s">
        <v>29630</v>
      </c>
      <c r="O1609">
        <f>-567.453194277062 -41.5225074044063 -772.102479118454</f>
        <v>-1381.0781807999224</v>
      </c>
      <c r="P1609">
        <f>-564.154368926262 -70.1369404023892 -456.893803346353</f>
        <v>-1091.1851126750043</v>
      </c>
      <c r="Q1609" t="s">
        <v>29631</v>
      </c>
      <c r="R1609" t="s">
        <v>29632</v>
      </c>
      <c r="S1609" t="s">
        <v>29633</v>
      </c>
      <c r="T1609" t="s">
        <v>29634</v>
      </c>
      <c r="U1609" t="s">
        <v>29635</v>
      </c>
      <c r="V1609" t="s">
        <v>29636</v>
      </c>
      <c r="W1609" t="s">
        <v>29637</v>
      </c>
      <c r="X1609" t="s">
        <v>29638</v>
      </c>
      <c r="Y1609" t="s">
        <v>29639</v>
      </c>
    </row>
    <row r="1610" spans="1:25" x14ac:dyDescent="0.3">
      <c r="A1610">
        <v>80450</v>
      </c>
      <c r="B1610" t="s">
        <v>29640</v>
      </c>
      <c r="C1610" t="s">
        <v>29641</v>
      </c>
      <c r="D1610" t="s">
        <v>29642</v>
      </c>
      <c r="E1610" t="s">
        <v>29643</v>
      </c>
      <c r="F1610" t="s">
        <v>29644</v>
      </c>
      <c r="G1610" t="s">
        <v>29645</v>
      </c>
      <c r="H1610" t="s">
        <v>29646</v>
      </c>
      <c r="I1610" t="s">
        <v>29647</v>
      </c>
      <c r="J1610" t="s">
        <v>29648</v>
      </c>
      <c r="K1610" t="s">
        <v>29649</v>
      </c>
      <c r="L1610" t="s">
        <v>29650</v>
      </c>
      <c r="M1610" t="s">
        <v>29651</v>
      </c>
      <c r="N1610" t="s">
        <v>29652</v>
      </c>
      <c r="O1610">
        <f>-567.808992910969 -40.6569426578997 -772.287117845897</f>
        <v>-1380.7530534147656</v>
      </c>
      <c r="P1610">
        <f>-564.880164725584 -69.243803774398 -457.072173423169</f>
        <v>-1091.1961419231509</v>
      </c>
      <c r="Q1610" t="s">
        <v>29653</v>
      </c>
      <c r="R1610" t="s">
        <v>29654</v>
      </c>
      <c r="S1610" t="s">
        <v>29655</v>
      </c>
      <c r="T1610" t="s">
        <v>29656</v>
      </c>
      <c r="U1610" t="s">
        <v>29657</v>
      </c>
      <c r="V1610" t="s">
        <v>29658</v>
      </c>
      <c r="W1610" t="s">
        <v>29659</v>
      </c>
      <c r="X1610" t="s">
        <v>29660</v>
      </c>
      <c r="Y1610" t="s">
        <v>29661</v>
      </c>
    </row>
    <row r="1611" spans="1:25" x14ac:dyDescent="0.3">
      <c r="A1611">
        <v>80500</v>
      </c>
      <c r="B1611" t="s">
        <v>29662</v>
      </c>
      <c r="C1611" t="s">
        <v>29663</v>
      </c>
      <c r="D1611" t="s">
        <v>29664</v>
      </c>
      <c r="E1611" t="s">
        <v>29665</v>
      </c>
      <c r="F1611" t="s">
        <v>29666</v>
      </c>
      <c r="G1611" t="s">
        <v>29667</v>
      </c>
      <c r="H1611" t="s">
        <v>29668</v>
      </c>
      <c r="I1611" t="s">
        <v>29669</v>
      </c>
      <c r="J1611" t="s">
        <v>29670</v>
      </c>
      <c r="K1611" t="s">
        <v>29671</v>
      </c>
      <c r="L1611" t="s">
        <v>29672</v>
      </c>
      <c r="M1611" t="s">
        <v>29673</v>
      </c>
      <c r="N1611" t="s">
        <v>29674</v>
      </c>
      <c r="O1611">
        <f>-567.950139398605 -40.1256742130165 -772.383492250259</f>
        <v>-1380.4593058618805</v>
      </c>
      <c r="P1611">
        <f>-565.26508054908 -68.6708688883305 -457.162879809961</f>
        <v>-1091.0988292473714</v>
      </c>
      <c r="Q1611" t="s">
        <v>29675</v>
      </c>
      <c r="R1611" t="s">
        <v>29676</v>
      </c>
      <c r="S1611" t="s">
        <v>29677</v>
      </c>
      <c r="T1611" t="s">
        <v>29678</v>
      </c>
      <c r="U1611" t="s">
        <v>29679</v>
      </c>
      <c r="V1611" t="s">
        <v>29680</v>
      </c>
      <c r="W1611" t="s">
        <v>29681</v>
      </c>
      <c r="X1611" t="s">
        <v>29682</v>
      </c>
      <c r="Y1611" t="s">
        <v>29683</v>
      </c>
    </row>
    <row r="1612" spans="1:25" x14ac:dyDescent="0.3">
      <c r="A1612">
        <v>80550</v>
      </c>
      <c r="B1612" t="s">
        <v>29684</v>
      </c>
      <c r="C1612" t="s">
        <v>29685</v>
      </c>
      <c r="D1612" t="s">
        <v>29686</v>
      </c>
      <c r="E1612" t="s">
        <v>29687</v>
      </c>
      <c r="F1612" t="s">
        <v>29688</v>
      </c>
      <c r="G1612" t="s">
        <v>29689</v>
      </c>
      <c r="H1612" t="s">
        <v>29690</v>
      </c>
      <c r="I1612" t="s">
        <v>29691</v>
      </c>
      <c r="J1612" t="s">
        <v>29692</v>
      </c>
      <c r="K1612" t="s">
        <v>29693</v>
      </c>
      <c r="L1612" t="s">
        <v>29694</v>
      </c>
      <c r="M1612" t="s">
        <v>29695</v>
      </c>
      <c r="N1612" t="s">
        <v>29696</v>
      </c>
      <c r="O1612">
        <f>-568.512227084202 -39.3739704994773 -772.437672505371</f>
        <v>-1380.3238700890502</v>
      </c>
      <c r="P1612">
        <f>-566.591988808405 -68.4238978334672 -457.257431454785</f>
        <v>-1092.273318096657</v>
      </c>
      <c r="Q1612" t="s">
        <v>29697</v>
      </c>
      <c r="R1612" t="s">
        <v>29698</v>
      </c>
      <c r="S1612" t="s">
        <v>29699</v>
      </c>
      <c r="T1612" t="s">
        <v>29700</v>
      </c>
      <c r="U1612" t="s">
        <v>29701</v>
      </c>
      <c r="V1612" t="s">
        <v>29702</v>
      </c>
      <c r="W1612" t="s">
        <v>29703</v>
      </c>
      <c r="X1612" t="s">
        <v>29704</v>
      </c>
      <c r="Y1612" t="s">
        <v>29705</v>
      </c>
    </row>
    <row r="1613" spans="1:25" x14ac:dyDescent="0.3">
      <c r="A1613">
        <v>80600</v>
      </c>
      <c r="B1613" t="s">
        <v>29706</v>
      </c>
      <c r="C1613" t="s">
        <v>29707</v>
      </c>
      <c r="D1613" t="s">
        <v>29708</v>
      </c>
      <c r="E1613" t="s">
        <v>29709</v>
      </c>
      <c r="F1613" t="s">
        <v>29710</v>
      </c>
      <c r="G1613" t="s">
        <v>29711</v>
      </c>
      <c r="H1613" t="s">
        <v>29712</v>
      </c>
      <c r="I1613" t="s">
        <v>29713</v>
      </c>
      <c r="J1613" t="s">
        <v>29714</v>
      </c>
      <c r="K1613" t="s">
        <v>29715</v>
      </c>
      <c r="L1613" t="s">
        <v>29716</v>
      </c>
      <c r="M1613" t="s">
        <v>29717</v>
      </c>
      <c r="N1613" t="s">
        <v>29718</v>
      </c>
      <c r="O1613">
        <f>-568.630025383557 -38.9778485315508 -772.513480718186</f>
        <v>-1380.1213546332938</v>
      </c>
      <c r="P1613">
        <f>-566.906618205356 -67.9874643017552 -457.328323444736</f>
        <v>-1092.2224059518471</v>
      </c>
      <c r="Q1613" t="s">
        <v>29719</v>
      </c>
      <c r="R1613" t="s">
        <v>29720</v>
      </c>
      <c r="S1613" t="s">
        <v>29721</v>
      </c>
      <c r="T1613" t="s">
        <v>29722</v>
      </c>
      <c r="U1613" t="s">
        <v>29723</v>
      </c>
      <c r="V1613" t="s">
        <v>29724</v>
      </c>
      <c r="W1613" t="s">
        <v>29725</v>
      </c>
      <c r="X1613" t="s">
        <v>29726</v>
      </c>
      <c r="Y1613" t="s">
        <v>29727</v>
      </c>
    </row>
    <row r="1614" spans="1:25" x14ac:dyDescent="0.3">
      <c r="A1614">
        <v>80650</v>
      </c>
      <c r="B1614" t="s">
        <v>29728</v>
      </c>
      <c r="C1614" t="s">
        <v>29729</v>
      </c>
      <c r="D1614" t="s">
        <v>29730</v>
      </c>
      <c r="E1614" t="s">
        <v>29731</v>
      </c>
      <c r="F1614" t="s">
        <v>29732</v>
      </c>
      <c r="G1614" t="s">
        <v>29733</v>
      </c>
      <c r="H1614" t="s">
        <v>29734</v>
      </c>
      <c r="I1614" t="s">
        <v>29735</v>
      </c>
      <c r="J1614" t="s">
        <v>29736</v>
      </c>
      <c r="K1614" t="s">
        <v>29737</v>
      </c>
      <c r="L1614" t="s">
        <v>29738</v>
      </c>
      <c r="M1614" t="s">
        <v>29739</v>
      </c>
      <c r="N1614" t="s">
        <v>29740</v>
      </c>
      <c r="O1614">
        <f>-569.325781782508 -37.8371210411149 -772.71287333725</f>
        <v>-1379.8757761608729</v>
      </c>
      <c r="P1614">
        <f>-567.53247924537 -67.7957361420542 -457.616954257113</f>
        <v>-1092.9451696445371</v>
      </c>
      <c r="Q1614" t="s">
        <v>29741</v>
      </c>
      <c r="R1614" t="s">
        <v>29742</v>
      </c>
      <c r="S1614" t="s">
        <v>29743</v>
      </c>
      <c r="T1614" t="s">
        <v>29744</v>
      </c>
      <c r="U1614" t="s">
        <v>29745</v>
      </c>
      <c r="V1614" t="s">
        <v>29746</v>
      </c>
      <c r="W1614" t="s">
        <v>29747</v>
      </c>
      <c r="X1614" t="s">
        <v>29748</v>
      </c>
      <c r="Y1614" t="s">
        <v>29749</v>
      </c>
    </row>
    <row r="1615" spans="1:25" x14ac:dyDescent="0.3">
      <c r="A1615">
        <v>80700</v>
      </c>
      <c r="B1615" t="s">
        <v>29750</v>
      </c>
      <c r="C1615" t="s">
        <v>29751</v>
      </c>
      <c r="D1615" t="s">
        <v>29752</v>
      </c>
      <c r="E1615" t="s">
        <v>29753</v>
      </c>
      <c r="F1615" t="s">
        <v>29754</v>
      </c>
      <c r="G1615" t="s">
        <v>29755</v>
      </c>
      <c r="H1615" t="s">
        <v>29756</v>
      </c>
      <c r="I1615" t="s">
        <v>29757</v>
      </c>
      <c r="J1615" t="s">
        <v>29758</v>
      </c>
      <c r="K1615" t="s">
        <v>29759</v>
      </c>
      <c r="L1615" t="s">
        <v>29760</v>
      </c>
      <c r="M1615" t="s">
        <v>29761</v>
      </c>
      <c r="N1615" t="s">
        <v>29762</v>
      </c>
      <c r="O1615">
        <f>-569.649386561895 -37.443722080043 -772.80304975217</f>
        <v>-1379.8961583941079</v>
      </c>
      <c r="P1615">
        <f>-567.949819784229 -67.5190746779836 -457.717744311304</f>
        <v>-1093.1866387735165</v>
      </c>
      <c r="Q1615" t="s">
        <v>29763</v>
      </c>
      <c r="R1615" t="s">
        <v>29764</v>
      </c>
      <c r="S1615" t="s">
        <v>29765</v>
      </c>
      <c r="T1615" t="s">
        <v>29766</v>
      </c>
      <c r="U1615" t="s">
        <v>29767</v>
      </c>
      <c r="V1615" t="s">
        <v>29768</v>
      </c>
      <c r="W1615" t="s">
        <v>29769</v>
      </c>
      <c r="X1615" t="s">
        <v>29770</v>
      </c>
      <c r="Y1615" t="s">
        <v>29771</v>
      </c>
    </row>
    <row r="1616" spans="1:25" x14ac:dyDescent="0.3">
      <c r="A1616">
        <v>80750</v>
      </c>
      <c r="B1616" t="s">
        <v>29772</v>
      </c>
      <c r="C1616" t="s">
        <v>29773</v>
      </c>
      <c r="D1616" t="s">
        <v>29774</v>
      </c>
      <c r="E1616" t="s">
        <v>29775</v>
      </c>
      <c r="F1616" t="s">
        <v>29776</v>
      </c>
      <c r="G1616" t="s">
        <v>29777</v>
      </c>
      <c r="H1616" t="s">
        <v>29778</v>
      </c>
      <c r="I1616" t="s">
        <v>29779</v>
      </c>
      <c r="J1616" t="s">
        <v>29780</v>
      </c>
      <c r="K1616" t="s">
        <v>29781</v>
      </c>
      <c r="L1616" t="s">
        <v>29782</v>
      </c>
      <c r="M1616" t="s">
        <v>29783</v>
      </c>
      <c r="N1616" t="s">
        <v>29784</v>
      </c>
      <c r="O1616">
        <f>-569.586150684715 -36.5673921269185 -773.006625364527</f>
        <v>-1379.1601681761606</v>
      </c>
      <c r="P1616">
        <f>-567.978692774939 -66.986123371744 -457.95382617981</f>
        <v>-1092.918642326493</v>
      </c>
      <c r="Q1616" t="s">
        <v>29785</v>
      </c>
      <c r="R1616" t="s">
        <v>29786</v>
      </c>
      <c r="S1616" t="s">
        <v>29787</v>
      </c>
      <c r="T1616" t="s">
        <v>29788</v>
      </c>
      <c r="U1616" t="s">
        <v>29789</v>
      </c>
      <c r="V1616" t="s">
        <v>29790</v>
      </c>
      <c r="W1616" t="s">
        <v>29791</v>
      </c>
      <c r="X1616" t="s">
        <v>29792</v>
      </c>
      <c r="Y1616" t="s">
        <v>29793</v>
      </c>
    </row>
    <row r="1617" spans="1:25" x14ac:dyDescent="0.3">
      <c r="A1617">
        <v>80800</v>
      </c>
      <c r="B1617" t="s">
        <v>29794</v>
      </c>
      <c r="C1617" t="s">
        <v>29795</v>
      </c>
      <c r="D1617" t="s">
        <v>29796</v>
      </c>
      <c r="E1617" t="s">
        <v>29797</v>
      </c>
      <c r="F1617" t="s">
        <v>29798</v>
      </c>
      <c r="G1617" t="s">
        <v>29799</v>
      </c>
      <c r="H1617" t="s">
        <v>29800</v>
      </c>
      <c r="I1617" t="s">
        <v>29801</v>
      </c>
      <c r="J1617" t="s">
        <v>29802</v>
      </c>
      <c r="K1617" t="s">
        <v>29803</v>
      </c>
      <c r="L1617" t="s">
        <v>29804</v>
      </c>
      <c r="M1617" t="s">
        <v>29805</v>
      </c>
      <c r="N1617" t="s">
        <v>29806</v>
      </c>
      <c r="O1617">
        <f>-569.526799510813 -36.2063900559758 -773.131995844324</f>
        <v>-1378.8651854111129</v>
      </c>
      <c r="P1617">
        <f>-568.009237384593 -66.9309785816436 -458.108297703986</f>
        <v>-1093.0485136702225</v>
      </c>
      <c r="Q1617" t="s">
        <v>29807</v>
      </c>
      <c r="R1617" t="s">
        <v>29808</v>
      </c>
      <c r="S1617" t="s">
        <v>29809</v>
      </c>
      <c r="T1617" t="s">
        <v>29810</v>
      </c>
      <c r="U1617" t="s">
        <v>29811</v>
      </c>
      <c r="V1617" t="s">
        <v>29812</v>
      </c>
      <c r="W1617" t="s">
        <v>29813</v>
      </c>
      <c r="X1617" t="s">
        <v>29814</v>
      </c>
      <c r="Y1617" t="s">
        <v>29815</v>
      </c>
    </row>
    <row r="1618" spans="1:25" x14ac:dyDescent="0.3">
      <c r="A1618">
        <v>80850</v>
      </c>
      <c r="B1618" t="s">
        <v>29816</v>
      </c>
      <c r="C1618" t="s">
        <v>29817</v>
      </c>
      <c r="D1618" t="s">
        <v>29818</v>
      </c>
      <c r="E1618" t="s">
        <v>29819</v>
      </c>
      <c r="F1618" t="s">
        <v>29820</v>
      </c>
      <c r="G1618" t="s">
        <v>29821</v>
      </c>
      <c r="H1618" t="s">
        <v>29822</v>
      </c>
      <c r="I1618" t="s">
        <v>29823</v>
      </c>
      <c r="J1618" t="s">
        <v>29824</v>
      </c>
      <c r="K1618" t="s">
        <v>29825</v>
      </c>
      <c r="L1618" t="s">
        <v>29826</v>
      </c>
      <c r="M1618" t="s">
        <v>29827</v>
      </c>
      <c r="N1618" t="s">
        <v>29828</v>
      </c>
      <c r="O1618">
        <f>-569.394250920625 -35.3067821604398 -773.450723984457</f>
        <v>-1378.1517570655219</v>
      </c>
      <c r="P1618">
        <f>-567.931290521018 -66.4611055079522 -458.468997765383</f>
        <v>-1092.8613937943533</v>
      </c>
      <c r="Q1618" t="s">
        <v>29829</v>
      </c>
      <c r="R1618" t="s">
        <v>29830</v>
      </c>
      <c r="S1618" t="s">
        <v>29831</v>
      </c>
      <c r="T1618" t="s">
        <v>29832</v>
      </c>
      <c r="U1618" t="s">
        <v>29833</v>
      </c>
      <c r="V1618" t="s">
        <v>29834</v>
      </c>
      <c r="W1618" t="s">
        <v>29835</v>
      </c>
      <c r="X1618" t="s">
        <v>29836</v>
      </c>
      <c r="Y1618" t="s">
        <v>29837</v>
      </c>
    </row>
    <row r="1619" spans="1:25" x14ac:dyDescent="0.3">
      <c r="A1619">
        <v>80900</v>
      </c>
      <c r="B1619" t="s">
        <v>29838</v>
      </c>
      <c r="C1619" t="s">
        <v>29839</v>
      </c>
      <c r="D1619" t="s">
        <v>29840</v>
      </c>
      <c r="E1619" t="s">
        <v>29841</v>
      </c>
      <c r="F1619" t="s">
        <v>29842</v>
      </c>
      <c r="G1619" t="s">
        <v>29843</v>
      </c>
      <c r="H1619" t="s">
        <v>29844</v>
      </c>
      <c r="I1619" t="s">
        <v>29845</v>
      </c>
      <c r="J1619" t="s">
        <v>29846</v>
      </c>
      <c r="K1619" t="s">
        <v>29847</v>
      </c>
      <c r="L1619" t="s">
        <v>29848</v>
      </c>
      <c r="M1619" t="s">
        <v>29849</v>
      </c>
      <c r="N1619" t="s">
        <v>29850</v>
      </c>
      <c r="O1619">
        <f>-569.40592080082 -34.8212497194813 -773.633344931368</f>
        <v>-1377.8605154516695</v>
      </c>
      <c r="P1619">
        <f>-567.706824026321 -66.1567658856036 -458.670963593248</f>
        <v>-1092.5345535051727</v>
      </c>
      <c r="Q1619" t="s">
        <v>29851</v>
      </c>
      <c r="R1619" t="s">
        <v>29852</v>
      </c>
      <c r="S1619" t="s">
        <v>29853</v>
      </c>
      <c r="T1619" t="s">
        <v>29854</v>
      </c>
      <c r="U1619" t="s">
        <v>29855</v>
      </c>
      <c r="V1619" t="s">
        <v>29856</v>
      </c>
      <c r="W1619" t="s">
        <v>29857</v>
      </c>
      <c r="X1619" t="s">
        <v>29858</v>
      </c>
      <c r="Y1619" t="s">
        <v>29859</v>
      </c>
    </row>
    <row r="1620" spans="1:25" x14ac:dyDescent="0.3">
      <c r="A1620">
        <v>80950</v>
      </c>
      <c r="B1620" t="s">
        <v>29860</v>
      </c>
      <c r="C1620" t="s">
        <v>29861</v>
      </c>
      <c r="D1620" t="s">
        <v>29862</v>
      </c>
      <c r="E1620" t="s">
        <v>29863</v>
      </c>
      <c r="F1620" t="s">
        <v>29864</v>
      </c>
      <c r="G1620" t="s">
        <v>29865</v>
      </c>
      <c r="H1620" t="s">
        <v>29866</v>
      </c>
      <c r="I1620" t="s">
        <v>29867</v>
      </c>
      <c r="J1620" t="s">
        <v>29868</v>
      </c>
      <c r="K1620" t="s">
        <v>29869</v>
      </c>
      <c r="L1620" t="s">
        <v>29870</v>
      </c>
      <c r="M1620" t="s">
        <v>29871</v>
      </c>
      <c r="N1620" t="s">
        <v>29872</v>
      </c>
      <c r="O1620">
        <f>-569.574341713313 -33.920490976066 -774.000720226901</f>
        <v>-1377.4955529162798</v>
      </c>
      <c r="P1620">
        <f>-567.282218226818 -65.9374449746192 -459.110480216743</f>
        <v>-1092.3301434181803</v>
      </c>
      <c r="Q1620" t="s">
        <v>29873</v>
      </c>
      <c r="R1620" t="s">
        <v>29874</v>
      </c>
      <c r="S1620" t="s">
        <v>29875</v>
      </c>
      <c r="T1620" t="s">
        <v>29876</v>
      </c>
      <c r="U1620" t="s">
        <v>29877</v>
      </c>
      <c r="V1620" t="s">
        <v>29878</v>
      </c>
      <c r="W1620" t="s">
        <v>29879</v>
      </c>
      <c r="X1620" t="s">
        <v>29880</v>
      </c>
      <c r="Y1620" t="s">
        <v>29881</v>
      </c>
    </row>
    <row r="1621" spans="1:25" x14ac:dyDescent="0.3">
      <c r="A1621">
        <v>81000</v>
      </c>
      <c r="B1621" t="s">
        <v>29882</v>
      </c>
      <c r="C1621" t="s">
        <v>29883</v>
      </c>
      <c r="D1621" t="s">
        <v>29884</v>
      </c>
      <c r="E1621" t="s">
        <v>29885</v>
      </c>
      <c r="F1621" t="s">
        <v>29886</v>
      </c>
      <c r="G1621" t="s">
        <v>29887</v>
      </c>
      <c r="H1621" t="s">
        <v>29888</v>
      </c>
      <c r="I1621" t="s">
        <v>29889</v>
      </c>
      <c r="J1621" t="s">
        <v>29890</v>
      </c>
      <c r="K1621" t="s">
        <v>29891</v>
      </c>
      <c r="L1621" t="s">
        <v>29892</v>
      </c>
      <c r="M1621" t="s">
        <v>29893</v>
      </c>
      <c r="N1621" t="s">
        <v>29894</v>
      </c>
      <c r="O1621">
        <f>-569.716976539677 -33.366219144347 -774.211354847398</f>
        <v>-1377.2945505314219</v>
      </c>
      <c r="P1621">
        <f>-567.036601912258 -65.4315643386033 -459.328979255534</f>
        <v>-1091.7971455063953</v>
      </c>
      <c r="Q1621" t="s">
        <v>29895</v>
      </c>
      <c r="R1621" t="s">
        <v>29896</v>
      </c>
      <c r="S1621" t="s">
        <v>29897</v>
      </c>
      <c r="T1621" t="s">
        <v>29898</v>
      </c>
      <c r="U1621" t="s">
        <v>29899</v>
      </c>
      <c r="V1621" t="s">
        <v>29900</v>
      </c>
      <c r="W1621" t="s">
        <v>29901</v>
      </c>
      <c r="X1621" t="s">
        <v>29902</v>
      </c>
      <c r="Y1621" t="s">
        <v>29903</v>
      </c>
    </row>
    <row r="1622" spans="1:25" x14ac:dyDescent="0.3">
      <c r="A1622">
        <v>81050</v>
      </c>
      <c r="B1622" t="s">
        <v>29904</v>
      </c>
      <c r="C1622" t="s">
        <v>29905</v>
      </c>
      <c r="D1622" t="s">
        <v>29906</v>
      </c>
      <c r="E1622" t="s">
        <v>29907</v>
      </c>
      <c r="F1622" t="s">
        <v>29908</v>
      </c>
      <c r="G1622" t="s">
        <v>29909</v>
      </c>
      <c r="H1622" t="s">
        <v>29910</v>
      </c>
      <c r="I1622" t="s">
        <v>29911</v>
      </c>
      <c r="J1622" t="s">
        <v>29912</v>
      </c>
      <c r="K1622" t="s">
        <v>29913</v>
      </c>
      <c r="L1622" t="s">
        <v>29914</v>
      </c>
      <c r="M1622" t="s">
        <v>29915</v>
      </c>
      <c r="N1622" t="s">
        <v>29916</v>
      </c>
      <c r="O1622">
        <f>-569.814160892142 -32.5291430675316 -774.45222974175</f>
        <v>-1376.7955337014237</v>
      </c>
      <c r="P1622">
        <f>-566.687885416125 -64.6792790951954 -459.582754193477</f>
        <v>-1090.9499187047975</v>
      </c>
      <c r="Q1622" t="s">
        <v>29917</v>
      </c>
      <c r="R1622" t="s">
        <v>29918</v>
      </c>
      <c r="S1622" t="s">
        <v>29919</v>
      </c>
      <c r="T1622" t="s">
        <v>29920</v>
      </c>
      <c r="U1622" t="s">
        <v>29921</v>
      </c>
      <c r="V1622" t="s">
        <v>29922</v>
      </c>
      <c r="W1622" t="s">
        <v>29923</v>
      </c>
      <c r="X1622" t="s">
        <v>29924</v>
      </c>
      <c r="Y1622" t="s">
        <v>29925</v>
      </c>
    </row>
    <row r="1623" spans="1:25" x14ac:dyDescent="0.3">
      <c r="A1623">
        <v>81100</v>
      </c>
      <c r="B1623" t="s">
        <v>29926</v>
      </c>
      <c r="C1623" t="s">
        <v>29927</v>
      </c>
      <c r="D1623" t="s">
        <v>29928</v>
      </c>
      <c r="E1623" t="s">
        <v>29929</v>
      </c>
      <c r="F1623" t="s">
        <v>29930</v>
      </c>
      <c r="G1623" t="s">
        <v>29931</v>
      </c>
      <c r="H1623" t="s">
        <v>29932</v>
      </c>
      <c r="I1623" t="s">
        <v>29933</v>
      </c>
      <c r="J1623" t="s">
        <v>29934</v>
      </c>
      <c r="K1623" t="s">
        <v>29935</v>
      </c>
      <c r="L1623" t="s">
        <v>29936</v>
      </c>
      <c r="M1623" t="s">
        <v>29937</v>
      </c>
      <c r="N1623" t="s">
        <v>29938</v>
      </c>
      <c r="O1623">
        <f>-569.816659955476 -32.0379746959686 -774.554913522646</f>
        <v>-1376.4095481740906</v>
      </c>
      <c r="P1623">
        <f>-566.681010559529 -64.387447993206 -459.705946397536</f>
        <v>-1090.774404950271</v>
      </c>
      <c r="Q1623" t="s">
        <v>29939</v>
      </c>
      <c r="R1623" t="s">
        <v>29940</v>
      </c>
      <c r="S1623" t="s">
        <v>29941</v>
      </c>
      <c r="T1623" t="s">
        <v>29942</v>
      </c>
      <c r="U1623" t="s">
        <v>29943</v>
      </c>
      <c r="V1623" t="s">
        <v>29944</v>
      </c>
      <c r="W1623" t="s">
        <v>29945</v>
      </c>
      <c r="X1623" t="s">
        <v>29946</v>
      </c>
      <c r="Y1623" t="s">
        <v>29947</v>
      </c>
    </row>
    <row r="1624" spans="1:25" x14ac:dyDescent="0.3">
      <c r="A1624">
        <v>81150</v>
      </c>
      <c r="B1624" t="s">
        <v>29948</v>
      </c>
      <c r="C1624" t="s">
        <v>29949</v>
      </c>
      <c r="D1624" t="s">
        <v>29950</v>
      </c>
      <c r="E1624" t="s">
        <v>29951</v>
      </c>
      <c r="F1624" t="s">
        <v>29952</v>
      </c>
      <c r="G1624" t="s">
        <v>29953</v>
      </c>
      <c r="H1624" t="s">
        <v>29954</v>
      </c>
      <c r="I1624" t="s">
        <v>29955</v>
      </c>
      <c r="J1624" t="s">
        <v>29956</v>
      </c>
      <c r="K1624" t="s">
        <v>29957</v>
      </c>
      <c r="L1624" t="s">
        <v>29958</v>
      </c>
      <c r="M1624" t="s">
        <v>29959</v>
      </c>
      <c r="N1624" t="s">
        <v>29960</v>
      </c>
      <c r="O1624">
        <f>-569.986751419112 -31.1948179368874 -774.573463218644</f>
        <v>-1375.7550325746433</v>
      </c>
      <c r="P1624">
        <f>-566.837929995406 -63.9608861640083 -459.767690797564</f>
        <v>-1090.5665069569782</v>
      </c>
      <c r="Q1624" t="s">
        <v>29961</v>
      </c>
      <c r="R1624" t="s">
        <v>29962</v>
      </c>
      <c r="S1624" t="s">
        <v>29963</v>
      </c>
      <c r="T1624" t="s">
        <v>29964</v>
      </c>
      <c r="U1624" t="s">
        <v>29965</v>
      </c>
      <c r="V1624" t="s">
        <v>29966</v>
      </c>
      <c r="W1624" t="s">
        <v>29967</v>
      </c>
      <c r="X1624" t="s">
        <v>29968</v>
      </c>
      <c r="Y1624" t="s">
        <v>29969</v>
      </c>
    </row>
    <row r="1625" spans="1:25" x14ac:dyDescent="0.3">
      <c r="A1625">
        <v>81200</v>
      </c>
      <c r="B1625" t="s">
        <v>29970</v>
      </c>
      <c r="C1625" t="s">
        <v>29971</v>
      </c>
      <c r="D1625" t="s">
        <v>29972</v>
      </c>
      <c r="E1625" t="s">
        <v>29973</v>
      </c>
      <c r="F1625" t="s">
        <v>29974</v>
      </c>
      <c r="G1625" t="s">
        <v>29975</v>
      </c>
      <c r="H1625" t="s">
        <v>29976</v>
      </c>
      <c r="I1625" t="s">
        <v>29977</v>
      </c>
      <c r="J1625" t="s">
        <v>29978</v>
      </c>
      <c r="K1625" t="s">
        <v>29979</v>
      </c>
      <c r="L1625" t="s">
        <v>29980</v>
      </c>
      <c r="M1625" t="s">
        <v>29981</v>
      </c>
      <c r="N1625" t="s">
        <v>29982</v>
      </c>
      <c r="O1625">
        <f>-570.233029504451 -30.7050616876638 -774.547612385303</f>
        <v>-1375.4857035774178</v>
      </c>
      <c r="P1625">
        <f>-566.853767845453 -63.8534082951742 -459.784300713581</f>
        <v>-1090.4914768542083</v>
      </c>
      <c r="Q1625" t="s">
        <v>29983</v>
      </c>
      <c r="R1625" t="s">
        <v>29984</v>
      </c>
      <c r="S1625" t="s">
        <v>29985</v>
      </c>
      <c r="T1625" t="s">
        <v>29986</v>
      </c>
      <c r="U1625" t="s">
        <v>29987</v>
      </c>
      <c r="V1625" t="s">
        <v>29988</v>
      </c>
      <c r="W1625" t="s">
        <v>29989</v>
      </c>
      <c r="X1625" t="s">
        <v>29990</v>
      </c>
      <c r="Y1625" t="s">
        <v>29991</v>
      </c>
    </row>
    <row r="1626" spans="1:25" x14ac:dyDescent="0.3">
      <c r="A1626">
        <v>81250</v>
      </c>
      <c r="B1626" t="s">
        <v>29992</v>
      </c>
      <c r="C1626" t="s">
        <v>29993</v>
      </c>
      <c r="D1626" t="s">
        <v>29994</v>
      </c>
      <c r="E1626" t="s">
        <v>29995</v>
      </c>
      <c r="F1626" t="s">
        <v>29996</v>
      </c>
      <c r="G1626" t="s">
        <v>29997</v>
      </c>
      <c r="H1626" t="s">
        <v>29998</v>
      </c>
      <c r="I1626" t="s">
        <v>29999</v>
      </c>
      <c r="J1626" t="s">
        <v>30000</v>
      </c>
      <c r="K1626" t="s">
        <v>30001</v>
      </c>
      <c r="L1626" t="s">
        <v>30002</v>
      </c>
      <c r="M1626" t="s">
        <v>30003</v>
      </c>
      <c r="N1626" t="s">
        <v>30004</v>
      </c>
      <c r="O1626">
        <f>-570.631005404269 -30.1357753816822 -774.434952626944</f>
        <v>-1375.201733412895</v>
      </c>
      <c r="P1626">
        <f>-566.746106308692 -62.2992285791661 -459.575287891108</f>
        <v>-1088.6206227789662</v>
      </c>
      <c r="Q1626" t="s">
        <v>30005</v>
      </c>
      <c r="R1626" t="s">
        <v>30006</v>
      </c>
      <c r="S1626" t="s">
        <v>30007</v>
      </c>
      <c r="T1626" t="s">
        <v>30008</v>
      </c>
      <c r="U1626" t="s">
        <v>30009</v>
      </c>
      <c r="V1626" t="s">
        <v>30010</v>
      </c>
      <c r="W1626" t="s">
        <v>30011</v>
      </c>
      <c r="X1626" t="s">
        <v>30012</v>
      </c>
      <c r="Y1626" t="s">
        <v>30013</v>
      </c>
    </row>
    <row r="1627" spans="1:25" x14ac:dyDescent="0.3">
      <c r="A1627">
        <v>81300</v>
      </c>
      <c r="B1627" t="s">
        <v>30014</v>
      </c>
      <c r="C1627" t="s">
        <v>30015</v>
      </c>
      <c r="D1627" t="s">
        <v>30016</v>
      </c>
      <c r="E1627" t="s">
        <v>30017</v>
      </c>
      <c r="F1627" t="s">
        <v>30018</v>
      </c>
      <c r="G1627" t="s">
        <v>30019</v>
      </c>
      <c r="H1627" t="s">
        <v>30020</v>
      </c>
      <c r="I1627" t="s">
        <v>30021</v>
      </c>
      <c r="J1627" t="s">
        <v>30022</v>
      </c>
      <c r="K1627" t="s">
        <v>30023</v>
      </c>
      <c r="L1627" t="s">
        <v>30024</v>
      </c>
      <c r="M1627" t="s">
        <v>30025</v>
      </c>
      <c r="N1627" t="s">
        <v>30026</v>
      </c>
      <c r="O1627">
        <f>-571.031175185606 -29.6992737415121 -774.380309584151</f>
        <v>-1375.1107585112691</v>
      </c>
      <c r="P1627">
        <f>-566.194686433127 -61.5192959821418 -459.498989815875</f>
        <v>-1087.2129722311438</v>
      </c>
      <c r="Q1627" t="s">
        <v>30027</v>
      </c>
      <c r="R1627" t="s">
        <v>30028</v>
      </c>
      <c r="S1627" t="s">
        <v>30029</v>
      </c>
      <c r="T1627" t="s">
        <v>30030</v>
      </c>
      <c r="U1627" t="s">
        <v>30031</v>
      </c>
      <c r="V1627" t="s">
        <v>30032</v>
      </c>
      <c r="W1627" t="s">
        <v>30033</v>
      </c>
      <c r="X1627" t="s">
        <v>30034</v>
      </c>
      <c r="Y1627" t="s">
        <v>30035</v>
      </c>
    </row>
    <row r="1628" spans="1:25" x14ac:dyDescent="0.3">
      <c r="A1628">
        <v>81350</v>
      </c>
      <c r="B1628" t="s">
        <v>30036</v>
      </c>
      <c r="C1628" t="s">
        <v>30037</v>
      </c>
      <c r="D1628" t="s">
        <v>30038</v>
      </c>
      <c r="E1628" t="s">
        <v>30039</v>
      </c>
      <c r="F1628" t="s">
        <v>30040</v>
      </c>
      <c r="G1628" t="s">
        <v>30041</v>
      </c>
      <c r="H1628" t="s">
        <v>30042</v>
      </c>
      <c r="I1628" t="s">
        <v>30043</v>
      </c>
      <c r="J1628" t="s">
        <v>30044</v>
      </c>
      <c r="K1628" t="s">
        <v>30045</v>
      </c>
      <c r="L1628" t="s">
        <v>30046</v>
      </c>
      <c r="M1628" t="s">
        <v>30047</v>
      </c>
      <c r="N1628" t="s">
        <v>30048</v>
      </c>
      <c r="O1628">
        <f>-572.009461951285 -29.118875272331 -774.26548204768</f>
        <v>-1375.393819271296</v>
      </c>
      <c r="P1628">
        <f>-565.864611092422 -61.0485035660763 -459.418040381246</f>
        <v>-1086.3311550397443</v>
      </c>
      <c r="Q1628" t="s">
        <v>30049</v>
      </c>
      <c r="R1628" t="s">
        <v>30050</v>
      </c>
      <c r="S1628" t="s">
        <v>30051</v>
      </c>
      <c r="T1628" t="s">
        <v>30052</v>
      </c>
      <c r="U1628" t="s">
        <v>30053</v>
      </c>
      <c r="V1628" t="s">
        <v>30054</v>
      </c>
      <c r="W1628" t="s">
        <v>30055</v>
      </c>
      <c r="X1628" t="s">
        <v>30056</v>
      </c>
      <c r="Y1628" t="s">
        <v>30057</v>
      </c>
    </row>
    <row r="1629" spans="1:25" x14ac:dyDescent="0.3">
      <c r="A1629">
        <v>81400</v>
      </c>
      <c r="B1629" t="s">
        <v>30058</v>
      </c>
      <c r="C1629" t="s">
        <v>30059</v>
      </c>
      <c r="D1629" t="s">
        <v>30060</v>
      </c>
      <c r="E1629" t="s">
        <v>30061</v>
      </c>
      <c r="F1629" t="s">
        <v>30062</v>
      </c>
      <c r="G1629" t="s">
        <v>30063</v>
      </c>
      <c r="H1629" t="s">
        <v>30064</v>
      </c>
      <c r="I1629" t="s">
        <v>30065</v>
      </c>
      <c r="J1629" t="s">
        <v>30066</v>
      </c>
      <c r="K1629" t="s">
        <v>30067</v>
      </c>
      <c r="L1629" t="s">
        <v>30068</v>
      </c>
      <c r="M1629" t="s">
        <v>30069</v>
      </c>
      <c r="N1629" t="s">
        <v>30070</v>
      </c>
      <c r="O1629">
        <f>-572.198347989054 -28.7176616802647 -774.233610417524</f>
        <v>-1375.1496200868428</v>
      </c>
      <c r="P1629">
        <f>-565.809577549492 -60.7151841191233 -459.397921706229</f>
        <v>-1085.9226833748444</v>
      </c>
      <c r="Q1629" t="s">
        <v>30071</v>
      </c>
      <c r="R1629" t="s">
        <v>30072</v>
      </c>
      <c r="S1629" t="s">
        <v>30073</v>
      </c>
      <c r="T1629" t="s">
        <v>30074</v>
      </c>
      <c r="U1629" t="s">
        <v>30075</v>
      </c>
      <c r="V1629" t="s">
        <v>30076</v>
      </c>
      <c r="W1629" t="s">
        <v>30077</v>
      </c>
      <c r="X1629" t="s">
        <v>30078</v>
      </c>
      <c r="Y1629" t="s">
        <v>30079</v>
      </c>
    </row>
    <row r="1630" spans="1:25" x14ac:dyDescent="0.3">
      <c r="A1630">
        <v>81450</v>
      </c>
      <c r="B1630" t="s">
        <v>30080</v>
      </c>
      <c r="C1630" t="s">
        <v>30081</v>
      </c>
      <c r="D1630" t="s">
        <v>30082</v>
      </c>
      <c r="E1630" t="s">
        <v>30083</v>
      </c>
      <c r="F1630" t="s">
        <v>30084</v>
      </c>
      <c r="G1630" t="s">
        <v>30085</v>
      </c>
      <c r="H1630" t="s">
        <v>30086</v>
      </c>
      <c r="I1630" t="s">
        <v>30087</v>
      </c>
      <c r="J1630" t="s">
        <v>30088</v>
      </c>
      <c r="K1630" t="s">
        <v>30089</v>
      </c>
      <c r="L1630" t="s">
        <v>30090</v>
      </c>
      <c r="M1630" t="s">
        <v>30091</v>
      </c>
      <c r="N1630" t="s">
        <v>30092</v>
      </c>
      <c r="O1630">
        <f>-572.730341762785 -27.9486329165331 -774.011058672285</f>
        <v>-1374.6900333516032</v>
      </c>
      <c r="P1630">
        <f>-565.937343857612 -59.8516579150382 -459.174207474415</f>
        <v>-1084.9632092470652</v>
      </c>
      <c r="Q1630" t="s">
        <v>30093</v>
      </c>
      <c r="R1630" t="s">
        <v>30094</v>
      </c>
      <c r="S1630" t="s">
        <v>30095</v>
      </c>
      <c r="T1630" t="s">
        <v>30096</v>
      </c>
      <c r="U1630" t="s">
        <v>30097</v>
      </c>
      <c r="V1630" t="s">
        <v>30098</v>
      </c>
      <c r="W1630" t="s">
        <v>30099</v>
      </c>
      <c r="X1630" t="s">
        <v>30100</v>
      </c>
      <c r="Y1630" t="s">
        <v>30101</v>
      </c>
    </row>
    <row r="1631" spans="1:25" x14ac:dyDescent="0.3">
      <c r="A1631">
        <v>81500</v>
      </c>
      <c r="B1631" t="s">
        <v>30102</v>
      </c>
      <c r="C1631" t="s">
        <v>30103</v>
      </c>
      <c r="D1631" t="s">
        <v>30104</v>
      </c>
      <c r="E1631" t="s">
        <v>30105</v>
      </c>
      <c r="F1631" t="s">
        <v>30106</v>
      </c>
      <c r="G1631" t="s">
        <v>30107</v>
      </c>
      <c r="H1631" t="s">
        <v>30108</v>
      </c>
      <c r="I1631" t="s">
        <v>30109</v>
      </c>
      <c r="J1631" t="s">
        <v>30110</v>
      </c>
      <c r="K1631" t="s">
        <v>30111</v>
      </c>
      <c r="L1631" t="s">
        <v>30112</v>
      </c>
      <c r="M1631" t="s">
        <v>30113</v>
      </c>
      <c r="N1631" t="s">
        <v>30114</v>
      </c>
      <c r="O1631">
        <f>-573.246672302007 -27.8504876100901 -773.787704776929</f>
        <v>-1374.884864689026</v>
      </c>
      <c r="P1631">
        <f>-566.370513370363 -59.2162621740415 -458.89857563163</f>
        <v>-1084.4853511760346</v>
      </c>
      <c r="Q1631" t="s">
        <v>30115</v>
      </c>
      <c r="R1631" t="s">
        <v>30116</v>
      </c>
      <c r="S1631" t="s">
        <v>30117</v>
      </c>
      <c r="T1631" t="s">
        <v>30118</v>
      </c>
      <c r="U1631" t="s">
        <v>30119</v>
      </c>
      <c r="V1631" t="s">
        <v>30120</v>
      </c>
      <c r="W1631" t="s">
        <v>30121</v>
      </c>
      <c r="X1631" t="s">
        <v>30122</v>
      </c>
      <c r="Y1631" t="s">
        <v>30123</v>
      </c>
    </row>
    <row r="1632" spans="1:25" x14ac:dyDescent="0.3">
      <c r="A1632">
        <v>81550</v>
      </c>
      <c r="B1632" t="s">
        <v>30124</v>
      </c>
      <c r="C1632" t="s">
        <v>30125</v>
      </c>
      <c r="D1632" t="s">
        <v>30126</v>
      </c>
      <c r="E1632" t="s">
        <v>30127</v>
      </c>
      <c r="F1632" t="s">
        <v>30128</v>
      </c>
      <c r="G1632" t="s">
        <v>30129</v>
      </c>
      <c r="H1632" t="s">
        <v>30130</v>
      </c>
      <c r="I1632" t="s">
        <v>30131</v>
      </c>
      <c r="J1632" t="s">
        <v>30132</v>
      </c>
      <c r="K1632" t="s">
        <v>30133</v>
      </c>
      <c r="L1632" t="s">
        <v>30134</v>
      </c>
      <c r="M1632" t="s">
        <v>30135</v>
      </c>
      <c r="N1632" t="s">
        <v>30136</v>
      </c>
      <c r="O1632">
        <f>-574.593618111517 -27.8773883323693 -773.305506245322</f>
        <v>-1375.7765126892082</v>
      </c>
      <c r="P1632">
        <f>-566.918887493675 -58.4873296815915 -458.36058928066</f>
        <v>-1083.7668064559266</v>
      </c>
      <c r="Q1632" t="s">
        <v>30137</v>
      </c>
      <c r="R1632" t="s">
        <v>30138</v>
      </c>
      <c r="S1632" t="s">
        <v>30139</v>
      </c>
      <c r="T1632" t="s">
        <v>30140</v>
      </c>
      <c r="U1632" t="s">
        <v>30141</v>
      </c>
      <c r="V1632" t="s">
        <v>30142</v>
      </c>
      <c r="W1632" t="s">
        <v>30143</v>
      </c>
      <c r="X1632" t="s">
        <v>30144</v>
      </c>
      <c r="Y1632" t="s">
        <v>30145</v>
      </c>
    </row>
    <row r="1633" spans="1:25" x14ac:dyDescent="0.3">
      <c r="A1633">
        <v>81600</v>
      </c>
      <c r="B1633" t="s">
        <v>30146</v>
      </c>
      <c r="C1633" t="s">
        <v>30147</v>
      </c>
      <c r="D1633" t="s">
        <v>30148</v>
      </c>
      <c r="E1633" t="s">
        <v>30149</v>
      </c>
      <c r="F1633" t="s">
        <v>30150</v>
      </c>
      <c r="G1633" t="s">
        <v>30151</v>
      </c>
      <c r="H1633" t="s">
        <v>30152</v>
      </c>
      <c r="I1633" t="s">
        <v>30153</v>
      </c>
      <c r="J1633" t="s">
        <v>30154</v>
      </c>
      <c r="K1633" t="s">
        <v>30155</v>
      </c>
      <c r="L1633" t="s">
        <v>30156</v>
      </c>
      <c r="M1633" t="s">
        <v>30157</v>
      </c>
      <c r="N1633" t="s">
        <v>30158</v>
      </c>
      <c r="O1633">
        <f>-575.44654594866 -27.9955014268335 -773.009519034388</f>
        <v>-1376.4515664098813</v>
      </c>
      <c r="P1633">
        <f>-567.459540365313 -57.9175932369269 -458.006167938197</f>
        <v>-1083.3833015404371</v>
      </c>
      <c r="Q1633" t="s">
        <v>30159</v>
      </c>
      <c r="R1633" t="s">
        <v>30160</v>
      </c>
      <c r="S1633" t="s">
        <v>30161</v>
      </c>
      <c r="T1633" t="s">
        <v>30162</v>
      </c>
      <c r="U1633" t="s">
        <v>30163</v>
      </c>
      <c r="V1633" t="s">
        <v>30164</v>
      </c>
      <c r="W1633" t="s">
        <v>30165</v>
      </c>
      <c r="X1633" t="s">
        <v>30166</v>
      </c>
      <c r="Y1633" t="s">
        <v>30167</v>
      </c>
    </row>
    <row r="1634" spans="1:25" x14ac:dyDescent="0.3">
      <c r="A1634">
        <v>81650</v>
      </c>
      <c r="B1634" t="s">
        <v>30168</v>
      </c>
      <c r="C1634" t="s">
        <v>30169</v>
      </c>
      <c r="D1634" t="s">
        <v>30170</v>
      </c>
      <c r="E1634" t="s">
        <v>30171</v>
      </c>
      <c r="F1634" t="s">
        <v>30172</v>
      </c>
      <c r="G1634" t="s">
        <v>30173</v>
      </c>
      <c r="H1634" t="s">
        <v>30174</v>
      </c>
      <c r="I1634" t="s">
        <v>30175</v>
      </c>
      <c r="J1634" t="s">
        <v>30176</v>
      </c>
      <c r="K1634" t="s">
        <v>30177</v>
      </c>
      <c r="L1634" t="s">
        <v>30178</v>
      </c>
      <c r="M1634" t="s">
        <v>30179</v>
      </c>
      <c r="N1634" t="s">
        <v>30180</v>
      </c>
      <c r="O1634">
        <f>-577.329703934758 -28.1035813516278 -772.383810092425</f>
        <v>-1377.8170953788108</v>
      </c>
      <c r="P1634">
        <f>-568.66109514337 -57.149119597362 -457.31644455116</f>
        <v>-1083.1266592918919</v>
      </c>
      <c r="Q1634" t="s">
        <v>30181</v>
      </c>
      <c r="R1634" t="s">
        <v>30182</v>
      </c>
      <c r="S1634" t="s">
        <v>30183</v>
      </c>
      <c r="T1634" t="s">
        <v>30184</v>
      </c>
      <c r="U1634" t="s">
        <v>30185</v>
      </c>
      <c r="V1634" t="s">
        <v>30186</v>
      </c>
      <c r="W1634" t="s">
        <v>30187</v>
      </c>
      <c r="X1634" t="s">
        <v>30188</v>
      </c>
      <c r="Y1634" t="s">
        <v>30189</v>
      </c>
    </row>
    <row r="1635" spans="1:25" x14ac:dyDescent="0.3">
      <c r="A1635">
        <v>81700</v>
      </c>
      <c r="B1635" t="s">
        <v>30190</v>
      </c>
      <c r="C1635" t="s">
        <v>30191</v>
      </c>
      <c r="D1635" t="s">
        <v>30192</v>
      </c>
      <c r="E1635" t="s">
        <v>30193</v>
      </c>
      <c r="F1635" t="s">
        <v>30194</v>
      </c>
      <c r="G1635" t="s">
        <v>30195</v>
      </c>
      <c r="H1635" t="s">
        <v>30196</v>
      </c>
      <c r="I1635" t="s">
        <v>30197</v>
      </c>
      <c r="J1635" t="s">
        <v>30198</v>
      </c>
      <c r="K1635" t="s">
        <v>30199</v>
      </c>
      <c r="L1635" t="s">
        <v>30200</v>
      </c>
      <c r="M1635" t="s">
        <v>30201</v>
      </c>
      <c r="N1635" t="s">
        <v>30202</v>
      </c>
      <c r="O1635">
        <f>-578.243964208691 -27.9494565692237 -772.179563048664</f>
        <v>-1378.3729838265785</v>
      </c>
      <c r="P1635">
        <f>-569.316899941996 -56.6904445941102 -457.091520252479</f>
        <v>-1083.0988647885852</v>
      </c>
      <c r="Q1635" t="s">
        <v>30203</v>
      </c>
      <c r="R1635" t="s">
        <v>30204</v>
      </c>
      <c r="S1635" t="s">
        <v>30205</v>
      </c>
      <c r="T1635" t="s">
        <v>30206</v>
      </c>
      <c r="U1635" t="s">
        <v>30207</v>
      </c>
      <c r="V1635" t="s">
        <v>30208</v>
      </c>
      <c r="W1635" t="s">
        <v>30209</v>
      </c>
      <c r="X1635" t="s">
        <v>30210</v>
      </c>
      <c r="Y1635" t="s">
        <v>30211</v>
      </c>
    </row>
    <row r="1636" spans="1:25" x14ac:dyDescent="0.3">
      <c r="A1636">
        <v>81750</v>
      </c>
      <c r="B1636" t="s">
        <v>30212</v>
      </c>
      <c r="C1636" t="s">
        <v>30213</v>
      </c>
      <c r="D1636" t="s">
        <v>30214</v>
      </c>
      <c r="E1636" t="s">
        <v>30215</v>
      </c>
      <c r="F1636" t="s">
        <v>30216</v>
      </c>
      <c r="G1636" t="s">
        <v>30217</v>
      </c>
      <c r="H1636" t="s">
        <v>30218</v>
      </c>
      <c r="I1636" t="s">
        <v>30219</v>
      </c>
      <c r="J1636" t="s">
        <v>30220</v>
      </c>
      <c r="K1636" t="s">
        <v>30221</v>
      </c>
      <c r="L1636" t="s">
        <v>30222</v>
      </c>
      <c r="M1636" t="s">
        <v>30223</v>
      </c>
      <c r="N1636" t="s">
        <v>30224</v>
      </c>
      <c r="O1636">
        <f>-580.044624048312 -28.3523453832563 -771.614173694237</f>
        <v>-1380.0111431258053</v>
      </c>
      <c r="P1636">
        <f>-571.232885366193 -55.9595293480506 -456.421611758442</f>
        <v>-1083.6140264726857</v>
      </c>
      <c r="Q1636" t="s">
        <v>30225</v>
      </c>
      <c r="R1636" t="s">
        <v>30226</v>
      </c>
      <c r="S1636" t="s">
        <v>30227</v>
      </c>
      <c r="T1636" t="s">
        <v>30228</v>
      </c>
      <c r="U1636" t="s">
        <v>30229</v>
      </c>
      <c r="V1636" t="s">
        <v>30230</v>
      </c>
      <c r="W1636" t="s">
        <v>30231</v>
      </c>
      <c r="X1636" t="s">
        <v>30232</v>
      </c>
      <c r="Y1636" t="s">
        <v>30233</v>
      </c>
    </row>
    <row r="1637" spans="1:25" x14ac:dyDescent="0.3">
      <c r="A1637">
        <v>81800</v>
      </c>
      <c r="B1637" t="s">
        <v>30234</v>
      </c>
      <c r="C1637" t="s">
        <v>30235</v>
      </c>
      <c r="D1637" t="s">
        <v>30236</v>
      </c>
      <c r="E1637" t="s">
        <v>30237</v>
      </c>
      <c r="F1637" t="s">
        <v>30238</v>
      </c>
      <c r="G1637" t="s">
        <v>30239</v>
      </c>
      <c r="H1637" t="s">
        <v>30240</v>
      </c>
      <c r="I1637" t="s">
        <v>30241</v>
      </c>
      <c r="J1637" t="s">
        <v>30242</v>
      </c>
      <c r="K1637" t="s">
        <v>30243</v>
      </c>
      <c r="L1637" t="s">
        <v>30244</v>
      </c>
      <c r="M1637" t="s">
        <v>30245</v>
      </c>
      <c r="N1637" t="s">
        <v>30246</v>
      </c>
      <c r="O1637">
        <f>-580.819542263329 -28.6625173716677 -771.270650179328</f>
        <v>-1380.7527098143246</v>
      </c>
      <c r="P1637">
        <f>-572.083201608425 -55.7897345411589 -456.034144074728</f>
        <v>-1083.9070802243118</v>
      </c>
      <c r="Q1637" t="s">
        <v>30247</v>
      </c>
      <c r="R1637" t="s">
        <v>30248</v>
      </c>
      <c r="S1637" t="s">
        <v>30249</v>
      </c>
      <c r="T1637" t="s">
        <v>30250</v>
      </c>
      <c r="U1637" t="s">
        <v>30251</v>
      </c>
      <c r="V1637" t="s">
        <v>30252</v>
      </c>
      <c r="W1637" t="s">
        <v>30253</v>
      </c>
      <c r="X1637" t="s">
        <v>30254</v>
      </c>
      <c r="Y1637" t="s">
        <v>30255</v>
      </c>
    </row>
    <row r="1638" spans="1:25" x14ac:dyDescent="0.3">
      <c r="A1638">
        <v>81850</v>
      </c>
      <c r="B1638" t="s">
        <v>30256</v>
      </c>
      <c r="C1638" t="s">
        <v>30257</v>
      </c>
      <c r="D1638" t="s">
        <v>30258</v>
      </c>
      <c r="E1638" t="s">
        <v>30259</v>
      </c>
      <c r="F1638" t="s">
        <v>30260</v>
      </c>
      <c r="G1638" t="s">
        <v>30261</v>
      </c>
      <c r="H1638" t="s">
        <v>30262</v>
      </c>
      <c r="I1638" t="s">
        <v>30263</v>
      </c>
      <c r="J1638" t="s">
        <v>30264</v>
      </c>
      <c r="K1638" t="s">
        <v>30265</v>
      </c>
      <c r="L1638" t="s">
        <v>30266</v>
      </c>
      <c r="M1638" t="s">
        <v>30267</v>
      </c>
      <c r="N1638" t="s">
        <v>30268</v>
      </c>
      <c r="O1638">
        <f>-582.394675086293 -29.148643714678 -770.550563243232</f>
        <v>-1382.0938820442029</v>
      </c>
      <c r="P1638">
        <f>-574.136642473273 -54.5602145394137 -455.158276285274</f>
        <v>-1083.8551332979607</v>
      </c>
      <c r="Q1638" t="s">
        <v>30269</v>
      </c>
      <c r="R1638" t="s">
        <v>30270</v>
      </c>
      <c r="S1638" t="s">
        <v>30271</v>
      </c>
      <c r="T1638" t="s">
        <v>30272</v>
      </c>
      <c r="U1638" t="s">
        <v>30273</v>
      </c>
      <c r="V1638" t="s">
        <v>30274</v>
      </c>
      <c r="W1638" t="s">
        <v>30275</v>
      </c>
      <c r="X1638" t="s">
        <v>30276</v>
      </c>
      <c r="Y1638" t="s">
        <v>30277</v>
      </c>
    </row>
    <row r="1639" spans="1:25" x14ac:dyDescent="0.3">
      <c r="A1639">
        <v>81900</v>
      </c>
      <c r="B1639" t="s">
        <v>30278</v>
      </c>
      <c r="C1639" t="s">
        <v>30279</v>
      </c>
      <c r="D1639" t="s">
        <v>30280</v>
      </c>
      <c r="E1639" t="s">
        <v>30281</v>
      </c>
      <c r="F1639" t="s">
        <v>30282</v>
      </c>
      <c r="G1639" t="s">
        <v>30283</v>
      </c>
      <c r="H1639" t="s">
        <v>30284</v>
      </c>
      <c r="I1639" t="s">
        <v>30285</v>
      </c>
      <c r="J1639" t="s">
        <v>30286</v>
      </c>
      <c r="K1639" t="s">
        <v>30287</v>
      </c>
      <c r="L1639" t="s">
        <v>30288</v>
      </c>
      <c r="M1639" t="s">
        <v>30289</v>
      </c>
      <c r="N1639" t="s">
        <v>30290</v>
      </c>
      <c r="O1639">
        <f>-583.066016185845 -29.0935974502656 -770.303268846361</f>
        <v>-1382.4628824824717</v>
      </c>
      <c r="P1639">
        <f>-575.035700567491 -53.8044073690758 -454.84951130175</f>
        <v>-1083.6896192383167</v>
      </c>
      <c r="Q1639" t="s">
        <v>30291</v>
      </c>
      <c r="R1639" t="s">
        <v>30292</v>
      </c>
      <c r="S1639" t="s">
        <v>30293</v>
      </c>
      <c r="T1639" t="s">
        <v>30294</v>
      </c>
      <c r="U1639" t="s">
        <v>30295</v>
      </c>
      <c r="V1639" t="s">
        <v>30296</v>
      </c>
      <c r="W1639" t="s">
        <v>30297</v>
      </c>
      <c r="X1639" t="s">
        <v>30298</v>
      </c>
      <c r="Y1639" t="s">
        <v>30299</v>
      </c>
    </row>
    <row r="1640" spans="1:25" x14ac:dyDescent="0.3">
      <c r="A1640">
        <v>81950</v>
      </c>
      <c r="B1640" t="s">
        <v>30300</v>
      </c>
      <c r="C1640" t="s">
        <v>30301</v>
      </c>
      <c r="D1640" t="s">
        <v>30302</v>
      </c>
      <c r="E1640" t="s">
        <v>30303</v>
      </c>
      <c r="F1640" t="s">
        <v>30304</v>
      </c>
      <c r="G1640" t="s">
        <v>30305</v>
      </c>
      <c r="H1640" t="s">
        <v>30306</v>
      </c>
      <c r="I1640" t="s">
        <v>30307</v>
      </c>
      <c r="J1640" t="s">
        <v>30308</v>
      </c>
      <c r="K1640" t="s">
        <v>30309</v>
      </c>
      <c r="L1640" t="s">
        <v>30310</v>
      </c>
      <c r="M1640" t="s">
        <v>30311</v>
      </c>
      <c r="N1640" t="s">
        <v>30312</v>
      </c>
      <c r="O1640">
        <f>-585.07202968704 -29.0620006835263 -769.841377046607</f>
        <v>-1383.9754074171733</v>
      </c>
      <c r="P1640">
        <f>-577.175087812943 -52.6445307713989 -454.297974044687</f>
        <v>-1084.1175926290289</v>
      </c>
      <c r="Q1640" t="s">
        <v>30313</v>
      </c>
      <c r="R1640" t="s">
        <v>30314</v>
      </c>
      <c r="S1640" t="s">
        <v>30315</v>
      </c>
      <c r="T1640" t="s">
        <v>30316</v>
      </c>
      <c r="U1640" t="s">
        <v>30317</v>
      </c>
      <c r="V1640" t="s">
        <v>30318</v>
      </c>
      <c r="W1640" t="s">
        <v>30319</v>
      </c>
      <c r="X1640" t="s">
        <v>30320</v>
      </c>
      <c r="Y1640" t="s">
        <v>30321</v>
      </c>
    </row>
    <row r="1641" spans="1:25" x14ac:dyDescent="0.3">
      <c r="A1641">
        <v>82000</v>
      </c>
      <c r="B1641" t="s">
        <v>30322</v>
      </c>
      <c r="C1641" t="s">
        <v>30323</v>
      </c>
      <c r="D1641" t="s">
        <v>30324</v>
      </c>
      <c r="E1641" t="s">
        <v>30325</v>
      </c>
      <c r="F1641" t="s">
        <v>30326</v>
      </c>
      <c r="G1641" t="s">
        <v>30327</v>
      </c>
      <c r="H1641" t="s">
        <v>30328</v>
      </c>
      <c r="I1641" t="s">
        <v>30329</v>
      </c>
      <c r="J1641" t="s">
        <v>30330</v>
      </c>
      <c r="K1641" t="s">
        <v>30331</v>
      </c>
      <c r="L1641" t="s">
        <v>30332</v>
      </c>
      <c r="M1641" t="s">
        <v>30333</v>
      </c>
      <c r="N1641" t="s">
        <v>30334</v>
      </c>
      <c r="O1641">
        <f>-586.042388810399 -29.4061725448616 -769.490560873623</f>
        <v>-1384.9391222288837</v>
      </c>
      <c r="P1641">
        <f>-577.898413072827 -52.5417582454518 -453.920149723792</f>
        <v>-1084.3603210420708</v>
      </c>
      <c r="Q1641" t="s">
        <v>30335</v>
      </c>
      <c r="R1641" t="s">
        <v>30336</v>
      </c>
      <c r="S1641" t="s">
        <v>30337</v>
      </c>
      <c r="T1641" t="s">
        <v>30338</v>
      </c>
      <c r="U1641" t="s">
        <v>30339</v>
      </c>
      <c r="V1641" t="s">
        <v>30340</v>
      </c>
      <c r="W1641" t="s">
        <v>30341</v>
      </c>
      <c r="X1641" t="s">
        <v>30342</v>
      </c>
      <c r="Y1641" t="s">
        <v>30343</v>
      </c>
    </row>
    <row r="1642" spans="1:25" x14ac:dyDescent="0.3">
      <c r="A1642">
        <v>82050</v>
      </c>
      <c r="B1642" t="s">
        <v>30344</v>
      </c>
      <c r="C1642" t="s">
        <v>30345</v>
      </c>
      <c r="D1642" t="s">
        <v>30346</v>
      </c>
      <c r="E1642" t="s">
        <v>30347</v>
      </c>
      <c r="F1642" t="s">
        <v>30348</v>
      </c>
      <c r="G1642" t="s">
        <v>30349</v>
      </c>
      <c r="H1642" t="s">
        <v>30350</v>
      </c>
      <c r="I1642" t="s">
        <v>30351</v>
      </c>
      <c r="J1642" t="s">
        <v>30352</v>
      </c>
      <c r="K1642" t="s">
        <v>30353</v>
      </c>
      <c r="L1642" t="s">
        <v>30354</v>
      </c>
      <c r="M1642" t="s">
        <v>30355</v>
      </c>
      <c r="N1642" t="s">
        <v>30356</v>
      </c>
      <c r="O1642">
        <f>-587.476309758725 -29.7387461360745 -768.744335161418</f>
        <v>-1385.9593910562176</v>
      </c>
      <c r="P1642">
        <f>-578.50839836364 -51.2502442475679 -453.081571520249</f>
        <v>-1082.8402141314568</v>
      </c>
      <c r="Q1642" t="s">
        <v>30357</v>
      </c>
      <c r="R1642" t="s">
        <v>30358</v>
      </c>
      <c r="S1642" t="s">
        <v>30359</v>
      </c>
      <c r="T1642" t="s">
        <v>30360</v>
      </c>
      <c r="U1642" t="s">
        <v>30361</v>
      </c>
      <c r="V1642" t="s">
        <v>30362</v>
      </c>
      <c r="W1642" t="s">
        <v>30363</v>
      </c>
      <c r="X1642" t="s">
        <v>30364</v>
      </c>
      <c r="Y1642" t="s">
        <v>30365</v>
      </c>
    </row>
    <row r="1643" spans="1:25" x14ac:dyDescent="0.3">
      <c r="A1643">
        <v>82100</v>
      </c>
      <c r="B1643" t="s">
        <v>30366</v>
      </c>
      <c r="C1643" t="s">
        <v>30367</v>
      </c>
      <c r="D1643" t="s">
        <v>30368</v>
      </c>
      <c r="E1643" t="s">
        <v>30369</v>
      </c>
      <c r="F1643" t="s">
        <v>30370</v>
      </c>
      <c r="G1643" t="s">
        <v>30371</v>
      </c>
      <c r="H1643" t="s">
        <v>30372</v>
      </c>
      <c r="I1643" t="s">
        <v>30373</v>
      </c>
      <c r="J1643" t="s">
        <v>30374</v>
      </c>
      <c r="K1643" t="s">
        <v>30375</v>
      </c>
      <c r="L1643" t="s">
        <v>30376</v>
      </c>
      <c r="M1643" t="s">
        <v>30377</v>
      </c>
      <c r="N1643" t="s">
        <v>30378</v>
      </c>
      <c r="O1643">
        <f>-588.121769310848 -30.0022863751719 -768.286858282257</f>
        <v>-1386.4109139682769</v>
      </c>
      <c r="P1643">
        <f>-578.94657730548 -50.318371312776 -452.550923711893</f>
        <v>-1081.815872330149</v>
      </c>
      <c r="Q1643" t="s">
        <v>30379</v>
      </c>
      <c r="R1643" t="s">
        <v>30380</v>
      </c>
      <c r="S1643" t="s">
        <v>30381</v>
      </c>
      <c r="T1643" t="s">
        <v>30382</v>
      </c>
      <c r="U1643" t="s">
        <v>30383</v>
      </c>
      <c r="V1643" t="s">
        <v>30384</v>
      </c>
      <c r="W1643" t="s">
        <v>30385</v>
      </c>
      <c r="X1643" t="s">
        <v>30386</v>
      </c>
      <c r="Y1643" t="s">
        <v>30387</v>
      </c>
    </row>
    <row r="1644" spans="1:25" x14ac:dyDescent="0.3">
      <c r="A1644">
        <v>82150</v>
      </c>
      <c r="B1644" t="s">
        <v>30388</v>
      </c>
      <c r="C1644" t="s">
        <v>30389</v>
      </c>
      <c r="D1644" t="s">
        <v>30390</v>
      </c>
      <c r="E1644" t="s">
        <v>30391</v>
      </c>
      <c r="F1644" t="s">
        <v>30392</v>
      </c>
      <c r="G1644" t="s">
        <v>30393</v>
      </c>
      <c r="H1644" t="s">
        <v>30394</v>
      </c>
      <c r="I1644" t="s">
        <v>30395</v>
      </c>
      <c r="J1644" t="s">
        <v>30396</v>
      </c>
      <c r="K1644" t="s">
        <v>30397</v>
      </c>
      <c r="L1644" t="s">
        <v>30398</v>
      </c>
      <c r="M1644" t="s">
        <v>30399</v>
      </c>
      <c r="N1644" t="s">
        <v>30400</v>
      </c>
      <c r="O1644">
        <f>-587.998061136644 -31.1073523729935 -767.082223322542</f>
        <v>-1386.1876368321796</v>
      </c>
      <c r="P1644">
        <f>-577.90160195502 -48.9939304466081 -451.227393775711</f>
        <v>-1078.1229261773392</v>
      </c>
      <c r="Q1644" t="s">
        <v>30401</v>
      </c>
      <c r="R1644" t="s">
        <v>30402</v>
      </c>
      <c r="S1644" t="s">
        <v>30403</v>
      </c>
      <c r="T1644" t="s">
        <v>30404</v>
      </c>
      <c r="U1644" t="s">
        <v>30405</v>
      </c>
      <c r="V1644" t="s">
        <v>30406</v>
      </c>
      <c r="W1644" t="s">
        <v>30407</v>
      </c>
      <c r="X1644" t="s">
        <v>30408</v>
      </c>
      <c r="Y1644" t="s">
        <v>30409</v>
      </c>
    </row>
    <row r="1645" spans="1:25" x14ac:dyDescent="0.3">
      <c r="A1645">
        <v>82200</v>
      </c>
      <c r="B1645" t="s">
        <v>30410</v>
      </c>
      <c r="C1645" t="s">
        <v>30411</v>
      </c>
      <c r="D1645" t="s">
        <v>30412</v>
      </c>
      <c r="E1645" t="s">
        <v>30413</v>
      </c>
      <c r="F1645" t="s">
        <v>30414</v>
      </c>
      <c r="G1645" t="s">
        <v>30415</v>
      </c>
      <c r="H1645" t="s">
        <v>30416</v>
      </c>
      <c r="I1645" t="s">
        <v>30417</v>
      </c>
      <c r="J1645" t="s">
        <v>30418</v>
      </c>
      <c r="K1645" t="s">
        <v>30419</v>
      </c>
      <c r="L1645" t="s">
        <v>30420</v>
      </c>
      <c r="M1645" t="s">
        <v>30421</v>
      </c>
      <c r="N1645" t="s">
        <v>30422</v>
      </c>
      <c r="O1645">
        <f>-588.41094549811 -31.6792375635689 -766.518192940152</f>
        <v>-1386.6083760018309</v>
      </c>
      <c r="P1645">
        <f>-577.683274128229 -48.1789955533927 -450.608578718418</f>
        <v>-1076.4708484000398</v>
      </c>
      <c r="Q1645" t="s">
        <v>30423</v>
      </c>
      <c r="R1645" t="s">
        <v>30424</v>
      </c>
      <c r="S1645" t="s">
        <v>30425</v>
      </c>
      <c r="T1645" t="s">
        <v>30426</v>
      </c>
      <c r="U1645" t="s">
        <v>30427</v>
      </c>
      <c r="V1645" t="s">
        <v>30428</v>
      </c>
      <c r="W1645" t="s">
        <v>30429</v>
      </c>
      <c r="X1645" t="s">
        <v>30430</v>
      </c>
      <c r="Y1645" t="s">
        <v>30431</v>
      </c>
    </row>
    <row r="1646" spans="1:25" x14ac:dyDescent="0.3">
      <c r="A1646">
        <v>82250</v>
      </c>
      <c r="B1646" t="s">
        <v>30432</v>
      </c>
      <c r="C1646" t="s">
        <v>30433</v>
      </c>
      <c r="D1646" t="s">
        <v>30434</v>
      </c>
      <c r="E1646" t="s">
        <v>30435</v>
      </c>
      <c r="F1646" t="s">
        <v>30436</v>
      </c>
      <c r="G1646" t="s">
        <v>30437</v>
      </c>
      <c r="H1646" t="s">
        <v>30438</v>
      </c>
      <c r="I1646" t="s">
        <v>30439</v>
      </c>
      <c r="J1646" t="s">
        <v>30440</v>
      </c>
      <c r="K1646" t="s">
        <v>30441</v>
      </c>
      <c r="L1646" t="s">
        <v>30442</v>
      </c>
      <c r="M1646" t="s">
        <v>30443</v>
      </c>
      <c r="N1646" t="s">
        <v>30444</v>
      </c>
      <c r="O1646">
        <f>-588.257717531626 -32.2851580144143 -765.610112826423</f>
        <v>-1386.1529883724634</v>
      </c>
      <c r="P1646">
        <f>-577.101872719251 -46.6861262113478 -449.612747873515</f>
        <v>-1073.4007468041136</v>
      </c>
      <c r="Q1646" t="s">
        <v>30445</v>
      </c>
      <c r="R1646" t="s">
        <v>30446</v>
      </c>
      <c r="S1646" t="s">
        <v>30447</v>
      </c>
      <c r="T1646" t="s">
        <v>30448</v>
      </c>
      <c r="U1646" t="s">
        <v>30449</v>
      </c>
      <c r="V1646" t="s">
        <v>30450</v>
      </c>
      <c r="W1646" t="s">
        <v>30451</v>
      </c>
      <c r="X1646" t="s">
        <v>30452</v>
      </c>
      <c r="Y1646" t="s">
        <v>30453</v>
      </c>
    </row>
    <row r="1647" spans="1:25" x14ac:dyDescent="0.3">
      <c r="A1647">
        <v>82300</v>
      </c>
      <c r="B1647" t="s">
        <v>30454</v>
      </c>
      <c r="C1647" t="s">
        <v>30455</v>
      </c>
      <c r="D1647" t="s">
        <v>30456</v>
      </c>
      <c r="E1647" t="s">
        <v>30457</v>
      </c>
      <c r="F1647" t="s">
        <v>30458</v>
      </c>
      <c r="G1647" t="s">
        <v>30459</v>
      </c>
      <c r="H1647" t="s">
        <v>30460</v>
      </c>
      <c r="I1647" t="s">
        <v>30461</v>
      </c>
      <c r="J1647" t="s">
        <v>30462</v>
      </c>
      <c r="K1647" t="s">
        <v>30463</v>
      </c>
      <c r="L1647" t="s">
        <v>30464</v>
      </c>
      <c r="M1647" t="s">
        <v>30465</v>
      </c>
      <c r="N1647" t="s">
        <v>30466</v>
      </c>
      <c r="O1647">
        <f>-587.851062257917 -32.5497508567648 -765.152719402489</f>
        <v>-1385.5535325171709</v>
      </c>
      <c r="P1647">
        <f>-577.046416347396 -46.7198340177586 -449.132713370786</f>
        <v>-1072.8989637359405</v>
      </c>
      <c r="Q1647" t="s">
        <v>30467</v>
      </c>
      <c r="R1647" t="s">
        <v>30468</v>
      </c>
      <c r="S1647" t="s">
        <v>30469</v>
      </c>
      <c r="T1647" t="s">
        <v>30470</v>
      </c>
      <c r="U1647" t="s">
        <v>30471</v>
      </c>
      <c r="V1647" t="s">
        <v>30472</v>
      </c>
      <c r="W1647" t="s">
        <v>30473</v>
      </c>
      <c r="X1647" t="s">
        <v>30474</v>
      </c>
      <c r="Y1647" t="s">
        <v>30475</v>
      </c>
    </row>
    <row r="1648" spans="1:25" x14ac:dyDescent="0.3">
      <c r="A1648">
        <v>82350</v>
      </c>
      <c r="B1648" t="s">
        <v>30476</v>
      </c>
      <c r="C1648" t="s">
        <v>30477</v>
      </c>
      <c r="D1648" t="s">
        <v>30478</v>
      </c>
      <c r="E1648" t="s">
        <v>30479</v>
      </c>
      <c r="F1648" t="s">
        <v>30480</v>
      </c>
      <c r="G1648" t="s">
        <v>30481</v>
      </c>
      <c r="H1648" t="s">
        <v>30482</v>
      </c>
      <c r="I1648" t="s">
        <v>30483</v>
      </c>
      <c r="J1648" t="s">
        <v>30484</v>
      </c>
      <c r="K1648" t="s">
        <v>30485</v>
      </c>
      <c r="L1648" t="s">
        <v>30486</v>
      </c>
      <c r="M1648" t="s">
        <v>30487</v>
      </c>
      <c r="N1648" t="s">
        <v>30488</v>
      </c>
      <c r="O1648">
        <f>-587.721707093688 -32.8268094060629 -764.735670747629</f>
        <v>-1385.28418724738</v>
      </c>
      <c r="P1648">
        <f>-577.40929977095 -46.5993613122946 -448.681655983082</f>
        <v>-1072.6903170663268</v>
      </c>
      <c r="Q1648" t="s">
        <v>30489</v>
      </c>
      <c r="R1648" t="s">
        <v>30490</v>
      </c>
      <c r="S1648" t="s">
        <v>30491</v>
      </c>
      <c r="T1648" t="s">
        <v>30492</v>
      </c>
      <c r="U1648" t="s">
        <v>30493</v>
      </c>
      <c r="V1648" t="s">
        <v>30494</v>
      </c>
      <c r="W1648" t="s">
        <v>30495</v>
      </c>
      <c r="X1648" t="s">
        <v>30496</v>
      </c>
      <c r="Y1648" t="s">
        <v>30497</v>
      </c>
    </row>
    <row r="1649" spans="1:25" x14ac:dyDescent="0.3">
      <c r="A1649">
        <v>82400</v>
      </c>
      <c r="B1649" t="s">
        <v>30498</v>
      </c>
      <c r="C1649" t="s">
        <v>30499</v>
      </c>
      <c r="D1649" t="s">
        <v>30500</v>
      </c>
      <c r="E1649" t="s">
        <v>30501</v>
      </c>
      <c r="F1649" t="s">
        <v>30502</v>
      </c>
      <c r="G1649" t="s">
        <v>30503</v>
      </c>
      <c r="H1649" t="s">
        <v>30504</v>
      </c>
      <c r="I1649" t="s">
        <v>30505</v>
      </c>
      <c r="J1649" t="s">
        <v>30506</v>
      </c>
      <c r="K1649" t="s">
        <v>30507</v>
      </c>
      <c r="L1649" t="s">
        <v>30508</v>
      </c>
      <c r="M1649" t="s">
        <v>30509</v>
      </c>
      <c r="N1649" t="s">
        <v>30510</v>
      </c>
      <c r="O1649">
        <f>-587.04424591944 -32.9431061214536 -764.120184384821</f>
        <v>-1384.1075364257144</v>
      </c>
      <c r="P1649">
        <f>-576.882635129104 -45.5005926576059 -448.01077854459</f>
        <v>-1070.3940063312998</v>
      </c>
      <c r="Q1649" t="s">
        <v>30511</v>
      </c>
      <c r="R1649" t="s">
        <v>30512</v>
      </c>
      <c r="S1649" t="s">
        <v>30513</v>
      </c>
      <c r="T1649" t="s">
        <v>30514</v>
      </c>
      <c r="U1649" t="s">
        <v>30515</v>
      </c>
      <c r="V1649" t="s">
        <v>30516</v>
      </c>
      <c r="W1649" t="s">
        <v>30517</v>
      </c>
      <c r="X1649" t="s">
        <v>30518</v>
      </c>
      <c r="Y1649" t="s">
        <v>30519</v>
      </c>
    </row>
    <row r="1650" spans="1:25" x14ac:dyDescent="0.3">
      <c r="A1650">
        <v>82450</v>
      </c>
      <c r="B1650" t="s">
        <v>30520</v>
      </c>
      <c r="C1650" t="s">
        <v>30521</v>
      </c>
      <c r="D1650" t="s">
        <v>30522</v>
      </c>
      <c r="E1650" t="s">
        <v>30523</v>
      </c>
      <c r="F1650" t="s">
        <v>30524</v>
      </c>
      <c r="G1650" t="s">
        <v>30525</v>
      </c>
      <c r="H1650" t="s">
        <v>30526</v>
      </c>
      <c r="I1650" t="s">
        <v>30527</v>
      </c>
      <c r="J1650" t="s">
        <v>30528</v>
      </c>
      <c r="K1650" t="s">
        <v>30529</v>
      </c>
      <c r="L1650" t="s">
        <v>30530</v>
      </c>
      <c r="M1650" t="s">
        <v>30531</v>
      </c>
      <c r="N1650" t="s">
        <v>30532</v>
      </c>
      <c r="O1650">
        <f>-586.917183587787 -32.9879736848366 -763.665105233056</f>
        <v>-1383.5702625056797</v>
      </c>
      <c r="P1650">
        <f>-577.058472946318 -44.3874652570455 -447.502030725332</f>
        <v>-1068.9479689286954</v>
      </c>
      <c r="Q1650" t="s">
        <v>30533</v>
      </c>
      <c r="R1650" t="s">
        <v>30534</v>
      </c>
      <c r="S1650" t="s">
        <v>30535</v>
      </c>
      <c r="T1650" t="s">
        <v>30536</v>
      </c>
      <c r="U1650" t="s">
        <v>30537</v>
      </c>
      <c r="V1650" t="s">
        <v>30538</v>
      </c>
      <c r="W1650" t="s">
        <v>30539</v>
      </c>
      <c r="X1650" t="s">
        <v>30540</v>
      </c>
      <c r="Y1650" t="s">
        <v>30541</v>
      </c>
    </row>
    <row r="1651" spans="1:25" x14ac:dyDescent="0.3">
      <c r="A1651">
        <v>82500</v>
      </c>
      <c r="B1651" t="s">
        <v>30542</v>
      </c>
      <c r="C1651" t="s">
        <v>30543</v>
      </c>
      <c r="D1651" t="s">
        <v>30544</v>
      </c>
      <c r="E1651" t="s">
        <v>30545</v>
      </c>
      <c r="F1651" t="s">
        <v>30546</v>
      </c>
      <c r="G1651" t="s">
        <v>30547</v>
      </c>
      <c r="H1651" t="s">
        <v>30548</v>
      </c>
      <c r="I1651" t="s">
        <v>30549</v>
      </c>
      <c r="J1651" t="s">
        <v>30550</v>
      </c>
      <c r="K1651" t="s">
        <v>30551</v>
      </c>
      <c r="L1651" t="s">
        <v>30552</v>
      </c>
      <c r="M1651" t="s">
        <v>30553</v>
      </c>
      <c r="N1651" t="s">
        <v>30554</v>
      </c>
      <c r="O1651">
        <f>-586.44933716426 -32.7492527079637 -763.626800978367</f>
        <v>-1382.8253908505908</v>
      </c>
      <c r="P1651">
        <f>-576.606799603085 -44.0999632695919 -447.461419847383</f>
        <v>-1068.16818272006</v>
      </c>
      <c r="Q1651" t="s">
        <v>30555</v>
      </c>
      <c r="R1651" t="s">
        <v>30556</v>
      </c>
      <c r="S1651" t="s">
        <v>30557</v>
      </c>
      <c r="T1651" t="s">
        <v>30558</v>
      </c>
      <c r="U1651" t="s">
        <v>30559</v>
      </c>
      <c r="V1651" t="s">
        <v>30560</v>
      </c>
      <c r="W1651" t="s">
        <v>30561</v>
      </c>
      <c r="X1651" t="s">
        <v>30562</v>
      </c>
      <c r="Y1651" t="s">
        <v>30563</v>
      </c>
    </row>
    <row r="1652" spans="1:25" x14ac:dyDescent="0.3">
      <c r="A1652">
        <v>82550</v>
      </c>
      <c r="B1652" t="s">
        <v>30564</v>
      </c>
      <c r="C1652" t="s">
        <v>30565</v>
      </c>
      <c r="D1652" t="s">
        <v>30566</v>
      </c>
      <c r="E1652" t="s">
        <v>30567</v>
      </c>
      <c r="F1652" t="s">
        <v>30568</v>
      </c>
      <c r="G1652" t="s">
        <v>30569</v>
      </c>
      <c r="H1652" t="s">
        <v>30570</v>
      </c>
      <c r="I1652" t="s">
        <v>30571</v>
      </c>
      <c r="J1652" t="s">
        <v>30572</v>
      </c>
      <c r="K1652" t="s">
        <v>30573</v>
      </c>
      <c r="L1652" t="s">
        <v>30574</v>
      </c>
      <c r="M1652" t="s">
        <v>30575</v>
      </c>
      <c r="N1652" t="s">
        <v>30576</v>
      </c>
      <c r="O1652">
        <f>-585.681573578361 -31.940569462472 -763.690842188047</f>
        <v>-1381.3129852288801</v>
      </c>
      <c r="P1652">
        <f>-575.924453609965 -43.6325772223797 -447.535526240136</f>
        <v>-1067.0925570724808</v>
      </c>
      <c r="Q1652" t="s">
        <v>30577</v>
      </c>
      <c r="R1652" t="s">
        <v>30578</v>
      </c>
      <c r="S1652" t="s">
        <v>30579</v>
      </c>
      <c r="T1652" t="s">
        <v>30580</v>
      </c>
      <c r="U1652" t="s">
        <v>30581</v>
      </c>
      <c r="V1652" t="s">
        <v>30582</v>
      </c>
      <c r="W1652" t="s">
        <v>30583</v>
      </c>
      <c r="X1652" t="s">
        <v>30584</v>
      </c>
      <c r="Y1652" t="s">
        <v>30585</v>
      </c>
    </row>
    <row r="1653" spans="1:25" x14ac:dyDescent="0.3">
      <c r="A1653">
        <v>82600</v>
      </c>
      <c r="B1653" t="s">
        <v>30586</v>
      </c>
      <c r="C1653" t="s">
        <v>30587</v>
      </c>
      <c r="D1653" t="s">
        <v>30588</v>
      </c>
      <c r="E1653" t="s">
        <v>30589</v>
      </c>
      <c r="F1653" t="s">
        <v>30590</v>
      </c>
      <c r="G1653" t="s">
        <v>30591</v>
      </c>
      <c r="H1653" t="s">
        <v>30592</v>
      </c>
      <c r="I1653" t="s">
        <v>30593</v>
      </c>
      <c r="J1653" t="s">
        <v>30594</v>
      </c>
      <c r="K1653" t="s">
        <v>30595</v>
      </c>
      <c r="L1653" t="s">
        <v>30596</v>
      </c>
      <c r="M1653" t="s">
        <v>30597</v>
      </c>
      <c r="N1653" t="s">
        <v>30598</v>
      </c>
      <c r="O1653">
        <f>-585.597585855265 -31.6005748364255 -763.674830547496</f>
        <v>-1380.8729912391864</v>
      </c>
      <c r="P1653">
        <f>-575.896170046802 -43.7357839333965 -447.534239396791</f>
        <v>-1067.1661933769897</v>
      </c>
      <c r="Q1653" t="s">
        <v>30599</v>
      </c>
      <c r="R1653" t="s">
        <v>30600</v>
      </c>
      <c r="S1653" t="s">
        <v>30601</v>
      </c>
      <c r="T1653" t="s">
        <v>30602</v>
      </c>
      <c r="U1653" t="s">
        <v>30603</v>
      </c>
      <c r="V1653" t="s">
        <v>30604</v>
      </c>
      <c r="W1653" t="s">
        <v>30605</v>
      </c>
      <c r="X1653" t="s">
        <v>30606</v>
      </c>
      <c r="Y1653" t="s">
        <v>30607</v>
      </c>
    </row>
    <row r="1654" spans="1:25" x14ac:dyDescent="0.3">
      <c r="A1654">
        <v>82650</v>
      </c>
      <c r="B1654" t="s">
        <v>30608</v>
      </c>
      <c r="C1654" t="s">
        <v>30609</v>
      </c>
      <c r="D1654" t="s">
        <v>30610</v>
      </c>
      <c r="E1654" t="s">
        <v>30611</v>
      </c>
      <c r="F1654" t="s">
        <v>30612</v>
      </c>
      <c r="G1654" t="s">
        <v>30613</v>
      </c>
      <c r="H1654" t="s">
        <v>30614</v>
      </c>
      <c r="I1654" t="s">
        <v>30615</v>
      </c>
      <c r="J1654" t="s">
        <v>30616</v>
      </c>
      <c r="K1654" t="s">
        <v>30617</v>
      </c>
      <c r="L1654" t="s">
        <v>30618</v>
      </c>
      <c r="M1654" t="s">
        <v>30619</v>
      </c>
      <c r="N1654" t="s">
        <v>30620</v>
      </c>
      <c r="O1654">
        <f>-584.852900100404 -31.1413421091343 -763.582428387314</f>
        <v>-1379.5766705968522</v>
      </c>
      <c r="P1654">
        <f>-575.798752100784 -43.3413365887484 -447.425213773138</f>
        <v>-1066.5653024626704</v>
      </c>
      <c r="Q1654" t="s">
        <v>30621</v>
      </c>
      <c r="R1654" t="s">
        <v>30622</v>
      </c>
      <c r="S1654" t="s">
        <v>30623</v>
      </c>
      <c r="T1654" t="s">
        <v>30624</v>
      </c>
      <c r="U1654" t="s">
        <v>30625</v>
      </c>
      <c r="V1654" t="s">
        <v>30626</v>
      </c>
      <c r="W1654" t="s">
        <v>30627</v>
      </c>
      <c r="X1654" t="s">
        <v>30628</v>
      </c>
      <c r="Y1654" t="s">
        <v>30629</v>
      </c>
    </row>
    <row r="1655" spans="1:25" x14ac:dyDescent="0.3">
      <c r="A1655">
        <v>82700</v>
      </c>
      <c r="B1655" t="s">
        <v>30630</v>
      </c>
      <c r="C1655" t="s">
        <v>30631</v>
      </c>
      <c r="D1655" t="s">
        <v>30632</v>
      </c>
      <c r="E1655" t="s">
        <v>30633</v>
      </c>
      <c r="F1655" t="s">
        <v>30634</v>
      </c>
      <c r="G1655" t="s">
        <v>30635</v>
      </c>
      <c r="H1655" t="s">
        <v>30636</v>
      </c>
      <c r="I1655" t="s">
        <v>30637</v>
      </c>
      <c r="J1655" t="s">
        <v>30638</v>
      </c>
      <c r="K1655" t="s">
        <v>30639</v>
      </c>
      <c r="L1655" t="s">
        <v>30640</v>
      </c>
      <c r="M1655" t="s">
        <v>30641</v>
      </c>
      <c r="N1655" t="s">
        <v>30642</v>
      </c>
      <c r="O1655">
        <f>-584.386514539181 -30.8802734443802 -763.524947476238</f>
        <v>-1378.7917354597994</v>
      </c>
      <c r="P1655">
        <f>-575.978171791452 -43.1801432346588 -447.353724953869</f>
        <v>-1066.5120399799798</v>
      </c>
      <c r="Q1655" t="s">
        <v>30643</v>
      </c>
      <c r="R1655" t="s">
        <v>30644</v>
      </c>
      <c r="S1655" t="s">
        <v>30645</v>
      </c>
      <c r="T1655" t="s">
        <v>30646</v>
      </c>
      <c r="U1655" t="s">
        <v>30647</v>
      </c>
      <c r="V1655" t="s">
        <v>30648</v>
      </c>
      <c r="W1655" t="s">
        <v>30649</v>
      </c>
      <c r="X1655" t="s">
        <v>30650</v>
      </c>
      <c r="Y1655" t="s">
        <v>30651</v>
      </c>
    </row>
    <row r="1656" spans="1:25" x14ac:dyDescent="0.3">
      <c r="A1656">
        <v>82750</v>
      </c>
      <c r="B1656" t="s">
        <v>30652</v>
      </c>
      <c r="C1656" t="s">
        <v>30653</v>
      </c>
      <c r="D1656" t="s">
        <v>30654</v>
      </c>
      <c r="E1656" t="s">
        <v>30655</v>
      </c>
      <c r="F1656" t="s">
        <v>30656</v>
      </c>
      <c r="G1656" t="s">
        <v>30657</v>
      </c>
      <c r="H1656" t="s">
        <v>30658</v>
      </c>
      <c r="I1656" t="s">
        <v>30659</v>
      </c>
      <c r="J1656" t="s">
        <v>30660</v>
      </c>
      <c r="K1656" t="s">
        <v>30661</v>
      </c>
      <c r="L1656" t="s">
        <v>30662</v>
      </c>
      <c r="M1656" t="s">
        <v>30663</v>
      </c>
      <c r="N1656" t="s">
        <v>30664</v>
      </c>
      <c r="O1656">
        <f>-583.432238753087 -30.1855710962709 -763.478117432209</f>
        <v>-1377.0959272815669</v>
      </c>
      <c r="P1656">
        <f>-576.211545704814 -42.6190467314943 -447.282782488713</f>
        <v>-1066.1133749250212</v>
      </c>
      <c r="Q1656" t="s">
        <v>30665</v>
      </c>
      <c r="R1656" t="s">
        <v>30666</v>
      </c>
      <c r="S1656" t="s">
        <v>30667</v>
      </c>
      <c r="T1656" t="s">
        <v>30668</v>
      </c>
      <c r="U1656" t="s">
        <v>30669</v>
      </c>
      <c r="V1656" t="s">
        <v>30670</v>
      </c>
      <c r="W1656" t="s">
        <v>30671</v>
      </c>
      <c r="X1656" t="s">
        <v>30672</v>
      </c>
      <c r="Y1656" t="s">
        <v>30673</v>
      </c>
    </row>
    <row r="1657" spans="1:25" x14ac:dyDescent="0.3">
      <c r="A1657">
        <v>82800</v>
      </c>
      <c r="B1657" t="s">
        <v>30674</v>
      </c>
      <c r="C1657" t="s">
        <v>30675</v>
      </c>
      <c r="D1657" t="s">
        <v>30676</v>
      </c>
      <c r="E1657" t="s">
        <v>30677</v>
      </c>
      <c r="F1657" t="s">
        <v>30678</v>
      </c>
      <c r="G1657" t="s">
        <v>30679</v>
      </c>
      <c r="H1657" t="s">
        <v>30680</v>
      </c>
      <c r="I1657" t="s">
        <v>30681</v>
      </c>
      <c r="J1657" t="s">
        <v>30682</v>
      </c>
      <c r="K1657" t="s">
        <v>30683</v>
      </c>
      <c r="L1657" t="s">
        <v>30684</v>
      </c>
      <c r="M1657" t="s">
        <v>30685</v>
      </c>
      <c r="N1657" t="s">
        <v>30686</v>
      </c>
      <c r="O1657">
        <f>-583.177712054563 -29.7297765256837 -763.398316169721</f>
        <v>-1376.3058047499678</v>
      </c>
      <c r="P1657">
        <f>-576.374283974644 -41.9752476591407 -447.18639277617</f>
        <v>-1065.5359244099545</v>
      </c>
      <c r="Q1657" t="s">
        <v>30687</v>
      </c>
      <c r="R1657" t="s">
        <v>30688</v>
      </c>
      <c r="S1657" t="s">
        <v>30689</v>
      </c>
      <c r="T1657" t="s">
        <v>30690</v>
      </c>
      <c r="U1657" t="s">
        <v>30691</v>
      </c>
      <c r="V1657" t="s">
        <v>30692</v>
      </c>
      <c r="W1657" t="s">
        <v>30693</v>
      </c>
      <c r="X1657" t="s">
        <v>30694</v>
      </c>
      <c r="Y1657" t="s">
        <v>30695</v>
      </c>
    </row>
    <row r="1658" spans="1:25" x14ac:dyDescent="0.3">
      <c r="A1658">
        <v>82850</v>
      </c>
      <c r="B1658" t="s">
        <v>30696</v>
      </c>
      <c r="C1658" t="s">
        <v>30697</v>
      </c>
      <c r="D1658" t="s">
        <v>30698</v>
      </c>
      <c r="E1658" t="s">
        <v>30699</v>
      </c>
      <c r="F1658" t="s">
        <v>30700</v>
      </c>
      <c r="G1658" t="s">
        <v>30701</v>
      </c>
      <c r="H1658" t="s">
        <v>30702</v>
      </c>
      <c r="I1658" t="s">
        <v>30703</v>
      </c>
      <c r="J1658" t="s">
        <v>30704</v>
      </c>
      <c r="K1658" t="s">
        <v>30705</v>
      </c>
      <c r="L1658" t="s">
        <v>30706</v>
      </c>
      <c r="M1658" t="s">
        <v>30707</v>
      </c>
      <c r="N1658" t="s">
        <v>30708</v>
      </c>
      <c r="O1658">
        <f>-582.761946667077 -29.6249237773927 -762.475341892674</f>
        <v>-1374.8622123371438</v>
      </c>
      <c r="P1658">
        <f>-578.274719494707 -40.5827108017372 -446.174944119127</f>
        <v>-1065.0323744155712</v>
      </c>
      <c r="Q1658" t="s">
        <v>30709</v>
      </c>
      <c r="R1658" t="s">
        <v>30710</v>
      </c>
      <c r="S1658" t="s">
        <v>30711</v>
      </c>
      <c r="T1658" t="s">
        <v>30712</v>
      </c>
      <c r="U1658" t="s">
        <v>30713</v>
      </c>
      <c r="V1658" t="s">
        <v>30714</v>
      </c>
      <c r="W1658" t="s">
        <v>30715</v>
      </c>
      <c r="X1658" t="s">
        <v>30716</v>
      </c>
      <c r="Y1658" t="s">
        <v>30717</v>
      </c>
    </row>
    <row r="1659" spans="1:25" x14ac:dyDescent="0.3">
      <c r="A1659">
        <v>82900</v>
      </c>
      <c r="B1659" t="s">
        <v>30718</v>
      </c>
      <c r="C1659" t="s">
        <v>30719</v>
      </c>
      <c r="D1659" t="s">
        <v>30720</v>
      </c>
      <c r="E1659" t="s">
        <v>30721</v>
      </c>
      <c r="F1659" t="s">
        <v>30722</v>
      </c>
      <c r="G1659" t="s">
        <v>30723</v>
      </c>
      <c r="H1659" t="s">
        <v>30724</v>
      </c>
      <c r="I1659" t="s">
        <v>30725</v>
      </c>
      <c r="J1659" t="s">
        <v>30726</v>
      </c>
      <c r="K1659" t="s">
        <v>30727</v>
      </c>
      <c r="L1659" t="s">
        <v>30728</v>
      </c>
      <c r="M1659" t="s">
        <v>30729</v>
      </c>
      <c r="N1659" t="s">
        <v>30730</v>
      </c>
      <c r="O1659">
        <f>-582.912161608713 -29.9348074075654 -761.677025396676</f>
        <v>-1374.5239944129544</v>
      </c>
      <c r="P1659">
        <f>-579.501558688467 -39.6236151119101 -445.321602548889</f>
        <v>-1064.4467763492662</v>
      </c>
      <c r="Q1659" t="s">
        <v>30731</v>
      </c>
      <c r="R1659" t="s">
        <v>30732</v>
      </c>
      <c r="S1659" t="s">
        <v>30733</v>
      </c>
      <c r="T1659" t="s">
        <v>30734</v>
      </c>
      <c r="U1659" t="s">
        <v>30735</v>
      </c>
      <c r="V1659" t="s">
        <v>30736</v>
      </c>
      <c r="W1659" t="s">
        <v>30737</v>
      </c>
      <c r="X1659" t="s">
        <v>30738</v>
      </c>
      <c r="Y1659" t="s">
        <v>30739</v>
      </c>
    </row>
    <row r="1660" spans="1:25" x14ac:dyDescent="0.3">
      <c r="A1660">
        <v>82950</v>
      </c>
      <c r="B1660" t="s">
        <v>30740</v>
      </c>
      <c r="C1660" t="s">
        <v>30741</v>
      </c>
      <c r="D1660" t="s">
        <v>30742</v>
      </c>
      <c r="E1660" t="s">
        <v>30743</v>
      </c>
      <c r="F1660" t="s">
        <v>30744</v>
      </c>
      <c r="G1660" t="s">
        <v>30745</v>
      </c>
      <c r="H1660" t="s">
        <v>30746</v>
      </c>
      <c r="I1660" t="s">
        <v>30747</v>
      </c>
      <c r="J1660" t="s">
        <v>30748</v>
      </c>
      <c r="K1660" t="s">
        <v>30749</v>
      </c>
      <c r="L1660" t="s">
        <v>30750</v>
      </c>
      <c r="M1660" t="s">
        <v>30751</v>
      </c>
      <c r="N1660" t="s">
        <v>30752</v>
      </c>
      <c r="O1660">
        <f>-584.782861552065 -31.2837203476488 -759.282455863784</f>
        <v>-1375.3490377634978</v>
      </c>
      <c r="P1660">
        <f>-580.951913638932 -37.77069777303 -442.850175021025</f>
        <v>-1061.572786432987</v>
      </c>
      <c r="Q1660" t="s">
        <v>30753</v>
      </c>
      <c r="R1660" t="s">
        <v>30754</v>
      </c>
      <c r="S1660" t="s">
        <v>30755</v>
      </c>
      <c r="T1660" t="s">
        <v>30756</v>
      </c>
      <c r="U1660" t="s">
        <v>30757</v>
      </c>
      <c r="V1660" t="s">
        <v>30758</v>
      </c>
      <c r="W1660" t="s">
        <v>30759</v>
      </c>
      <c r="X1660" t="s">
        <v>30760</v>
      </c>
      <c r="Y1660" t="s">
        <v>30761</v>
      </c>
    </row>
    <row r="1661" spans="1:25" x14ac:dyDescent="0.3">
      <c r="A1661">
        <v>83000</v>
      </c>
      <c r="B1661" t="s">
        <v>30762</v>
      </c>
      <c r="C1661" t="s">
        <v>30763</v>
      </c>
      <c r="D1661" t="s">
        <v>30764</v>
      </c>
      <c r="E1661" t="s">
        <v>30765</v>
      </c>
      <c r="F1661" t="s">
        <v>30766</v>
      </c>
      <c r="G1661" t="s">
        <v>30767</v>
      </c>
      <c r="H1661" t="s">
        <v>30768</v>
      </c>
      <c r="I1661" t="s">
        <v>30769</v>
      </c>
      <c r="J1661" t="s">
        <v>30770</v>
      </c>
      <c r="K1661" t="s">
        <v>30771</v>
      </c>
      <c r="L1661" t="s">
        <v>30772</v>
      </c>
      <c r="M1661" t="s">
        <v>30773</v>
      </c>
      <c r="N1661" t="s">
        <v>30774</v>
      </c>
      <c r="O1661">
        <f>-585.808533033643 -32.4313005546148 -757.524315265572</f>
        <v>-1375.7641488538297</v>
      </c>
      <c r="P1661">
        <f>-581.781694628395 -35.8054327623283 -441.045969616833</f>
        <v>-1058.6330970075564</v>
      </c>
      <c r="Q1661" t="s">
        <v>30775</v>
      </c>
      <c r="R1661" t="s">
        <v>30776</v>
      </c>
      <c r="S1661" t="s">
        <v>30777</v>
      </c>
      <c r="T1661" t="s">
        <v>30778</v>
      </c>
      <c r="U1661" t="s">
        <v>30779</v>
      </c>
      <c r="V1661" t="s">
        <v>30780</v>
      </c>
      <c r="W1661" t="s">
        <v>30781</v>
      </c>
      <c r="X1661" t="s">
        <v>30782</v>
      </c>
      <c r="Y1661" t="s">
        <v>30783</v>
      </c>
    </row>
    <row r="1662" spans="1:25" x14ac:dyDescent="0.3">
      <c r="A1662">
        <v>83050</v>
      </c>
      <c r="B1662" t="s">
        <v>30784</v>
      </c>
      <c r="C1662" t="s">
        <v>30785</v>
      </c>
      <c r="D1662" t="s">
        <v>30786</v>
      </c>
      <c r="E1662" t="s">
        <v>30787</v>
      </c>
      <c r="F1662" t="s">
        <v>30788</v>
      </c>
      <c r="G1662" t="s">
        <v>30789</v>
      </c>
      <c r="H1662" t="s">
        <v>30790</v>
      </c>
      <c r="I1662" t="s">
        <v>30791</v>
      </c>
      <c r="J1662" t="s">
        <v>30792</v>
      </c>
      <c r="K1662" t="s">
        <v>30793</v>
      </c>
      <c r="L1662" t="s">
        <v>30794</v>
      </c>
      <c r="M1662" t="s">
        <v>30795</v>
      </c>
      <c r="N1662" t="s">
        <v>30796</v>
      </c>
      <c r="O1662">
        <f>-587.07939786726 -34.3812099460386 -753.983621117859</f>
        <v>-1375.4442289311576</v>
      </c>
      <c r="P1662">
        <f>-583.741218838675 -31.7170307705014 -437.490311430989</f>
        <v>-1052.9485610401653</v>
      </c>
      <c r="Q1662" t="s">
        <v>30797</v>
      </c>
      <c r="R1662" t="s">
        <v>30798</v>
      </c>
      <c r="S1662" t="s">
        <v>30799</v>
      </c>
      <c r="T1662" t="s">
        <v>30800</v>
      </c>
      <c r="U1662" t="s">
        <v>30801</v>
      </c>
      <c r="V1662" t="s">
        <v>30802</v>
      </c>
      <c r="W1662" t="s">
        <v>30803</v>
      </c>
      <c r="X1662" t="s">
        <v>30804</v>
      </c>
      <c r="Y1662" t="s">
        <v>30805</v>
      </c>
    </row>
    <row r="1663" spans="1:25" x14ac:dyDescent="0.3">
      <c r="A1663">
        <v>83100</v>
      </c>
      <c r="B1663" t="s">
        <v>30806</v>
      </c>
      <c r="C1663" t="s">
        <v>30807</v>
      </c>
      <c r="D1663" t="s">
        <v>30808</v>
      </c>
      <c r="E1663" t="s">
        <v>30809</v>
      </c>
      <c r="F1663" t="s">
        <v>30810</v>
      </c>
      <c r="G1663" t="s">
        <v>30811</v>
      </c>
      <c r="H1663" t="s">
        <v>30812</v>
      </c>
      <c r="I1663" t="s">
        <v>30813</v>
      </c>
      <c r="J1663" t="s">
        <v>30814</v>
      </c>
      <c r="K1663" t="s">
        <v>30815</v>
      </c>
      <c r="L1663" t="s">
        <v>30816</v>
      </c>
      <c r="M1663" t="s">
        <v>30817</v>
      </c>
      <c r="N1663" t="s">
        <v>30818</v>
      </c>
      <c r="O1663">
        <f>-587.340873687722 -34.5890234141541 -752.462062361829</f>
        <v>-1374.391959463705</v>
      </c>
      <c r="P1663">
        <f>-584.837882211663 -29.9398743731022 -435.983994666411</f>
        <v>-1050.7617512511761</v>
      </c>
      <c r="Q1663" t="s">
        <v>30819</v>
      </c>
      <c r="R1663" t="s">
        <v>30820</v>
      </c>
      <c r="S1663" t="s">
        <v>30821</v>
      </c>
      <c r="T1663" t="s">
        <v>30822</v>
      </c>
      <c r="U1663" t="s">
        <v>30823</v>
      </c>
      <c r="V1663" t="s">
        <v>30824</v>
      </c>
      <c r="W1663" t="s">
        <v>30825</v>
      </c>
      <c r="X1663" t="s">
        <v>30826</v>
      </c>
      <c r="Y1663" t="s">
        <v>30827</v>
      </c>
    </row>
    <row r="1664" spans="1:25" x14ac:dyDescent="0.3">
      <c r="A1664">
        <v>83150</v>
      </c>
      <c r="B1664" t="s">
        <v>30828</v>
      </c>
      <c r="C1664" t="s">
        <v>30829</v>
      </c>
      <c r="D1664" t="s">
        <v>30830</v>
      </c>
      <c r="E1664" t="s">
        <v>30831</v>
      </c>
      <c r="F1664" t="s">
        <v>30832</v>
      </c>
      <c r="G1664" t="s">
        <v>30833</v>
      </c>
      <c r="H1664" t="s">
        <v>30834</v>
      </c>
      <c r="I1664" t="s">
        <v>30835</v>
      </c>
      <c r="J1664" t="s">
        <v>30836</v>
      </c>
      <c r="K1664" t="s">
        <v>30837</v>
      </c>
      <c r="L1664" t="s">
        <v>30838</v>
      </c>
      <c r="M1664" t="s">
        <v>30839</v>
      </c>
      <c r="N1664" t="s">
        <v>30840</v>
      </c>
      <c r="O1664">
        <f>-588.234725607747 -33.9624981812472 -749.80627770352</f>
        <v>-1372.0035014925143</v>
      </c>
      <c r="P1664">
        <f>-587.895417984294 -27.718563124216 -433.346152754597</f>
        <v>-1048.9601338631069</v>
      </c>
      <c r="Q1664" t="s">
        <v>30841</v>
      </c>
      <c r="R1664" t="s">
        <v>30842</v>
      </c>
      <c r="S1664" t="s">
        <v>30843</v>
      </c>
      <c r="T1664" t="s">
        <v>30844</v>
      </c>
      <c r="U1664" t="s">
        <v>30845</v>
      </c>
      <c r="V1664" t="s">
        <v>30846</v>
      </c>
      <c r="W1664" t="s">
        <v>30847</v>
      </c>
      <c r="X1664" t="s">
        <v>30848</v>
      </c>
      <c r="Y1664" t="s">
        <v>30849</v>
      </c>
    </row>
    <row r="1665" spans="1:25" x14ac:dyDescent="0.3">
      <c r="A1665">
        <v>83200</v>
      </c>
      <c r="B1665" t="s">
        <v>30850</v>
      </c>
      <c r="C1665" t="s">
        <v>30851</v>
      </c>
      <c r="D1665" t="s">
        <v>30852</v>
      </c>
      <c r="E1665" t="s">
        <v>30853</v>
      </c>
      <c r="F1665" t="s">
        <v>30854</v>
      </c>
      <c r="G1665" t="s">
        <v>30855</v>
      </c>
      <c r="H1665" t="s">
        <v>30856</v>
      </c>
      <c r="I1665" t="s">
        <v>30857</v>
      </c>
      <c r="J1665" t="s">
        <v>30858</v>
      </c>
      <c r="K1665" t="s">
        <v>30859</v>
      </c>
      <c r="L1665" t="s">
        <v>30860</v>
      </c>
      <c r="M1665" t="s">
        <v>30861</v>
      </c>
      <c r="N1665" t="s">
        <v>30862</v>
      </c>
      <c r="O1665">
        <f>-589.063926716259 -33.4002086234639 -748.677715370008</f>
        <v>-1371.1418507097308</v>
      </c>
      <c r="P1665">
        <f>-589.278378957885 -26.4797627584148 -432.231494618831</f>
        <v>-1047.9896363351309</v>
      </c>
      <c r="Q1665" t="s">
        <v>30863</v>
      </c>
      <c r="R1665" t="s">
        <v>30864</v>
      </c>
      <c r="S1665" t="s">
        <v>30865</v>
      </c>
      <c r="T1665" t="s">
        <v>30866</v>
      </c>
      <c r="U1665" t="s">
        <v>30867</v>
      </c>
      <c r="V1665" t="s">
        <v>30868</v>
      </c>
      <c r="W1665" t="s">
        <v>30869</v>
      </c>
      <c r="X1665" t="s">
        <v>30870</v>
      </c>
      <c r="Y1665" t="s">
        <v>30871</v>
      </c>
    </row>
    <row r="1666" spans="1:25" x14ac:dyDescent="0.3">
      <c r="A1666">
        <v>83250</v>
      </c>
      <c r="B1666" t="s">
        <v>30872</v>
      </c>
      <c r="C1666" t="s">
        <v>30873</v>
      </c>
      <c r="D1666" t="s">
        <v>30874</v>
      </c>
      <c r="E1666" t="s">
        <v>30875</v>
      </c>
      <c r="F1666" t="s">
        <v>30876</v>
      </c>
      <c r="G1666" t="s">
        <v>30877</v>
      </c>
      <c r="H1666" t="s">
        <v>30878</v>
      </c>
      <c r="I1666" t="s">
        <v>30879</v>
      </c>
      <c r="J1666" t="s">
        <v>30880</v>
      </c>
      <c r="K1666" t="s">
        <v>30881</v>
      </c>
      <c r="L1666" t="s">
        <v>30882</v>
      </c>
      <c r="M1666" t="s">
        <v>30883</v>
      </c>
      <c r="N1666" t="s">
        <v>30884</v>
      </c>
      <c r="O1666">
        <f>-591.246284955632 -32.0713607571481 -746.380266995757</f>
        <v>-1369.6979127085369</v>
      </c>
      <c r="P1666">
        <f>-591.815222255184 -24.2501140470636 -429.955379584896</f>
        <v>-1046.0207158871435</v>
      </c>
      <c r="Q1666" t="s">
        <v>30885</v>
      </c>
      <c r="R1666" t="s">
        <v>30886</v>
      </c>
      <c r="S1666" t="s">
        <v>30887</v>
      </c>
      <c r="T1666" t="s">
        <v>30888</v>
      </c>
      <c r="U1666" t="s">
        <v>30889</v>
      </c>
      <c r="V1666" t="s">
        <v>30890</v>
      </c>
      <c r="W1666" t="s">
        <v>30891</v>
      </c>
      <c r="X1666" t="s">
        <v>30892</v>
      </c>
      <c r="Y1666" t="s">
        <v>30893</v>
      </c>
    </row>
    <row r="1667" spans="1:25" x14ac:dyDescent="0.3">
      <c r="A1667">
        <v>83300</v>
      </c>
      <c r="B1667" t="s">
        <v>30894</v>
      </c>
      <c r="C1667" t="s">
        <v>30895</v>
      </c>
      <c r="D1667" t="s">
        <v>30896</v>
      </c>
      <c r="E1667" t="s">
        <v>30897</v>
      </c>
      <c r="F1667" t="s">
        <v>30898</v>
      </c>
      <c r="G1667" t="s">
        <v>30899</v>
      </c>
      <c r="H1667" t="s">
        <v>30900</v>
      </c>
      <c r="I1667" t="s">
        <v>30901</v>
      </c>
      <c r="J1667" t="s">
        <v>30902</v>
      </c>
      <c r="K1667" t="s">
        <v>30903</v>
      </c>
      <c r="L1667" t="s">
        <v>30904</v>
      </c>
      <c r="M1667" t="s">
        <v>30905</v>
      </c>
      <c r="N1667" t="s">
        <v>30906</v>
      </c>
      <c r="O1667">
        <f>-591.921007245084 -31.5469338925334 -745.521189156879</f>
        <v>-1368.9891302944964</v>
      </c>
      <c r="P1667">
        <f>-592.811935216405 -22.9420924954861 -429.117375433789</f>
        <v>-1044.8714031456802</v>
      </c>
      <c r="Q1667" t="s">
        <v>30907</v>
      </c>
      <c r="R1667" t="s">
        <v>30908</v>
      </c>
      <c r="S1667" t="s">
        <v>30909</v>
      </c>
      <c r="T1667" t="s">
        <v>30910</v>
      </c>
      <c r="U1667" t="s">
        <v>30911</v>
      </c>
      <c r="V1667" t="s">
        <v>30912</v>
      </c>
      <c r="W1667" t="s">
        <v>30913</v>
      </c>
      <c r="X1667" t="s">
        <v>30914</v>
      </c>
      <c r="Y1667" t="s">
        <v>30915</v>
      </c>
    </row>
    <row r="1668" spans="1:25" x14ac:dyDescent="0.3">
      <c r="A1668">
        <v>83350</v>
      </c>
      <c r="B1668" t="s">
        <v>30916</v>
      </c>
      <c r="C1668" t="s">
        <v>30917</v>
      </c>
      <c r="D1668" t="s">
        <v>30918</v>
      </c>
      <c r="E1668" t="s">
        <v>30919</v>
      </c>
      <c r="F1668" t="s">
        <v>30920</v>
      </c>
      <c r="G1668" t="s">
        <v>30921</v>
      </c>
      <c r="H1668" t="s">
        <v>30922</v>
      </c>
      <c r="I1668" t="s">
        <v>30923</v>
      </c>
      <c r="J1668" t="s">
        <v>30924</v>
      </c>
      <c r="K1668" t="s">
        <v>30925</v>
      </c>
      <c r="L1668" t="s">
        <v>30926</v>
      </c>
      <c r="M1668" t="s">
        <v>30927</v>
      </c>
      <c r="N1668" t="s">
        <v>30928</v>
      </c>
      <c r="O1668">
        <f>-592.956249091364 -29.7786446272819 -744.564662463068</f>
        <v>-1367.2995561817138</v>
      </c>
      <c r="P1668">
        <f>-594.154150821439 -21.3986635629619 -428.155873646079</f>
        <v>-1043.7086880304798</v>
      </c>
      <c r="Q1668" t="s">
        <v>30929</v>
      </c>
      <c r="R1668" t="s">
        <v>30930</v>
      </c>
      <c r="S1668" t="s">
        <v>30931</v>
      </c>
      <c r="T1668" t="s">
        <v>30932</v>
      </c>
      <c r="U1668" t="s">
        <v>30933</v>
      </c>
      <c r="V1668" t="s">
        <v>30934</v>
      </c>
      <c r="W1668" t="s">
        <v>30935</v>
      </c>
      <c r="X1668" t="s">
        <v>30936</v>
      </c>
      <c r="Y1668" t="s">
        <v>30937</v>
      </c>
    </row>
    <row r="1669" spans="1:25" x14ac:dyDescent="0.3">
      <c r="A1669">
        <v>83400</v>
      </c>
      <c r="B1669" t="s">
        <v>30938</v>
      </c>
      <c r="C1669" t="s">
        <v>30939</v>
      </c>
      <c r="D1669" t="s">
        <v>30940</v>
      </c>
      <c r="E1669" t="s">
        <v>30941</v>
      </c>
      <c r="F1669" t="s">
        <v>30942</v>
      </c>
      <c r="G1669" t="s">
        <v>30943</v>
      </c>
      <c r="H1669" t="s">
        <v>30944</v>
      </c>
      <c r="I1669" t="s">
        <v>30945</v>
      </c>
      <c r="J1669" t="s">
        <v>30946</v>
      </c>
      <c r="K1669" t="s">
        <v>30947</v>
      </c>
      <c r="L1669" t="s">
        <v>30948</v>
      </c>
      <c r="M1669" t="s">
        <v>30949</v>
      </c>
      <c r="N1669" t="s">
        <v>30950</v>
      </c>
      <c r="O1669">
        <f>-593.597633190159 -28.6388216468868 -744.419793680691</f>
        <v>-1366.6562485177367</v>
      </c>
      <c r="P1669">
        <f>-595.011617951178 -20.341066308104 -428.009755394612</f>
        <v>-1043.3624396538939</v>
      </c>
      <c r="Q1669" t="s">
        <v>30951</v>
      </c>
      <c r="R1669" t="s">
        <v>30952</v>
      </c>
      <c r="S1669" t="s">
        <v>30953</v>
      </c>
      <c r="T1669" t="s">
        <v>30954</v>
      </c>
      <c r="U1669" t="s">
        <v>30955</v>
      </c>
      <c r="V1669" t="s">
        <v>30956</v>
      </c>
      <c r="W1669" t="s">
        <v>30957</v>
      </c>
      <c r="X1669" t="s">
        <v>30958</v>
      </c>
      <c r="Y1669" t="s">
        <v>30959</v>
      </c>
    </row>
    <row r="1670" spans="1:25" x14ac:dyDescent="0.3">
      <c r="A1670">
        <v>83450</v>
      </c>
      <c r="B1670" t="s">
        <v>30960</v>
      </c>
      <c r="C1670" t="s">
        <v>30961</v>
      </c>
      <c r="D1670" t="s">
        <v>30962</v>
      </c>
      <c r="E1670" t="s">
        <v>30963</v>
      </c>
      <c r="F1670" t="s">
        <v>30964</v>
      </c>
      <c r="G1670" t="s">
        <v>30965</v>
      </c>
      <c r="H1670" t="s">
        <v>30966</v>
      </c>
      <c r="I1670" t="s">
        <v>30967</v>
      </c>
      <c r="J1670" t="s">
        <v>30968</v>
      </c>
      <c r="K1670" t="s">
        <v>30969</v>
      </c>
      <c r="L1670" t="s">
        <v>30970</v>
      </c>
      <c r="M1670" t="s">
        <v>30971</v>
      </c>
      <c r="N1670" t="s">
        <v>30972</v>
      </c>
      <c r="O1670">
        <f>-595.530702308097 -25.8354161519342 -744.434613418794</f>
        <v>-1365.8007318788252</v>
      </c>
      <c r="P1670">
        <f>-597.107684733648 -17.4932558185531 -428.026439215672</f>
        <v>-1042.6273797678732</v>
      </c>
      <c r="Q1670" t="s">
        <v>30973</v>
      </c>
      <c r="R1670" t="s">
        <v>30974</v>
      </c>
      <c r="S1670" t="s">
        <v>30975</v>
      </c>
      <c r="T1670" t="s">
        <v>30976</v>
      </c>
      <c r="U1670" t="s">
        <v>30977</v>
      </c>
      <c r="V1670" t="s">
        <v>30978</v>
      </c>
      <c r="W1670" t="s">
        <v>30979</v>
      </c>
      <c r="X1670" t="s">
        <v>30980</v>
      </c>
      <c r="Y1670" t="s">
        <v>30981</v>
      </c>
    </row>
    <row r="1671" spans="1:25" x14ac:dyDescent="0.3">
      <c r="A1671">
        <v>83500</v>
      </c>
      <c r="B1671" t="s">
        <v>30982</v>
      </c>
      <c r="C1671" t="s">
        <v>30983</v>
      </c>
      <c r="D1671" t="s">
        <v>30984</v>
      </c>
      <c r="E1671" t="s">
        <v>30985</v>
      </c>
      <c r="F1671" t="s">
        <v>30986</v>
      </c>
      <c r="G1671" t="s">
        <v>30987</v>
      </c>
      <c r="H1671" t="s">
        <v>30988</v>
      </c>
      <c r="I1671" t="s">
        <v>30989</v>
      </c>
      <c r="J1671" t="s">
        <v>30990</v>
      </c>
      <c r="K1671" t="s">
        <v>30991</v>
      </c>
      <c r="L1671" t="s">
        <v>30992</v>
      </c>
      <c r="M1671" t="s">
        <v>30993</v>
      </c>
      <c r="N1671" t="s">
        <v>30994</v>
      </c>
      <c r="O1671">
        <f>-596.385296231678 -24.4641081967541 -744.597919215799</f>
        <v>-1365.4473236442311</v>
      </c>
      <c r="P1671">
        <f>-598.022962355307 -16.0488395313103 -428.191975113856</f>
        <v>-1042.2637770004733</v>
      </c>
      <c r="Q1671" t="s">
        <v>30995</v>
      </c>
      <c r="R1671" t="s">
        <v>30996</v>
      </c>
      <c r="S1671" t="s">
        <v>30997</v>
      </c>
      <c r="T1671" t="s">
        <v>30998</v>
      </c>
      <c r="U1671" t="s">
        <v>30999</v>
      </c>
      <c r="V1671" t="s">
        <v>31000</v>
      </c>
      <c r="W1671" t="s">
        <v>31001</v>
      </c>
      <c r="X1671" t="s">
        <v>31002</v>
      </c>
      <c r="Y1671" t="s">
        <v>31003</v>
      </c>
    </row>
    <row r="1672" spans="1:25" x14ac:dyDescent="0.3">
      <c r="A1672">
        <v>83550</v>
      </c>
      <c r="B1672" t="s">
        <v>31004</v>
      </c>
      <c r="C1672" t="s">
        <v>31005</v>
      </c>
      <c r="D1672" t="s">
        <v>31006</v>
      </c>
      <c r="E1672" t="s">
        <v>31007</v>
      </c>
      <c r="F1672" t="s">
        <v>31008</v>
      </c>
      <c r="G1672" t="s">
        <v>31009</v>
      </c>
      <c r="H1672" t="s">
        <v>31010</v>
      </c>
      <c r="I1672" t="s">
        <v>31011</v>
      </c>
      <c r="J1672" t="s">
        <v>31012</v>
      </c>
      <c r="K1672" t="s">
        <v>31013</v>
      </c>
      <c r="L1672" t="s">
        <v>31014</v>
      </c>
      <c r="M1672" t="s">
        <v>31015</v>
      </c>
      <c r="N1672" t="s">
        <v>31016</v>
      </c>
      <c r="O1672">
        <f>-597.978804201132 -21.8342863276948 -744.900283537858</f>
        <v>-1364.7133740666848</v>
      </c>
      <c r="P1672">
        <f>-600.213771572139 -13.0353690506283 -428.508492002313</f>
        <v>-1041.7576326250803</v>
      </c>
      <c r="Q1672" t="s">
        <v>31017</v>
      </c>
      <c r="R1672" t="s">
        <v>31018</v>
      </c>
      <c r="S1672" t="s">
        <v>31019</v>
      </c>
      <c r="T1672" t="s">
        <v>31020</v>
      </c>
      <c r="U1672" t="s">
        <v>31021</v>
      </c>
      <c r="V1672" t="s">
        <v>31022</v>
      </c>
      <c r="W1672" t="s">
        <v>31023</v>
      </c>
      <c r="X1672" t="s">
        <v>31024</v>
      </c>
      <c r="Y1672" t="s">
        <v>31025</v>
      </c>
    </row>
    <row r="1673" spans="1:25" x14ac:dyDescent="0.3">
      <c r="A1673">
        <v>83600</v>
      </c>
      <c r="B1673" t="s">
        <v>31026</v>
      </c>
      <c r="C1673" t="s">
        <v>31027</v>
      </c>
      <c r="D1673" t="s">
        <v>31028</v>
      </c>
      <c r="E1673" t="s">
        <v>31029</v>
      </c>
      <c r="F1673" t="s">
        <v>31030</v>
      </c>
      <c r="G1673" t="s">
        <v>31031</v>
      </c>
      <c r="H1673" t="s">
        <v>31032</v>
      </c>
      <c r="I1673" t="s">
        <v>31033</v>
      </c>
      <c r="J1673" t="s">
        <v>31034</v>
      </c>
      <c r="K1673" t="s">
        <v>31035</v>
      </c>
      <c r="L1673" t="s">
        <v>31036</v>
      </c>
      <c r="M1673" t="s">
        <v>31037</v>
      </c>
      <c r="N1673" t="s">
        <v>31038</v>
      </c>
      <c r="O1673">
        <f>-599.064399375629 -20.5207535029372 -745.016353182234</f>
        <v>-1364.6015060608001</v>
      </c>
      <c r="P1673">
        <f>-601.284615921405 -11.4687745669612 -428.631499232643</f>
        <v>-1041.3848897210091</v>
      </c>
      <c r="Q1673" t="s">
        <v>31039</v>
      </c>
      <c r="R1673" t="s">
        <v>31040</v>
      </c>
      <c r="S1673" t="s">
        <v>31041</v>
      </c>
      <c r="T1673" t="s">
        <v>31042</v>
      </c>
      <c r="U1673" t="s">
        <v>31043</v>
      </c>
      <c r="V1673" t="s">
        <v>31044</v>
      </c>
      <c r="W1673" t="s">
        <v>31045</v>
      </c>
      <c r="X1673" t="s">
        <v>31046</v>
      </c>
      <c r="Y1673" t="s">
        <v>31047</v>
      </c>
    </row>
    <row r="1674" spans="1:25" x14ac:dyDescent="0.3">
      <c r="A1674">
        <v>83650</v>
      </c>
      <c r="B1674" t="s">
        <v>31048</v>
      </c>
      <c r="C1674" t="s">
        <v>31049</v>
      </c>
      <c r="D1674" t="s">
        <v>31050</v>
      </c>
      <c r="E1674" t="s">
        <v>31051</v>
      </c>
      <c r="F1674" t="s">
        <v>31052</v>
      </c>
      <c r="G1674" t="s">
        <v>31053</v>
      </c>
      <c r="H1674" t="s">
        <v>31054</v>
      </c>
      <c r="I1674" t="s">
        <v>31055</v>
      </c>
      <c r="J1674" t="s">
        <v>31056</v>
      </c>
      <c r="K1674" t="s">
        <v>31057</v>
      </c>
      <c r="L1674" t="s">
        <v>31058</v>
      </c>
      <c r="M1674" t="s">
        <v>31059</v>
      </c>
      <c r="N1674" t="s">
        <v>31060</v>
      </c>
      <c r="O1674">
        <f>-601.23198197541 -18.2828726633941 -745.386834696239</f>
        <v>-1364.9016893350431</v>
      </c>
      <c r="P1674">
        <f>-602.923970742867 -9.25425048119564 -428.997997716906</f>
        <v>-1041.1762189409687</v>
      </c>
      <c r="Q1674" t="s">
        <v>31061</v>
      </c>
      <c r="R1674" t="s">
        <v>31062</v>
      </c>
      <c r="S1674" t="s">
        <v>31063</v>
      </c>
      <c r="T1674" t="s">
        <v>31064</v>
      </c>
      <c r="U1674" t="s">
        <v>31065</v>
      </c>
      <c r="V1674" t="s">
        <v>31066</v>
      </c>
      <c r="W1674" t="s">
        <v>31067</v>
      </c>
      <c r="X1674" t="s">
        <v>31068</v>
      </c>
      <c r="Y1674" t="s">
        <v>31069</v>
      </c>
    </row>
    <row r="1675" spans="1:25" x14ac:dyDescent="0.3">
      <c r="A1675">
        <v>83700</v>
      </c>
      <c r="B1675" t="s">
        <v>31070</v>
      </c>
      <c r="C1675" t="s">
        <v>31071</v>
      </c>
      <c r="D1675" t="s">
        <v>31072</v>
      </c>
      <c r="E1675" t="s">
        <v>31073</v>
      </c>
      <c r="F1675" t="s">
        <v>31074</v>
      </c>
      <c r="G1675" t="s">
        <v>31075</v>
      </c>
      <c r="H1675" t="s">
        <v>31076</v>
      </c>
      <c r="I1675" t="s">
        <v>31077</v>
      </c>
      <c r="J1675" t="s">
        <v>31078</v>
      </c>
      <c r="K1675" t="s">
        <v>31079</v>
      </c>
      <c r="L1675" t="s">
        <v>31080</v>
      </c>
      <c r="M1675" t="s">
        <v>31081</v>
      </c>
      <c r="N1675" t="s">
        <v>31082</v>
      </c>
      <c r="O1675">
        <f>-602.09808696248 -17.3642266927423 -745.59892310208</f>
        <v>-1365.0612367573021</v>
      </c>
      <c r="P1675">
        <f>-603.711490822552 -8.33719224560059 -429.209860966224</f>
        <v>-1041.2585440343767</v>
      </c>
      <c r="Q1675" t="s">
        <v>31083</v>
      </c>
      <c r="R1675" t="s">
        <v>31084</v>
      </c>
      <c r="S1675" t="s">
        <v>31085</v>
      </c>
      <c r="T1675" t="s">
        <v>31086</v>
      </c>
      <c r="U1675" t="s">
        <v>31087</v>
      </c>
      <c r="V1675" t="s">
        <v>31088</v>
      </c>
      <c r="W1675" t="s">
        <v>31089</v>
      </c>
      <c r="X1675" t="s">
        <v>31090</v>
      </c>
      <c r="Y1675" t="s">
        <v>31091</v>
      </c>
    </row>
    <row r="1676" spans="1:25" x14ac:dyDescent="0.3">
      <c r="A1676">
        <v>83750</v>
      </c>
      <c r="B1676" t="s">
        <v>31092</v>
      </c>
      <c r="C1676" t="s">
        <v>31093</v>
      </c>
      <c r="D1676" t="s">
        <v>31094</v>
      </c>
      <c r="E1676" t="s">
        <v>31095</v>
      </c>
      <c r="F1676" t="s">
        <v>31096</v>
      </c>
      <c r="G1676" t="s">
        <v>31097</v>
      </c>
      <c r="H1676" t="s">
        <v>31098</v>
      </c>
      <c r="I1676" t="s">
        <v>31099</v>
      </c>
      <c r="J1676" t="s">
        <v>31100</v>
      </c>
      <c r="K1676" t="s">
        <v>31101</v>
      </c>
      <c r="L1676" t="s">
        <v>31102</v>
      </c>
      <c r="M1676" t="s">
        <v>31103</v>
      </c>
      <c r="N1676" t="s">
        <v>31104</v>
      </c>
      <c r="O1676">
        <f>-603.899330340022 -16.0576014561893 -745.615042726052</f>
        <v>-1365.5719745222632</v>
      </c>
      <c r="P1676">
        <f>-605.441158696048 -7.22973289543074 -429.219831921185</f>
        <v>-1041.8907235126637</v>
      </c>
      <c r="Q1676" t="s">
        <v>31105</v>
      </c>
      <c r="R1676" t="s">
        <v>31106</v>
      </c>
      <c r="S1676" t="s">
        <v>31107</v>
      </c>
      <c r="T1676" t="s">
        <v>31108</v>
      </c>
      <c r="U1676" t="s">
        <v>31109</v>
      </c>
      <c r="V1676" t="s">
        <v>31110</v>
      </c>
      <c r="W1676" t="s">
        <v>31111</v>
      </c>
      <c r="X1676" t="s">
        <v>31112</v>
      </c>
      <c r="Y1676" t="s">
        <v>31113</v>
      </c>
    </row>
    <row r="1677" spans="1:25" x14ac:dyDescent="0.3">
      <c r="A1677">
        <v>83800</v>
      </c>
      <c r="B1677" t="s">
        <v>31114</v>
      </c>
      <c r="C1677" t="s">
        <v>31115</v>
      </c>
      <c r="D1677" t="s">
        <v>31116</v>
      </c>
      <c r="E1677" t="s">
        <v>31117</v>
      </c>
      <c r="F1677" t="s">
        <v>31118</v>
      </c>
      <c r="G1677" t="s">
        <v>31119</v>
      </c>
      <c r="H1677" t="s">
        <v>31120</v>
      </c>
      <c r="I1677" t="s">
        <v>31121</v>
      </c>
      <c r="J1677" t="s">
        <v>31122</v>
      </c>
      <c r="K1677" t="s">
        <v>31123</v>
      </c>
      <c r="L1677" t="s">
        <v>31124</v>
      </c>
      <c r="M1677" t="s">
        <v>31125</v>
      </c>
      <c r="N1677" t="s">
        <v>31126</v>
      </c>
      <c r="O1677">
        <f>-604.629772639879 -15.4879366293451 -745.669526043838</f>
        <v>-1365.787235313062</v>
      </c>
      <c r="P1677">
        <f>-605.757095555522 -6.70040437383182 -429.271442112775</f>
        <v>-1041.7289420421289</v>
      </c>
      <c r="Q1677" t="s">
        <v>31127</v>
      </c>
      <c r="R1677" t="s">
        <v>31128</v>
      </c>
      <c r="S1677" t="s">
        <v>31129</v>
      </c>
      <c r="T1677" t="s">
        <v>31130</v>
      </c>
      <c r="U1677" t="s">
        <v>31131</v>
      </c>
      <c r="V1677" t="s">
        <v>31132</v>
      </c>
      <c r="W1677" t="s">
        <v>31133</v>
      </c>
      <c r="X1677" t="s">
        <v>31134</v>
      </c>
      <c r="Y1677" t="s">
        <v>31135</v>
      </c>
    </row>
    <row r="1678" spans="1:25" x14ac:dyDescent="0.3">
      <c r="A1678">
        <v>83850</v>
      </c>
      <c r="B1678" t="s">
        <v>31136</v>
      </c>
      <c r="C1678" t="s">
        <v>31137</v>
      </c>
      <c r="D1678" t="s">
        <v>31138</v>
      </c>
      <c r="E1678" t="s">
        <v>31139</v>
      </c>
      <c r="F1678" t="s">
        <v>31140</v>
      </c>
      <c r="G1678" t="s">
        <v>31141</v>
      </c>
      <c r="H1678" t="s">
        <v>31142</v>
      </c>
      <c r="I1678" t="s">
        <v>31143</v>
      </c>
      <c r="J1678" t="s">
        <v>31144</v>
      </c>
      <c r="K1678" t="s">
        <v>31145</v>
      </c>
      <c r="L1678" t="s">
        <v>31146</v>
      </c>
      <c r="M1678" t="s">
        <v>31147</v>
      </c>
      <c r="N1678" t="s">
        <v>31148</v>
      </c>
      <c r="O1678">
        <f>-606.235569483293 -14.7278633690385 -745.462994044678</f>
        <v>-1366.4264268970096</v>
      </c>
      <c r="P1678">
        <f>-607.022601872881 -4.87016801204391 -429.09559488</f>
        <v>-1040.9883647649249</v>
      </c>
      <c r="Q1678" t="s">
        <v>31149</v>
      </c>
      <c r="R1678" t="s">
        <v>31150</v>
      </c>
      <c r="S1678" t="s">
        <v>31151</v>
      </c>
      <c r="T1678" t="s">
        <v>31152</v>
      </c>
      <c r="U1678" t="s">
        <v>31153</v>
      </c>
      <c r="V1678" t="s">
        <v>31154</v>
      </c>
      <c r="W1678" t="s">
        <v>31155</v>
      </c>
      <c r="X1678" t="s">
        <v>31156</v>
      </c>
      <c r="Y1678" t="s">
        <v>31157</v>
      </c>
    </row>
    <row r="1679" spans="1:25" x14ac:dyDescent="0.3">
      <c r="A1679">
        <v>83900</v>
      </c>
      <c r="B1679" t="s">
        <v>31158</v>
      </c>
      <c r="C1679" t="s">
        <v>31159</v>
      </c>
      <c r="D1679" t="s">
        <v>31160</v>
      </c>
      <c r="E1679" t="s">
        <v>31161</v>
      </c>
      <c r="F1679" t="s">
        <v>31162</v>
      </c>
      <c r="G1679" t="s">
        <v>31163</v>
      </c>
      <c r="H1679" t="s">
        <v>31164</v>
      </c>
      <c r="I1679" t="s">
        <v>31165</v>
      </c>
      <c r="J1679" t="s">
        <v>31166</v>
      </c>
      <c r="K1679" t="s">
        <v>31167</v>
      </c>
      <c r="L1679" t="s">
        <v>31168</v>
      </c>
      <c r="M1679" t="s">
        <v>31169</v>
      </c>
      <c r="N1679" t="s">
        <v>31170</v>
      </c>
      <c r="O1679">
        <f>-606.533690503716 -14.4545876682782 -745.360770205938</f>
        <v>-1366.3490483779324</v>
      </c>
      <c r="P1679">
        <f>-607.092015348049 -4.65540336291519 -428.990892860071</f>
        <v>-1040.7383115710352</v>
      </c>
      <c r="Q1679" t="s">
        <v>31171</v>
      </c>
      <c r="R1679" t="s">
        <v>31172</v>
      </c>
      <c r="S1679" t="s">
        <v>31173</v>
      </c>
      <c r="T1679" t="s">
        <v>31174</v>
      </c>
      <c r="U1679" t="s">
        <v>31175</v>
      </c>
      <c r="V1679" t="s">
        <v>31176</v>
      </c>
      <c r="W1679" t="s">
        <v>31177</v>
      </c>
      <c r="X1679" t="s">
        <v>31178</v>
      </c>
      <c r="Y1679" t="s">
        <v>31179</v>
      </c>
    </row>
    <row r="1680" spans="1:25" x14ac:dyDescent="0.3">
      <c r="A1680">
        <v>83950</v>
      </c>
      <c r="B1680" t="s">
        <v>31180</v>
      </c>
      <c r="C1680" t="s">
        <v>31181</v>
      </c>
      <c r="D1680" t="s">
        <v>31182</v>
      </c>
      <c r="E1680" t="s">
        <v>31183</v>
      </c>
      <c r="F1680" t="s">
        <v>31184</v>
      </c>
      <c r="G1680" t="s">
        <v>31185</v>
      </c>
      <c r="H1680" t="s">
        <v>31186</v>
      </c>
      <c r="I1680" t="s">
        <v>31187</v>
      </c>
      <c r="J1680" t="s">
        <v>31188</v>
      </c>
      <c r="K1680" t="s">
        <v>31189</v>
      </c>
      <c r="L1680" t="s">
        <v>31190</v>
      </c>
      <c r="M1680" t="s">
        <v>31191</v>
      </c>
      <c r="N1680" t="s">
        <v>31192</v>
      </c>
      <c r="O1680">
        <f>-607.273890149507 -13.3278988966858 -745.258312406545</f>
        <v>-1365.8601014527378</v>
      </c>
      <c r="P1680">
        <f>-607.879738099475 -4.08501130802892 -428.871850063026</f>
        <v>-1040.83659947053</v>
      </c>
      <c r="Q1680" t="s">
        <v>31193</v>
      </c>
      <c r="R1680" t="s">
        <v>31194</v>
      </c>
      <c r="S1680" t="s">
        <v>31195</v>
      </c>
      <c r="T1680" t="s">
        <v>31196</v>
      </c>
      <c r="U1680" t="s">
        <v>31197</v>
      </c>
      <c r="V1680" t="s">
        <v>31198</v>
      </c>
      <c r="W1680" t="s">
        <v>31199</v>
      </c>
      <c r="X1680" t="s">
        <v>31200</v>
      </c>
      <c r="Y1680" t="s">
        <v>31201</v>
      </c>
    </row>
    <row r="1681" spans="1:25" x14ac:dyDescent="0.3">
      <c r="A1681">
        <v>84000</v>
      </c>
      <c r="B1681" t="s">
        <v>31202</v>
      </c>
      <c r="C1681" t="s">
        <v>31203</v>
      </c>
      <c r="D1681" t="s">
        <v>31204</v>
      </c>
      <c r="E1681" t="s">
        <v>31205</v>
      </c>
      <c r="F1681" t="s">
        <v>31206</v>
      </c>
      <c r="G1681" t="s">
        <v>31207</v>
      </c>
      <c r="H1681" t="s">
        <v>31208</v>
      </c>
      <c r="I1681" t="s">
        <v>31209</v>
      </c>
      <c r="J1681" t="s">
        <v>31210</v>
      </c>
      <c r="K1681" t="s">
        <v>31211</v>
      </c>
      <c r="L1681" t="s">
        <v>31212</v>
      </c>
      <c r="M1681" t="s">
        <v>31213</v>
      </c>
      <c r="N1681" t="s">
        <v>31214</v>
      </c>
      <c r="O1681">
        <f>-607.775945840884 -12.7230754415955 -745.17477266502</f>
        <v>-1365.6737939474995</v>
      </c>
      <c r="P1681">
        <f>-607.745881999863 -3.66987883128149 -428.782196735343</f>
        <v>-1040.1979575664875</v>
      </c>
      <c r="Q1681" t="s">
        <v>31215</v>
      </c>
      <c r="R1681" t="s">
        <v>31216</v>
      </c>
      <c r="S1681" t="s">
        <v>31217</v>
      </c>
      <c r="T1681" t="s">
        <v>31218</v>
      </c>
      <c r="U1681" t="s">
        <v>31219</v>
      </c>
      <c r="V1681" t="s">
        <v>31220</v>
      </c>
      <c r="W1681" t="s">
        <v>31221</v>
      </c>
      <c r="X1681" t="s">
        <v>31222</v>
      </c>
      <c r="Y1681" t="s">
        <v>31223</v>
      </c>
    </row>
    <row r="1682" spans="1:25" x14ac:dyDescent="0.3">
      <c r="A1682">
        <v>84050</v>
      </c>
      <c r="B1682" t="s">
        <v>31224</v>
      </c>
      <c r="C1682" t="s">
        <v>31225</v>
      </c>
      <c r="D1682" t="s">
        <v>31226</v>
      </c>
      <c r="E1682" t="s">
        <v>31227</v>
      </c>
      <c r="F1682" t="s">
        <v>31228</v>
      </c>
      <c r="G1682" t="s">
        <v>31229</v>
      </c>
      <c r="H1682" t="s">
        <v>31230</v>
      </c>
      <c r="I1682" t="s">
        <v>31231</v>
      </c>
      <c r="J1682" t="s">
        <v>31232</v>
      </c>
      <c r="K1682" t="s">
        <v>31233</v>
      </c>
      <c r="L1682" t="s">
        <v>31234</v>
      </c>
      <c r="M1682" t="s">
        <v>31235</v>
      </c>
      <c r="N1682" t="s">
        <v>31236</v>
      </c>
      <c r="O1682">
        <f>-608.854180877479 -12.1836012204847 -744.949033847689</f>
        <v>-1365.9868159456528</v>
      </c>
      <c r="P1682">
        <f>-608.189328507185 -3.04409213724307 -428.559608739642</f>
        <v>-1039.79302938407</v>
      </c>
      <c r="Q1682" t="s">
        <v>31237</v>
      </c>
      <c r="R1682" t="s">
        <v>31238</v>
      </c>
      <c r="S1682" t="s">
        <v>31239</v>
      </c>
      <c r="T1682" t="s">
        <v>31240</v>
      </c>
      <c r="U1682" t="s">
        <v>31241</v>
      </c>
      <c r="V1682" t="s">
        <v>31242</v>
      </c>
      <c r="W1682" t="s">
        <v>31243</v>
      </c>
      <c r="X1682" t="s">
        <v>31244</v>
      </c>
      <c r="Y1682" t="s">
        <v>31245</v>
      </c>
    </row>
    <row r="1683" spans="1:25" x14ac:dyDescent="0.3">
      <c r="A1683">
        <v>84100</v>
      </c>
      <c r="B1683" t="s">
        <v>31246</v>
      </c>
      <c r="C1683" t="s">
        <v>31247</v>
      </c>
      <c r="D1683" t="s">
        <v>31248</v>
      </c>
      <c r="E1683" t="s">
        <v>31249</v>
      </c>
      <c r="F1683" t="s">
        <v>31250</v>
      </c>
      <c r="G1683" t="s">
        <v>31251</v>
      </c>
      <c r="H1683" t="s">
        <v>31252</v>
      </c>
      <c r="I1683" t="s">
        <v>31253</v>
      </c>
      <c r="J1683" t="s">
        <v>31254</v>
      </c>
      <c r="K1683" t="s">
        <v>31255</v>
      </c>
      <c r="L1683" t="s">
        <v>31256</v>
      </c>
      <c r="M1683" t="s">
        <v>31257</v>
      </c>
      <c r="N1683" t="s">
        <v>31258</v>
      </c>
      <c r="O1683">
        <f>-609.421959344335 -11.9038422082315 -744.856606042256</f>
        <v>-1366.1824075948225</v>
      </c>
      <c r="P1683">
        <f>-608.417219890017 -2.5457493035392 -428.474619051679</f>
        <v>-1039.4375882452352</v>
      </c>
      <c r="Q1683" t="s">
        <v>31259</v>
      </c>
      <c r="R1683" t="s">
        <v>31260</v>
      </c>
      <c r="S1683" t="s">
        <v>31261</v>
      </c>
      <c r="T1683" t="s">
        <v>31262</v>
      </c>
      <c r="U1683" t="s">
        <v>31263</v>
      </c>
      <c r="V1683" t="s">
        <v>31264</v>
      </c>
      <c r="W1683" t="s">
        <v>31265</v>
      </c>
      <c r="X1683" t="s">
        <v>31266</v>
      </c>
      <c r="Y1683" t="s">
        <v>31267</v>
      </c>
    </row>
    <row r="1684" spans="1:25" x14ac:dyDescent="0.3">
      <c r="A1684">
        <v>84150</v>
      </c>
      <c r="B1684" t="s">
        <v>31268</v>
      </c>
      <c r="C1684" t="s">
        <v>31269</v>
      </c>
      <c r="D1684" t="s">
        <v>31270</v>
      </c>
      <c r="E1684" t="s">
        <v>31271</v>
      </c>
      <c r="F1684" t="s">
        <v>31272</v>
      </c>
      <c r="G1684" t="s">
        <v>31273</v>
      </c>
      <c r="H1684" t="s">
        <v>31274</v>
      </c>
      <c r="I1684" t="s">
        <v>31275</v>
      </c>
      <c r="J1684" t="s">
        <v>31276</v>
      </c>
      <c r="K1684" t="s">
        <v>31277</v>
      </c>
      <c r="L1684" t="s">
        <v>31278</v>
      </c>
      <c r="M1684" t="s">
        <v>31279</v>
      </c>
      <c r="N1684" t="s">
        <v>31280</v>
      </c>
      <c r="O1684">
        <f>-610.804430348189 -11.4832971327378 -744.596562346524</f>
        <v>-1366.8842898274509</v>
      </c>
      <c r="P1684">
        <f>-609.180868881437 -1.99858564335318 -428.220718033337</f>
        <v>-1039.4001725581272</v>
      </c>
      <c r="Q1684" t="s">
        <v>31281</v>
      </c>
      <c r="R1684" t="s">
        <v>31282</v>
      </c>
      <c r="S1684" t="s">
        <v>31283</v>
      </c>
      <c r="T1684" t="s">
        <v>31284</v>
      </c>
      <c r="U1684" t="s">
        <v>31285</v>
      </c>
      <c r="V1684" t="s">
        <v>31286</v>
      </c>
      <c r="W1684" t="s">
        <v>31287</v>
      </c>
      <c r="X1684" t="s">
        <v>31288</v>
      </c>
      <c r="Y1684" t="s">
        <v>31289</v>
      </c>
    </row>
    <row r="1685" spans="1:25" x14ac:dyDescent="0.3">
      <c r="A1685">
        <v>84200</v>
      </c>
      <c r="B1685" t="s">
        <v>31290</v>
      </c>
      <c r="C1685" t="s">
        <v>31291</v>
      </c>
      <c r="D1685" t="s">
        <v>31292</v>
      </c>
      <c r="E1685" t="s">
        <v>31293</v>
      </c>
      <c r="F1685" t="s">
        <v>31294</v>
      </c>
      <c r="G1685" t="s">
        <v>31295</v>
      </c>
      <c r="H1685" t="s">
        <v>31296</v>
      </c>
      <c r="I1685" t="s">
        <v>31297</v>
      </c>
      <c r="J1685" t="s">
        <v>31298</v>
      </c>
      <c r="K1685" t="s">
        <v>31299</v>
      </c>
      <c r="L1685" t="s">
        <v>31300</v>
      </c>
      <c r="M1685" t="s">
        <v>31301</v>
      </c>
      <c r="N1685" t="s">
        <v>31302</v>
      </c>
      <c r="O1685">
        <f>-611.501782761421 -11.3699948113888 -744.412826686744</f>
        <v>-1367.2846042595538</v>
      </c>
      <c r="P1685">
        <f>-610.004858011242 -1.07704464167819 -428.061696210938</f>
        <v>-1039.1435988638582</v>
      </c>
      <c r="Q1685" t="s">
        <v>31303</v>
      </c>
      <c r="R1685" t="s">
        <v>31304</v>
      </c>
      <c r="S1685" t="s">
        <v>31305</v>
      </c>
      <c r="T1685" t="s">
        <v>31306</v>
      </c>
      <c r="U1685" t="s">
        <v>31307</v>
      </c>
      <c r="V1685" t="s">
        <v>31308</v>
      </c>
      <c r="W1685" t="s">
        <v>31309</v>
      </c>
      <c r="X1685" t="s">
        <v>31310</v>
      </c>
      <c r="Y1685" t="s">
        <v>31311</v>
      </c>
    </row>
    <row r="1686" spans="1:25" x14ac:dyDescent="0.3">
      <c r="A1686">
        <v>84250</v>
      </c>
      <c r="B1686" t="s">
        <v>31312</v>
      </c>
      <c r="C1686" t="s">
        <v>31313</v>
      </c>
      <c r="D1686" t="s">
        <v>31314</v>
      </c>
      <c r="E1686" t="s">
        <v>31315</v>
      </c>
      <c r="F1686" t="s">
        <v>31316</v>
      </c>
      <c r="G1686" t="s">
        <v>31317</v>
      </c>
      <c r="H1686" t="s">
        <v>31318</v>
      </c>
      <c r="I1686" t="s">
        <v>31319</v>
      </c>
      <c r="J1686" t="s">
        <v>31320</v>
      </c>
      <c r="K1686" t="s">
        <v>31321</v>
      </c>
      <c r="L1686" t="s">
        <v>31322</v>
      </c>
      <c r="M1686" t="s">
        <v>31323</v>
      </c>
      <c r="N1686" t="s">
        <v>31324</v>
      </c>
      <c r="O1686">
        <f>-612.740794507588 -11.4464435166649 -743.823960107147</f>
        <v>-1368.0111981313999</v>
      </c>
      <c r="P1686">
        <f>-611.023597041561 -0.131666104383839 -427.509014816239</f>
        <v>-1038.6642779621839</v>
      </c>
      <c r="Q1686" t="s">
        <v>31325</v>
      </c>
      <c r="R1686" t="s">
        <v>31326</v>
      </c>
      <c r="S1686" t="s">
        <v>31327</v>
      </c>
      <c r="T1686" t="s">
        <v>31328</v>
      </c>
      <c r="U1686" t="s">
        <v>31329</v>
      </c>
      <c r="V1686" t="s">
        <v>31330</v>
      </c>
      <c r="W1686" t="s">
        <v>31331</v>
      </c>
      <c r="X1686" t="s">
        <v>31332</v>
      </c>
      <c r="Y1686" t="s">
        <v>31333</v>
      </c>
    </row>
    <row r="1687" spans="1:25" x14ac:dyDescent="0.3">
      <c r="A1687">
        <v>84300</v>
      </c>
      <c r="B1687" t="s">
        <v>31334</v>
      </c>
      <c r="C1687" t="s">
        <v>31335</v>
      </c>
      <c r="D1687" t="s">
        <v>31336</v>
      </c>
      <c r="E1687" t="s">
        <v>31337</v>
      </c>
      <c r="F1687" t="s">
        <v>31338</v>
      </c>
      <c r="G1687" t="s">
        <v>31339</v>
      </c>
      <c r="H1687" t="s">
        <v>31340</v>
      </c>
      <c r="I1687" t="s">
        <v>31341</v>
      </c>
      <c r="J1687" t="s">
        <v>31342</v>
      </c>
      <c r="K1687" t="s">
        <v>31343</v>
      </c>
      <c r="L1687" t="s">
        <v>31344</v>
      </c>
      <c r="M1687" t="s">
        <v>31345</v>
      </c>
      <c r="N1687" t="s">
        <v>31346</v>
      </c>
      <c r="O1687">
        <f>-613.561450238588 -11.692462935453 -743.460488986899</f>
        <v>-1368.7144021609402</v>
      </c>
      <c r="P1687">
        <f>-611.221901212127 -0.120617491735175 -427.158781879177</f>
        <v>-1038.5013005830392</v>
      </c>
      <c r="Q1687" t="s">
        <v>31347</v>
      </c>
      <c r="R1687" t="s">
        <v>31348</v>
      </c>
      <c r="S1687" t="s">
        <v>31349</v>
      </c>
      <c r="T1687" t="s">
        <v>31350</v>
      </c>
      <c r="U1687" t="s">
        <v>31351</v>
      </c>
      <c r="V1687" t="s">
        <v>31352</v>
      </c>
      <c r="W1687" t="s">
        <v>31353</v>
      </c>
      <c r="X1687" t="s">
        <v>31354</v>
      </c>
      <c r="Y1687" t="s">
        <v>31355</v>
      </c>
    </row>
    <row r="1688" spans="1:25" x14ac:dyDescent="0.3">
      <c r="A1688">
        <v>84350</v>
      </c>
      <c r="B1688" t="s">
        <v>31356</v>
      </c>
      <c r="C1688" t="s">
        <v>31357</v>
      </c>
      <c r="D1688" t="s">
        <v>31358</v>
      </c>
      <c r="E1688" t="s">
        <v>31359</v>
      </c>
      <c r="F1688" t="s">
        <v>31360</v>
      </c>
      <c r="G1688" t="s">
        <v>31361</v>
      </c>
      <c r="H1688" t="s">
        <v>31362</v>
      </c>
      <c r="I1688" t="s">
        <v>31363</v>
      </c>
      <c r="J1688" t="s">
        <v>31364</v>
      </c>
      <c r="K1688" t="s">
        <v>31365</v>
      </c>
      <c r="L1688" t="s">
        <v>31366</v>
      </c>
      <c r="M1688" t="s">
        <v>31367</v>
      </c>
      <c r="N1688" t="s">
        <v>31368</v>
      </c>
      <c r="O1688">
        <f>-615.153831723472 -12.3595674100561 -742.832515285808</f>
        <v>-1370.3459144193362</v>
      </c>
      <c r="P1688">
        <f>-610.909074426992 -0.536023558471697 -426.559906715905</f>
        <v>-1038.0050047013688</v>
      </c>
      <c r="Q1688" t="s">
        <v>31369</v>
      </c>
      <c r="R1688" t="s">
        <v>31370</v>
      </c>
      <c r="S1688" t="s">
        <v>31371</v>
      </c>
      <c r="T1688" t="s">
        <v>31372</v>
      </c>
      <c r="U1688" t="s">
        <v>31373</v>
      </c>
      <c r="V1688" t="s">
        <v>31374</v>
      </c>
      <c r="W1688" t="s">
        <v>31375</v>
      </c>
      <c r="X1688" t="s">
        <v>31376</v>
      </c>
      <c r="Y1688" t="s">
        <v>31377</v>
      </c>
    </row>
    <row r="1689" spans="1:25" x14ac:dyDescent="0.3">
      <c r="A1689">
        <v>84400</v>
      </c>
      <c r="B1689" t="s">
        <v>31378</v>
      </c>
      <c r="C1689" t="s">
        <v>31379</v>
      </c>
      <c r="D1689" t="s">
        <v>31380</v>
      </c>
      <c r="E1689" t="s">
        <v>31381</v>
      </c>
      <c r="F1689" t="s">
        <v>31382</v>
      </c>
      <c r="G1689" t="s">
        <v>31383</v>
      </c>
      <c r="H1689" t="s">
        <v>31384</v>
      </c>
      <c r="I1689" t="s">
        <v>31385</v>
      </c>
      <c r="J1689" t="s">
        <v>31386</v>
      </c>
      <c r="K1689" t="s">
        <v>31387</v>
      </c>
      <c r="L1689" t="s">
        <v>31388</v>
      </c>
      <c r="M1689" t="s">
        <v>31389</v>
      </c>
      <c r="N1689" t="s">
        <v>31390</v>
      </c>
      <c r="O1689">
        <f>-616.160845887028 -12.5838123737306 -742.644136380127</f>
        <v>-1371.3887946408854</v>
      </c>
      <c r="P1689">
        <f>-610.798875457259 -0.188718888027324 -426.410345778425</f>
        <v>-1037.3979401237114</v>
      </c>
      <c r="Q1689" t="s">
        <v>31391</v>
      </c>
      <c r="R1689" t="s">
        <v>31392</v>
      </c>
      <c r="S1689" t="s">
        <v>31393</v>
      </c>
      <c r="T1689" t="s">
        <v>31394</v>
      </c>
      <c r="U1689" t="s">
        <v>31395</v>
      </c>
      <c r="V1689" t="s">
        <v>31396</v>
      </c>
      <c r="W1689" t="s">
        <v>31397</v>
      </c>
      <c r="X1689" t="s">
        <v>31398</v>
      </c>
      <c r="Y1689" t="s">
        <v>31399</v>
      </c>
    </row>
    <row r="1690" spans="1:25" x14ac:dyDescent="0.3">
      <c r="A1690">
        <v>84450</v>
      </c>
      <c r="B1690" t="s">
        <v>31400</v>
      </c>
      <c r="C1690" t="s">
        <v>31401</v>
      </c>
      <c r="D1690" t="s">
        <v>31402</v>
      </c>
      <c r="E1690" t="s">
        <v>31403</v>
      </c>
      <c r="F1690" t="s">
        <v>31404</v>
      </c>
      <c r="G1690" t="s">
        <v>31405</v>
      </c>
      <c r="H1690" t="s">
        <v>31406</v>
      </c>
      <c r="I1690" t="s">
        <v>31407</v>
      </c>
      <c r="J1690" t="s">
        <v>31408</v>
      </c>
      <c r="K1690" t="s">
        <v>31409</v>
      </c>
      <c r="L1690" t="s">
        <v>31410</v>
      </c>
      <c r="M1690" t="s">
        <v>31411</v>
      </c>
      <c r="N1690" t="s">
        <v>31412</v>
      </c>
      <c r="O1690">
        <f>-617.775058923412 -13.3353407918253 -742.041684884732</f>
        <v>-1373.1520845999694</v>
      </c>
      <c r="P1690">
        <f>-611.588154028078 -0.83194944841739 -425.827145211214</f>
        <v>-1038.2472486877093</v>
      </c>
      <c r="Q1690" t="s">
        <v>31413</v>
      </c>
      <c r="R1690" t="s">
        <v>31414</v>
      </c>
      <c r="S1690" t="s">
        <v>31415</v>
      </c>
      <c r="T1690" t="s">
        <v>31416</v>
      </c>
      <c r="U1690" t="s">
        <v>31417</v>
      </c>
      <c r="V1690" t="s">
        <v>31418</v>
      </c>
      <c r="W1690" t="s">
        <v>31419</v>
      </c>
      <c r="X1690" t="s">
        <v>31420</v>
      </c>
      <c r="Y1690" t="s">
        <v>31421</v>
      </c>
    </row>
    <row r="1691" spans="1:25" x14ac:dyDescent="0.3">
      <c r="A1691">
        <v>84500</v>
      </c>
      <c r="B1691" t="s">
        <v>31422</v>
      </c>
      <c r="C1691" t="s">
        <v>31423</v>
      </c>
      <c r="D1691" t="s">
        <v>31424</v>
      </c>
      <c r="E1691" t="s">
        <v>31425</v>
      </c>
      <c r="F1691" t="s">
        <v>31426</v>
      </c>
      <c r="G1691" t="s">
        <v>31427</v>
      </c>
      <c r="H1691" t="s">
        <v>31428</v>
      </c>
      <c r="I1691" t="s">
        <v>31429</v>
      </c>
      <c r="J1691" t="s">
        <v>31430</v>
      </c>
      <c r="K1691" t="s">
        <v>31431</v>
      </c>
      <c r="L1691" t="s">
        <v>31432</v>
      </c>
      <c r="M1691" t="s">
        <v>31433</v>
      </c>
      <c r="N1691" t="s">
        <v>31434</v>
      </c>
      <c r="O1691">
        <f>-618.84322993203 -13.4636154327536 -742.006604846727</f>
        <v>-1374.3134502115106</v>
      </c>
      <c r="P1691">
        <f>-611.817650386215 -0.536777178457669 -425.826698389362</f>
        <v>-1038.1811259540345</v>
      </c>
      <c r="Q1691" t="s">
        <v>31435</v>
      </c>
      <c r="R1691" t="s">
        <v>31436</v>
      </c>
      <c r="S1691" t="s">
        <v>31437</v>
      </c>
      <c r="T1691" t="s">
        <v>31438</v>
      </c>
      <c r="U1691" t="s">
        <v>31439</v>
      </c>
      <c r="V1691" t="s">
        <v>31440</v>
      </c>
      <c r="W1691" t="s">
        <v>31441</v>
      </c>
      <c r="X1691" t="s">
        <v>31442</v>
      </c>
      <c r="Y1691" t="s">
        <v>31443</v>
      </c>
    </row>
    <row r="1692" spans="1:25" x14ac:dyDescent="0.3">
      <c r="A1692">
        <v>84550</v>
      </c>
      <c r="B1692" t="s">
        <v>31444</v>
      </c>
      <c r="C1692" t="s">
        <v>31445</v>
      </c>
      <c r="D1692" t="s">
        <v>31446</v>
      </c>
      <c r="E1692" t="s">
        <v>31447</v>
      </c>
      <c r="F1692" t="s">
        <v>31448</v>
      </c>
      <c r="G1692" t="s">
        <v>31449</v>
      </c>
      <c r="H1692" t="s">
        <v>31450</v>
      </c>
      <c r="I1692" t="s">
        <v>31451</v>
      </c>
      <c r="J1692" t="s">
        <v>31452</v>
      </c>
      <c r="K1692" t="s">
        <v>31453</v>
      </c>
      <c r="L1692" t="s">
        <v>31454</v>
      </c>
      <c r="M1692" t="s">
        <v>31455</v>
      </c>
      <c r="N1692" t="s">
        <v>31456</v>
      </c>
      <c r="O1692">
        <f>-620.300673191532 -14.5723231138445 -741.583450393674</f>
        <v>-1376.4564466990505</v>
      </c>
      <c r="P1692">
        <f>-613.216676845067 -0.734486833754318 -425.443341642381</f>
        <v>-1039.3945053212024</v>
      </c>
      <c r="Q1692" t="s">
        <v>31457</v>
      </c>
      <c r="R1692" t="s">
        <v>31458</v>
      </c>
      <c r="S1692" t="s">
        <v>31459</v>
      </c>
      <c r="T1692" t="s">
        <v>31460</v>
      </c>
      <c r="U1692" t="s">
        <v>31461</v>
      </c>
      <c r="V1692" t="s">
        <v>31462</v>
      </c>
      <c r="W1692" t="s">
        <v>31463</v>
      </c>
      <c r="X1692" t="s">
        <v>31464</v>
      </c>
      <c r="Y1692" t="s">
        <v>31465</v>
      </c>
    </row>
    <row r="1693" spans="1:25" x14ac:dyDescent="0.3">
      <c r="A1693">
        <v>84600</v>
      </c>
      <c r="B1693" t="s">
        <v>31466</v>
      </c>
      <c r="C1693" t="s">
        <v>31467</v>
      </c>
      <c r="D1693" t="s">
        <v>31468</v>
      </c>
      <c r="E1693" t="s">
        <v>31469</v>
      </c>
      <c r="F1693" t="s">
        <v>31470</v>
      </c>
      <c r="G1693" t="s">
        <v>31471</v>
      </c>
      <c r="H1693" t="s">
        <v>31472</v>
      </c>
      <c r="I1693" t="s">
        <v>31473</v>
      </c>
      <c r="J1693" t="s">
        <v>31474</v>
      </c>
      <c r="K1693" t="s">
        <v>31475</v>
      </c>
      <c r="L1693" t="s">
        <v>31476</v>
      </c>
      <c r="M1693" t="s">
        <v>31477</v>
      </c>
      <c r="N1693" t="s">
        <v>31478</v>
      </c>
      <c r="O1693">
        <f>-621.060066638175 -14.906454391501 -741.374405909535</f>
        <v>-1377.3409269392109</v>
      </c>
      <c r="P1693">
        <f>-613.992918352035 -0.957155718431977 -425.238873111296</f>
        <v>-1040.1889471817631</v>
      </c>
      <c r="Q1693" t="s">
        <v>31479</v>
      </c>
      <c r="R1693" t="s">
        <v>31480</v>
      </c>
      <c r="S1693" t="s">
        <v>31481</v>
      </c>
      <c r="T1693" t="s">
        <v>31482</v>
      </c>
      <c r="U1693" t="s">
        <v>31483</v>
      </c>
      <c r="V1693" t="s">
        <v>31484</v>
      </c>
      <c r="W1693" t="s">
        <v>31485</v>
      </c>
      <c r="X1693" t="s">
        <v>31486</v>
      </c>
      <c r="Y1693" t="s">
        <v>31487</v>
      </c>
    </row>
    <row r="1694" spans="1:25" x14ac:dyDescent="0.3">
      <c r="A1694">
        <v>84650</v>
      </c>
      <c r="B1694" t="s">
        <v>31488</v>
      </c>
      <c r="C1694" t="s">
        <v>31489</v>
      </c>
      <c r="D1694" t="s">
        <v>31490</v>
      </c>
      <c r="E1694" t="s">
        <v>31491</v>
      </c>
      <c r="F1694" t="s">
        <v>31492</v>
      </c>
      <c r="G1694" t="s">
        <v>31493</v>
      </c>
      <c r="H1694" t="s">
        <v>31494</v>
      </c>
      <c r="I1694" t="s">
        <v>31495</v>
      </c>
      <c r="J1694" t="s">
        <v>31496</v>
      </c>
      <c r="K1694" t="s">
        <v>31497</v>
      </c>
      <c r="L1694" t="s">
        <v>31498</v>
      </c>
      <c r="M1694" t="s">
        <v>31499</v>
      </c>
      <c r="N1694" t="s">
        <v>31500</v>
      </c>
      <c r="O1694">
        <f>-622.413935292094 -15.2644032837197 -741.087193309069</f>
        <v>-1378.7655318848829</v>
      </c>
      <c r="P1694">
        <f>-615.282736858525 -0.788509834205797 -424.97677277669</f>
        <v>-1041.0480194694208</v>
      </c>
      <c r="Q1694" t="s">
        <v>31501</v>
      </c>
      <c r="R1694" t="s">
        <v>31502</v>
      </c>
      <c r="S1694" t="s">
        <v>31503</v>
      </c>
      <c r="T1694" t="s">
        <v>31504</v>
      </c>
      <c r="U1694" t="s">
        <v>31505</v>
      </c>
      <c r="V1694" t="s">
        <v>31506</v>
      </c>
      <c r="W1694" t="s">
        <v>31507</v>
      </c>
      <c r="X1694" t="s">
        <v>31508</v>
      </c>
      <c r="Y1694" t="s">
        <v>31509</v>
      </c>
    </row>
    <row r="1695" spans="1:25" x14ac:dyDescent="0.3">
      <c r="A1695">
        <v>84700</v>
      </c>
      <c r="B1695" t="s">
        <v>31510</v>
      </c>
      <c r="C1695" t="s">
        <v>31511</v>
      </c>
      <c r="D1695" t="s">
        <v>31512</v>
      </c>
      <c r="E1695" t="s">
        <v>31513</v>
      </c>
      <c r="F1695" t="s">
        <v>31514</v>
      </c>
      <c r="G1695" t="s">
        <v>31515</v>
      </c>
      <c r="H1695" t="s">
        <v>31516</v>
      </c>
      <c r="I1695" t="s">
        <v>31517</v>
      </c>
      <c r="J1695" t="s">
        <v>31518</v>
      </c>
      <c r="K1695" t="s">
        <v>31519</v>
      </c>
      <c r="L1695" t="s">
        <v>31520</v>
      </c>
      <c r="M1695" t="s">
        <v>31521</v>
      </c>
      <c r="N1695" t="s">
        <v>31522</v>
      </c>
      <c r="O1695">
        <f>-622.775517585965 -15.4817101920942 -740.909807374343</f>
        <v>-1379.1670351524021</v>
      </c>
      <c r="P1695">
        <f>-615.709575166709 -1.23623822493846 -424.787327379105</f>
        <v>-1041.7331407707525</v>
      </c>
      <c r="Q1695" t="s">
        <v>31523</v>
      </c>
      <c r="R1695" t="s">
        <v>31524</v>
      </c>
      <c r="S1695" t="s">
        <v>31525</v>
      </c>
      <c r="T1695" t="s">
        <v>31526</v>
      </c>
      <c r="U1695" t="s">
        <v>31527</v>
      </c>
      <c r="V1695" t="s">
        <v>31528</v>
      </c>
      <c r="W1695" t="s">
        <v>31529</v>
      </c>
      <c r="X1695" t="s">
        <v>31530</v>
      </c>
      <c r="Y1695" t="s">
        <v>31531</v>
      </c>
    </row>
    <row r="1696" spans="1:25" x14ac:dyDescent="0.3">
      <c r="A1696">
        <v>84750</v>
      </c>
      <c r="B1696" t="s">
        <v>31532</v>
      </c>
      <c r="C1696" t="s">
        <v>31533</v>
      </c>
      <c r="D1696" t="s">
        <v>31534</v>
      </c>
      <c r="E1696" t="s">
        <v>31535</v>
      </c>
      <c r="F1696" t="s">
        <v>31536</v>
      </c>
      <c r="G1696" t="s">
        <v>31537</v>
      </c>
      <c r="H1696" t="s">
        <v>31538</v>
      </c>
      <c r="I1696" t="s">
        <v>31539</v>
      </c>
      <c r="J1696" t="s">
        <v>31540</v>
      </c>
      <c r="K1696" t="s">
        <v>31541</v>
      </c>
      <c r="L1696" t="s">
        <v>31542</v>
      </c>
      <c r="M1696" t="s">
        <v>31543</v>
      </c>
      <c r="N1696" t="s">
        <v>31544</v>
      </c>
      <c r="O1696">
        <f>-624.256932479666 -15.935708637893 -740.720869007419</f>
        <v>-1380.9135101249781</v>
      </c>
      <c r="P1696">
        <f>-617.477737345882 -0.29321285811352 -424.658272863548</f>
        <v>-1042.4292230675435</v>
      </c>
      <c r="Q1696" t="s">
        <v>31545</v>
      </c>
      <c r="R1696" t="s">
        <v>31546</v>
      </c>
      <c r="S1696" t="s">
        <v>31547</v>
      </c>
      <c r="T1696" t="s">
        <v>31548</v>
      </c>
      <c r="U1696" t="s">
        <v>31549</v>
      </c>
      <c r="V1696" t="s">
        <v>31550</v>
      </c>
      <c r="W1696" t="s">
        <v>31551</v>
      </c>
      <c r="X1696" t="s">
        <v>31552</v>
      </c>
      <c r="Y1696" t="s">
        <v>31553</v>
      </c>
    </row>
    <row r="1697" spans="1:25" x14ac:dyDescent="0.3">
      <c r="A1697">
        <v>84800</v>
      </c>
      <c r="B1697" t="s">
        <v>31554</v>
      </c>
      <c r="C1697" t="s">
        <v>31555</v>
      </c>
      <c r="D1697" t="s">
        <v>31556</v>
      </c>
      <c r="E1697" t="s">
        <v>31557</v>
      </c>
      <c r="F1697" t="s">
        <v>31558</v>
      </c>
      <c r="G1697" t="s">
        <v>31559</v>
      </c>
      <c r="H1697" t="s">
        <v>31560</v>
      </c>
      <c r="I1697" t="s">
        <v>31561</v>
      </c>
      <c r="J1697" t="s">
        <v>31562</v>
      </c>
      <c r="K1697" t="s">
        <v>31563</v>
      </c>
      <c r="L1697" t="s">
        <v>31564</v>
      </c>
      <c r="M1697" t="s">
        <v>31565</v>
      </c>
      <c r="N1697" t="s">
        <v>31566</v>
      </c>
      <c r="O1697">
        <f>-624.674132929229 -16.3209079861108 -740.618935844754</f>
        <v>-1381.6139767600939</v>
      </c>
      <c r="P1697">
        <f>-618.232623020848 -0.642832594935271 -424.551029052385</f>
        <v>-1043.4264846681683</v>
      </c>
      <c r="Q1697" t="s">
        <v>31567</v>
      </c>
      <c r="R1697" t="s">
        <v>31568</v>
      </c>
      <c r="S1697" t="s">
        <v>31569</v>
      </c>
      <c r="T1697" t="s">
        <v>31570</v>
      </c>
      <c r="U1697" t="s">
        <v>31571</v>
      </c>
      <c r="V1697" t="s">
        <v>31572</v>
      </c>
      <c r="W1697" t="s">
        <v>31573</v>
      </c>
      <c r="X1697" t="s">
        <v>31574</v>
      </c>
      <c r="Y1697" t="s">
        <v>31575</v>
      </c>
    </row>
    <row r="1698" spans="1:25" x14ac:dyDescent="0.3">
      <c r="A1698">
        <v>84850</v>
      </c>
      <c r="B1698" t="s">
        <v>31576</v>
      </c>
      <c r="C1698" t="s">
        <v>31577</v>
      </c>
      <c r="D1698" t="s">
        <v>31578</v>
      </c>
      <c r="E1698" t="s">
        <v>31579</v>
      </c>
      <c r="F1698" t="s">
        <v>31580</v>
      </c>
      <c r="G1698" t="s">
        <v>31581</v>
      </c>
      <c r="H1698" t="s">
        <v>31582</v>
      </c>
      <c r="I1698" t="s">
        <v>31583</v>
      </c>
      <c r="J1698" t="s">
        <v>31584</v>
      </c>
      <c r="K1698" t="s">
        <v>31585</v>
      </c>
      <c r="L1698" t="s">
        <v>31586</v>
      </c>
      <c r="M1698" t="s">
        <v>31587</v>
      </c>
      <c r="N1698" t="s">
        <v>31588</v>
      </c>
      <c r="O1698">
        <f>-625.51230676867 -17.085880195262 -740.316225598483</f>
        <v>-1382.914412562415</v>
      </c>
      <c r="P1698">
        <f>-619.608096165186 -1.46486021414125 -424.234993533412</f>
        <v>-1045.3079499127393</v>
      </c>
      <c r="Q1698" t="s">
        <v>31589</v>
      </c>
      <c r="R1698" t="s">
        <v>31590</v>
      </c>
      <c r="S1698" t="s">
        <v>31591</v>
      </c>
      <c r="T1698" t="s">
        <v>31592</v>
      </c>
      <c r="U1698" t="s">
        <v>31593</v>
      </c>
      <c r="V1698" t="s">
        <v>31594</v>
      </c>
      <c r="W1698" t="s">
        <v>31595</v>
      </c>
      <c r="X1698" t="s">
        <v>31596</v>
      </c>
      <c r="Y1698" t="s">
        <v>31597</v>
      </c>
    </row>
    <row r="1699" spans="1:25" x14ac:dyDescent="0.3">
      <c r="A1699">
        <v>84900</v>
      </c>
      <c r="B1699" t="s">
        <v>31598</v>
      </c>
      <c r="C1699" t="s">
        <v>31599</v>
      </c>
      <c r="D1699" t="s">
        <v>31600</v>
      </c>
      <c r="E1699" t="s">
        <v>31601</v>
      </c>
      <c r="F1699" t="s">
        <v>31602</v>
      </c>
      <c r="G1699" t="s">
        <v>31603</v>
      </c>
      <c r="H1699" t="s">
        <v>31604</v>
      </c>
      <c r="I1699" t="s">
        <v>31605</v>
      </c>
      <c r="J1699" t="s">
        <v>31606</v>
      </c>
      <c r="K1699" t="s">
        <v>31607</v>
      </c>
      <c r="L1699" t="s">
        <v>31608</v>
      </c>
      <c r="M1699" t="s">
        <v>31609</v>
      </c>
      <c r="N1699" t="s">
        <v>31610</v>
      </c>
      <c r="O1699">
        <f>-625.902981846414 -17.7045998501083 -740.194978994391</f>
        <v>-1383.8025606909132</v>
      </c>
      <c r="P1699">
        <f>-620.205347338188 -2.33090869641228 -424.097925002108</f>
        <v>-1046.6341810367082</v>
      </c>
      <c r="Q1699" t="s">
        <v>31611</v>
      </c>
      <c r="R1699" t="s">
        <v>31612</v>
      </c>
      <c r="S1699" t="s">
        <v>31613</v>
      </c>
      <c r="T1699" t="s">
        <v>31614</v>
      </c>
      <c r="U1699" t="s">
        <v>31615</v>
      </c>
      <c r="V1699" t="s">
        <v>31616</v>
      </c>
      <c r="W1699" t="s">
        <v>31617</v>
      </c>
      <c r="X1699" t="s">
        <v>31618</v>
      </c>
      <c r="Y1699" t="s">
        <v>31619</v>
      </c>
    </row>
    <row r="1700" spans="1:25" x14ac:dyDescent="0.3">
      <c r="A1700">
        <v>84950</v>
      </c>
      <c r="B1700" t="s">
        <v>31620</v>
      </c>
      <c r="C1700" t="s">
        <v>31621</v>
      </c>
      <c r="D1700" t="s">
        <v>31622</v>
      </c>
      <c r="E1700" t="s">
        <v>31623</v>
      </c>
      <c r="F1700" t="s">
        <v>31624</v>
      </c>
      <c r="G1700" t="s">
        <v>31625</v>
      </c>
      <c r="H1700" t="s">
        <v>31626</v>
      </c>
      <c r="I1700" t="s">
        <v>31627</v>
      </c>
      <c r="J1700" t="s">
        <v>31628</v>
      </c>
      <c r="K1700" t="s">
        <v>31629</v>
      </c>
      <c r="L1700" t="s">
        <v>31630</v>
      </c>
      <c r="M1700" t="s">
        <v>31631</v>
      </c>
      <c r="N1700" t="s">
        <v>31632</v>
      </c>
      <c r="O1700">
        <f>-626.580980742345 -19.2799870118511 -739.789255938587</f>
        <v>-1385.6502236927831</v>
      </c>
      <c r="P1700">
        <f>-620.82904514613 -3.43033453313114 -423.716714930912</f>
        <v>-1047.9760946101733</v>
      </c>
      <c r="Q1700" t="s">
        <v>31633</v>
      </c>
      <c r="R1700" t="s">
        <v>31634</v>
      </c>
      <c r="S1700" t="s">
        <v>31635</v>
      </c>
      <c r="T1700" t="s">
        <v>31636</v>
      </c>
      <c r="U1700" t="s">
        <v>31637</v>
      </c>
      <c r="V1700" t="s">
        <v>31638</v>
      </c>
      <c r="W1700" t="s">
        <v>31639</v>
      </c>
      <c r="X1700" t="s">
        <v>31640</v>
      </c>
      <c r="Y1700" t="s">
        <v>31641</v>
      </c>
    </row>
    <row r="1701" spans="1:25" x14ac:dyDescent="0.3">
      <c r="A1701">
        <v>85000</v>
      </c>
      <c r="B1701" t="s">
        <v>31642</v>
      </c>
      <c r="C1701" t="s">
        <v>31643</v>
      </c>
      <c r="D1701" t="s">
        <v>31644</v>
      </c>
      <c r="E1701" t="s">
        <v>31645</v>
      </c>
      <c r="F1701" t="s">
        <v>31646</v>
      </c>
      <c r="G1701" t="s">
        <v>31647</v>
      </c>
      <c r="H1701" t="s">
        <v>31648</v>
      </c>
      <c r="I1701" t="s">
        <v>31649</v>
      </c>
      <c r="J1701" t="s">
        <v>31650</v>
      </c>
      <c r="K1701" t="s">
        <v>31651</v>
      </c>
      <c r="L1701" t="s">
        <v>31652</v>
      </c>
      <c r="M1701" t="s">
        <v>31653</v>
      </c>
      <c r="N1701" t="s">
        <v>31654</v>
      </c>
      <c r="O1701">
        <f>-626.421619779019 -20.1465840876749 -739.515622251899</f>
        <v>-1386.0838261185929</v>
      </c>
      <c r="P1701">
        <f>-620.43781937475 -4.02815579395451 -423.460921295794</f>
        <v>-1047.9268964644984</v>
      </c>
      <c r="Q1701" t="s">
        <v>31655</v>
      </c>
      <c r="R1701" t="s">
        <v>31656</v>
      </c>
      <c r="S1701" t="s">
        <v>31657</v>
      </c>
      <c r="T1701" t="s">
        <v>31658</v>
      </c>
      <c r="U1701" t="s">
        <v>31659</v>
      </c>
      <c r="V1701" t="s">
        <v>31660</v>
      </c>
      <c r="W1701" t="s">
        <v>31661</v>
      </c>
      <c r="X1701" t="s">
        <v>31662</v>
      </c>
      <c r="Y1701" t="s">
        <v>31663</v>
      </c>
    </row>
    <row r="1702" spans="1:25" x14ac:dyDescent="0.3">
      <c r="A1702">
        <v>85050</v>
      </c>
      <c r="B1702" t="s">
        <v>31664</v>
      </c>
      <c r="C1702" t="s">
        <v>31665</v>
      </c>
      <c r="D1702" t="s">
        <v>31666</v>
      </c>
      <c r="E1702" t="s">
        <v>31667</v>
      </c>
      <c r="F1702" t="s">
        <v>31668</v>
      </c>
      <c r="G1702" t="s">
        <v>31669</v>
      </c>
      <c r="H1702" t="s">
        <v>31670</v>
      </c>
      <c r="I1702" t="s">
        <v>31671</v>
      </c>
      <c r="J1702" t="s">
        <v>31672</v>
      </c>
      <c r="K1702" t="s">
        <v>31673</v>
      </c>
      <c r="L1702" t="s">
        <v>31674</v>
      </c>
      <c r="M1702" t="s">
        <v>31675</v>
      </c>
      <c r="N1702" t="s">
        <v>31676</v>
      </c>
      <c r="O1702">
        <f>-624.718419475767 -23.87325745674 -738.550695920452</f>
        <v>-1387.1423728529589</v>
      </c>
      <c r="P1702">
        <f>-620.116675830732 -7.19822922733783 -422.501732271962</f>
        <v>-1049.8166373300319</v>
      </c>
      <c r="Q1702" t="s">
        <v>31677</v>
      </c>
      <c r="R1702" t="s">
        <v>31678</v>
      </c>
      <c r="S1702" t="s">
        <v>31679</v>
      </c>
      <c r="T1702" t="s">
        <v>31680</v>
      </c>
      <c r="U1702" t="s">
        <v>31681</v>
      </c>
      <c r="V1702" t="s">
        <v>31682</v>
      </c>
      <c r="W1702" t="s">
        <v>31683</v>
      </c>
      <c r="X1702" t="s">
        <v>31684</v>
      </c>
      <c r="Y1702" t="s">
        <v>31685</v>
      </c>
    </row>
    <row r="1703" spans="1:25" x14ac:dyDescent="0.3">
      <c r="A1703">
        <v>85100</v>
      </c>
      <c r="B1703" t="s">
        <v>31686</v>
      </c>
      <c r="C1703" t="s">
        <v>31687</v>
      </c>
      <c r="D1703" t="s">
        <v>31688</v>
      </c>
      <c r="E1703" t="s">
        <v>31689</v>
      </c>
      <c r="F1703" t="s">
        <v>31690</v>
      </c>
      <c r="G1703" t="s">
        <v>31691</v>
      </c>
      <c r="H1703" t="s">
        <v>31692</v>
      </c>
      <c r="I1703" t="s">
        <v>31693</v>
      </c>
      <c r="J1703" t="s">
        <v>31694</v>
      </c>
      <c r="K1703" t="s">
        <v>31695</v>
      </c>
      <c r="L1703" t="s">
        <v>31696</v>
      </c>
      <c r="M1703" t="s">
        <v>31697</v>
      </c>
      <c r="N1703" t="s">
        <v>31698</v>
      </c>
      <c r="O1703">
        <f>-623.716403468189 -26.4397168096477 -737.655325318713</f>
        <v>-1387.8114455965497</v>
      </c>
      <c r="P1703">
        <f>-620.102815675377 -9.19911842546594 -421.623760392473</f>
        <v>-1050.9256944933159</v>
      </c>
      <c r="Q1703" t="s">
        <v>31699</v>
      </c>
      <c r="R1703" t="s">
        <v>31700</v>
      </c>
      <c r="S1703" t="s">
        <v>31701</v>
      </c>
      <c r="T1703" t="s">
        <v>31702</v>
      </c>
      <c r="U1703" t="s">
        <v>31703</v>
      </c>
      <c r="V1703" t="s">
        <v>31704</v>
      </c>
      <c r="W1703" t="s">
        <v>31705</v>
      </c>
      <c r="X1703" t="s">
        <v>31706</v>
      </c>
      <c r="Y1703" t="s">
        <v>31707</v>
      </c>
    </row>
    <row r="1704" spans="1:25" x14ac:dyDescent="0.3">
      <c r="A1704">
        <v>85150</v>
      </c>
      <c r="B1704" t="s">
        <v>31708</v>
      </c>
      <c r="C1704" t="s">
        <v>31709</v>
      </c>
      <c r="D1704" t="s">
        <v>31710</v>
      </c>
      <c r="E1704" t="s">
        <v>31711</v>
      </c>
      <c r="F1704" t="s">
        <v>31712</v>
      </c>
      <c r="G1704" t="s">
        <v>31713</v>
      </c>
      <c r="H1704" t="s">
        <v>31714</v>
      </c>
      <c r="I1704" t="s">
        <v>31715</v>
      </c>
      <c r="J1704" t="s">
        <v>31716</v>
      </c>
      <c r="K1704" t="s">
        <v>31717</v>
      </c>
      <c r="L1704" t="s">
        <v>31718</v>
      </c>
      <c r="M1704" t="s">
        <v>31719</v>
      </c>
      <c r="N1704" t="s">
        <v>31720</v>
      </c>
      <c r="O1704">
        <f>-621.195148181285 -30.2435727136237 -735.853156684886</f>
        <v>-1387.2918775797948</v>
      </c>
      <c r="P1704">
        <f>-619.637693973732 -11.0700144662287 -419.916181980567</f>
        <v>-1050.6238904205277</v>
      </c>
      <c r="Q1704" t="s">
        <v>31721</v>
      </c>
      <c r="R1704" t="s">
        <v>31722</v>
      </c>
      <c r="S1704" t="s">
        <v>31723</v>
      </c>
      <c r="T1704" t="s">
        <v>31724</v>
      </c>
      <c r="U1704" t="s">
        <v>31725</v>
      </c>
      <c r="V1704" t="s">
        <v>31726</v>
      </c>
      <c r="W1704" t="s">
        <v>31727</v>
      </c>
      <c r="X1704" t="s">
        <v>31728</v>
      </c>
      <c r="Y1704" t="s">
        <v>31729</v>
      </c>
    </row>
    <row r="1705" spans="1:25" x14ac:dyDescent="0.3">
      <c r="A1705">
        <v>85200</v>
      </c>
      <c r="B1705" t="s">
        <v>31730</v>
      </c>
      <c r="C1705" t="s">
        <v>31731</v>
      </c>
      <c r="D1705" t="s">
        <v>31732</v>
      </c>
      <c r="E1705" t="s">
        <v>31733</v>
      </c>
      <c r="F1705" t="s">
        <v>31734</v>
      </c>
      <c r="G1705" t="s">
        <v>31735</v>
      </c>
      <c r="H1705" t="s">
        <v>31736</v>
      </c>
      <c r="I1705" t="s">
        <v>31737</v>
      </c>
      <c r="J1705" t="s">
        <v>31738</v>
      </c>
      <c r="K1705" t="s">
        <v>31739</v>
      </c>
      <c r="L1705" t="s">
        <v>31740</v>
      </c>
      <c r="M1705" t="s">
        <v>31741</v>
      </c>
      <c r="N1705" t="s">
        <v>31742</v>
      </c>
      <c r="O1705">
        <f>-619.746780633605 -31.3254915556413 -735.254474662752</f>
        <v>-1386.3267468519985</v>
      </c>
      <c r="P1705">
        <f>-619.30695113539 -11.4117358445144 -419.359807074488</f>
        <v>-1050.0784940543924</v>
      </c>
      <c r="Q1705" t="s">
        <v>31743</v>
      </c>
      <c r="R1705" t="s">
        <v>31744</v>
      </c>
      <c r="S1705" t="s">
        <v>31745</v>
      </c>
      <c r="T1705" t="s">
        <v>31746</v>
      </c>
      <c r="U1705" t="s">
        <v>31747</v>
      </c>
      <c r="V1705" t="s">
        <v>31748</v>
      </c>
      <c r="W1705" t="s">
        <v>31749</v>
      </c>
      <c r="X1705" t="s">
        <v>31750</v>
      </c>
      <c r="Y1705" t="s">
        <v>31751</v>
      </c>
    </row>
    <row r="1706" spans="1:25" x14ac:dyDescent="0.3">
      <c r="A1706">
        <v>85250</v>
      </c>
      <c r="B1706" t="s">
        <v>31752</v>
      </c>
      <c r="C1706" t="s">
        <v>31753</v>
      </c>
      <c r="D1706" t="s">
        <v>31754</v>
      </c>
      <c r="E1706" t="s">
        <v>31755</v>
      </c>
      <c r="F1706" t="s">
        <v>31756</v>
      </c>
      <c r="G1706" t="s">
        <v>31757</v>
      </c>
      <c r="H1706" t="s">
        <v>31758</v>
      </c>
      <c r="I1706" t="s">
        <v>31759</v>
      </c>
      <c r="J1706" t="s">
        <v>31760</v>
      </c>
      <c r="K1706" t="s">
        <v>31761</v>
      </c>
      <c r="L1706" t="s">
        <v>31762</v>
      </c>
      <c r="M1706" t="s">
        <v>31763</v>
      </c>
      <c r="N1706" t="s">
        <v>31764</v>
      </c>
      <c r="O1706">
        <f>-618.58456738787 -33.300973538549 -734.726367664258</f>
        <v>-1386.6119085906771</v>
      </c>
      <c r="P1706">
        <f>-620.172586338021 -12.820239013935 -418.871572888373</f>
        <v>-1051.8643982403289</v>
      </c>
      <c r="Q1706" t="s">
        <v>31765</v>
      </c>
      <c r="R1706" t="s">
        <v>31766</v>
      </c>
      <c r="S1706" t="s">
        <v>31767</v>
      </c>
      <c r="T1706" t="s">
        <v>31768</v>
      </c>
      <c r="U1706" t="s">
        <v>31769</v>
      </c>
      <c r="V1706" t="s">
        <v>31770</v>
      </c>
      <c r="W1706" t="s">
        <v>31771</v>
      </c>
      <c r="X1706" t="s">
        <v>31772</v>
      </c>
      <c r="Y1706" t="s">
        <v>31773</v>
      </c>
    </row>
    <row r="1707" spans="1:25" x14ac:dyDescent="0.3">
      <c r="A1707">
        <v>85300</v>
      </c>
      <c r="B1707" t="s">
        <v>31774</v>
      </c>
      <c r="C1707" t="s">
        <v>31775</v>
      </c>
      <c r="D1707" t="s">
        <v>31776</v>
      </c>
      <c r="E1707" t="s">
        <v>31777</v>
      </c>
      <c r="F1707" t="s">
        <v>31778</v>
      </c>
      <c r="G1707" t="s">
        <v>31779</v>
      </c>
      <c r="H1707" t="s">
        <v>31780</v>
      </c>
      <c r="I1707" t="s">
        <v>31781</v>
      </c>
      <c r="J1707" t="s">
        <v>31782</v>
      </c>
      <c r="K1707" t="s">
        <v>31783</v>
      </c>
      <c r="L1707" t="s">
        <v>31784</v>
      </c>
      <c r="M1707" t="s">
        <v>31785</v>
      </c>
      <c r="N1707" t="s">
        <v>31786</v>
      </c>
      <c r="O1707">
        <f>-617.907098190279 -34.8650357319091 -734.822554039023</f>
        <v>-1387.5946879612111</v>
      </c>
      <c r="P1707">
        <f>-620.408656907225 -14.1733765784954 -418.987415895631</f>
        <v>-1053.5694493813514</v>
      </c>
      <c r="Q1707" t="s">
        <v>31787</v>
      </c>
      <c r="R1707" t="s">
        <v>31788</v>
      </c>
      <c r="S1707" t="s">
        <v>31789</v>
      </c>
      <c r="T1707" t="s">
        <v>31790</v>
      </c>
      <c r="U1707" t="s">
        <v>31791</v>
      </c>
      <c r="V1707" t="s">
        <v>31792</v>
      </c>
      <c r="W1707" t="s">
        <v>31793</v>
      </c>
      <c r="X1707" t="s">
        <v>31794</v>
      </c>
      <c r="Y1707" t="s">
        <v>31795</v>
      </c>
    </row>
    <row r="1708" spans="1:25" x14ac:dyDescent="0.3">
      <c r="A1708">
        <v>85350</v>
      </c>
      <c r="B1708" t="s">
        <v>31796</v>
      </c>
      <c r="C1708" t="s">
        <v>31797</v>
      </c>
      <c r="D1708" t="s">
        <v>31798</v>
      </c>
      <c r="E1708" t="s">
        <v>31799</v>
      </c>
      <c r="F1708" t="s">
        <v>31800</v>
      </c>
      <c r="G1708" t="s">
        <v>31801</v>
      </c>
      <c r="H1708" t="s">
        <v>31802</v>
      </c>
      <c r="I1708" t="s">
        <v>31803</v>
      </c>
      <c r="J1708" t="s">
        <v>31804</v>
      </c>
      <c r="K1708" t="s">
        <v>31805</v>
      </c>
      <c r="L1708" t="s">
        <v>31806</v>
      </c>
      <c r="M1708" t="s">
        <v>31807</v>
      </c>
      <c r="N1708" t="s">
        <v>31808</v>
      </c>
      <c r="O1708">
        <f>-615.877442775444 -38.2034341916187 -734.84777663892</f>
        <v>-1388.9286536059826</v>
      </c>
      <c r="P1708">
        <f>-619.90342594536 -16.6137745060746 -419.088446377453</f>
        <v>-1055.6056468288875</v>
      </c>
      <c r="Q1708" t="s">
        <v>31809</v>
      </c>
      <c r="R1708" t="s">
        <v>31810</v>
      </c>
      <c r="S1708" t="s">
        <v>31811</v>
      </c>
      <c r="T1708" t="s">
        <v>31812</v>
      </c>
      <c r="U1708" t="s">
        <v>31813</v>
      </c>
      <c r="V1708" t="s">
        <v>31814</v>
      </c>
      <c r="W1708" t="s">
        <v>31815</v>
      </c>
      <c r="X1708" t="s">
        <v>31816</v>
      </c>
      <c r="Y1708" t="s">
        <v>31817</v>
      </c>
    </row>
    <row r="1709" spans="1:25" x14ac:dyDescent="0.3">
      <c r="A1709">
        <v>85400</v>
      </c>
      <c r="B1709" t="s">
        <v>31818</v>
      </c>
      <c r="C1709" t="s">
        <v>31819</v>
      </c>
      <c r="D1709" t="s">
        <v>31820</v>
      </c>
      <c r="E1709" t="s">
        <v>31821</v>
      </c>
      <c r="F1709" t="s">
        <v>31822</v>
      </c>
      <c r="G1709" t="s">
        <v>31823</v>
      </c>
      <c r="H1709" t="s">
        <v>31824</v>
      </c>
      <c r="I1709" t="s">
        <v>31825</v>
      </c>
      <c r="J1709" t="s">
        <v>31826</v>
      </c>
      <c r="K1709" t="s">
        <v>31827</v>
      </c>
      <c r="L1709" t="s">
        <v>31828</v>
      </c>
      <c r="M1709" t="s">
        <v>31829</v>
      </c>
      <c r="N1709" t="s">
        <v>31830</v>
      </c>
      <c r="O1709">
        <f>-614.578728377289 -39.9854308680399 -734.75154299848</f>
        <v>-1389.315702243809</v>
      </c>
      <c r="P1709">
        <f>-619.238063099702 -18.1327300260609 -419.019144503513</f>
        <v>-1056.3899376292759</v>
      </c>
      <c r="Q1709" t="s">
        <v>31831</v>
      </c>
      <c r="R1709" t="s">
        <v>31832</v>
      </c>
      <c r="S1709" t="s">
        <v>31833</v>
      </c>
      <c r="T1709" t="s">
        <v>31834</v>
      </c>
      <c r="U1709" t="s">
        <v>31835</v>
      </c>
      <c r="V1709" t="s">
        <v>31836</v>
      </c>
      <c r="W1709" t="s">
        <v>31837</v>
      </c>
      <c r="X1709" t="s">
        <v>31838</v>
      </c>
      <c r="Y1709" t="s">
        <v>31839</v>
      </c>
    </row>
    <row r="1710" spans="1:25" x14ac:dyDescent="0.3">
      <c r="A1710">
        <v>85450</v>
      </c>
      <c r="B1710" t="s">
        <v>31840</v>
      </c>
      <c r="C1710" t="s">
        <v>31841</v>
      </c>
      <c r="D1710" t="s">
        <v>31842</v>
      </c>
      <c r="E1710" t="s">
        <v>31843</v>
      </c>
      <c r="F1710" t="s">
        <v>31844</v>
      </c>
      <c r="G1710" t="s">
        <v>31845</v>
      </c>
      <c r="H1710" t="s">
        <v>31846</v>
      </c>
      <c r="I1710" t="s">
        <v>31847</v>
      </c>
      <c r="J1710" t="s">
        <v>31848</v>
      </c>
      <c r="K1710" t="s">
        <v>31849</v>
      </c>
      <c r="L1710" t="s">
        <v>31850</v>
      </c>
      <c r="M1710" t="s">
        <v>31851</v>
      </c>
      <c r="N1710" t="s">
        <v>31852</v>
      </c>
      <c r="O1710">
        <f>-612.08770729016 -42.23236775449 -735.107024109592</f>
        <v>-1389.4270991542421</v>
      </c>
      <c r="P1710">
        <f>-617.408950002856 -20.1305502331197 -419.402418882087</f>
        <v>-1056.9419191180627</v>
      </c>
      <c r="Q1710" t="s">
        <v>31853</v>
      </c>
      <c r="R1710" t="s">
        <v>31854</v>
      </c>
      <c r="S1710" t="s">
        <v>31855</v>
      </c>
      <c r="T1710" t="s">
        <v>31856</v>
      </c>
      <c r="U1710" t="s">
        <v>31857</v>
      </c>
      <c r="V1710" t="s">
        <v>31858</v>
      </c>
      <c r="W1710" t="s">
        <v>31859</v>
      </c>
      <c r="X1710" t="s">
        <v>31860</v>
      </c>
      <c r="Y1710" t="s">
        <v>31861</v>
      </c>
    </row>
    <row r="1711" spans="1:25" x14ac:dyDescent="0.3">
      <c r="A1711">
        <v>85500</v>
      </c>
      <c r="B1711" t="s">
        <v>31862</v>
      </c>
      <c r="C1711" t="s">
        <v>31863</v>
      </c>
      <c r="D1711" t="s">
        <v>31864</v>
      </c>
      <c r="E1711" t="s">
        <v>31865</v>
      </c>
      <c r="F1711" t="s">
        <v>31866</v>
      </c>
      <c r="G1711" t="s">
        <v>31867</v>
      </c>
      <c r="H1711" t="s">
        <v>31868</v>
      </c>
      <c r="I1711" t="s">
        <v>31869</v>
      </c>
      <c r="J1711" t="s">
        <v>31870</v>
      </c>
      <c r="K1711" t="s">
        <v>31871</v>
      </c>
      <c r="L1711" t="s">
        <v>31872</v>
      </c>
      <c r="M1711" t="s">
        <v>31873</v>
      </c>
      <c r="N1711" t="s">
        <v>31874</v>
      </c>
      <c r="O1711">
        <f>-610.778840567267 -43.0959785474251 -735.523144945402</f>
        <v>-1389.3979640600942</v>
      </c>
      <c r="P1711">
        <f>-616.552183435307 -20.9468760488335 -419.829798954393</f>
        <v>-1057.3288584385336</v>
      </c>
      <c r="Q1711" t="s">
        <v>31875</v>
      </c>
      <c r="R1711" t="s">
        <v>31876</v>
      </c>
      <c r="S1711" t="s">
        <v>31877</v>
      </c>
      <c r="T1711" t="s">
        <v>31878</v>
      </c>
      <c r="U1711" t="s">
        <v>31879</v>
      </c>
      <c r="V1711" t="s">
        <v>31880</v>
      </c>
      <c r="W1711" t="s">
        <v>31881</v>
      </c>
      <c r="X1711" t="s">
        <v>31882</v>
      </c>
      <c r="Y1711" t="s">
        <v>31883</v>
      </c>
    </row>
    <row r="1712" spans="1:25" x14ac:dyDescent="0.3">
      <c r="A1712">
        <v>85550</v>
      </c>
      <c r="B1712" t="s">
        <v>31884</v>
      </c>
      <c r="C1712" t="s">
        <v>31885</v>
      </c>
      <c r="D1712" t="s">
        <v>31886</v>
      </c>
      <c r="E1712" t="s">
        <v>31887</v>
      </c>
      <c r="F1712" t="s">
        <v>31888</v>
      </c>
      <c r="G1712" t="s">
        <v>31889</v>
      </c>
      <c r="H1712" t="s">
        <v>31890</v>
      </c>
      <c r="I1712" t="s">
        <v>31891</v>
      </c>
      <c r="J1712" t="s">
        <v>31892</v>
      </c>
      <c r="K1712" t="s">
        <v>31893</v>
      </c>
      <c r="L1712" t="s">
        <v>31894</v>
      </c>
      <c r="M1712" t="s">
        <v>31895</v>
      </c>
      <c r="N1712" t="s">
        <v>31896</v>
      </c>
      <c r="O1712">
        <f>-609.707687668207 -43.6520544334098 -735.95141827935</f>
        <v>-1389.3111603809668</v>
      </c>
      <c r="P1712">
        <f>-615.713598695206 -21.6090690877654 -420.255052639794</f>
        <v>-1057.5777204227654</v>
      </c>
      <c r="Q1712" t="s">
        <v>31897</v>
      </c>
      <c r="R1712" t="s">
        <v>31898</v>
      </c>
      <c r="S1712" t="s">
        <v>31899</v>
      </c>
      <c r="T1712" t="s">
        <v>31900</v>
      </c>
      <c r="U1712" t="s">
        <v>31901</v>
      </c>
      <c r="V1712" t="s">
        <v>31902</v>
      </c>
      <c r="W1712" t="s">
        <v>31903</v>
      </c>
      <c r="X1712" t="s">
        <v>31904</v>
      </c>
      <c r="Y1712" t="s">
        <v>31905</v>
      </c>
    </row>
    <row r="1713" spans="1:25" x14ac:dyDescent="0.3">
      <c r="A1713">
        <v>85600</v>
      </c>
      <c r="B1713" t="s">
        <v>31906</v>
      </c>
      <c r="C1713" t="s">
        <v>31907</v>
      </c>
      <c r="D1713" t="s">
        <v>31908</v>
      </c>
      <c r="E1713" t="s">
        <v>31909</v>
      </c>
      <c r="F1713" t="s">
        <v>31910</v>
      </c>
      <c r="G1713" t="s">
        <v>31911</v>
      </c>
      <c r="H1713" t="s">
        <v>31912</v>
      </c>
      <c r="I1713" t="s">
        <v>31913</v>
      </c>
      <c r="J1713" t="s">
        <v>31914</v>
      </c>
      <c r="K1713" t="s">
        <v>31915</v>
      </c>
      <c r="L1713" t="s">
        <v>31916</v>
      </c>
      <c r="M1713" t="s">
        <v>31917</v>
      </c>
      <c r="N1713" t="s">
        <v>31918</v>
      </c>
      <c r="O1713">
        <f>-608.062378915682 -44.9142111917306 -736.484049593289</f>
        <v>-1389.4606397007014</v>
      </c>
      <c r="P1713">
        <f>-614.689314138926 -23.0112199957923 -420.790301386461</f>
        <v>-1058.4908355211792</v>
      </c>
      <c r="Q1713" t="s">
        <v>31919</v>
      </c>
      <c r="R1713" t="s">
        <v>31920</v>
      </c>
      <c r="S1713" t="s">
        <v>31921</v>
      </c>
      <c r="T1713" t="s">
        <v>31922</v>
      </c>
      <c r="U1713" t="s">
        <v>31923</v>
      </c>
      <c r="V1713" t="s">
        <v>31924</v>
      </c>
      <c r="W1713" t="s">
        <v>31925</v>
      </c>
      <c r="X1713" t="s">
        <v>31926</v>
      </c>
      <c r="Y1713" t="s">
        <v>31927</v>
      </c>
    </row>
    <row r="1714" spans="1:25" x14ac:dyDescent="0.3">
      <c r="A1714">
        <v>85650</v>
      </c>
      <c r="B1714" t="s">
        <v>31928</v>
      </c>
      <c r="C1714" t="s">
        <v>31929</v>
      </c>
      <c r="D1714" t="s">
        <v>31930</v>
      </c>
      <c r="E1714" t="s">
        <v>31931</v>
      </c>
      <c r="F1714" t="s">
        <v>31932</v>
      </c>
      <c r="G1714" t="s">
        <v>31933</v>
      </c>
      <c r="H1714" t="s">
        <v>31934</v>
      </c>
      <c r="I1714" t="s">
        <v>31935</v>
      </c>
      <c r="J1714" t="s">
        <v>31936</v>
      </c>
      <c r="K1714" t="s">
        <v>31937</v>
      </c>
      <c r="L1714" t="s">
        <v>31938</v>
      </c>
      <c r="M1714" t="s">
        <v>31939</v>
      </c>
      <c r="N1714" t="s">
        <v>31940</v>
      </c>
      <c r="O1714">
        <f>-606.234078276786 -45.5326442646244 -736.327939829487</f>
        <v>-1388.0946623708974</v>
      </c>
      <c r="P1714">
        <f>-612.763679387735 -23.8558310228002 -420.616554207844</f>
        <v>-1057.2360646183793</v>
      </c>
      <c r="Q1714" t="s">
        <v>31941</v>
      </c>
      <c r="R1714" t="s">
        <v>31942</v>
      </c>
      <c r="S1714" t="s">
        <v>31943</v>
      </c>
      <c r="T1714" t="s">
        <v>31944</v>
      </c>
      <c r="U1714" t="s">
        <v>31945</v>
      </c>
      <c r="V1714" t="s">
        <v>31946</v>
      </c>
      <c r="W1714" t="s">
        <v>31947</v>
      </c>
      <c r="X1714" t="s">
        <v>31948</v>
      </c>
      <c r="Y1714" t="s">
        <v>31949</v>
      </c>
    </row>
    <row r="1715" spans="1:25" x14ac:dyDescent="0.3">
      <c r="A1715">
        <v>85700</v>
      </c>
      <c r="B1715" t="s">
        <v>31950</v>
      </c>
      <c r="C1715" t="s">
        <v>31951</v>
      </c>
      <c r="D1715" t="s">
        <v>31952</v>
      </c>
      <c r="E1715" t="s">
        <v>31953</v>
      </c>
      <c r="F1715" t="s">
        <v>31954</v>
      </c>
      <c r="G1715" t="s">
        <v>31955</v>
      </c>
      <c r="H1715" t="s">
        <v>31956</v>
      </c>
      <c r="I1715" t="s">
        <v>31957</v>
      </c>
      <c r="J1715" t="s">
        <v>31958</v>
      </c>
      <c r="K1715" t="s">
        <v>31959</v>
      </c>
      <c r="L1715" t="s">
        <v>31960</v>
      </c>
      <c r="M1715" t="s">
        <v>31961</v>
      </c>
      <c r="N1715" t="s">
        <v>31962</v>
      </c>
      <c r="O1715">
        <f>-605.538586226202 -45.4897321639726 -736.312236754864</f>
        <v>-1387.3405551450387</v>
      </c>
      <c r="P1715">
        <f>-611.68326511651 -24.179624186183 -420.568206112874</f>
        <v>-1056.4310954155671</v>
      </c>
      <c r="Q1715" t="s">
        <v>31963</v>
      </c>
      <c r="R1715" t="s">
        <v>31964</v>
      </c>
      <c r="S1715" t="s">
        <v>31965</v>
      </c>
      <c r="T1715" t="s">
        <v>31966</v>
      </c>
      <c r="U1715" t="s">
        <v>31967</v>
      </c>
      <c r="V1715" t="s">
        <v>31968</v>
      </c>
      <c r="W1715" t="s">
        <v>31969</v>
      </c>
      <c r="X1715" t="s">
        <v>31970</v>
      </c>
      <c r="Y1715" t="s">
        <v>31971</v>
      </c>
    </row>
    <row r="1716" spans="1:25" x14ac:dyDescent="0.3">
      <c r="A1716">
        <v>85750</v>
      </c>
      <c r="B1716" t="s">
        <v>31972</v>
      </c>
      <c r="C1716" t="s">
        <v>31973</v>
      </c>
      <c r="D1716" t="s">
        <v>31974</v>
      </c>
      <c r="E1716" t="s">
        <v>31975</v>
      </c>
      <c r="F1716" t="s">
        <v>31976</v>
      </c>
      <c r="G1716" t="s">
        <v>31977</v>
      </c>
      <c r="H1716" t="s">
        <v>31978</v>
      </c>
      <c r="I1716" t="s">
        <v>31979</v>
      </c>
      <c r="J1716" t="s">
        <v>31980</v>
      </c>
      <c r="K1716" t="s">
        <v>31981</v>
      </c>
      <c r="L1716" t="s">
        <v>31982</v>
      </c>
      <c r="M1716" t="s">
        <v>31983</v>
      </c>
      <c r="N1716" t="s">
        <v>31984</v>
      </c>
      <c r="O1716">
        <f>-603.990564231174 -44.677840568271 -736.324202696526</f>
        <v>-1384.9926074959708</v>
      </c>
      <c r="P1716">
        <f>-609.486298592715 -24.393651653307 -420.500706526147</f>
        <v>-1054.380656772169</v>
      </c>
      <c r="Q1716" t="s">
        <v>31985</v>
      </c>
      <c r="R1716" t="s">
        <v>31986</v>
      </c>
      <c r="S1716" t="s">
        <v>31987</v>
      </c>
      <c r="T1716" t="s">
        <v>31988</v>
      </c>
      <c r="U1716" t="s">
        <v>31989</v>
      </c>
      <c r="V1716" t="s">
        <v>31990</v>
      </c>
      <c r="W1716" t="s">
        <v>31991</v>
      </c>
      <c r="X1716" t="s">
        <v>31992</v>
      </c>
      <c r="Y1716" t="s">
        <v>31993</v>
      </c>
    </row>
    <row r="1717" spans="1:25" x14ac:dyDescent="0.3">
      <c r="A1717">
        <v>85800</v>
      </c>
      <c r="B1717" t="s">
        <v>31994</v>
      </c>
      <c r="C1717" t="s">
        <v>31995</v>
      </c>
      <c r="D1717" t="s">
        <v>31996</v>
      </c>
      <c r="E1717" t="s">
        <v>31997</v>
      </c>
      <c r="F1717" t="s">
        <v>31998</v>
      </c>
      <c r="G1717" t="s">
        <v>31999</v>
      </c>
      <c r="H1717" t="s">
        <v>32000</v>
      </c>
      <c r="I1717" t="s">
        <v>32001</v>
      </c>
      <c r="J1717" t="s">
        <v>32002</v>
      </c>
      <c r="K1717" t="s">
        <v>32003</v>
      </c>
      <c r="L1717" t="s">
        <v>32004</v>
      </c>
      <c r="M1717" t="s">
        <v>32005</v>
      </c>
      <c r="N1717" t="s">
        <v>32006</v>
      </c>
      <c r="O1717">
        <f>-603.616279214629 -44.0237696301319 -736.355569898765</f>
        <v>-1383.9956187435259</v>
      </c>
      <c r="P1717">
        <f>-608.716716170262 -24.4292973545557 -420.481764786424</f>
        <v>-1053.6277783112416</v>
      </c>
      <c r="Q1717" t="s">
        <v>32007</v>
      </c>
      <c r="R1717" t="s">
        <v>32008</v>
      </c>
      <c r="S1717" t="s">
        <v>32009</v>
      </c>
      <c r="T1717" t="s">
        <v>32010</v>
      </c>
      <c r="U1717" t="s">
        <v>32011</v>
      </c>
      <c r="V1717" t="s">
        <v>32012</v>
      </c>
      <c r="W1717" t="s">
        <v>32013</v>
      </c>
      <c r="X1717" t="s">
        <v>32014</v>
      </c>
      <c r="Y1717" t="s">
        <v>32015</v>
      </c>
    </row>
    <row r="1718" spans="1:25" x14ac:dyDescent="0.3">
      <c r="A1718">
        <v>85850</v>
      </c>
      <c r="B1718" t="s">
        <v>32016</v>
      </c>
      <c r="C1718" t="s">
        <v>32017</v>
      </c>
      <c r="D1718" t="s">
        <v>32018</v>
      </c>
      <c r="E1718" t="s">
        <v>32019</v>
      </c>
      <c r="F1718" t="s">
        <v>32020</v>
      </c>
      <c r="G1718" t="s">
        <v>32021</v>
      </c>
      <c r="H1718" t="s">
        <v>32022</v>
      </c>
      <c r="I1718" t="s">
        <v>32023</v>
      </c>
      <c r="J1718" t="s">
        <v>32024</v>
      </c>
      <c r="K1718" t="s">
        <v>32025</v>
      </c>
      <c r="L1718" t="s">
        <v>32026</v>
      </c>
      <c r="M1718" t="s">
        <v>32027</v>
      </c>
      <c r="N1718" t="s">
        <v>32028</v>
      </c>
      <c r="O1718">
        <f>-603.044562031615 -42.3589942964654 -736.276779249302</f>
        <v>-1381.6803355773823</v>
      </c>
      <c r="P1718">
        <f>-607.785838022843 -23.5684193447532 -420.348615095838</f>
        <v>-1051.7028724634342</v>
      </c>
      <c r="Q1718" t="s">
        <v>32029</v>
      </c>
      <c r="R1718" t="s">
        <v>32030</v>
      </c>
      <c r="S1718" t="s">
        <v>32031</v>
      </c>
      <c r="T1718" t="s">
        <v>32032</v>
      </c>
      <c r="U1718" t="s">
        <v>32033</v>
      </c>
      <c r="V1718" t="s">
        <v>32034</v>
      </c>
      <c r="W1718" t="s">
        <v>32035</v>
      </c>
      <c r="X1718" t="s">
        <v>32036</v>
      </c>
      <c r="Y1718" t="s">
        <v>32037</v>
      </c>
    </row>
    <row r="1719" spans="1:25" x14ac:dyDescent="0.3">
      <c r="A1719">
        <v>85900</v>
      </c>
      <c r="B1719" t="s">
        <v>32038</v>
      </c>
      <c r="C1719" t="s">
        <v>32039</v>
      </c>
      <c r="D1719" t="s">
        <v>32040</v>
      </c>
      <c r="E1719" t="s">
        <v>32041</v>
      </c>
      <c r="F1719" t="s">
        <v>32042</v>
      </c>
      <c r="G1719" t="s">
        <v>32043</v>
      </c>
      <c r="H1719" t="s">
        <v>32044</v>
      </c>
      <c r="I1719" t="s">
        <v>32045</v>
      </c>
      <c r="J1719" t="s">
        <v>32046</v>
      </c>
      <c r="K1719" t="s">
        <v>32047</v>
      </c>
      <c r="L1719" t="s">
        <v>32048</v>
      </c>
      <c r="M1719" t="s">
        <v>32049</v>
      </c>
      <c r="N1719" t="s">
        <v>32050</v>
      </c>
      <c r="O1719">
        <f>-602.84597559726 -41.30168629333 -736.225102390972</f>
        <v>-1380.372764281562</v>
      </c>
      <c r="P1719">
        <f>-607.339180746792 -23.0622403159962 -420.260995978099</f>
        <v>-1050.6624170408872</v>
      </c>
      <c r="Q1719" t="s">
        <v>32051</v>
      </c>
      <c r="R1719" t="s">
        <v>32052</v>
      </c>
      <c r="S1719" t="s">
        <v>32053</v>
      </c>
      <c r="T1719" t="s">
        <v>32054</v>
      </c>
      <c r="U1719" t="s">
        <v>32055</v>
      </c>
      <c r="V1719" t="s">
        <v>32056</v>
      </c>
      <c r="W1719" t="s">
        <v>32057</v>
      </c>
      <c r="X1719" t="s">
        <v>32058</v>
      </c>
      <c r="Y1719" t="s">
        <v>32059</v>
      </c>
    </row>
    <row r="1720" spans="1:25" x14ac:dyDescent="0.3">
      <c r="A1720">
        <v>85950</v>
      </c>
      <c r="B1720" t="s">
        <v>32060</v>
      </c>
      <c r="C1720" t="s">
        <v>32061</v>
      </c>
      <c r="D1720" t="s">
        <v>32062</v>
      </c>
      <c r="E1720" t="s">
        <v>32063</v>
      </c>
      <c r="F1720" t="s">
        <v>32064</v>
      </c>
      <c r="G1720" t="s">
        <v>32065</v>
      </c>
      <c r="H1720" t="s">
        <v>32066</v>
      </c>
      <c r="I1720" t="s">
        <v>32067</v>
      </c>
      <c r="J1720" t="s">
        <v>32068</v>
      </c>
      <c r="K1720" t="s">
        <v>32069</v>
      </c>
      <c r="L1720" t="s">
        <v>32070</v>
      </c>
      <c r="M1720" t="s">
        <v>32071</v>
      </c>
      <c r="N1720" t="s">
        <v>32072</v>
      </c>
      <c r="O1720">
        <f>-603.138978497906 -39.3073548222076 -736.092618732091</f>
        <v>-1378.5389520522044</v>
      </c>
      <c r="P1720">
        <f>-607.281412494541 -21.6128660242873 -420.092766076705</f>
        <v>-1048.9870445955332</v>
      </c>
      <c r="Q1720" t="s">
        <v>32073</v>
      </c>
      <c r="R1720" t="s">
        <v>32074</v>
      </c>
      <c r="S1720" t="s">
        <v>32075</v>
      </c>
      <c r="T1720" t="s">
        <v>32076</v>
      </c>
      <c r="U1720" t="s">
        <v>32077</v>
      </c>
      <c r="V1720" t="s">
        <v>32078</v>
      </c>
      <c r="W1720" t="s">
        <v>32079</v>
      </c>
      <c r="X1720" t="s">
        <v>32080</v>
      </c>
      <c r="Y1720" t="s">
        <v>32081</v>
      </c>
    </row>
    <row r="1721" spans="1:25" x14ac:dyDescent="0.3">
      <c r="A1721">
        <v>86000</v>
      </c>
      <c r="B1721" t="s">
        <v>32082</v>
      </c>
      <c r="C1721" t="s">
        <v>32083</v>
      </c>
      <c r="D1721" t="s">
        <v>32084</v>
      </c>
      <c r="E1721" t="s">
        <v>32085</v>
      </c>
      <c r="F1721" t="s">
        <v>32086</v>
      </c>
      <c r="G1721" t="s">
        <v>32087</v>
      </c>
      <c r="H1721" t="s">
        <v>32088</v>
      </c>
      <c r="I1721" t="s">
        <v>32089</v>
      </c>
      <c r="J1721" t="s">
        <v>32090</v>
      </c>
      <c r="K1721" t="s">
        <v>32091</v>
      </c>
      <c r="L1721" t="s">
        <v>32092</v>
      </c>
      <c r="M1721" t="s">
        <v>32093</v>
      </c>
      <c r="N1721" t="s">
        <v>32094</v>
      </c>
      <c r="O1721">
        <f>-603.281047806497 -38.2125050402265 -736.065387531634</f>
        <v>-1377.5589403783574</v>
      </c>
      <c r="P1721">
        <f>-607.218851723287 -20.6928311716424 -420.05314489547</f>
        <v>-1047.9648277903993</v>
      </c>
      <c r="Q1721" t="s">
        <v>32095</v>
      </c>
      <c r="R1721" t="s">
        <v>32096</v>
      </c>
      <c r="S1721" t="s">
        <v>32097</v>
      </c>
      <c r="T1721" t="s">
        <v>32098</v>
      </c>
      <c r="U1721" t="s">
        <v>32099</v>
      </c>
      <c r="V1721" t="s">
        <v>32100</v>
      </c>
      <c r="W1721" t="s">
        <v>32101</v>
      </c>
      <c r="X1721" t="s">
        <v>32102</v>
      </c>
      <c r="Y1721" t="s">
        <v>32103</v>
      </c>
    </row>
    <row r="1722" spans="1:25" x14ac:dyDescent="0.3">
      <c r="A1722">
        <v>86050</v>
      </c>
      <c r="B1722" t="s">
        <v>32104</v>
      </c>
      <c r="C1722" t="s">
        <v>32105</v>
      </c>
      <c r="D1722" t="s">
        <v>32106</v>
      </c>
      <c r="E1722" t="s">
        <v>32107</v>
      </c>
      <c r="F1722" t="s">
        <v>32108</v>
      </c>
      <c r="G1722" t="s">
        <v>32109</v>
      </c>
      <c r="H1722" t="s">
        <v>32110</v>
      </c>
      <c r="I1722" t="s">
        <v>32111</v>
      </c>
      <c r="J1722" t="s">
        <v>32112</v>
      </c>
      <c r="K1722" t="s">
        <v>32113</v>
      </c>
      <c r="L1722" t="s">
        <v>32114</v>
      </c>
      <c r="M1722" t="s">
        <v>32115</v>
      </c>
      <c r="N1722" t="s">
        <v>32116</v>
      </c>
      <c r="O1722">
        <f>-604.261790261052 -35.9819289401241 -735.86393461994</f>
        <v>-1376.1076538211162</v>
      </c>
      <c r="P1722">
        <f>-608.107507413254 -18.4631143125391 -419.850612407002</f>
        <v>-1046.4212341327952</v>
      </c>
      <c r="Q1722" t="s">
        <v>32117</v>
      </c>
      <c r="R1722" t="s">
        <v>32118</v>
      </c>
      <c r="S1722" t="s">
        <v>32119</v>
      </c>
      <c r="T1722" t="s">
        <v>32120</v>
      </c>
      <c r="U1722" t="s">
        <v>32121</v>
      </c>
      <c r="V1722" t="s">
        <v>32122</v>
      </c>
      <c r="W1722" t="s">
        <v>32123</v>
      </c>
      <c r="X1722" t="s">
        <v>32124</v>
      </c>
      <c r="Y1722" t="s">
        <v>32125</v>
      </c>
    </row>
    <row r="1723" spans="1:25" x14ac:dyDescent="0.3">
      <c r="A1723">
        <v>86100</v>
      </c>
      <c r="B1723" t="s">
        <v>32126</v>
      </c>
      <c r="C1723" t="s">
        <v>32127</v>
      </c>
      <c r="D1723" t="s">
        <v>32128</v>
      </c>
      <c r="E1723" t="s">
        <v>32129</v>
      </c>
      <c r="F1723" t="s">
        <v>32130</v>
      </c>
      <c r="G1723" t="s">
        <v>32131</v>
      </c>
      <c r="H1723" t="s">
        <v>32132</v>
      </c>
      <c r="I1723" t="s">
        <v>32133</v>
      </c>
      <c r="J1723" t="s">
        <v>32134</v>
      </c>
      <c r="K1723" t="s">
        <v>32135</v>
      </c>
      <c r="L1723" t="s">
        <v>32136</v>
      </c>
      <c r="M1723" t="s">
        <v>32137</v>
      </c>
      <c r="N1723" t="s">
        <v>32138</v>
      </c>
      <c r="O1723">
        <f>-604.88223364037 -34.7736191705981 -735.636675747471</f>
        <v>-1375.2925285584392</v>
      </c>
      <c r="P1723">
        <f>-608.547163286137 -17.0888720851519 -419.630300402847</f>
        <v>-1045.266335774136</v>
      </c>
      <c r="Q1723" t="s">
        <v>32139</v>
      </c>
      <c r="R1723" t="s">
        <v>32140</v>
      </c>
      <c r="S1723" t="s">
        <v>32141</v>
      </c>
      <c r="T1723" t="s">
        <v>32142</v>
      </c>
      <c r="U1723" t="s">
        <v>32143</v>
      </c>
      <c r="V1723" t="s">
        <v>32144</v>
      </c>
      <c r="W1723" t="s">
        <v>32145</v>
      </c>
      <c r="X1723" t="s">
        <v>32146</v>
      </c>
      <c r="Y1723" t="s">
        <v>32147</v>
      </c>
    </row>
    <row r="1724" spans="1:25" x14ac:dyDescent="0.3">
      <c r="A1724">
        <v>86150</v>
      </c>
      <c r="B1724" t="s">
        <v>32148</v>
      </c>
      <c r="C1724" t="s">
        <v>32149</v>
      </c>
      <c r="D1724" t="s">
        <v>32150</v>
      </c>
      <c r="E1724" t="s">
        <v>32151</v>
      </c>
      <c r="F1724" t="s">
        <v>32152</v>
      </c>
      <c r="G1724" t="s">
        <v>32153</v>
      </c>
      <c r="H1724" t="s">
        <v>32154</v>
      </c>
      <c r="I1724" t="s">
        <v>32155</v>
      </c>
      <c r="J1724" t="s">
        <v>32156</v>
      </c>
      <c r="K1724" t="s">
        <v>32157</v>
      </c>
      <c r="L1724" t="s">
        <v>32158</v>
      </c>
      <c r="M1724" t="s">
        <v>32159</v>
      </c>
      <c r="N1724" t="s">
        <v>32160</v>
      </c>
      <c r="O1724">
        <f>-606.293456619564 -32.4973451695337 -735.157629425038</f>
        <v>-1373.9484312141358</v>
      </c>
      <c r="P1724">
        <f>-610.042910918013 -14.412501014521 -419.174928831444</f>
        <v>-1043.630340763978</v>
      </c>
      <c r="Q1724" t="s">
        <v>32161</v>
      </c>
      <c r="R1724" t="s">
        <v>32162</v>
      </c>
      <c r="S1724" t="s">
        <v>32163</v>
      </c>
      <c r="T1724" t="s">
        <v>32164</v>
      </c>
      <c r="U1724" t="s">
        <v>32165</v>
      </c>
      <c r="V1724" t="s">
        <v>32166</v>
      </c>
      <c r="W1724" t="s">
        <v>32167</v>
      </c>
      <c r="X1724" t="s">
        <v>32168</v>
      </c>
      <c r="Y1724" t="s">
        <v>32169</v>
      </c>
    </row>
    <row r="1725" spans="1:25" x14ac:dyDescent="0.3">
      <c r="A1725">
        <v>86200</v>
      </c>
      <c r="B1725" t="s">
        <v>32170</v>
      </c>
      <c r="C1725" t="s">
        <v>32171</v>
      </c>
      <c r="D1725" t="s">
        <v>32172</v>
      </c>
      <c r="E1725" t="s">
        <v>32173</v>
      </c>
      <c r="F1725" t="s">
        <v>32174</v>
      </c>
      <c r="G1725" t="s">
        <v>32175</v>
      </c>
      <c r="H1725" t="s">
        <v>32176</v>
      </c>
      <c r="I1725" t="s">
        <v>32177</v>
      </c>
      <c r="J1725" t="s">
        <v>32178</v>
      </c>
      <c r="K1725" t="s">
        <v>32179</v>
      </c>
      <c r="L1725" t="s">
        <v>32180</v>
      </c>
      <c r="M1725" t="s">
        <v>32181</v>
      </c>
      <c r="N1725" t="s">
        <v>32182</v>
      </c>
      <c r="O1725">
        <f>-606.750125121858 -31.1022112808371 -734.994169389048</f>
        <v>-1372.8465057917431</v>
      </c>
      <c r="P1725">
        <f>-610.169292863902 -12.878134228197 -419.015656866359</f>
        <v>-1042.063083958458</v>
      </c>
      <c r="Q1725" t="s">
        <v>32183</v>
      </c>
      <c r="R1725" t="s">
        <v>32184</v>
      </c>
      <c r="S1725" t="s">
        <v>32185</v>
      </c>
      <c r="T1725" t="s">
        <v>32186</v>
      </c>
      <c r="U1725" t="s">
        <v>32187</v>
      </c>
      <c r="V1725" t="s">
        <v>32188</v>
      </c>
      <c r="W1725" t="s">
        <v>32189</v>
      </c>
      <c r="X1725" t="s">
        <v>32190</v>
      </c>
      <c r="Y1725" t="s">
        <v>32191</v>
      </c>
    </row>
    <row r="1726" spans="1:25" x14ac:dyDescent="0.3">
      <c r="A1726">
        <v>86250</v>
      </c>
      <c r="B1726" t="s">
        <v>32192</v>
      </c>
      <c r="C1726" t="s">
        <v>32193</v>
      </c>
      <c r="D1726" t="s">
        <v>32194</v>
      </c>
      <c r="E1726" t="s">
        <v>32195</v>
      </c>
      <c r="F1726" t="s">
        <v>32196</v>
      </c>
      <c r="G1726" t="s">
        <v>32197</v>
      </c>
      <c r="H1726" t="s">
        <v>32198</v>
      </c>
      <c r="I1726" t="s">
        <v>32199</v>
      </c>
      <c r="J1726" t="s">
        <v>32200</v>
      </c>
      <c r="K1726" t="s">
        <v>32201</v>
      </c>
      <c r="L1726" t="s">
        <v>32202</v>
      </c>
      <c r="M1726" t="s">
        <v>32203</v>
      </c>
      <c r="N1726" t="s">
        <v>32204</v>
      </c>
      <c r="O1726">
        <f>-607.68171803943 -28.6585778934837 -734.909598125318</f>
        <v>-1371.2498940582318</v>
      </c>
      <c r="P1726">
        <f>-611.136777450855 -9.95070881098741 -418.95984688194</f>
        <v>-1040.0473331437825</v>
      </c>
      <c r="Q1726" t="s">
        <v>32205</v>
      </c>
      <c r="R1726" t="s">
        <v>32206</v>
      </c>
      <c r="S1726" t="s">
        <v>32207</v>
      </c>
      <c r="T1726" t="s">
        <v>32208</v>
      </c>
      <c r="U1726" t="s">
        <v>32209</v>
      </c>
      <c r="V1726" t="s">
        <v>32210</v>
      </c>
      <c r="W1726" t="s">
        <v>32211</v>
      </c>
      <c r="X1726" t="s">
        <v>32212</v>
      </c>
      <c r="Y1726" t="s">
        <v>32213</v>
      </c>
    </row>
    <row r="1727" spans="1:25" x14ac:dyDescent="0.3">
      <c r="A1727">
        <v>86300</v>
      </c>
      <c r="B1727" t="s">
        <v>32214</v>
      </c>
      <c r="C1727" t="s">
        <v>32215</v>
      </c>
      <c r="D1727" t="s">
        <v>32216</v>
      </c>
      <c r="E1727" t="s">
        <v>32217</v>
      </c>
      <c r="F1727" t="s">
        <v>32218</v>
      </c>
      <c r="G1727" t="s">
        <v>32219</v>
      </c>
      <c r="H1727" t="s">
        <v>32220</v>
      </c>
      <c r="I1727" t="s">
        <v>32221</v>
      </c>
      <c r="J1727" t="s">
        <v>32222</v>
      </c>
      <c r="K1727" t="s">
        <v>32223</v>
      </c>
      <c r="L1727" t="s">
        <v>32224</v>
      </c>
      <c r="M1727" t="s">
        <v>32225</v>
      </c>
      <c r="N1727" t="s">
        <v>32226</v>
      </c>
      <c r="O1727">
        <f>-607.770387115143 -27.5338175746326 -734.865169695757</f>
        <v>-1370.1693743855326</v>
      </c>
      <c r="P1727">
        <f>-611.645431791142 -8.49172555813857 -418.940180622134</f>
        <v>-1039.0773379714146</v>
      </c>
      <c r="Q1727" t="s">
        <v>32227</v>
      </c>
      <c r="R1727" t="s">
        <v>32228</v>
      </c>
      <c r="S1727" t="s">
        <v>32229</v>
      </c>
      <c r="T1727" t="s">
        <v>32230</v>
      </c>
      <c r="U1727" t="s">
        <v>32231</v>
      </c>
      <c r="V1727" t="s">
        <v>32232</v>
      </c>
      <c r="W1727" t="s">
        <v>32233</v>
      </c>
      <c r="X1727" t="s">
        <v>32234</v>
      </c>
      <c r="Y1727" t="s">
        <v>32235</v>
      </c>
    </row>
    <row r="1728" spans="1:25" x14ac:dyDescent="0.3">
      <c r="A1728">
        <v>86350</v>
      </c>
      <c r="B1728" t="s">
        <v>32236</v>
      </c>
      <c r="C1728" t="s">
        <v>32237</v>
      </c>
      <c r="D1728" t="s">
        <v>32238</v>
      </c>
      <c r="E1728" t="s">
        <v>32239</v>
      </c>
      <c r="F1728" t="s">
        <v>32240</v>
      </c>
      <c r="G1728" t="s">
        <v>32241</v>
      </c>
      <c r="H1728" t="s">
        <v>32242</v>
      </c>
      <c r="I1728" t="s">
        <v>32243</v>
      </c>
      <c r="J1728" t="s">
        <v>32244</v>
      </c>
      <c r="K1728" t="s">
        <v>32245</v>
      </c>
      <c r="L1728" t="s">
        <v>32246</v>
      </c>
      <c r="M1728" t="s">
        <v>32247</v>
      </c>
      <c r="N1728" t="s">
        <v>32248</v>
      </c>
      <c r="O1728">
        <f>-608.539073944038 -25.5382622785248 -734.461224440352</f>
        <v>-1368.5385606629147</v>
      </c>
      <c r="P1728">
        <f>-612.835176541978 -6.04648149524496 -418.56915480182</f>
        <v>-1037.450812839043</v>
      </c>
      <c r="Q1728" t="s">
        <v>32249</v>
      </c>
      <c r="R1728" t="s">
        <v>32250</v>
      </c>
      <c r="S1728" t="s">
        <v>32251</v>
      </c>
      <c r="T1728" t="s">
        <v>32252</v>
      </c>
      <c r="U1728" t="s">
        <v>32253</v>
      </c>
      <c r="V1728" t="s">
        <v>32254</v>
      </c>
      <c r="W1728" t="s">
        <v>32255</v>
      </c>
      <c r="X1728" t="s">
        <v>32256</v>
      </c>
      <c r="Y1728" t="s">
        <v>32257</v>
      </c>
    </row>
    <row r="1729" spans="1:25" x14ac:dyDescent="0.3">
      <c r="A1729">
        <v>86400</v>
      </c>
      <c r="B1729" t="s">
        <v>32258</v>
      </c>
      <c r="C1729" t="s">
        <v>32259</v>
      </c>
      <c r="D1729" t="s">
        <v>32260</v>
      </c>
      <c r="E1729" t="s">
        <v>32261</v>
      </c>
      <c r="F1729" t="s">
        <v>32262</v>
      </c>
      <c r="G1729" t="s">
        <v>32263</v>
      </c>
      <c r="H1729" t="s">
        <v>32264</v>
      </c>
      <c r="I1729" t="s">
        <v>32265</v>
      </c>
      <c r="J1729" t="s">
        <v>32266</v>
      </c>
      <c r="K1729" t="s">
        <v>32267</v>
      </c>
      <c r="L1729" t="s">
        <v>32268</v>
      </c>
      <c r="M1729" t="s">
        <v>32269</v>
      </c>
      <c r="N1729" t="s">
        <v>32270</v>
      </c>
      <c r="O1729">
        <f>-609.203954601451 -24.5727559143913 -734.144746257285</f>
        <v>-1367.9214567731274</v>
      </c>
      <c r="P1729">
        <f>-613.241453521817 -5.20613785003457 -418.241552011817</f>
        <v>-1036.6891433836686</v>
      </c>
      <c r="Q1729" t="s">
        <v>32271</v>
      </c>
      <c r="R1729" t="s">
        <v>32272</v>
      </c>
      <c r="S1729" t="s">
        <v>32273</v>
      </c>
      <c r="T1729" t="s">
        <v>32274</v>
      </c>
      <c r="U1729" t="s">
        <v>32275</v>
      </c>
      <c r="V1729" t="s">
        <v>32276</v>
      </c>
      <c r="W1729" t="s">
        <v>32277</v>
      </c>
      <c r="X1729" t="s">
        <v>32278</v>
      </c>
      <c r="Y1729" t="s">
        <v>32279</v>
      </c>
    </row>
    <row r="1730" spans="1:25" x14ac:dyDescent="0.3">
      <c r="A1730">
        <v>86450</v>
      </c>
      <c r="B1730" t="s">
        <v>32280</v>
      </c>
      <c r="C1730" t="s">
        <v>32281</v>
      </c>
      <c r="D1730" t="s">
        <v>32282</v>
      </c>
      <c r="E1730" t="s">
        <v>32283</v>
      </c>
      <c r="F1730" t="s">
        <v>32284</v>
      </c>
      <c r="G1730" t="s">
        <v>32285</v>
      </c>
      <c r="H1730" t="s">
        <v>32286</v>
      </c>
      <c r="I1730" t="s">
        <v>32287</v>
      </c>
      <c r="J1730" t="s">
        <v>32288</v>
      </c>
      <c r="K1730" t="s">
        <v>32289</v>
      </c>
      <c r="L1730" t="s">
        <v>32290</v>
      </c>
      <c r="M1730" t="s">
        <v>32291</v>
      </c>
      <c r="N1730" t="s">
        <v>32292</v>
      </c>
      <c r="O1730">
        <f>-610.918738952908 -23.6509755382115 -733.313274782758</f>
        <v>-1367.8829892738775</v>
      </c>
      <c r="P1730">
        <f>-614.33518286239 -3.62110608434068 -417.444185551775</f>
        <v>-1035.4004744985057</v>
      </c>
      <c r="Q1730" t="s">
        <v>32293</v>
      </c>
      <c r="R1730" t="s">
        <v>32294</v>
      </c>
      <c r="S1730" t="s">
        <v>32295</v>
      </c>
      <c r="T1730" t="s">
        <v>32296</v>
      </c>
      <c r="U1730" t="s">
        <v>32297</v>
      </c>
      <c r="V1730" t="s">
        <v>32298</v>
      </c>
      <c r="W1730" t="s">
        <v>32299</v>
      </c>
      <c r="X1730" t="s">
        <v>32300</v>
      </c>
      <c r="Y1730" t="s">
        <v>32301</v>
      </c>
    </row>
    <row r="1731" spans="1:25" x14ac:dyDescent="0.3">
      <c r="A1731">
        <v>86500</v>
      </c>
      <c r="B1731" t="s">
        <v>32302</v>
      </c>
      <c r="C1731" t="s">
        <v>32303</v>
      </c>
      <c r="D1731" t="s">
        <v>32304</v>
      </c>
      <c r="E1731" t="s">
        <v>32305</v>
      </c>
      <c r="F1731" t="s">
        <v>32306</v>
      </c>
      <c r="G1731" t="s">
        <v>32307</v>
      </c>
      <c r="H1731" t="s">
        <v>32308</v>
      </c>
      <c r="I1731" t="s">
        <v>32309</v>
      </c>
      <c r="J1731" t="s">
        <v>32310</v>
      </c>
      <c r="K1731" t="s">
        <v>32311</v>
      </c>
      <c r="L1731" t="s">
        <v>32312</v>
      </c>
      <c r="M1731" t="s">
        <v>32313</v>
      </c>
      <c r="N1731" t="s">
        <v>32314</v>
      </c>
      <c r="O1731">
        <f>-611.832085007343 -23.6064067074506 -732.713084031062</f>
        <v>-1368.1515757458556</v>
      </c>
      <c r="P1731">
        <f>-614.780004632125 -3.12507706188489 -416.868088447373</f>
        <v>-1034.7731701413829</v>
      </c>
      <c r="Q1731" t="s">
        <v>32315</v>
      </c>
      <c r="R1731" t="s">
        <v>32316</v>
      </c>
      <c r="S1731" t="s">
        <v>32317</v>
      </c>
      <c r="T1731" t="s">
        <v>32318</v>
      </c>
      <c r="U1731" t="s">
        <v>32319</v>
      </c>
      <c r="V1731" t="s">
        <v>32320</v>
      </c>
      <c r="W1731" t="s">
        <v>32321</v>
      </c>
      <c r="X1731" t="s">
        <v>32322</v>
      </c>
      <c r="Y1731" t="s">
        <v>32323</v>
      </c>
    </row>
    <row r="1732" spans="1:25" x14ac:dyDescent="0.3">
      <c r="A1732">
        <v>86550</v>
      </c>
      <c r="B1732" t="s">
        <v>32324</v>
      </c>
      <c r="C1732" t="s">
        <v>32325</v>
      </c>
      <c r="D1732" t="s">
        <v>32326</v>
      </c>
      <c r="E1732" t="s">
        <v>32327</v>
      </c>
      <c r="F1732" t="s">
        <v>32328</v>
      </c>
      <c r="G1732" t="s">
        <v>32329</v>
      </c>
      <c r="H1732" t="s">
        <v>32330</v>
      </c>
      <c r="I1732" t="s">
        <v>32331</v>
      </c>
      <c r="J1732" t="s">
        <v>32332</v>
      </c>
      <c r="K1732" t="s">
        <v>32333</v>
      </c>
      <c r="L1732" t="s">
        <v>32334</v>
      </c>
      <c r="M1732" t="s">
        <v>32335</v>
      </c>
      <c r="N1732" t="s">
        <v>32336</v>
      </c>
      <c r="O1732">
        <f>-613.401704410475 -23.9543052078627 -731.36904176174</f>
        <v>-1368.7250513800777</v>
      </c>
      <c r="P1732">
        <f>-616.206562586326 -1.72376494155128 -415.64114608719</f>
        <v>-1033.5714736150671</v>
      </c>
      <c r="Q1732" t="s">
        <v>32337</v>
      </c>
      <c r="R1732" t="s">
        <v>32338</v>
      </c>
      <c r="S1732" t="s">
        <v>32339</v>
      </c>
      <c r="T1732" t="s">
        <v>32340</v>
      </c>
      <c r="U1732" t="s">
        <v>32341</v>
      </c>
      <c r="V1732" t="s">
        <v>32342</v>
      </c>
      <c r="W1732" t="s">
        <v>32343</v>
      </c>
      <c r="X1732" t="s">
        <v>32344</v>
      </c>
      <c r="Y1732" t="s">
        <v>32345</v>
      </c>
    </row>
    <row r="1733" spans="1:25" x14ac:dyDescent="0.3">
      <c r="A1733">
        <v>86600</v>
      </c>
      <c r="B1733" t="s">
        <v>32346</v>
      </c>
      <c r="C1733" t="s">
        <v>32347</v>
      </c>
      <c r="D1733" t="s">
        <v>32348</v>
      </c>
      <c r="E1733" t="s">
        <v>32349</v>
      </c>
      <c r="F1733" t="s">
        <v>32350</v>
      </c>
      <c r="G1733" t="s">
        <v>32351</v>
      </c>
      <c r="H1733" t="s">
        <v>32352</v>
      </c>
      <c r="I1733" t="s">
        <v>32353</v>
      </c>
      <c r="J1733" t="s">
        <v>32354</v>
      </c>
      <c r="K1733" t="s">
        <v>32355</v>
      </c>
      <c r="L1733" t="s">
        <v>32356</v>
      </c>
      <c r="M1733" t="s">
        <v>32357</v>
      </c>
      <c r="N1733" t="s">
        <v>32358</v>
      </c>
      <c r="O1733">
        <f>-613.987788953047 -24.2001714474268 -730.609962149271</f>
        <v>-1368.7979225497447</v>
      </c>
      <c r="P1733">
        <f>-616.807319659698 -0.881577437574151 -414.960653470171</f>
        <v>-1032.6495505674432</v>
      </c>
      <c r="Q1733" t="s">
        <v>32359</v>
      </c>
      <c r="R1733" t="s">
        <v>32360</v>
      </c>
      <c r="S1733" t="s">
        <v>32361</v>
      </c>
      <c r="T1733" t="s">
        <v>32362</v>
      </c>
      <c r="U1733" t="s">
        <v>32363</v>
      </c>
      <c r="V1733" t="s">
        <v>32364</v>
      </c>
      <c r="W1733" t="s">
        <v>32365</v>
      </c>
      <c r="X1733" t="s">
        <v>32366</v>
      </c>
      <c r="Y1733" t="s">
        <v>32367</v>
      </c>
    </row>
    <row r="1734" spans="1:25" x14ac:dyDescent="0.3">
      <c r="A1734">
        <v>86650</v>
      </c>
      <c r="B1734" t="s">
        <v>32368</v>
      </c>
      <c r="C1734" t="s">
        <v>32369</v>
      </c>
      <c r="D1734" t="s">
        <v>32370</v>
      </c>
      <c r="E1734" t="s">
        <v>32371</v>
      </c>
      <c r="F1734" t="s">
        <v>32372</v>
      </c>
      <c r="G1734" t="s">
        <v>32373</v>
      </c>
      <c r="H1734" t="s">
        <v>32374</v>
      </c>
      <c r="I1734" t="s">
        <v>32375</v>
      </c>
      <c r="J1734" t="s">
        <v>32376</v>
      </c>
      <c r="K1734" t="s">
        <v>32377</v>
      </c>
      <c r="L1734" t="s">
        <v>32378</v>
      </c>
      <c r="M1734" t="s">
        <v>32379</v>
      </c>
      <c r="N1734" t="s">
        <v>32380</v>
      </c>
      <c r="O1734">
        <f>-615.229271037018 -24.2188456387523 -729.361053039946</f>
        <v>-1368.8091697157163</v>
      </c>
      <c r="P1734" t="s">
        <v>32381</v>
      </c>
      <c r="Q1734" t="s">
        <v>32382</v>
      </c>
      <c r="R1734" t="s">
        <v>32383</v>
      </c>
      <c r="S1734" t="s">
        <v>32384</v>
      </c>
      <c r="T1734" t="s">
        <v>32385</v>
      </c>
      <c r="U1734" t="s">
        <v>32386</v>
      </c>
      <c r="V1734" t="s">
        <v>32387</v>
      </c>
      <c r="W1734" t="s">
        <v>32388</v>
      </c>
      <c r="X1734" t="s">
        <v>32389</v>
      </c>
      <c r="Y1734" t="s">
        <v>32390</v>
      </c>
    </row>
    <row r="1735" spans="1:25" x14ac:dyDescent="0.3">
      <c r="A1735">
        <v>86700</v>
      </c>
      <c r="B1735" t="s">
        <v>32391</v>
      </c>
      <c r="C1735" t="s">
        <v>32392</v>
      </c>
      <c r="D1735" t="s">
        <v>32393</v>
      </c>
      <c r="E1735" t="s">
        <v>32394</v>
      </c>
      <c r="F1735" t="s">
        <v>32395</v>
      </c>
      <c r="G1735" t="s">
        <v>32396</v>
      </c>
      <c r="H1735" t="s">
        <v>32397</v>
      </c>
      <c r="I1735" t="s">
        <v>32398</v>
      </c>
      <c r="J1735" t="s">
        <v>32399</v>
      </c>
      <c r="K1735" t="s">
        <v>32400</v>
      </c>
      <c r="L1735" t="s">
        <v>32401</v>
      </c>
      <c r="M1735" t="s">
        <v>32402</v>
      </c>
      <c r="N1735" t="s">
        <v>32403</v>
      </c>
      <c r="O1735">
        <f>-615.734934266551 -23.8213576860592 -728.953921624999</f>
        <v>-1368.5102135776092</v>
      </c>
      <c r="P1735" t="s">
        <v>32404</v>
      </c>
      <c r="Q1735" t="s">
        <v>32405</v>
      </c>
      <c r="R1735" t="s">
        <v>32406</v>
      </c>
      <c r="S1735" t="s">
        <v>32407</v>
      </c>
      <c r="T1735" t="s">
        <v>32408</v>
      </c>
      <c r="U1735" t="s">
        <v>32409</v>
      </c>
      <c r="V1735" t="s">
        <v>32410</v>
      </c>
      <c r="W1735" t="s">
        <v>32411</v>
      </c>
      <c r="X1735" t="s">
        <v>32412</v>
      </c>
      <c r="Y1735" t="s">
        <v>32413</v>
      </c>
    </row>
    <row r="1736" spans="1:25" x14ac:dyDescent="0.3">
      <c r="A1736">
        <v>86750</v>
      </c>
      <c r="B1736" t="s">
        <v>32414</v>
      </c>
      <c r="C1736" t="s">
        <v>32415</v>
      </c>
      <c r="D1736" t="s">
        <v>32416</v>
      </c>
      <c r="E1736" t="s">
        <v>32417</v>
      </c>
      <c r="F1736" t="s">
        <v>32418</v>
      </c>
      <c r="G1736" t="s">
        <v>32419</v>
      </c>
      <c r="H1736" t="s">
        <v>32420</v>
      </c>
      <c r="I1736" t="s">
        <v>32421</v>
      </c>
      <c r="J1736" t="s">
        <v>32422</v>
      </c>
      <c r="K1736" t="s">
        <v>32423</v>
      </c>
      <c r="L1736" t="s">
        <v>32424</v>
      </c>
      <c r="M1736" t="s">
        <v>32425</v>
      </c>
      <c r="N1736" t="s">
        <v>32426</v>
      </c>
      <c r="O1736">
        <f>-616.625111732817 -23.04290531379 -728.607654888043</f>
        <v>-1368.2756719346501</v>
      </c>
      <c r="P1736" t="s">
        <v>32427</v>
      </c>
      <c r="Q1736" t="s">
        <v>32428</v>
      </c>
      <c r="R1736" t="s">
        <v>32429</v>
      </c>
      <c r="S1736" t="s">
        <v>32430</v>
      </c>
      <c r="T1736" t="s">
        <v>32431</v>
      </c>
      <c r="U1736" t="s">
        <v>32432</v>
      </c>
      <c r="V1736" t="s">
        <v>32433</v>
      </c>
      <c r="W1736" t="s">
        <v>32434</v>
      </c>
      <c r="X1736" t="s">
        <v>32435</v>
      </c>
      <c r="Y1736" t="s">
        <v>32436</v>
      </c>
    </row>
    <row r="1737" spans="1:25" x14ac:dyDescent="0.3">
      <c r="A1737">
        <v>86800</v>
      </c>
      <c r="B1737" t="s">
        <v>32437</v>
      </c>
      <c r="C1737" t="s">
        <v>32438</v>
      </c>
      <c r="D1737" t="s">
        <v>32439</v>
      </c>
      <c r="E1737" t="s">
        <v>32440</v>
      </c>
      <c r="F1737" t="s">
        <v>32441</v>
      </c>
      <c r="G1737" t="s">
        <v>32442</v>
      </c>
      <c r="H1737" t="s">
        <v>32443</v>
      </c>
      <c r="I1737" t="s">
        <v>32444</v>
      </c>
      <c r="J1737" t="s">
        <v>32445</v>
      </c>
      <c r="K1737" t="s">
        <v>32446</v>
      </c>
      <c r="L1737" t="s">
        <v>32447</v>
      </c>
      <c r="M1737" t="s">
        <v>32448</v>
      </c>
      <c r="N1737" t="s">
        <v>32449</v>
      </c>
      <c r="O1737">
        <f>-617.30128203088 -22.6917979182476 -728.47677138946</f>
        <v>-1368.4698513385877</v>
      </c>
      <c r="P1737" t="s">
        <v>32450</v>
      </c>
      <c r="Q1737" t="s">
        <v>32451</v>
      </c>
      <c r="R1737" t="s">
        <v>32452</v>
      </c>
      <c r="S1737" t="s">
        <v>32453</v>
      </c>
      <c r="T1737" t="s">
        <v>32454</v>
      </c>
      <c r="U1737" t="s">
        <v>32455</v>
      </c>
      <c r="V1737" t="s">
        <v>32456</v>
      </c>
      <c r="W1737" t="s">
        <v>32457</v>
      </c>
      <c r="X1737" t="s">
        <v>32458</v>
      </c>
      <c r="Y1737" t="s">
        <v>32459</v>
      </c>
    </row>
    <row r="1738" spans="1:25" x14ac:dyDescent="0.3">
      <c r="A1738">
        <v>86850</v>
      </c>
      <c r="B1738" t="s">
        <v>32460</v>
      </c>
      <c r="C1738" t="s">
        <v>32461</v>
      </c>
      <c r="D1738" t="s">
        <v>32462</v>
      </c>
      <c r="E1738" t="s">
        <v>32463</v>
      </c>
      <c r="F1738" t="s">
        <v>32464</v>
      </c>
      <c r="G1738" t="s">
        <v>32465</v>
      </c>
      <c r="H1738" t="s">
        <v>32466</v>
      </c>
      <c r="I1738" t="s">
        <v>32467</v>
      </c>
      <c r="J1738" t="s">
        <v>32468</v>
      </c>
      <c r="K1738" t="s">
        <v>32469</v>
      </c>
      <c r="L1738" t="s">
        <v>32470</v>
      </c>
      <c r="M1738" t="s">
        <v>32471</v>
      </c>
      <c r="N1738" t="s">
        <v>32472</v>
      </c>
      <c r="O1738">
        <f>-618.652239377667 -22.574775343003 -728.716127022152</f>
        <v>-1369.943141742822</v>
      </c>
      <c r="P1738" t="s">
        <v>32473</v>
      </c>
      <c r="Q1738" t="s">
        <v>32474</v>
      </c>
      <c r="R1738" t="s">
        <v>32475</v>
      </c>
      <c r="S1738" t="s">
        <v>32476</v>
      </c>
      <c r="T1738" t="s">
        <v>32477</v>
      </c>
      <c r="U1738" t="s">
        <v>32478</v>
      </c>
      <c r="V1738" t="s">
        <v>32479</v>
      </c>
      <c r="W1738" t="s">
        <v>32480</v>
      </c>
      <c r="X1738" t="s">
        <v>32481</v>
      </c>
      <c r="Y1738" t="s">
        <v>32482</v>
      </c>
    </row>
    <row r="1739" spans="1:25" x14ac:dyDescent="0.3">
      <c r="A1739">
        <v>86900</v>
      </c>
      <c r="B1739" t="s">
        <v>32483</v>
      </c>
      <c r="C1739" t="s">
        <v>32484</v>
      </c>
      <c r="D1739" t="s">
        <v>32485</v>
      </c>
      <c r="E1739" t="s">
        <v>32486</v>
      </c>
      <c r="F1739" t="s">
        <v>32487</v>
      </c>
      <c r="G1739" t="s">
        <v>32488</v>
      </c>
      <c r="H1739" t="s">
        <v>32489</v>
      </c>
      <c r="I1739" t="s">
        <v>32490</v>
      </c>
      <c r="J1739" t="s">
        <v>32491</v>
      </c>
      <c r="K1739" t="s">
        <v>32492</v>
      </c>
      <c r="L1739" t="s">
        <v>32493</v>
      </c>
      <c r="M1739" t="s">
        <v>32494</v>
      </c>
      <c r="N1739" t="s">
        <v>32495</v>
      </c>
      <c r="O1739">
        <f>-618.952122458463 -22.5128664990073 -729.022020542169</f>
        <v>-1370.4870094996393</v>
      </c>
      <c r="P1739" t="s">
        <v>32496</v>
      </c>
      <c r="Q1739" t="s">
        <v>32497</v>
      </c>
      <c r="R1739" t="s">
        <v>32498</v>
      </c>
      <c r="S1739" t="s">
        <v>32499</v>
      </c>
      <c r="T1739" t="s">
        <v>32500</v>
      </c>
      <c r="U1739" t="s">
        <v>32501</v>
      </c>
      <c r="V1739" t="s">
        <v>32502</v>
      </c>
      <c r="W1739" t="s">
        <v>32503</v>
      </c>
      <c r="X1739" t="s">
        <v>32504</v>
      </c>
      <c r="Y1739" t="s">
        <v>32505</v>
      </c>
    </row>
    <row r="1740" spans="1:25" x14ac:dyDescent="0.3">
      <c r="A1740">
        <v>86950</v>
      </c>
      <c r="B1740" t="s">
        <v>32506</v>
      </c>
      <c r="C1740" t="s">
        <v>32507</v>
      </c>
      <c r="D1740" t="s">
        <v>32508</v>
      </c>
      <c r="E1740" t="s">
        <v>32509</v>
      </c>
      <c r="F1740" t="s">
        <v>32510</v>
      </c>
      <c r="G1740" t="s">
        <v>32511</v>
      </c>
      <c r="H1740" t="s">
        <v>32512</v>
      </c>
      <c r="I1740" t="s">
        <v>32513</v>
      </c>
      <c r="J1740" t="s">
        <v>32514</v>
      </c>
      <c r="K1740" t="s">
        <v>32515</v>
      </c>
      <c r="L1740" t="s">
        <v>32516</v>
      </c>
      <c r="M1740" t="s">
        <v>32517</v>
      </c>
      <c r="N1740" t="s">
        <v>32518</v>
      </c>
      <c r="O1740">
        <f>-618.848706769498 -23.4137914295268 -730.061118508567</f>
        <v>-1372.3236167075918</v>
      </c>
      <c r="P1740" t="s">
        <v>32519</v>
      </c>
      <c r="Q1740" t="s">
        <v>32520</v>
      </c>
      <c r="R1740" t="s">
        <v>32521</v>
      </c>
      <c r="S1740" t="s">
        <v>32522</v>
      </c>
      <c r="T1740" t="s">
        <v>32523</v>
      </c>
      <c r="U1740" t="s">
        <v>32524</v>
      </c>
      <c r="V1740" t="s">
        <v>32525</v>
      </c>
      <c r="W1740" t="s">
        <v>32526</v>
      </c>
      <c r="X1740" t="s">
        <v>32527</v>
      </c>
      <c r="Y1740" t="s">
        <v>32528</v>
      </c>
    </row>
    <row r="1741" spans="1:25" x14ac:dyDescent="0.3">
      <c r="A1741">
        <v>87000</v>
      </c>
      <c r="B1741" t="s">
        <v>32529</v>
      </c>
      <c r="C1741" t="s">
        <v>32530</v>
      </c>
      <c r="D1741" t="s">
        <v>32531</v>
      </c>
      <c r="E1741" t="s">
        <v>32532</v>
      </c>
      <c r="F1741" t="s">
        <v>32533</v>
      </c>
      <c r="G1741" t="s">
        <v>32534</v>
      </c>
      <c r="H1741" t="s">
        <v>32535</v>
      </c>
      <c r="I1741" t="s">
        <v>32536</v>
      </c>
      <c r="J1741" t="s">
        <v>32537</v>
      </c>
      <c r="K1741" t="s">
        <v>32538</v>
      </c>
      <c r="L1741" t="s">
        <v>32539</v>
      </c>
      <c r="M1741" t="s">
        <v>32540</v>
      </c>
      <c r="N1741" t="s">
        <v>32541</v>
      </c>
      <c r="O1741">
        <f>-618.306842783682 -24.3405796586708 -730.508031748385</f>
        <v>-1373.1554541907376</v>
      </c>
      <c r="P1741" t="s">
        <v>32542</v>
      </c>
      <c r="Q1741" t="s">
        <v>32543</v>
      </c>
      <c r="R1741" t="s">
        <v>32544</v>
      </c>
      <c r="S1741" t="s">
        <v>32545</v>
      </c>
      <c r="T1741" t="s">
        <v>32546</v>
      </c>
      <c r="U1741" t="s">
        <v>32547</v>
      </c>
      <c r="V1741" t="s">
        <v>32548</v>
      </c>
      <c r="W1741" t="s">
        <v>32549</v>
      </c>
      <c r="X1741" t="s">
        <v>32550</v>
      </c>
      <c r="Y1741" t="s">
        <v>32551</v>
      </c>
    </row>
    <row r="1742" spans="1:25" x14ac:dyDescent="0.3">
      <c r="A1742">
        <v>87050</v>
      </c>
      <c r="B1742" t="s">
        <v>32552</v>
      </c>
      <c r="C1742" t="s">
        <v>32553</v>
      </c>
      <c r="D1742" t="s">
        <v>32554</v>
      </c>
      <c r="E1742" t="s">
        <v>32555</v>
      </c>
      <c r="F1742" t="s">
        <v>32556</v>
      </c>
      <c r="G1742" t="s">
        <v>32557</v>
      </c>
      <c r="H1742" t="s">
        <v>32558</v>
      </c>
      <c r="I1742" t="s">
        <v>32559</v>
      </c>
      <c r="J1742" t="s">
        <v>32560</v>
      </c>
      <c r="K1742" t="s">
        <v>32561</v>
      </c>
      <c r="L1742" t="s">
        <v>32562</v>
      </c>
      <c r="M1742" t="s">
        <v>32563</v>
      </c>
      <c r="N1742" t="s">
        <v>32564</v>
      </c>
      <c r="O1742">
        <f>-616.735095924835 -26.7209165329168 -731.134564898576</f>
        <v>-1374.5905773563277</v>
      </c>
      <c r="P1742" t="s">
        <v>32565</v>
      </c>
      <c r="Q1742" t="s">
        <v>32566</v>
      </c>
      <c r="R1742" t="s">
        <v>32567</v>
      </c>
      <c r="S1742" t="s">
        <v>32568</v>
      </c>
      <c r="T1742" t="s">
        <v>32569</v>
      </c>
      <c r="U1742" t="s">
        <v>32570</v>
      </c>
      <c r="V1742" t="s">
        <v>32571</v>
      </c>
      <c r="W1742" t="s">
        <v>32572</v>
      </c>
      <c r="X1742" t="s">
        <v>32573</v>
      </c>
      <c r="Y1742" t="s">
        <v>32574</v>
      </c>
    </row>
    <row r="1743" spans="1:25" x14ac:dyDescent="0.3">
      <c r="A1743">
        <v>87100</v>
      </c>
      <c r="B1743" t="s">
        <v>32575</v>
      </c>
      <c r="C1743" t="s">
        <v>32576</v>
      </c>
      <c r="D1743" t="s">
        <v>32577</v>
      </c>
      <c r="E1743" t="s">
        <v>32578</v>
      </c>
      <c r="F1743" t="s">
        <v>32579</v>
      </c>
      <c r="G1743" t="s">
        <v>32580</v>
      </c>
      <c r="H1743" t="s">
        <v>32581</v>
      </c>
      <c r="I1743" t="s">
        <v>32582</v>
      </c>
      <c r="J1743" t="s">
        <v>32583</v>
      </c>
      <c r="K1743" t="s">
        <v>32584</v>
      </c>
      <c r="L1743" t="s">
        <v>32585</v>
      </c>
      <c r="M1743" t="s">
        <v>32586</v>
      </c>
      <c r="N1743" t="s">
        <v>32587</v>
      </c>
      <c r="O1743">
        <f>-615.864212314013 -28.1346037095902 -731.372281021605</f>
        <v>-1375.3710970452082</v>
      </c>
      <c r="P1743">
        <f>-620.553279231548 -1.73318071898461 -415.988141210305</f>
        <v>-1038.2746011608376</v>
      </c>
      <c r="Q1743" t="s">
        <v>32588</v>
      </c>
      <c r="R1743" t="s">
        <v>32589</v>
      </c>
      <c r="S1743" t="s">
        <v>32590</v>
      </c>
      <c r="T1743" t="s">
        <v>32591</v>
      </c>
      <c r="U1743" t="s">
        <v>32592</v>
      </c>
      <c r="V1743" t="s">
        <v>32593</v>
      </c>
      <c r="W1743" t="s">
        <v>32594</v>
      </c>
      <c r="X1743" t="s">
        <v>32595</v>
      </c>
      <c r="Y1743" t="s">
        <v>32596</v>
      </c>
    </row>
    <row r="1744" spans="1:25" x14ac:dyDescent="0.3">
      <c r="A1744">
        <v>87150</v>
      </c>
      <c r="B1744" t="s">
        <v>32597</v>
      </c>
      <c r="C1744" t="s">
        <v>32598</v>
      </c>
      <c r="D1744" t="s">
        <v>32599</v>
      </c>
      <c r="E1744" t="s">
        <v>32600</v>
      </c>
      <c r="F1744" t="s">
        <v>32601</v>
      </c>
      <c r="G1744" t="s">
        <v>32602</v>
      </c>
      <c r="H1744" t="s">
        <v>32603</v>
      </c>
      <c r="I1744" t="s">
        <v>32604</v>
      </c>
      <c r="J1744" t="s">
        <v>32605</v>
      </c>
      <c r="K1744" t="s">
        <v>32606</v>
      </c>
      <c r="L1744" t="s">
        <v>32607</v>
      </c>
      <c r="M1744" t="s">
        <v>32608</v>
      </c>
      <c r="N1744" t="s">
        <v>32609</v>
      </c>
      <c r="O1744">
        <f>-614.705545630735 -31.0187647017478 -731.837681394018</f>
        <v>-1377.5619917265008</v>
      </c>
      <c r="P1744">
        <f>-620.759358732649 -5.07900676734744 -416.438446742827</f>
        <v>-1042.2768122428236</v>
      </c>
      <c r="Q1744" t="s">
        <v>32610</v>
      </c>
      <c r="R1744" t="s">
        <v>32611</v>
      </c>
      <c r="S1744" t="s">
        <v>32612</v>
      </c>
      <c r="T1744" t="s">
        <v>32613</v>
      </c>
      <c r="U1744" t="s">
        <v>32614</v>
      </c>
      <c r="V1744" t="s">
        <v>32615</v>
      </c>
      <c r="W1744" t="s">
        <v>32616</v>
      </c>
      <c r="X1744" t="s">
        <v>32617</v>
      </c>
      <c r="Y1744" t="s">
        <v>32618</v>
      </c>
    </row>
    <row r="1745" spans="1:25" x14ac:dyDescent="0.3">
      <c r="A1745">
        <v>87200</v>
      </c>
      <c r="B1745" t="s">
        <v>32619</v>
      </c>
      <c r="C1745" t="s">
        <v>32620</v>
      </c>
      <c r="D1745" t="s">
        <v>32621</v>
      </c>
      <c r="E1745" t="s">
        <v>32622</v>
      </c>
      <c r="F1745" t="s">
        <v>32623</v>
      </c>
      <c r="G1745" t="s">
        <v>32624</v>
      </c>
      <c r="H1745" t="s">
        <v>32625</v>
      </c>
      <c r="I1745" t="s">
        <v>32626</v>
      </c>
      <c r="J1745" t="s">
        <v>32627</v>
      </c>
      <c r="K1745" t="s">
        <v>32628</v>
      </c>
      <c r="L1745" t="s">
        <v>32629</v>
      </c>
      <c r="M1745" t="s">
        <v>32630</v>
      </c>
      <c r="N1745" t="s">
        <v>32631</v>
      </c>
      <c r="O1745">
        <f>-614.231131149802 -31.896328540925 -732.098090638812</f>
        <v>-1378.2255503295389</v>
      </c>
      <c r="P1745">
        <f>-620.432086054872 -5.36511062048749 -416.751038917956</f>
        <v>-1042.5482355933154</v>
      </c>
      <c r="Q1745" t="s">
        <v>32632</v>
      </c>
      <c r="R1745" t="s">
        <v>32633</v>
      </c>
      <c r="S1745" t="s">
        <v>32634</v>
      </c>
      <c r="T1745" t="s">
        <v>32635</v>
      </c>
      <c r="U1745" t="s">
        <v>32636</v>
      </c>
      <c r="V1745" t="s">
        <v>32637</v>
      </c>
      <c r="W1745" t="s">
        <v>32638</v>
      </c>
      <c r="X1745" t="s">
        <v>32639</v>
      </c>
      <c r="Y1745" t="s">
        <v>32640</v>
      </c>
    </row>
    <row r="1746" spans="1:25" x14ac:dyDescent="0.3">
      <c r="A1746">
        <v>87250</v>
      </c>
      <c r="B1746" t="s">
        <v>32641</v>
      </c>
      <c r="C1746" t="s">
        <v>32642</v>
      </c>
      <c r="D1746" t="s">
        <v>32643</v>
      </c>
      <c r="E1746" t="s">
        <v>32644</v>
      </c>
      <c r="F1746" t="s">
        <v>32645</v>
      </c>
      <c r="G1746" t="s">
        <v>32646</v>
      </c>
      <c r="H1746" t="s">
        <v>32647</v>
      </c>
      <c r="I1746" t="s">
        <v>32648</v>
      </c>
      <c r="J1746" t="s">
        <v>32649</v>
      </c>
      <c r="K1746" t="s">
        <v>32650</v>
      </c>
      <c r="L1746" t="s">
        <v>32651</v>
      </c>
      <c r="M1746" t="s">
        <v>32652</v>
      </c>
      <c r="N1746" t="s">
        <v>32653</v>
      </c>
      <c r="O1746">
        <f>-613.511492149516 -33.2361639516773 -732.553228320196</f>
        <v>-1379.3008844213894</v>
      </c>
      <c r="P1746">
        <f>-619.299555605746 -7.48330464268884 -417.13379205609</f>
        <v>-1043.9166523045249</v>
      </c>
      <c r="Q1746" t="s">
        <v>32654</v>
      </c>
      <c r="R1746" t="s">
        <v>32655</v>
      </c>
      <c r="S1746" t="s">
        <v>32656</v>
      </c>
      <c r="T1746" t="s">
        <v>32657</v>
      </c>
      <c r="U1746" t="s">
        <v>32658</v>
      </c>
      <c r="V1746" t="s">
        <v>32659</v>
      </c>
      <c r="W1746" t="s">
        <v>32660</v>
      </c>
      <c r="X1746" t="s">
        <v>32661</v>
      </c>
      <c r="Y1746" t="s">
        <v>32662</v>
      </c>
    </row>
    <row r="1747" spans="1:25" x14ac:dyDescent="0.3">
      <c r="A1747">
        <v>87300</v>
      </c>
      <c r="B1747" t="s">
        <v>32663</v>
      </c>
      <c r="C1747" t="s">
        <v>32664</v>
      </c>
      <c r="D1747" t="s">
        <v>32665</v>
      </c>
      <c r="E1747" t="s">
        <v>32666</v>
      </c>
      <c r="F1747" t="s">
        <v>32667</v>
      </c>
      <c r="G1747" t="s">
        <v>32668</v>
      </c>
      <c r="H1747" t="s">
        <v>32669</v>
      </c>
      <c r="I1747" t="s">
        <v>32670</v>
      </c>
      <c r="J1747" t="s">
        <v>32671</v>
      </c>
      <c r="K1747" t="s">
        <v>32672</v>
      </c>
      <c r="L1747" t="s">
        <v>32673</v>
      </c>
      <c r="M1747" t="s">
        <v>32674</v>
      </c>
      <c r="N1747" t="s">
        <v>32675</v>
      </c>
      <c r="O1747">
        <f>-613.325357948656 -33.7816265414833 -732.772084966099</f>
        <v>-1379.8790694562383</v>
      </c>
      <c r="P1747">
        <f>-619.167851844457 -8.41047412806847 -417.322612561858</f>
        <v>-1044.9009385343834</v>
      </c>
      <c r="Q1747" t="s">
        <v>32676</v>
      </c>
      <c r="R1747" t="s">
        <v>32677</v>
      </c>
      <c r="S1747" t="s">
        <v>32678</v>
      </c>
      <c r="T1747" t="s">
        <v>32679</v>
      </c>
      <c r="U1747" t="s">
        <v>32680</v>
      </c>
      <c r="V1747" t="s">
        <v>32681</v>
      </c>
      <c r="W1747" t="s">
        <v>32682</v>
      </c>
      <c r="X1747" t="s">
        <v>32683</v>
      </c>
      <c r="Y1747" t="s">
        <v>32684</v>
      </c>
    </row>
    <row r="1748" spans="1:25" x14ac:dyDescent="0.3">
      <c r="A1748">
        <v>87350</v>
      </c>
      <c r="B1748" t="s">
        <v>32685</v>
      </c>
      <c r="C1748" t="s">
        <v>32686</v>
      </c>
      <c r="D1748" t="s">
        <v>32687</v>
      </c>
      <c r="E1748" t="s">
        <v>32688</v>
      </c>
      <c r="F1748" t="s">
        <v>32689</v>
      </c>
      <c r="G1748" t="s">
        <v>32690</v>
      </c>
      <c r="H1748" t="s">
        <v>32691</v>
      </c>
      <c r="I1748" t="s">
        <v>32692</v>
      </c>
      <c r="J1748" t="s">
        <v>32693</v>
      </c>
      <c r="K1748" t="s">
        <v>32694</v>
      </c>
      <c r="L1748" t="s">
        <v>32695</v>
      </c>
      <c r="M1748" t="s">
        <v>32696</v>
      </c>
      <c r="N1748" t="s">
        <v>32697</v>
      </c>
      <c r="O1748">
        <f>-613.589977921169 -36.1825466301234 -732.551255922674</f>
        <v>-1382.3237804739665</v>
      </c>
      <c r="P1748">
        <f>-619.317124763314 -10.1161197426675 -417.156387032449</f>
        <v>-1046.5896315384305</v>
      </c>
      <c r="Q1748" t="s">
        <v>32698</v>
      </c>
      <c r="R1748" t="s">
        <v>32699</v>
      </c>
      <c r="S1748" t="s">
        <v>32700</v>
      </c>
      <c r="T1748" t="s">
        <v>32701</v>
      </c>
      <c r="U1748" t="s">
        <v>32702</v>
      </c>
      <c r="V1748" t="s">
        <v>32703</v>
      </c>
      <c r="W1748" t="s">
        <v>32704</v>
      </c>
      <c r="X1748" t="s">
        <v>32705</v>
      </c>
      <c r="Y1748" t="s">
        <v>32706</v>
      </c>
    </row>
    <row r="1749" spans="1:25" x14ac:dyDescent="0.3">
      <c r="A1749">
        <v>87400</v>
      </c>
      <c r="B1749" t="s">
        <v>32707</v>
      </c>
      <c r="C1749" t="s">
        <v>32708</v>
      </c>
      <c r="D1749" t="s">
        <v>32709</v>
      </c>
      <c r="E1749" t="s">
        <v>32710</v>
      </c>
      <c r="F1749" t="s">
        <v>32711</v>
      </c>
      <c r="G1749" t="s">
        <v>32712</v>
      </c>
      <c r="H1749" t="s">
        <v>32713</v>
      </c>
      <c r="I1749" t="s">
        <v>32714</v>
      </c>
      <c r="J1749" t="s">
        <v>32715</v>
      </c>
      <c r="K1749" t="s">
        <v>32716</v>
      </c>
      <c r="L1749" t="s">
        <v>32717</v>
      </c>
      <c r="M1749" t="s">
        <v>32718</v>
      </c>
      <c r="N1749" t="s">
        <v>32719</v>
      </c>
      <c r="O1749">
        <f>-613.864807318845 -37.7355602326247 -732.186924469974</f>
        <v>-1383.7872920214436</v>
      </c>
      <c r="P1749">
        <f>-619.74630687287 -11.1043723422961 -416.842112950407</f>
        <v>-1047.6927921655731</v>
      </c>
      <c r="Q1749" t="s">
        <v>32720</v>
      </c>
      <c r="R1749" t="s">
        <v>32721</v>
      </c>
      <c r="S1749" t="s">
        <v>32722</v>
      </c>
      <c r="T1749" t="s">
        <v>32723</v>
      </c>
      <c r="U1749" t="s">
        <v>32724</v>
      </c>
      <c r="V1749" t="s">
        <v>32725</v>
      </c>
      <c r="W1749" t="s">
        <v>32726</v>
      </c>
      <c r="X1749" t="s">
        <v>32727</v>
      </c>
      <c r="Y1749" t="s">
        <v>32728</v>
      </c>
    </row>
    <row r="1750" spans="1:25" x14ac:dyDescent="0.3">
      <c r="A1750">
        <v>87450</v>
      </c>
      <c r="B1750" t="s">
        <v>32729</v>
      </c>
      <c r="C1750" t="s">
        <v>32730</v>
      </c>
      <c r="D1750" t="s">
        <v>32731</v>
      </c>
      <c r="E1750" t="s">
        <v>32732</v>
      </c>
      <c r="F1750" t="s">
        <v>32733</v>
      </c>
      <c r="G1750" t="s">
        <v>32734</v>
      </c>
      <c r="H1750" t="s">
        <v>32735</v>
      </c>
      <c r="I1750" t="s">
        <v>32736</v>
      </c>
      <c r="J1750" t="s">
        <v>32737</v>
      </c>
      <c r="K1750" t="s">
        <v>32738</v>
      </c>
      <c r="L1750" t="s">
        <v>32739</v>
      </c>
      <c r="M1750" t="s">
        <v>32740</v>
      </c>
      <c r="N1750" t="s">
        <v>32741</v>
      </c>
      <c r="O1750">
        <f>-614.161365824784 -41.3568319008134 -731.302778262727</f>
        <v>-1386.8209759883243</v>
      </c>
      <c r="P1750">
        <f>-621.267467430565 -13.0147217865469 -416.132395642102</f>
        <v>-1050.4145848592138</v>
      </c>
      <c r="Q1750">
        <f>-364.73111470081 -2.59749113847784 -457.636968176585</f>
        <v>-824.96557401587279</v>
      </c>
      <c r="R1750" t="s">
        <v>32742</v>
      </c>
      <c r="S1750" t="s">
        <v>32743</v>
      </c>
      <c r="T1750" t="s">
        <v>32744</v>
      </c>
      <c r="U1750" t="s">
        <v>32745</v>
      </c>
      <c r="V1750" t="s">
        <v>32746</v>
      </c>
      <c r="W1750" t="s">
        <v>32747</v>
      </c>
      <c r="X1750" t="s">
        <v>32748</v>
      </c>
      <c r="Y1750" t="s">
        <v>32749</v>
      </c>
    </row>
    <row r="1751" spans="1:25" x14ac:dyDescent="0.3">
      <c r="A1751">
        <v>87500</v>
      </c>
      <c r="B1751" t="s">
        <v>32750</v>
      </c>
      <c r="C1751" t="s">
        <v>32751</v>
      </c>
      <c r="D1751" t="s">
        <v>32752</v>
      </c>
      <c r="E1751" t="s">
        <v>32753</v>
      </c>
      <c r="F1751" t="s">
        <v>32754</v>
      </c>
      <c r="G1751" t="s">
        <v>32755</v>
      </c>
      <c r="H1751" t="s">
        <v>32756</v>
      </c>
      <c r="I1751" t="s">
        <v>32757</v>
      </c>
      <c r="J1751" t="s">
        <v>32758</v>
      </c>
      <c r="K1751" t="s">
        <v>32759</v>
      </c>
      <c r="L1751" t="s">
        <v>32760</v>
      </c>
      <c r="M1751" t="s">
        <v>32761</v>
      </c>
      <c r="N1751" t="s">
        <v>32762</v>
      </c>
      <c r="O1751">
        <f>-614.43435874715 -43.2669293071601 -730.718176010512</f>
        <v>-1388.419464064822</v>
      </c>
      <c r="P1751">
        <f>-622.152944549086 -14.2313080705842 -415.62518318686</f>
        <v>-1052.0094358065303</v>
      </c>
      <c r="Q1751">
        <f>-365.387714505233 -6.18899128937187 -456.233060944853</f>
        <v>-827.80976673945793</v>
      </c>
      <c r="R1751" t="s">
        <v>32763</v>
      </c>
      <c r="S1751" t="s">
        <v>32764</v>
      </c>
      <c r="T1751" t="s">
        <v>32765</v>
      </c>
      <c r="U1751" t="s">
        <v>32766</v>
      </c>
      <c r="V1751" t="s">
        <v>32767</v>
      </c>
      <c r="W1751" t="s">
        <v>32768</v>
      </c>
      <c r="X1751" t="s">
        <v>32769</v>
      </c>
      <c r="Y1751" t="s">
        <v>32770</v>
      </c>
    </row>
    <row r="1752" spans="1:25" x14ac:dyDescent="0.3">
      <c r="A1752">
        <v>87550</v>
      </c>
      <c r="B1752" t="s">
        <v>32771</v>
      </c>
      <c r="C1752" t="s">
        <v>32772</v>
      </c>
      <c r="D1752" t="s">
        <v>32773</v>
      </c>
      <c r="E1752" t="s">
        <v>32774</v>
      </c>
      <c r="F1752" t="s">
        <v>32775</v>
      </c>
      <c r="G1752" t="s">
        <v>32776</v>
      </c>
      <c r="H1752" t="s">
        <v>32777</v>
      </c>
      <c r="I1752" t="s">
        <v>32778</v>
      </c>
      <c r="J1752" t="s">
        <v>32779</v>
      </c>
      <c r="K1752" t="s">
        <v>32780</v>
      </c>
      <c r="L1752" t="s">
        <v>32781</v>
      </c>
      <c r="M1752" t="s">
        <v>32782</v>
      </c>
      <c r="N1752" t="s">
        <v>32783</v>
      </c>
      <c r="O1752">
        <f>-615.701078421041 -47.0012637195803 -729.501324908829</f>
        <v>-1392.2036670494504</v>
      </c>
      <c r="P1752">
        <f>-624.183647394292 -16.1523928429979 -414.600498919073</f>
        <v>-1054.9365391563629</v>
      </c>
      <c r="Q1752">
        <f>-367.011625856591 -12.6165084768384 -453.22769028639</f>
        <v>-832.85582461981949</v>
      </c>
      <c r="R1752" t="s">
        <v>32784</v>
      </c>
      <c r="S1752" t="s">
        <v>32785</v>
      </c>
      <c r="T1752" t="s">
        <v>32786</v>
      </c>
      <c r="U1752" t="s">
        <v>32787</v>
      </c>
      <c r="V1752" t="s">
        <v>32788</v>
      </c>
      <c r="W1752" t="s">
        <v>32789</v>
      </c>
      <c r="X1752" t="s">
        <v>32790</v>
      </c>
      <c r="Y1752" t="s">
        <v>32791</v>
      </c>
    </row>
    <row r="1753" spans="1:25" x14ac:dyDescent="0.3">
      <c r="A1753">
        <v>87600</v>
      </c>
      <c r="B1753" t="s">
        <v>32792</v>
      </c>
      <c r="C1753" t="s">
        <v>32793</v>
      </c>
      <c r="D1753" t="s">
        <v>32794</v>
      </c>
      <c r="E1753" t="s">
        <v>32795</v>
      </c>
      <c r="F1753" t="s">
        <v>32796</v>
      </c>
      <c r="G1753" t="s">
        <v>32797</v>
      </c>
      <c r="H1753" t="s">
        <v>32798</v>
      </c>
      <c r="I1753" t="s">
        <v>32799</v>
      </c>
      <c r="J1753" t="s">
        <v>32800</v>
      </c>
      <c r="K1753" t="s">
        <v>32801</v>
      </c>
      <c r="L1753" t="s">
        <v>32802</v>
      </c>
      <c r="M1753" t="s">
        <v>32803</v>
      </c>
      <c r="N1753" t="s">
        <v>32804</v>
      </c>
      <c r="O1753">
        <f>-616.777561028357 -48.4892540175144 -728.937316185305</f>
        <v>-1394.2041312311765</v>
      </c>
      <c r="P1753">
        <f>-625.23730797999 -17.1069738754716 -414.088552052946</f>
        <v>-1056.4328339084075</v>
      </c>
      <c r="Q1753">
        <f>-367.928257154747 -15.0911635464613 -451.904396133846</f>
        <v>-834.92381683505425</v>
      </c>
      <c r="R1753" t="s">
        <v>32805</v>
      </c>
      <c r="S1753" t="s">
        <v>32806</v>
      </c>
      <c r="T1753" t="s">
        <v>32807</v>
      </c>
      <c r="U1753" t="s">
        <v>32808</v>
      </c>
      <c r="V1753" t="s">
        <v>32809</v>
      </c>
      <c r="W1753" t="s">
        <v>32810</v>
      </c>
      <c r="X1753" t="s">
        <v>32811</v>
      </c>
      <c r="Y1753" t="s">
        <v>32812</v>
      </c>
    </row>
    <row r="1754" spans="1:25" x14ac:dyDescent="0.3">
      <c r="A1754">
        <v>87650</v>
      </c>
      <c r="B1754" t="s">
        <v>32813</v>
      </c>
      <c r="C1754" t="s">
        <v>32814</v>
      </c>
      <c r="D1754" t="s">
        <v>32815</v>
      </c>
      <c r="E1754" t="s">
        <v>32816</v>
      </c>
      <c r="F1754" t="s">
        <v>32817</v>
      </c>
      <c r="G1754" t="s">
        <v>32818</v>
      </c>
      <c r="H1754" t="s">
        <v>32819</v>
      </c>
      <c r="I1754" t="s">
        <v>32820</v>
      </c>
      <c r="J1754" t="s">
        <v>32821</v>
      </c>
      <c r="K1754" t="s">
        <v>32822</v>
      </c>
      <c r="L1754" t="s">
        <v>32823</v>
      </c>
      <c r="M1754" t="s">
        <v>32824</v>
      </c>
      <c r="N1754" t="s">
        <v>32825</v>
      </c>
      <c r="O1754">
        <f>-619.471380919994 -50.9616390621261 -728.114377950127</f>
        <v>-1398.5473979322471</v>
      </c>
      <c r="P1754">
        <f>-627.642201072423 -19.1111655153154 -413.304977718989</f>
        <v>-1060.0583443067273</v>
      </c>
      <c r="Q1754">
        <f>-370.274539369885 -18.2377881228567 -450.763991741895</f>
        <v>-839.27631923463673</v>
      </c>
      <c r="R1754" t="s">
        <v>32826</v>
      </c>
      <c r="S1754" t="s">
        <v>32827</v>
      </c>
      <c r="T1754" t="s">
        <v>32828</v>
      </c>
      <c r="U1754" t="s">
        <v>32829</v>
      </c>
      <c r="V1754" t="s">
        <v>32830</v>
      </c>
      <c r="W1754" t="s">
        <v>32831</v>
      </c>
      <c r="X1754" t="s">
        <v>32832</v>
      </c>
      <c r="Y1754" t="s">
        <v>32833</v>
      </c>
    </row>
    <row r="1755" spans="1:25" x14ac:dyDescent="0.3">
      <c r="A1755">
        <v>87700</v>
      </c>
      <c r="B1755" t="s">
        <v>32834</v>
      </c>
      <c r="C1755" t="s">
        <v>32835</v>
      </c>
      <c r="D1755" t="s">
        <v>32836</v>
      </c>
      <c r="E1755" t="s">
        <v>32837</v>
      </c>
      <c r="F1755" t="s">
        <v>32838</v>
      </c>
      <c r="G1755" t="s">
        <v>32839</v>
      </c>
      <c r="H1755" t="s">
        <v>32840</v>
      </c>
      <c r="I1755" t="s">
        <v>32841</v>
      </c>
      <c r="J1755" t="s">
        <v>32842</v>
      </c>
      <c r="K1755" t="s">
        <v>32843</v>
      </c>
      <c r="L1755" t="s">
        <v>32844</v>
      </c>
      <c r="M1755" t="s">
        <v>32845</v>
      </c>
      <c r="N1755" t="s">
        <v>32846</v>
      </c>
      <c r="O1755">
        <f>-620.82540838684 -51.8440345239856 -727.737138410411</f>
        <v>-1400.4065813212364</v>
      </c>
      <c r="P1755">
        <f>-628.563078110988 -19.8760932448547 -412.928757993974</f>
        <v>-1061.3679293498167</v>
      </c>
      <c r="Q1755">
        <f>-371.205915999305 -19.4456870310285 -450.467494013916</f>
        <v>-841.11909704424943</v>
      </c>
      <c r="R1755" t="s">
        <v>32847</v>
      </c>
      <c r="S1755" t="s">
        <v>32848</v>
      </c>
      <c r="T1755" t="s">
        <v>32849</v>
      </c>
      <c r="U1755" t="s">
        <v>32850</v>
      </c>
      <c r="V1755" t="s">
        <v>32851</v>
      </c>
      <c r="W1755" t="s">
        <v>32852</v>
      </c>
      <c r="X1755" t="s">
        <v>32853</v>
      </c>
      <c r="Y1755" t="s">
        <v>32854</v>
      </c>
    </row>
    <row r="1756" spans="1:25" x14ac:dyDescent="0.3">
      <c r="A1756">
        <v>87750</v>
      </c>
      <c r="B1756" t="s">
        <v>32855</v>
      </c>
      <c r="C1756" t="s">
        <v>32856</v>
      </c>
      <c r="D1756" t="s">
        <v>32857</v>
      </c>
      <c r="E1756" t="s">
        <v>32858</v>
      </c>
      <c r="F1756" t="s">
        <v>32859</v>
      </c>
      <c r="G1756" t="s">
        <v>32860</v>
      </c>
      <c r="H1756" t="s">
        <v>32861</v>
      </c>
      <c r="I1756" t="s">
        <v>32862</v>
      </c>
      <c r="J1756" t="s">
        <v>32863</v>
      </c>
      <c r="K1756" t="s">
        <v>32864</v>
      </c>
      <c r="L1756" t="s">
        <v>32865</v>
      </c>
      <c r="M1756" t="s">
        <v>32866</v>
      </c>
      <c r="N1756" t="s">
        <v>32867</v>
      </c>
      <c r="O1756">
        <f>-622.832271157755 -53.7559290744277 -727.063560547837</f>
        <v>-1403.6517607800197</v>
      </c>
      <c r="P1756">
        <f>-629.668826967092 -21.8949495742058 -412.223454256876</f>
        <v>-1063.7872307981738</v>
      </c>
      <c r="Q1756">
        <f>-372.44447180317 -21.7551902188081 -450.663880686287</f>
        <v>-844.86354270826507</v>
      </c>
      <c r="R1756" t="s">
        <v>32868</v>
      </c>
      <c r="S1756" t="s">
        <v>32869</v>
      </c>
      <c r="T1756" t="s">
        <v>32870</v>
      </c>
      <c r="U1756" t="s">
        <v>32871</v>
      </c>
      <c r="V1756" t="s">
        <v>32872</v>
      </c>
      <c r="W1756" t="s">
        <v>32873</v>
      </c>
      <c r="X1756" t="s">
        <v>32874</v>
      </c>
      <c r="Y1756" t="s">
        <v>32875</v>
      </c>
    </row>
    <row r="1757" spans="1:25" x14ac:dyDescent="0.3">
      <c r="A1757">
        <v>87800</v>
      </c>
      <c r="B1757" t="s">
        <v>32876</v>
      </c>
      <c r="C1757" t="s">
        <v>32877</v>
      </c>
      <c r="D1757" t="s">
        <v>32878</v>
      </c>
      <c r="E1757" t="s">
        <v>32879</v>
      </c>
      <c r="F1757" t="s">
        <v>32880</v>
      </c>
      <c r="G1757" t="s">
        <v>32881</v>
      </c>
      <c r="H1757" t="s">
        <v>32882</v>
      </c>
      <c r="I1757" t="s">
        <v>32883</v>
      </c>
      <c r="J1757" t="s">
        <v>32884</v>
      </c>
      <c r="K1757" t="s">
        <v>32885</v>
      </c>
      <c r="L1757" t="s">
        <v>32886</v>
      </c>
      <c r="M1757" t="s">
        <v>32887</v>
      </c>
      <c r="N1757" t="s">
        <v>32888</v>
      </c>
      <c r="O1757">
        <f>-623.465399311021 -54.7130668074346 -726.752205436226</f>
        <v>-1404.9306715546816</v>
      </c>
      <c r="P1757">
        <f>-629.771635377367 -22.9091632357149 -411.895147938634</f>
        <v>-1064.575946551716</v>
      </c>
      <c r="Q1757">
        <f>-372.575165911872 -23.3222590086366 -450.519647942847</f>
        <v>-846.41707286335554</v>
      </c>
      <c r="R1757" t="s">
        <v>32889</v>
      </c>
      <c r="S1757" t="s">
        <v>32890</v>
      </c>
      <c r="T1757" t="s">
        <v>32891</v>
      </c>
      <c r="U1757" t="s">
        <v>32892</v>
      </c>
      <c r="V1757" t="s">
        <v>32893</v>
      </c>
      <c r="W1757" t="s">
        <v>32894</v>
      </c>
      <c r="X1757" t="s">
        <v>32895</v>
      </c>
      <c r="Y1757" t="s">
        <v>32896</v>
      </c>
    </row>
    <row r="1758" spans="1:25" x14ac:dyDescent="0.3">
      <c r="A1758">
        <v>87850</v>
      </c>
      <c r="B1758" t="s">
        <v>32897</v>
      </c>
      <c r="C1758" t="s">
        <v>32898</v>
      </c>
      <c r="D1758" t="s">
        <v>32899</v>
      </c>
      <c r="E1758" t="s">
        <v>32900</v>
      </c>
      <c r="F1758" t="s">
        <v>32901</v>
      </c>
      <c r="G1758" t="s">
        <v>32902</v>
      </c>
      <c r="H1758" t="s">
        <v>32903</v>
      </c>
      <c r="I1758" t="s">
        <v>32904</v>
      </c>
      <c r="J1758" t="s">
        <v>32905</v>
      </c>
      <c r="K1758" t="s">
        <v>32906</v>
      </c>
      <c r="L1758" t="s">
        <v>32907</v>
      </c>
      <c r="M1758" t="s">
        <v>32908</v>
      </c>
      <c r="N1758" t="s">
        <v>32909</v>
      </c>
      <c r="O1758">
        <f>-624.054164019634 -56.376044193993 -726.474164035298</f>
        <v>-1406.904372248925</v>
      </c>
      <c r="P1758">
        <f>-629.304051967079 -25.0598078625533 -411.549010882686</f>
        <v>-1065.9128707123182</v>
      </c>
      <c r="Q1758">
        <f>-372.118646674198 -26.2039379440519 -450.232252247576</f>
        <v>-848.55483686582591</v>
      </c>
      <c r="R1758" t="s">
        <v>32910</v>
      </c>
      <c r="S1758" t="s">
        <v>32911</v>
      </c>
      <c r="T1758" t="s">
        <v>32912</v>
      </c>
      <c r="U1758" t="s">
        <v>32913</v>
      </c>
      <c r="V1758" t="s">
        <v>32914</v>
      </c>
      <c r="W1758" t="s">
        <v>32915</v>
      </c>
      <c r="X1758" t="s">
        <v>32916</v>
      </c>
      <c r="Y1758" t="s">
        <v>32917</v>
      </c>
    </row>
    <row r="1759" spans="1:25" x14ac:dyDescent="0.3">
      <c r="A1759">
        <v>87900</v>
      </c>
      <c r="B1759" t="s">
        <v>32918</v>
      </c>
      <c r="C1759" t="s">
        <v>32919</v>
      </c>
      <c r="D1759" t="s">
        <v>32920</v>
      </c>
      <c r="E1759" t="s">
        <v>32921</v>
      </c>
      <c r="F1759" t="s">
        <v>32922</v>
      </c>
      <c r="G1759" t="s">
        <v>32923</v>
      </c>
      <c r="H1759" t="s">
        <v>32924</v>
      </c>
      <c r="I1759" t="s">
        <v>32925</v>
      </c>
      <c r="J1759" t="s">
        <v>32926</v>
      </c>
      <c r="K1759" t="s">
        <v>32927</v>
      </c>
      <c r="L1759" t="s">
        <v>32928</v>
      </c>
      <c r="M1759" t="s">
        <v>32929</v>
      </c>
      <c r="N1759" t="s">
        <v>32930</v>
      </c>
      <c r="O1759">
        <f>-624.094807934898 -56.9583938796807 -726.455961591581</f>
        <v>-1407.5091634061596</v>
      </c>
      <c r="P1759">
        <f>-629.00081420055 -25.8042370380515 -411.508933415341</f>
        <v>-1066.3139846539425</v>
      </c>
      <c r="Q1759">
        <f>-371.781212588861 -27.0912219013742 -449.960181705248</f>
        <v>-848.83261619548318</v>
      </c>
      <c r="R1759" t="s">
        <v>32931</v>
      </c>
      <c r="S1759" t="s">
        <v>32932</v>
      </c>
      <c r="T1759" t="s">
        <v>32933</v>
      </c>
      <c r="U1759" t="s">
        <v>32934</v>
      </c>
      <c r="V1759" t="s">
        <v>32935</v>
      </c>
      <c r="W1759" t="s">
        <v>32936</v>
      </c>
      <c r="X1759" t="s">
        <v>32937</v>
      </c>
      <c r="Y1759" t="s">
        <v>32938</v>
      </c>
    </row>
    <row r="1760" spans="1:25" x14ac:dyDescent="0.3">
      <c r="A1760">
        <v>87950</v>
      </c>
      <c r="B1760" t="s">
        <v>32939</v>
      </c>
      <c r="C1760" t="s">
        <v>32940</v>
      </c>
      <c r="D1760" t="s">
        <v>32941</v>
      </c>
      <c r="E1760" t="s">
        <v>32942</v>
      </c>
      <c r="F1760" t="s">
        <v>32943</v>
      </c>
      <c r="G1760" t="s">
        <v>32944</v>
      </c>
      <c r="H1760" t="s">
        <v>32945</v>
      </c>
      <c r="I1760" t="s">
        <v>32946</v>
      </c>
      <c r="J1760" t="s">
        <v>32947</v>
      </c>
      <c r="K1760" t="s">
        <v>32948</v>
      </c>
      <c r="L1760" t="s">
        <v>32949</v>
      </c>
      <c r="M1760" t="s">
        <v>32950</v>
      </c>
      <c r="N1760" t="s">
        <v>32951</v>
      </c>
      <c r="O1760">
        <f>-623.229162604592 -57.5001043426596 -726.524912029938</f>
        <v>-1407.2541789771897</v>
      </c>
      <c r="P1760">
        <f>-627.652265657555 -26.5349620233621 -411.552267267987</f>
        <v>-1065.7394949489042</v>
      </c>
      <c r="Q1760">
        <f>-370.449442633554 -27.6783172813709 -450.119697522249</f>
        <v>-848.24745743717381</v>
      </c>
      <c r="R1760" t="s">
        <v>32952</v>
      </c>
      <c r="S1760" t="s">
        <v>32953</v>
      </c>
      <c r="T1760" t="s">
        <v>32954</v>
      </c>
      <c r="U1760" t="s">
        <v>32955</v>
      </c>
      <c r="V1760" t="s">
        <v>32956</v>
      </c>
      <c r="W1760" t="s">
        <v>32957</v>
      </c>
      <c r="X1760" t="s">
        <v>32958</v>
      </c>
      <c r="Y1760" t="s">
        <v>32959</v>
      </c>
    </row>
    <row r="1761" spans="1:25" x14ac:dyDescent="0.3">
      <c r="A1761">
        <v>88000</v>
      </c>
      <c r="B1761" t="s">
        <v>32960</v>
      </c>
      <c r="C1761" t="s">
        <v>32961</v>
      </c>
      <c r="D1761" t="s">
        <v>32962</v>
      </c>
      <c r="E1761" t="s">
        <v>32963</v>
      </c>
      <c r="F1761" t="s">
        <v>32964</v>
      </c>
      <c r="G1761" t="s">
        <v>32965</v>
      </c>
      <c r="H1761" t="s">
        <v>32966</v>
      </c>
      <c r="I1761" t="s">
        <v>32967</v>
      </c>
      <c r="J1761" t="s">
        <v>32968</v>
      </c>
      <c r="K1761" t="s">
        <v>32969</v>
      </c>
      <c r="L1761" t="s">
        <v>32970</v>
      </c>
      <c r="M1761" t="s">
        <v>32971</v>
      </c>
      <c r="N1761" t="s">
        <v>32972</v>
      </c>
      <c r="O1761">
        <f>-622.471873138513 -57.5255983984678 -726.527292451884</f>
        <v>-1406.5247639888648</v>
      </c>
      <c r="P1761">
        <f>-626.599960769117 -26.6853789018473 -411.538325654566</f>
        <v>-1064.8236653255303</v>
      </c>
      <c r="Q1761">
        <f>-369.40455204195 -27.4097664035687 -450.165574674777</f>
        <v>-846.97989312029574</v>
      </c>
      <c r="R1761" t="s">
        <v>32973</v>
      </c>
      <c r="S1761" t="s">
        <v>32974</v>
      </c>
      <c r="T1761" t="s">
        <v>32975</v>
      </c>
      <c r="U1761" t="s">
        <v>32976</v>
      </c>
      <c r="V1761" t="s">
        <v>32977</v>
      </c>
      <c r="W1761" t="s">
        <v>32978</v>
      </c>
      <c r="X1761" t="s">
        <v>32979</v>
      </c>
      <c r="Y1761" t="s">
        <v>32980</v>
      </c>
    </row>
    <row r="1762" spans="1:25" x14ac:dyDescent="0.3">
      <c r="A1762">
        <v>88050</v>
      </c>
      <c r="B1762" t="s">
        <v>32981</v>
      </c>
      <c r="C1762" t="s">
        <v>32982</v>
      </c>
      <c r="D1762" t="s">
        <v>32983</v>
      </c>
      <c r="E1762" t="s">
        <v>32984</v>
      </c>
      <c r="F1762" t="s">
        <v>32985</v>
      </c>
      <c r="G1762" t="s">
        <v>32986</v>
      </c>
      <c r="H1762" t="s">
        <v>32987</v>
      </c>
      <c r="I1762" t="s">
        <v>32988</v>
      </c>
      <c r="J1762" t="s">
        <v>32989</v>
      </c>
      <c r="K1762" t="s">
        <v>32990</v>
      </c>
      <c r="L1762" t="s">
        <v>32991</v>
      </c>
      <c r="M1762" t="s">
        <v>32992</v>
      </c>
      <c r="N1762" t="s">
        <v>32993</v>
      </c>
      <c r="O1762">
        <f>-620.769839592687 -57.9209613466076 -726.484378540598</f>
        <v>-1405.1751794798924</v>
      </c>
      <c r="P1762">
        <f>-625.104776001931 -27.3799770878463 -411.469149550951</f>
        <v>-1063.9539026407283</v>
      </c>
      <c r="Q1762">
        <f>-367.84747259802 -26.3021256140041 -449.673504483814</f>
        <v>-843.82310269583809</v>
      </c>
      <c r="R1762" t="s">
        <v>32994</v>
      </c>
      <c r="S1762" t="s">
        <v>32995</v>
      </c>
      <c r="T1762" t="s">
        <v>32996</v>
      </c>
      <c r="U1762" t="s">
        <v>32997</v>
      </c>
      <c r="V1762" t="s">
        <v>32998</v>
      </c>
      <c r="W1762" t="s">
        <v>32999</v>
      </c>
      <c r="X1762" t="s">
        <v>33000</v>
      </c>
      <c r="Y1762" t="s">
        <v>33001</v>
      </c>
    </row>
    <row r="1763" spans="1:25" x14ac:dyDescent="0.3">
      <c r="A1763">
        <v>88100</v>
      </c>
      <c r="B1763" t="s">
        <v>33002</v>
      </c>
      <c r="C1763" t="s">
        <v>33003</v>
      </c>
      <c r="D1763" t="s">
        <v>33004</v>
      </c>
      <c r="E1763" t="s">
        <v>33005</v>
      </c>
      <c r="F1763" t="s">
        <v>33006</v>
      </c>
      <c r="G1763" t="s">
        <v>33007</v>
      </c>
      <c r="H1763" t="s">
        <v>33008</v>
      </c>
      <c r="I1763" t="s">
        <v>33009</v>
      </c>
      <c r="J1763" t="s">
        <v>33010</v>
      </c>
      <c r="K1763" t="s">
        <v>33011</v>
      </c>
      <c r="L1763" t="s">
        <v>33012</v>
      </c>
      <c r="M1763" t="s">
        <v>33013</v>
      </c>
      <c r="N1763" t="s">
        <v>33014</v>
      </c>
      <c r="O1763">
        <f>-619.993100186628 -58.0134657972897 -726.510238951896</f>
        <v>-1404.5168049358135</v>
      </c>
      <c r="P1763">
        <f>-624.452949818074 -27.6859062075414 -411.476027068578</f>
        <v>-1063.6148830941934</v>
      </c>
      <c r="Q1763">
        <f>-367.156022240711 -25.1938705459406 -449.345958830673</f>
        <v>-841.69585161732471</v>
      </c>
      <c r="R1763" t="s">
        <v>33015</v>
      </c>
      <c r="S1763" t="s">
        <v>33016</v>
      </c>
      <c r="T1763" t="s">
        <v>33017</v>
      </c>
      <c r="U1763" t="s">
        <v>33018</v>
      </c>
      <c r="V1763" t="s">
        <v>33019</v>
      </c>
      <c r="W1763" t="s">
        <v>33020</v>
      </c>
      <c r="X1763" t="s">
        <v>33021</v>
      </c>
      <c r="Y1763" t="s">
        <v>33022</v>
      </c>
    </row>
    <row r="1764" spans="1:25" x14ac:dyDescent="0.3">
      <c r="A1764">
        <v>88150</v>
      </c>
      <c r="B1764" t="s">
        <v>33023</v>
      </c>
      <c r="C1764" t="s">
        <v>33024</v>
      </c>
      <c r="D1764" t="s">
        <v>33025</v>
      </c>
      <c r="E1764" t="s">
        <v>33026</v>
      </c>
      <c r="F1764" t="s">
        <v>33027</v>
      </c>
      <c r="G1764" t="s">
        <v>33028</v>
      </c>
      <c r="H1764" t="s">
        <v>33029</v>
      </c>
      <c r="I1764" t="s">
        <v>33030</v>
      </c>
      <c r="J1764" t="s">
        <v>33031</v>
      </c>
      <c r="K1764" t="s">
        <v>33032</v>
      </c>
      <c r="L1764" t="s">
        <v>33033</v>
      </c>
      <c r="M1764" t="s">
        <v>33034</v>
      </c>
      <c r="N1764" t="s">
        <v>33035</v>
      </c>
      <c r="O1764">
        <f>-618.413853526197 -58.2086115204027 -726.412207698143</f>
        <v>-1403.0346727447427</v>
      </c>
      <c r="P1764">
        <f>-622.917629762764 -27.8068158741476 -411.385848408115</f>
        <v>-1062.1102940450266</v>
      </c>
      <c r="Q1764">
        <f>-365.538246319981 -23.2974596652557 -448.501512977476</f>
        <v>-837.33721896271277</v>
      </c>
      <c r="R1764" t="s">
        <v>33036</v>
      </c>
      <c r="S1764" t="s">
        <v>33037</v>
      </c>
      <c r="T1764" t="s">
        <v>33038</v>
      </c>
      <c r="U1764" t="s">
        <v>33039</v>
      </c>
      <c r="V1764" t="s">
        <v>33040</v>
      </c>
      <c r="W1764" t="s">
        <v>33041</v>
      </c>
      <c r="X1764" t="s">
        <v>33042</v>
      </c>
      <c r="Y1764" t="s">
        <v>33043</v>
      </c>
    </row>
    <row r="1765" spans="1:25" x14ac:dyDescent="0.3">
      <c r="A1765">
        <v>88200</v>
      </c>
      <c r="B1765" t="s">
        <v>33044</v>
      </c>
      <c r="C1765" t="s">
        <v>33045</v>
      </c>
      <c r="D1765" t="s">
        <v>33046</v>
      </c>
      <c r="E1765" t="s">
        <v>33047</v>
      </c>
      <c r="F1765" t="s">
        <v>33048</v>
      </c>
      <c r="G1765" t="s">
        <v>33049</v>
      </c>
      <c r="H1765" t="s">
        <v>33050</v>
      </c>
      <c r="I1765" t="s">
        <v>33051</v>
      </c>
      <c r="J1765" t="s">
        <v>33052</v>
      </c>
      <c r="K1765" t="s">
        <v>33053</v>
      </c>
      <c r="L1765" t="s">
        <v>33054</v>
      </c>
      <c r="M1765" t="s">
        <v>33055</v>
      </c>
      <c r="N1765" t="s">
        <v>33056</v>
      </c>
      <c r="O1765">
        <f>-617.848304711908 -58.1378275194827 -726.325078318499</f>
        <v>-1402.3112105498897</v>
      </c>
      <c r="P1765">
        <f>-622.288575874609 -27.5574789925047 -411.314949234315</f>
        <v>-1061.1610041014287</v>
      </c>
      <c r="Q1765">
        <f>-364.915813461633 -22.2102147762716 -448.365433000942</f>
        <v>-835.49146123884657</v>
      </c>
      <c r="R1765" t="s">
        <v>33057</v>
      </c>
      <c r="S1765" t="s">
        <v>33058</v>
      </c>
      <c r="T1765" t="s">
        <v>33059</v>
      </c>
      <c r="U1765" t="s">
        <v>33060</v>
      </c>
      <c r="V1765" t="s">
        <v>33061</v>
      </c>
      <c r="W1765" t="s">
        <v>33062</v>
      </c>
      <c r="X1765" t="s">
        <v>33063</v>
      </c>
      <c r="Y1765" t="s">
        <v>33064</v>
      </c>
    </row>
    <row r="1766" spans="1:25" x14ac:dyDescent="0.3">
      <c r="A1766">
        <v>88250</v>
      </c>
      <c r="B1766" t="s">
        <v>33065</v>
      </c>
      <c r="C1766" t="s">
        <v>33066</v>
      </c>
      <c r="D1766" t="s">
        <v>33067</v>
      </c>
      <c r="E1766" t="s">
        <v>33068</v>
      </c>
      <c r="F1766" t="s">
        <v>33069</v>
      </c>
      <c r="G1766" t="s">
        <v>33070</v>
      </c>
      <c r="H1766" t="s">
        <v>33071</v>
      </c>
      <c r="I1766" t="s">
        <v>33072</v>
      </c>
      <c r="J1766" t="s">
        <v>33073</v>
      </c>
      <c r="K1766" t="s">
        <v>33074</v>
      </c>
      <c r="L1766" t="s">
        <v>33075</v>
      </c>
      <c r="M1766" t="s">
        <v>33076</v>
      </c>
      <c r="N1766" t="s">
        <v>33077</v>
      </c>
      <c r="O1766">
        <f>-616.776904390242 -57.6176532296172 -726.265129078302</f>
        <v>-1400.6596866981613</v>
      </c>
      <c r="P1766">
        <f>-621.169081461177 -26.7174850145373 -411.285747546504</f>
        <v>-1059.1723140222184</v>
      </c>
      <c r="Q1766">
        <f>-363.758188488135 -19.5730421411356 -447.763933207016</f>
        <v>-831.09516383628659</v>
      </c>
      <c r="R1766" t="s">
        <v>33078</v>
      </c>
      <c r="S1766" t="s">
        <v>33079</v>
      </c>
      <c r="T1766" t="s">
        <v>33080</v>
      </c>
      <c r="U1766" t="s">
        <v>33081</v>
      </c>
      <c r="V1766" t="s">
        <v>33082</v>
      </c>
      <c r="W1766" t="s">
        <v>33083</v>
      </c>
      <c r="X1766" t="s">
        <v>33084</v>
      </c>
      <c r="Y1766" t="s">
        <v>33085</v>
      </c>
    </row>
    <row r="1767" spans="1:25" x14ac:dyDescent="0.3">
      <c r="A1767">
        <v>88300</v>
      </c>
      <c r="B1767" t="s">
        <v>33086</v>
      </c>
      <c r="C1767" t="s">
        <v>33087</v>
      </c>
      <c r="D1767" t="s">
        <v>33088</v>
      </c>
      <c r="E1767" t="s">
        <v>33089</v>
      </c>
      <c r="F1767" t="s">
        <v>33090</v>
      </c>
      <c r="G1767" t="s">
        <v>33091</v>
      </c>
      <c r="H1767" t="s">
        <v>33092</v>
      </c>
      <c r="I1767" t="s">
        <v>33093</v>
      </c>
      <c r="J1767" t="s">
        <v>33094</v>
      </c>
      <c r="K1767" t="s">
        <v>33095</v>
      </c>
      <c r="L1767" t="s">
        <v>33096</v>
      </c>
      <c r="M1767" t="s">
        <v>33097</v>
      </c>
      <c r="N1767" t="s">
        <v>33098</v>
      </c>
      <c r="O1767">
        <f>-616.218918448636 -57.3910817039994 -726.35344744085</f>
        <v>-1399.9634475934854</v>
      </c>
      <c r="P1767">
        <f>-620.917036829692 -26.5509268689584 -411.372540263374</f>
        <v>-1058.8405039620245</v>
      </c>
      <c r="Q1767">
        <f>-363.474769281798 -17.6270106468198 -447.231819405516</f>
        <v>-828.33359933413385</v>
      </c>
      <c r="R1767" t="s">
        <v>33099</v>
      </c>
      <c r="S1767" t="s">
        <v>33100</v>
      </c>
      <c r="T1767" t="s">
        <v>33101</v>
      </c>
      <c r="U1767" t="s">
        <v>33102</v>
      </c>
      <c r="V1767" t="s">
        <v>33103</v>
      </c>
      <c r="W1767" t="s">
        <v>33104</v>
      </c>
      <c r="X1767" t="s">
        <v>33105</v>
      </c>
      <c r="Y1767" t="s">
        <v>33106</v>
      </c>
    </row>
    <row r="1768" spans="1:25" x14ac:dyDescent="0.3">
      <c r="A1768">
        <v>88350</v>
      </c>
      <c r="B1768" t="s">
        <v>33107</v>
      </c>
      <c r="C1768" t="s">
        <v>33108</v>
      </c>
      <c r="D1768" t="s">
        <v>33109</v>
      </c>
      <c r="E1768" t="s">
        <v>33110</v>
      </c>
      <c r="F1768" t="s">
        <v>33111</v>
      </c>
      <c r="G1768" t="s">
        <v>33112</v>
      </c>
      <c r="H1768" t="s">
        <v>33113</v>
      </c>
      <c r="I1768" t="s">
        <v>33114</v>
      </c>
      <c r="J1768" t="s">
        <v>33115</v>
      </c>
      <c r="K1768" t="s">
        <v>33116</v>
      </c>
      <c r="L1768" t="s">
        <v>33117</v>
      </c>
      <c r="M1768" t="s">
        <v>33118</v>
      </c>
      <c r="N1768" t="s">
        <v>33119</v>
      </c>
      <c r="O1768">
        <f>-614.950058305226 -56.4982377401022 -726.390501733231</f>
        <v>-1397.8387977785592</v>
      </c>
      <c r="P1768">
        <f>-620.614179306093 -25.6597253703669 -411.425283303523</f>
        <v>-1057.699187979983</v>
      </c>
      <c r="Q1768">
        <f>-363.07114472395 -13.4877513447402 -445.564226206894</f>
        <v>-822.12312227558414</v>
      </c>
      <c r="R1768" t="s">
        <v>33120</v>
      </c>
      <c r="S1768" t="s">
        <v>33121</v>
      </c>
      <c r="T1768" t="s">
        <v>33122</v>
      </c>
      <c r="U1768" t="s">
        <v>33123</v>
      </c>
      <c r="V1768" t="s">
        <v>33124</v>
      </c>
      <c r="W1768" t="s">
        <v>33125</v>
      </c>
      <c r="X1768" t="s">
        <v>33126</v>
      </c>
      <c r="Y1768" t="s">
        <v>33127</v>
      </c>
    </row>
    <row r="1769" spans="1:25" x14ac:dyDescent="0.3">
      <c r="A1769">
        <v>88400</v>
      </c>
      <c r="B1769" t="s">
        <v>33128</v>
      </c>
      <c r="C1769" t="s">
        <v>33129</v>
      </c>
      <c r="D1769" t="s">
        <v>33130</v>
      </c>
      <c r="E1769" t="s">
        <v>33131</v>
      </c>
      <c r="F1769" t="s">
        <v>33132</v>
      </c>
      <c r="G1769" t="s">
        <v>33133</v>
      </c>
      <c r="H1769" t="s">
        <v>33134</v>
      </c>
      <c r="I1769" t="s">
        <v>33135</v>
      </c>
      <c r="J1769" t="s">
        <v>33136</v>
      </c>
      <c r="K1769" t="s">
        <v>33137</v>
      </c>
      <c r="L1769" t="s">
        <v>33138</v>
      </c>
      <c r="M1769" t="s">
        <v>33139</v>
      </c>
      <c r="N1769" t="s">
        <v>33140</v>
      </c>
      <c r="O1769">
        <f>-614.711092698931 -56.1337222482953 -726.467863541026</f>
        <v>-1397.3126784882522</v>
      </c>
      <c r="P1769">
        <f>-620.895530887056 -24.8738098960816 -411.554009104487</f>
        <v>-1057.3233498876248</v>
      </c>
      <c r="Q1769">
        <f>-363.355724190253 -10.8021187754432 -444.979981780231</f>
        <v>-819.13782474592722</v>
      </c>
      <c r="R1769" t="s">
        <v>33141</v>
      </c>
      <c r="S1769" t="s">
        <v>33142</v>
      </c>
      <c r="T1769" t="s">
        <v>33143</v>
      </c>
      <c r="U1769" t="s">
        <v>33144</v>
      </c>
      <c r="V1769" t="s">
        <v>33145</v>
      </c>
      <c r="W1769" t="s">
        <v>33146</v>
      </c>
      <c r="X1769" t="s">
        <v>33147</v>
      </c>
      <c r="Y1769" t="s">
        <v>33148</v>
      </c>
    </row>
    <row r="1770" spans="1:25" x14ac:dyDescent="0.3">
      <c r="A1770">
        <v>88450</v>
      </c>
      <c r="B1770" t="s">
        <v>33149</v>
      </c>
      <c r="C1770" t="s">
        <v>33150</v>
      </c>
      <c r="D1770" t="s">
        <v>33151</v>
      </c>
      <c r="E1770" t="s">
        <v>33152</v>
      </c>
      <c r="F1770" t="s">
        <v>33153</v>
      </c>
      <c r="G1770" t="s">
        <v>33154</v>
      </c>
      <c r="H1770" t="s">
        <v>33155</v>
      </c>
      <c r="I1770" t="s">
        <v>33156</v>
      </c>
      <c r="J1770" t="s">
        <v>33157</v>
      </c>
      <c r="K1770" t="s">
        <v>33158</v>
      </c>
      <c r="L1770" t="s">
        <v>33159</v>
      </c>
      <c r="M1770" t="s">
        <v>33160</v>
      </c>
      <c r="N1770" t="s">
        <v>33161</v>
      </c>
      <c r="O1770">
        <f>-614.09731112699 -55.537832953187 -726.555662373548</f>
        <v>-1396.1908064537251</v>
      </c>
      <c r="P1770">
        <f>-621.525628592944 -22.9823443123055 -411.799925579379</f>
        <v>-1056.3078984846286</v>
      </c>
      <c r="Q1770">
        <f>-364.071274103718 -7.32337144880262 -445.178456022251</f>
        <v>-816.57310157477161</v>
      </c>
      <c r="R1770" t="s">
        <v>33162</v>
      </c>
      <c r="S1770" t="s">
        <v>33163</v>
      </c>
      <c r="T1770" t="s">
        <v>33164</v>
      </c>
      <c r="U1770" t="s">
        <v>33165</v>
      </c>
      <c r="V1770" t="s">
        <v>33166</v>
      </c>
      <c r="W1770" t="s">
        <v>33167</v>
      </c>
      <c r="X1770" t="s">
        <v>33168</v>
      </c>
      <c r="Y1770" t="s">
        <v>33169</v>
      </c>
    </row>
    <row r="1771" spans="1:25" x14ac:dyDescent="0.3">
      <c r="A1771">
        <v>88500</v>
      </c>
      <c r="B1771" t="s">
        <v>33170</v>
      </c>
      <c r="C1771" t="s">
        <v>33171</v>
      </c>
      <c r="D1771" t="s">
        <v>33172</v>
      </c>
      <c r="E1771" t="s">
        <v>33173</v>
      </c>
      <c r="F1771" t="s">
        <v>33174</v>
      </c>
      <c r="G1771" t="s">
        <v>33175</v>
      </c>
      <c r="H1771" t="s">
        <v>33176</v>
      </c>
      <c r="I1771" t="s">
        <v>33177</v>
      </c>
      <c r="J1771" t="s">
        <v>33178</v>
      </c>
      <c r="K1771" t="s">
        <v>33179</v>
      </c>
      <c r="L1771" t="s">
        <v>33180</v>
      </c>
      <c r="M1771" t="s">
        <v>33181</v>
      </c>
      <c r="N1771" t="s">
        <v>33182</v>
      </c>
      <c r="O1771">
        <f>-614.03545771041 -55.352029875482 -726.547331265588</f>
        <v>-1395.93481885148</v>
      </c>
      <c r="P1771">
        <f>-621.423756799025 -22.6293620034221 -411.807948149604</f>
        <v>-1055.861066952051</v>
      </c>
      <c r="Q1771">
        <f>-364.072186438757 -5.68497520174378 -445.350621023014</f>
        <v>-815.10778266351485</v>
      </c>
      <c r="R1771" t="s">
        <v>33183</v>
      </c>
      <c r="S1771" t="s">
        <v>33184</v>
      </c>
      <c r="T1771" t="s">
        <v>33185</v>
      </c>
      <c r="U1771" t="s">
        <v>33186</v>
      </c>
      <c r="V1771" t="s">
        <v>33187</v>
      </c>
      <c r="W1771" t="s">
        <v>33188</v>
      </c>
      <c r="X1771" t="s">
        <v>33189</v>
      </c>
      <c r="Y1771" t="s">
        <v>33190</v>
      </c>
    </row>
    <row r="1772" spans="1:25" x14ac:dyDescent="0.3">
      <c r="A1772">
        <v>88550</v>
      </c>
      <c r="B1772" t="s">
        <v>33191</v>
      </c>
      <c r="C1772" t="s">
        <v>33192</v>
      </c>
      <c r="D1772" t="s">
        <v>33193</v>
      </c>
      <c r="E1772" t="s">
        <v>33194</v>
      </c>
      <c r="F1772" t="s">
        <v>33195</v>
      </c>
      <c r="G1772" t="s">
        <v>33196</v>
      </c>
      <c r="H1772" t="s">
        <v>33197</v>
      </c>
      <c r="I1772" t="s">
        <v>33198</v>
      </c>
      <c r="J1772" t="s">
        <v>33199</v>
      </c>
      <c r="K1772" t="s">
        <v>33200</v>
      </c>
      <c r="L1772" t="s">
        <v>33201</v>
      </c>
      <c r="M1772" t="s">
        <v>33202</v>
      </c>
      <c r="N1772" t="s">
        <v>33203</v>
      </c>
      <c r="O1772">
        <f>-614.103916654333 -55.0265897012127 -726.522827287786</f>
        <v>-1395.6533336433317</v>
      </c>
      <c r="P1772">
        <f>-621.542252704286 -22.6534744188614 -411.748481812581</f>
        <v>-1055.9442089357285</v>
      </c>
      <c r="Q1772">
        <f>-364.352796842111 -3.49157783879059 -445.341212663392</f>
        <v>-813.18558734429359</v>
      </c>
      <c r="R1772" t="s">
        <v>33204</v>
      </c>
      <c r="S1772" t="s">
        <v>33205</v>
      </c>
      <c r="T1772" t="s">
        <v>33206</v>
      </c>
      <c r="U1772" t="s">
        <v>33207</v>
      </c>
      <c r="V1772" t="s">
        <v>33208</v>
      </c>
      <c r="W1772" t="s">
        <v>33209</v>
      </c>
      <c r="X1772" t="s">
        <v>33210</v>
      </c>
      <c r="Y1772" t="s">
        <v>33211</v>
      </c>
    </row>
    <row r="1773" spans="1:25" x14ac:dyDescent="0.3">
      <c r="A1773">
        <v>88600</v>
      </c>
      <c r="B1773" t="s">
        <v>33212</v>
      </c>
      <c r="C1773" t="s">
        <v>33213</v>
      </c>
      <c r="D1773" t="s">
        <v>33214</v>
      </c>
      <c r="E1773" t="s">
        <v>33215</v>
      </c>
      <c r="F1773" t="s">
        <v>33216</v>
      </c>
      <c r="G1773" t="s">
        <v>33217</v>
      </c>
      <c r="H1773" t="s">
        <v>33218</v>
      </c>
      <c r="I1773" t="s">
        <v>33219</v>
      </c>
      <c r="J1773" t="s">
        <v>33220</v>
      </c>
      <c r="K1773" t="s">
        <v>33221</v>
      </c>
      <c r="L1773" t="s">
        <v>33222</v>
      </c>
      <c r="M1773" t="s">
        <v>33223</v>
      </c>
      <c r="N1773" t="s">
        <v>33224</v>
      </c>
      <c r="O1773">
        <f>-614.211821782917 -54.9819432705926 -726.41983600155</f>
        <v>-1395.6136010550597</v>
      </c>
      <c r="P1773">
        <f>-621.619414013414 -22.4797620580193 -411.658146075575</f>
        <v>-1055.7573221470084</v>
      </c>
      <c r="Q1773">
        <f>-364.365136829206 -3.24751924839552 -444.709320375985</f>
        <v>-812.32197645358656</v>
      </c>
      <c r="R1773" t="s">
        <v>33225</v>
      </c>
      <c r="S1773" t="s">
        <v>33226</v>
      </c>
      <c r="T1773" t="s">
        <v>33227</v>
      </c>
      <c r="U1773" t="s">
        <v>33228</v>
      </c>
      <c r="V1773" t="s">
        <v>33229</v>
      </c>
      <c r="W1773" t="s">
        <v>33230</v>
      </c>
      <c r="X1773" t="s">
        <v>33231</v>
      </c>
      <c r="Y1773" t="s">
        <v>33232</v>
      </c>
    </row>
    <row r="1774" spans="1:25" x14ac:dyDescent="0.3">
      <c r="A1774">
        <v>88650</v>
      </c>
      <c r="B1774" t="s">
        <v>33233</v>
      </c>
      <c r="C1774" t="s">
        <v>33234</v>
      </c>
      <c r="D1774" t="s">
        <v>33235</v>
      </c>
      <c r="E1774" t="s">
        <v>33236</v>
      </c>
      <c r="F1774" t="s">
        <v>33237</v>
      </c>
      <c r="G1774" t="s">
        <v>33238</v>
      </c>
      <c r="H1774" t="s">
        <v>33239</v>
      </c>
      <c r="I1774" t="s">
        <v>33240</v>
      </c>
      <c r="J1774" t="s">
        <v>33241</v>
      </c>
      <c r="K1774" t="s">
        <v>33242</v>
      </c>
      <c r="L1774" t="s">
        <v>33243</v>
      </c>
      <c r="M1774" t="s">
        <v>33244</v>
      </c>
      <c r="N1774" t="s">
        <v>33245</v>
      </c>
      <c r="O1774">
        <f>-614.460851340155 -54.9787637646957 -726.355375120815</f>
        <v>-1395.7949902256657</v>
      </c>
      <c r="P1774">
        <f>-621.825350392996 -23.3266009036863 -411.506140886647</f>
        <v>-1056.6580921833292</v>
      </c>
      <c r="Q1774">
        <f>-364.612398894469 -3.67529364138818 -444.633056727866</f>
        <v>-812.92074926372311</v>
      </c>
      <c r="R1774" t="s">
        <v>33246</v>
      </c>
      <c r="S1774" t="s">
        <v>33247</v>
      </c>
      <c r="T1774" t="s">
        <v>33248</v>
      </c>
      <c r="U1774" t="s">
        <v>33249</v>
      </c>
      <c r="V1774" t="s">
        <v>33250</v>
      </c>
      <c r="W1774" t="s">
        <v>33251</v>
      </c>
      <c r="X1774" t="s">
        <v>33252</v>
      </c>
      <c r="Y1774" t="s">
        <v>33253</v>
      </c>
    </row>
    <row r="1775" spans="1:25" x14ac:dyDescent="0.3">
      <c r="A1775">
        <v>88700</v>
      </c>
      <c r="B1775" t="s">
        <v>33254</v>
      </c>
      <c r="C1775" t="s">
        <v>33255</v>
      </c>
      <c r="D1775" t="s">
        <v>33256</v>
      </c>
      <c r="E1775" t="s">
        <v>33257</v>
      </c>
      <c r="F1775" t="s">
        <v>33258</v>
      </c>
      <c r="G1775" t="s">
        <v>33259</v>
      </c>
      <c r="H1775" t="s">
        <v>33260</v>
      </c>
      <c r="I1775" t="s">
        <v>33261</v>
      </c>
      <c r="J1775" t="s">
        <v>33262</v>
      </c>
      <c r="K1775" t="s">
        <v>33263</v>
      </c>
      <c r="L1775" t="s">
        <v>33264</v>
      </c>
      <c r="M1775" t="s">
        <v>33265</v>
      </c>
      <c r="N1775" t="s">
        <v>33266</v>
      </c>
      <c r="O1775">
        <f>-614.505681189315 -54.9457892190783 -726.383937114323</f>
        <v>-1395.8354075227162</v>
      </c>
      <c r="P1775">
        <f>-621.80128266445 -23.5758904319061 -411.504683781435</f>
        <v>-1056.8818568777911</v>
      </c>
      <c r="Q1775">
        <f>-364.469052615963 -5.09078094705797 -444.3753982112</f>
        <v>-813.93523177422094</v>
      </c>
      <c r="R1775" t="s">
        <v>33267</v>
      </c>
      <c r="S1775" t="s">
        <v>33268</v>
      </c>
      <c r="T1775" t="s">
        <v>33269</v>
      </c>
      <c r="U1775" t="s">
        <v>33270</v>
      </c>
      <c r="V1775" t="s">
        <v>33271</v>
      </c>
      <c r="W1775" t="s">
        <v>33272</v>
      </c>
      <c r="X1775" t="s">
        <v>33273</v>
      </c>
      <c r="Y1775" t="s">
        <v>33274</v>
      </c>
    </row>
    <row r="1776" spans="1:25" x14ac:dyDescent="0.3">
      <c r="A1776">
        <v>88750</v>
      </c>
      <c r="B1776" t="s">
        <v>33275</v>
      </c>
      <c r="C1776" t="s">
        <v>33276</v>
      </c>
      <c r="D1776" t="s">
        <v>33277</v>
      </c>
      <c r="E1776" t="s">
        <v>33278</v>
      </c>
      <c r="F1776" t="s">
        <v>33279</v>
      </c>
      <c r="G1776" t="s">
        <v>33280</v>
      </c>
      <c r="H1776" t="s">
        <v>33281</v>
      </c>
      <c r="I1776" t="s">
        <v>33282</v>
      </c>
      <c r="J1776" t="s">
        <v>33283</v>
      </c>
      <c r="K1776" t="s">
        <v>33284</v>
      </c>
      <c r="L1776" t="s">
        <v>33285</v>
      </c>
      <c r="M1776" t="s">
        <v>33286</v>
      </c>
      <c r="N1776" t="s">
        <v>33287</v>
      </c>
      <c r="O1776">
        <f>-614.212665296202 -55.2368634140296 -725.912029706722</f>
        <v>-1395.3615584169536</v>
      </c>
      <c r="P1776">
        <f>-620.37461826813 -24.5843341528998 -410.937948920381</f>
        <v>-1055.8969013414107</v>
      </c>
      <c r="Q1776">
        <f>-362.951070052078 -9.85562481755005 -444.971042925622</f>
        <v>-817.77773779525</v>
      </c>
      <c r="R1776" t="s">
        <v>33288</v>
      </c>
      <c r="S1776" t="s">
        <v>33289</v>
      </c>
      <c r="T1776" t="s">
        <v>33290</v>
      </c>
      <c r="U1776" t="s">
        <v>33291</v>
      </c>
      <c r="V1776" t="s">
        <v>33292</v>
      </c>
      <c r="W1776" t="s">
        <v>33293</v>
      </c>
      <c r="X1776" t="s">
        <v>33294</v>
      </c>
      <c r="Y1776" t="s">
        <v>33295</v>
      </c>
    </row>
    <row r="1777" spans="1:25" x14ac:dyDescent="0.3">
      <c r="A1777">
        <v>88800</v>
      </c>
      <c r="B1777" t="s">
        <v>33296</v>
      </c>
      <c r="C1777" t="s">
        <v>33297</v>
      </c>
      <c r="D1777" t="s">
        <v>33298</v>
      </c>
      <c r="E1777" t="s">
        <v>33299</v>
      </c>
      <c r="F1777" t="s">
        <v>33300</v>
      </c>
      <c r="G1777" t="s">
        <v>33301</v>
      </c>
      <c r="H1777" t="s">
        <v>33302</v>
      </c>
      <c r="I1777" t="s">
        <v>33303</v>
      </c>
      <c r="J1777" t="s">
        <v>33304</v>
      </c>
      <c r="K1777" t="s">
        <v>33305</v>
      </c>
      <c r="L1777" t="s">
        <v>33306</v>
      </c>
      <c r="M1777" t="s">
        <v>33307</v>
      </c>
      <c r="N1777" t="s">
        <v>33308</v>
      </c>
      <c r="O1777">
        <f>-613.963526563846 -55.5048959419801 -725.462366040501</f>
        <v>-1394.9307885463272</v>
      </c>
      <c r="P1777">
        <f>-619.47443981787 -25.1828310609583 -410.444319874573</f>
        <v>-1055.1015907534013</v>
      </c>
      <c r="Q1777">
        <f>-362.026266738202 -12.9100878917809 -445.25611498939</f>
        <v>-820.19246961937301</v>
      </c>
      <c r="R1777" t="s">
        <v>33309</v>
      </c>
      <c r="S1777" t="s">
        <v>33310</v>
      </c>
      <c r="T1777" t="s">
        <v>33311</v>
      </c>
      <c r="U1777" t="s">
        <v>33312</v>
      </c>
      <c r="V1777" t="s">
        <v>33313</v>
      </c>
      <c r="W1777" t="s">
        <v>33314</v>
      </c>
      <c r="X1777" t="s">
        <v>33315</v>
      </c>
      <c r="Y1777" t="s">
        <v>33316</v>
      </c>
    </row>
    <row r="1778" spans="1:25" x14ac:dyDescent="0.3">
      <c r="A1778">
        <v>88850</v>
      </c>
      <c r="B1778" t="s">
        <v>33317</v>
      </c>
      <c r="C1778" t="s">
        <v>33318</v>
      </c>
      <c r="D1778" t="s">
        <v>33319</v>
      </c>
      <c r="E1778" t="s">
        <v>33320</v>
      </c>
      <c r="F1778" t="s">
        <v>33321</v>
      </c>
      <c r="G1778" t="s">
        <v>33322</v>
      </c>
      <c r="H1778" t="s">
        <v>33323</v>
      </c>
      <c r="I1778" t="s">
        <v>33324</v>
      </c>
      <c r="J1778" t="s">
        <v>33325</v>
      </c>
      <c r="K1778" t="s">
        <v>33326</v>
      </c>
      <c r="L1778" t="s">
        <v>33327</v>
      </c>
      <c r="M1778" t="s">
        <v>33328</v>
      </c>
      <c r="N1778" t="s">
        <v>33329</v>
      </c>
      <c r="O1778">
        <f>-613.655225367644 -56.3144107257533 -724.669462491232</f>
        <v>-1394.6390985846292</v>
      </c>
      <c r="P1778">
        <f>-616.632327595632 -26.5168517250224 -409.56721447919</f>
        <v>-1052.7163937998444</v>
      </c>
      <c r="Q1778">
        <f>-359.239157452533 -17.1089871467962 -445.65456347065</f>
        <v>-822.00270806997924</v>
      </c>
      <c r="R1778" t="s">
        <v>33330</v>
      </c>
      <c r="S1778" t="s">
        <v>33331</v>
      </c>
      <c r="T1778" t="s">
        <v>33332</v>
      </c>
      <c r="U1778" t="s">
        <v>33333</v>
      </c>
      <c r="V1778" t="s">
        <v>33334</v>
      </c>
      <c r="W1778" t="s">
        <v>33335</v>
      </c>
      <c r="X1778" t="s">
        <v>33336</v>
      </c>
      <c r="Y1778" t="s">
        <v>33337</v>
      </c>
    </row>
    <row r="1779" spans="1:25" x14ac:dyDescent="0.3">
      <c r="A1779">
        <v>88900</v>
      </c>
      <c r="B1779" t="s">
        <v>33338</v>
      </c>
      <c r="C1779" t="s">
        <v>33339</v>
      </c>
      <c r="D1779" t="s">
        <v>33340</v>
      </c>
      <c r="E1779" t="s">
        <v>33341</v>
      </c>
      <c r="F1779" t="s">
        <v>33342</v>
      </c>
      <c r="G1779" t="s">
        <v>33343</v>
      </c>
      <c r="H1779" t="s">
        <v>33344</v>
      </c>
      <c r="I1779" t="s">
        <v>33345</v>
      </c>
      <c r="J1779" t="s">
        <v>33346</v>
      </c>
      <c r="K1779" t="s">
        <v>33347</v>
      </c>
      <c r="L1779" t="s">
        <v>33348</v>
      </c>
      <c r="M1779" t="s">
        <v>33349</v>
      </c>
      <c r="N1779" t="s">
        <v>33350</v>
      </c>
      <c r="O1779">
        <f>-613.333936335704 -56.3943592926501 -724.484835906116</f>
        <v>-1394.21313153447</v>
      </c>
      <c r="P1779">
        <f>-615.094993255527 -27.0532970246641 -409.330607888149</f>
        <v>-1051.47889816834</v>
      </c>
      <c r="Q1779">
        <f>-357.731146364299 -17.8301733301048 -445.673890000208</f>
        <v>-821.23520969461174</v>
      </c>
      <c r="R1779" t="s">
        <v>33351</v>
      </c>
      <c r="S1779" t="s">
        <v>33352</v>
      </c>
      <c r="T1779" t="s">
        <v>33353</v>
      </c>
      <c r="U1779" t="s">
        <v>33354</v>
      </c>
      <c r="V1779" t="s">
        <v>33355</v>
      </c>
      <c r="W1779" t="s">
        <v>33356</v>
      </c>
      <c r="X1779" t="s">
        <v>33357</v>
      </c>
      <c r="Y1779" t="s">
        <v>33358</v>
      </c>
    </row>
    <row r="1780" spans="1:25" x14ac:dyDescent="0.3">
      <c r="A1780">
        <v>88950</v>
      </c>
      <c r="B1780" t="s">
        <v>33359</v>
      </c>
      <c r="C1780" t="s">
        <v>33360</v>
      </c>
      <c r="D1780" t="s">
        <v>33361</v>
      </c>
      <c r="E1780" t="s">
        <v>33362</v>
      </c>
      <c r="F1780" t="s">
        <v>33363</v>
      </c>
      <c r="G1780" t="s">
        <v>33364</v>
      </c>
      <c r="H1780" t="s">
        <v>33365</v>
      </c>
      <c r="I1780" t="s">
        <v>33366</v>
      </c>
      <c r="J1780" t="s">
        <v>33367</v>
      </c>
      <c r="K1780" t="s">
        <v>33368</v>
      </c>
      <c r="L1780" t="s">
        <v>33369</v>
      </c>
      <c r="M1780" t="s">
        <v>33370</v>
      </c>
      <c r="N1780" t="s">
        <v>33371</v>
      </c>
      <c r="O1780">
        <f>-612.08873348316 -57.0303460604998 -724.17889943243</f>
        <v>-1393.2979789760898</v>
      </c>
      <c r="P1780">
        <f>-613.886618253417 -26.859073794798 -409.103398401982</f>
        <v>-1049.8490904501971</v>
      </c>
      <c r="Q1780">
        <f>-356.34255688084 -17.4643109982712 -444.100956879476</f>
        <v>-817.90782475858714</v>
      </c>
      <c r="R1780" t="s">
        <v>33372</v>
      </c>
      <c r="S1780" t="s">
        <v>33373</v>
      </c>
      <c r="T1780" t="s">
        <v>33374</v>
      </c>
      <c r="U1780" t="s">
        <v>33375</v>
      </c>
      <c r="V1780" t="s">
        <v>33376</v>
      </c>
      <c r="W1780" t="s">
        <v>33377</v>
      </c>
      <c r="X1780" t="s">
        <v>33378</v>
      </c>
      <c r="Y1780" t="s">
        <v>33379</v>
      </c>
    </row>
    <row r="1781" spans="1:25" x14ac:dyDescent="0.3">
      <c r="A1781">
        <v>89000</v>
      </c>
      <c r="B1781" t="s">
        <v>33380</v>
      </c>
      <c r="C1781" t="s">
        <v>33381</v>
      </c>
      <c r="D1781" t="s">
        <v>33382</v>
      </c>
      <c r="E1781" t="s">
        <v>33383</v>
      </c>
      <c r="F1781" t="s">
        <v>33384</v>
      </c>
      <c r="G1781" t="s">
        <v>33385</v>
      </c>
      <c r="H1781" t="s">
        <v>33386</v>
      </c>
      <c r="I1781" t="s">
        <v>33387</v>
      </c>
      <c r="J1781" t="s">
        <v>33388</v>
      </c>
      <c r="K1781" t="s">
        <v>33389</v>
      </c>
      <c r="L1781" t="s">
        <v>33390</v>
      </c>
      <c r="M1781" t="s">
        <v>33391</v>
      </c>
      <c r="N1781" t="s">
        <v>33392</v>
      </c>
      <c r="O1781">
        <f>-611.161480433488 -57.5734759888442 -723.93803944613</f>
        <v>-1392.6729958684623</v>
      </c>
      <c r="P1781">
        <f>-614.444059541155 -26.2471890164718 -408.987183899733</f>
        <v>-1049.6784324573598</v>
      </c>
      <c r="Q1781">
        <f>-356.621316190347 -17.470120532741 -442.039164131694</f>
        <v>-816.13060085478196</v>
      </c>
      <c r="R1781" t="s">
        <v>33393</v>
      </c>
      <c r="S1781" t="s">
        <v>33394</v>
      </c>
      <c r="T1781" t="s">
        <v>33395</v>
      </c>
      <c r="U1781" t="s">
        <v>33396</v>
      </c>
      <c r="V1781" t="s">
        <v>33397</v>
      </c>
      <c r="W1781" t="s">
        <v>33398</v>
      </c>
      <c r="X1781" t="s">
        <v>33399</v>
      </c>
      <c r="Y1781" t="s">
        <v>33400</v>
      </c>
    </row>
    <row r="1782" spans="1:25" x14ac:dyDescent="0.3">
      <c r="A1782">
        <v>89050</v>
      </c>
      <c r="B1782" t="s">
        <v>33401</v>
      </c>
      <c r="C1782" t="s">
        <v>33402</v>
      </c>
      <c r="D1782" t="s">
        <v>33403</v>
      </c>
      <c r="E1782" t="s">
        <v>33404</v>
      </c>
      <c r="F1782" t="s">
        <v>33405</v>
      </c>
      <c r="G1782" t="s">
        <v>33406</v>
      </c>
      <c r="H1782" t="s">
        <v>33407</v>
      </c>
      <c r="I1782" t="s">
        <v>33408</v>
      </c>
      <c r="J1782" t="s">
        <v>33409</v>
      </c>
      <c r="K1782" t="s">
        <v>33410</v>
      </c>
      <c r="L1782" t="s">
        <v>33411</v>
      </c>
      <c r="M1782" t="s">
        <v>33412</v>
      </c>
      <c r="N1782" t="s">
        <v>33413</v>
      </c>
      <c r="O1782">
        <f>-609.746433988937 -59.6455449554696 -722.908379905994</f>
        <v>-1392.3003588504007</v>
      </c>
      <c r="P1782">
        <f>-615.559365957954 -25.2593040235793 -408.313405791094</f>
        <v>-1049.1320757726273</v>
      </c>
      <c r="Q1782">
        <f>-357.325583177717 -17.6432722778263 -438.302618832848</f>
        <v>-813.27147428839135</v>
      </c>
      <c r="R1782" t="s">
        <v>33414</v>
      </c>
      <c r="S1782" t="s">
        <v>33415</v>
      </c>
      <c r="T1782" t="s">
        <v>33416</v>
      </c>
      <c r="U1782" t="s">
        <v>33417</v>
      </c>
      <c r="V1782" t="s">
        <v>33418</v>
      </c>
      <c r="W1782" t="s">
        <v>33419</v>
      </c>
      <c r="X1782" t="s">
        <v>33420</v>
      </c>
      <c r="Y1782" t="s">
        <v>33421</v>
      </c>
    </row>
    <row r="1783" spans="1:25" x14ac:dyDescent="0.3">
      <c r="A1783">
        <v>89100</v>
      </c>
      <c r="B1783" t="s">
        <v>33422</v>
      </c>
      <c r="C1783" t="s">
        <v>33423</v>
      </c>
      <c r="D1783" t="s">
        <v>33424</v>
      </c>
      <c r="E1783" t="s">
        <v>33425</v>
      </c>
      <c r="F1783" t="s">
        <v>33426</v>
      </c>
      <c r="G1783" t="s">
        <v>33427</v>
      </c>
      <c r="H1783" t="s">
        <v>33428</v>
      </c>
      <c r="I1783" t="s">
        <v>33429</v>
      </c>
      <c r="J1783" t="s">
        <v>33430</v>
      </c>
      <c r="K1783" t="s">
        <v>33431</v>
      </c>
      <c r="L1783" t="s">
        <v>33432</v>
      </c>
      <c r="M1783" t="s">
        <v>33433</v>
      </c>
      <c r="N1783" t="s">
        <v>33434</v>
      </c>
      <c r="O1783">
        <f>-609.212295454575 -61.585277961992 -721.827344547161</f>
        <v>-1392.624917963728</v>
      </c>
      <c r="P1783">
        <f>-616.486649221755 -24.534958306823 -407.565477957737</f>
        <v>-1048.5870854863151</v>
      </c>
      <c r="Q1783">
        <f>-358.230679369773 -17.9219758060758 -437.601844698544</f>
        <v>-813.75449987439288</v>
      </c>
      <c r="R1783" t="s">
        <v>33435</v>
      </c>
      <c r="S1783" t="s">
        <v>33436</v>
      </c>
      <c r="T1783" t="s">
        <v>33437</v>
      </c>
      <c r="U1783" t="s">
        <v>33438</v>
      </c>
      <c r="V1783" t="s">
        <v>33439</v>
      </c>
      <c r="W1783" t="s">
        <v>33440</v>
      </c>
      <c r="X1783" t="s">
        <v>33441</v>
      </c>
      <c r="Y1783" t="s">
        <v>33442</v>
      </c>
    </row>
    <row r="1784" spans="1:25" x14ac:dyDescent="0.3">
      <c r="A1784">
        <v>89150</v>
      </c>
      <c r="B1784" t="s">
        <v>33443</v>
      </c>
      <c r="C1784" t="s">
        <v>33444</v>
      </c>
      <c r="D1784" t="s">
        <v>33445</v>
      </c>
      <c r="E1784" t="s">
        <v>33446</v>
      </c>
      <c r="F1784" t="s">
        <v>33447</v>
      </c>
      <c r="G1784" t="s">
        <v>33448</v>
      </c>
      <c r="H1784" t="s">
        <v>33449</v>
      </c>
      <c r="I1784" t="s">
        <v>33450</v>
      </c>
      <c r="J1784" t="s">
        <v>33451</v>
      </c>
      <c r="K1784" t="s">
        <v>33452</v>
      </c>
      <c r="L1784" t="s">
        <v>33453</v>
      </c>
      <c r="M1784" t="s">
        <v>33454</v>
      </c>
      <c r="N1784" t="s">
        <v>33455</v>
      </c>
      <c r="O1784">
        <f>-608.399858476163 -65.8018642961363 -718.932244881944</f>
        <v>-1393.1339676542434</v>
      </c>
      <c r="P1784">
        <f>-615.833147393768 -23.5359174428152 -405.332923477461</f>
        <v>-1044.7019883140442</v>
      </c>
      <c r="Q1784">
        <f>-357.269352021099 -20.2690914309628 -433.192567070351</f>
        <v>-810.73101052241282</v>
      </c>
      <c r="R1784" t="s">
        <v>33456</v>
      </c>
      <c r="S1784" t="s">
        <v>33457</v>
      </c>
      <c r="T1784" t="s">
        <v>33458</v>
      </c>
      <c r="U1784" t="s">
        <v>33459</v>
      </c>
      <c r="V1784" t="s">
        <v>33460</v>
      </c>
      <c r="W1784" t="s">
        <v>33461</v>
      </c>
      <c r="X1784" t="s">
        <v>33462</v>
      </c>
      <c r="Y1784" t="s">
        <v>33463</v>
      </c>
    </row>
    <row r="1785" spans="1:25" x14ac:dyDescent="0.3">
      <c r="A1785">
        <v>89200</v>
      </c>
      <c r="B1785" t="s">
        <v>33464</v>
      </c>
      <c r="C1785" t="s">
        <v>33465</v>
      </c>
      <c r="D1785" t="s">
        <v>33466</v>
      </c>
      <c r="E1785" t="s">
        <v>33467</v>
      </c>
      <c r="F1785" t="s">
        <v>33468</v>
      </c>
      <c r="G1785" t="s">
        <v>33469</v>
      </c>
      <c r="H1785" t="s">
        <v>33470</v>
      </c>
      <c r="I1785" t="s">
        <v>33471</v>
      </c>
      <c r="J1785" t="s">
        <v>33472</v>
      </c>
      <c r="K1785" t="s">
        <v>33473</v>
      </c>
      <c r="L1785" t="s">
        <v>33474</v>
      </c>
      <c r="M1785" t="s">
        <v>33475</v>
      </c>
      <c r="N1785" t="s">
        <v>33476</v>
      </c>
      <c r="O1785">
        <f>-607.970537337968 -67.8564087477432 -717.400737811365</f>
        <v>-1393.2276838970763</v>
      </c>
      <c r="P1785">
        <f>-615.368794418032 -23.7486964639704 -404.054332583377</f>
        <v>-1043.1718234653795</v>
      </c>
      <c r="Q1785">
        <f>-356.734393665256 -20.4185839246147 -431.242570820343</f>
        <v>-808.39554841021368</v>
      </c>
      <c r="R1785" t="s">
        <v>33477</v>
      </c>
      <c r="S1785" t="s">
        <v>33478</v>
      </c>
      <c r="T1785" t="s">
        <v>33479</v>
      </c>
      <c r="U1785" t="s">
        <v>33480</v>
      </c>
      <c r="V1785" t="s">
        <v>33481</v>
      </c>
      <c r="W1785" t="s">
        <v>33482</v>
      </c>
      <c r="X1785" t="s">
        <v>33483</v>
      </c>
      <c r="Y1785" t="s">
        <v>33484</v>
      </c>
    </row>
    <row r="1786" spans="1:25" x14ac:dyDescent="0.3">
      <c r="A1786">
        <v>89250</v>
      </c>
      <c r="B1786" t="s">
        <v>33485</v>
      </c>
      <c r="C1786" t="s">
        <v>33486</v>
      </c>
      <c r="D1786" t="s">
        <v>33487</v>
      </c>
      <c r="E1786" t="s">
        <v>33488</v>
      </c>
      <c r="F1786" t="s">
        <v>33489</v>
      </c>
      <c r="G1786" t="s">
        <v>33490</v>
      </c>
      <c r="H1786" t="s">
        <v>33491</v>
      </c>
      <c r="I1786" t="s">
        <v>33492</v>
      </c>
      <c r="J1786" t="s">
        <v>33493</v>
      </c>
      <c r="K1786" t="s">
        <v>33494</v>
      </c>
      <c r="L1786" t="s">
        <v>33495</v>
      </c>
      <c r="M1786" t="s">
        <v>33496</v>
      </c>
      <c r="N1786" t="s">
        <v>33497</v>
      </c>
      <c r="O1786">
        <f>-607.879505875282 -71.7212151063841 -714.566114486081</f>
        <v>-1394.1668354677472</v>
      </c>
      <c r="P1786">
        <f>-614.467441025229 -28.3145662767954 -401.103718822766</f>
        <v>-1043.8857261247904</v>
      </c>
      <c r="Q1786">
        <f>-356.061139480577 -20.0176845013334 -429.377554162724</f>
        <v>-805.45637814463441</v>
      </c>
      <c r="R1786" t="s">
        <v>33498</v>
      </c>
      <c r="S1786" t="s">
        <v>33499</v>
      </c>
      <c r="T1786" t="s">
        <v>33500</v>
      </c>
      <c r="U1786" t="s">
        <v>33501</v>
      </c>
      <c r="V1786" t="s">
        <v>33502</v>
      </c>
      <c r="W1786" t="s">
        <v>33503</v>
      </c>
      <c r="X1786" t="s">
        <v>33504</v>
      </c>
      <c r="Y1786" t="s">
        <v>33505</v>
      </c>
    </row>
    <row r="1787" spans="1:25" x14ac:dyDescent="0.3">
      <c r="A1787">
        <v>89300</v>
      </c>
      <c r="B1787" t="s">
        <v>33506</v>
      </c>
      <c r="C1787" t="s">
        <v>33507</v>
      </c>
      <c r="D1787" t="s">
        <v>33508</v>
      </c>
      <c r="E1787" t="s">
        <v>33509</v>
      </c>
      <c r="F1787" t="s">
        <v>33510</v>
      </c>
      <c r="G1787" t="s">
        <v>33511</v>
      </c>
      <c r="H1787" t="s">
        <v>33512</v>
      </c>
      <c r="I1787" t="s">
        <v>33513</v>
      </c>
      <c r="J1787" t="s">
        <v>33514</v>
      </c>
      <c r="K1787" t="s">
        <v>33515</v>
      </c>
      <c r="L1787" t="s">
        <v>33516</v>
      </c>
      <c r="M1787" t="s">
        <v>33517</v>
      </c>
      <c r="N1787" t="s">
        <v>33518</v>
      </c>
      <c r="O1787">
        <f>-609.146778028522 -73.0976487377752 -713.55696628239</f>
        <v>-1395.8013930486873</v>
      </c>
      <c r="P1787">
        <f>-613.551461295207 -31.2119876929014 -399.849534808018</f>
        <v>-1044.6129837961264</v>
      </c>
      <c r="Q1787">
        <f>-355.683031686291 -18.8122081964164 -431.347968847138</f>
        <v>-805.8432087298454</v>
      </c>
      <c r="R1787" t="s">
        <v>33519</v>
      </c>
      <c r="S1787" t="s">
        <v>33520</v>
      </c>
      <c r="T1787" t="s">
        <v>33521</v>
      </c>
      <c r="U1787" t="s">
        <v>33522</v>
      </c>
      <c r="V1787" t="s">
        <v>33523</v>
      </c>
      <c r="W1787" t="s">
        <v>33524</v>
      </c>
      <c r="X1787" t="s">
        <v>33525</v>
      </c>
      <c r="Y1787" t="s">
        <v>33526</v>
      </c>
    </row>
    <row r="1788" spans="1:25" x14ac:dyDescent="0.3">
      <c r="A1788">
        <v>89350</v>
      </c>
      <c r="B1788" t="s">
        <v>33527</v>
      </c>
      <c r="C1788" t="s">
        <v>33528</v>
      </c>
      <c r="D1788" t="s">
        <v>33529</v>
      </c>
      <c r="E1788" t="s">
        <v>33530</v>
      </c>
      <c r="F1788" t="s">
        <v>33531</v>
      </c>
      <c r="G1788" t="s">
        <v>33532</v>
      </c>
      <c r="H1788" t="s">
        <v>33533</v>
      </c>
      <c r="I1788" t="s">
        <v>33534</v>
      </c>
      <c r="J1788" t="s">
        <v>33535</v>
      </c>
      <c r="K1788" t="s">
        <v>33536</v>
      </c>
      <c r="L1788" t="s">
        <v>33537</v>
      </c>
      <c r="M1788" t="s">
        <v>33538</v>
      </c>
      <c r="N1788" t="s">
        <v>33539</v>
      </c>
      <c r="O1788">
        <f>-612.319100872492 -75.3288925671066 -712.373145736849</f>
        <v>-1400.0211391764476</v>
      </c>
      <c r="P1788">
        <f>-610.045106423643 -37.0522262906427 -398.182236046192</f>
        <v>-1045.2795687604776</v>
      </c>
      <c r="Q1788">
        <f>-353.424233940495 -17.31493478178 -435.575211126026</f>
        <v>-806.31437984830097</v>
      </c>
      <c r="R1788" t="s">
        <v>33540</v>
      </c>
      <c r="S1788" t="s">
        <v>33541</v>
      </c>
      <c r="T1788" t="s">
        <v>33542</v>
      </c>
      <c r="U1788" t="s">
        <v>33543</v>
      </c>
      <c r="V1788" t="s">
        <v>33544</v>
      </c>
      <c r="W1788" t="s">
        <v>33545</v>
      </c>
      <c r="X1788" t="s">
        <v>33546</v>
      </c>
      <c r="Y1788" t="s">
        <v>33547</v>
      </c>
    </row>
    <row r="1789" spans="1:25" x14ac:dyDescent="0.3">
      <c r="A1789">
        <v>89400</v>
      </c>
      <c r="B1789" t="s">
        <v>33548</v>
      </c>
      <c r="C1789" t="s">
        <v>33549</v>
      </c>
      <c r="D1789" t="s">
        <v>33550</v>
      </c>
      <c r="E1789" t="s">
        <v>33551</v>
      </c>
      <c r="F1789" t="s">
        <v>33552</v>
      </c>
      <c r="G1789" t="s">
        <v>33553</v>
      </c>
      <c r="H1789" t="s">
        <v>33554</v>
      </c>
      <c r="I1789" t="s">
        <v>33555</v>
      </c>
      <c r="J1789" t="s">
        <v>33556</v>
      </c>
      <c r="K1789" t="s">
        <v>33557</v>
      </c>
      <c r="L1789" t="s">
        <v>33558</v>
      </c>
      <c r="M1789" t="s">
        <v>33559</v>
      </c>
      <c r="N1789" t="s">
        <v>33560</v>
      </c>
      <c r="O1789">
        <f>-613.449400213085 -76.2152415166104 -712.069116400124</f>
        <v>-1401.7337581298193</v>
      </c>
      <c r="P1789">
        <f>-606.039526891615 -39.0514171414134 -397.823769598352</f>
        <v>-1042.9147136313804</v>
      </c>
      <c r="Q1789">
        <f>-350.275092471761 -15.7865014426079 -438.876791160875</f>
        <v>-804.9383850752439</v>
      </c>
      <c r="R1789" t="s">
        <v>33561</v>
      </c>
      <c r="S1789" t="s">
        <v>33562</v>
      </c>
      <c r="T1789" t="s">
        <v>33563</v>
      </c>
      <c r="U1789" t="s">
        <v>33564</v>
      </c>
      <c r="V1789" t="s">
        <v>33565</v>
      </c>
      <c r="W1789" t="s">
        <v>33566</v>
      </c>
      <c r="X1789" t="s">
        <v>33567</v>
      </c>
      <c r="Y1789" t="s">
        <v>33568</v>
      </c>
    </row>
    <row r="1790" spans="1:25" x14ac:dyDescent="0.3">
      <c r="A1790">
        <v>89450</v>
      </c>
      <c r="B1790" t="s">
        <v>33569</v>
      </c>
      <c r="C1790" t="s">
        <v>33570</v>
      </c>
      <c r="D1790" t="s">
        <v>33571</v>
      </c>
      <c r="E1790" t="s">
        <v>33572</v>
      </c>
      <c r="F1790" t="s">
        <v>33573</v>
      </c>
      <c r="G1790" t="s">
        <v>33574</v>
      </c>
      <c r="H1790" t="s">
        <v>33575</v>
      </c>
      <c r="I1790" t="s">
        <v>33576</v>
      </c>
      <c r="J1790" t="s">
        <v>33577</v>
      </c>
      <c r="K1790" t="s">
        <v>33578</v>
      </c>
      <c r="L1790" t="s">
        <v>33579</v>
      </c>
      <c r="M1790" t="s">
        <v>33580</v>
      </c>
      <c r="N1790" t="s">
        <v>33581</v>
      </c>
      <c r="O1790">
        <f>-613.028411657986 -78.726234246777 -711.642177964935</f>
        <v>-1403.396823869698</v>
      </c>
      <c r="P1790">
        <f>-597.651481580055 -44.9438322950411 -397.30395781151</f>
        <v>-1039.8992716866062</v>
      </c>
      <c r="Q1790">
        <f>-343.164132088283 -16.2707162028116 -442.648145916159</f>
        <v>-802.08299420725359</v>
      </c>
      <c r="R1790" t="s">
        <v>33582</v>
      </c>
      <c r="S1790" t="s">
        <v>33583</v>
      </c>
      <c r="T1790" t="s">
        <v>33584</v>
      </c>
      <c r="U1790" t="s">
        <v>33585</v>
      </c>
      <c r="V1790" t="s">
        <v>33586</v>
      </c>
      <c r="W1790" t="s">
        <v>33587</v>
      </c>
      <c r="X1790" t="s">
        <v>33588</v>
      </c>
      <c r="Y1790" t="s">
        <v>33589</v>
      </c>
    </row>
    <row r="1791" spans="1:25" x14ac:dyDescent="0.3">
      <c r="A1791">
        <v>89500</v>
      </c>
      <c r="B1791" t="s">
        <v>33590</v>
      </c>
      <c r="C1791" t="s">
        <v>33591</v>
      </c>
      <c r="D1791" t="s">
        <v>33592</v>
      </c>
      <c r="E1791" t="s">
        <v>33593</v>
      </c>
      <c r="F1791" t="s">
        <v>33594</v>
      </c>
      <c r="G1791" t="s">
        <v>33595</v>
      </c>
      <c r="H1791" t="s">
        <v>33596</v>
      </c>
      <c r="I1791" t="s">
        <v>33597</v>
      </c>
      <c r="J1791" t="s">
        <v>33598</v>
      </c>
      <c r="K1791" t="s">
        <v>33599</v>
      </c>
      <c r="L1791" t="s">
        <v>33600</v>
      </c>
      <c r="M1791" t="s">
        <v>33601</v>
      </c>
      <c r="N1791" t="s">
        <v>33602</v>
      </c>
      <c r="O1791">
        <f>-612.998827068591 -79.5954799699132 -712.135518929495</f>
        <v>-1404.7298259679992</v>
      </c>
      <c r="P1791">
        <f>-593.601187925795 -46.502626911496 -397.946372586272</f>
        <v>-1038.0501874235629</v>
      </c>
      <c r="Q1791">
        <f>-339.351671416761 -16.6692315292228 -443.872364162497</f>
        <v>-799.89326710848081</v>
      </c>
      <c r="R1791" t="s">
        <v>33603</v>
      </c>
      <c r="S1791" t="s">
        <v>33604</v>
      </c>
      <c r="T1791" t="s">
        <v>33605</v>
      </c>
      <c r="U1791" t="s">
        <v>33606</v>
      </c>
      <c r="V1791" t="s">
        <v>33607</v>
      </c>
      <c r="W1791" t="s">
        <v>33608</v>
      </c>
      <c r="X1791" t="s">
        <v>33609</v>
      </c>
      <c r="Y1791" t="s">
        <v>33610</v>
      </c>
    </row>
    <row r="1792" spans="1:25" x14ac:dyDescent="0.3">
      <c r="A1792">
        <v>89550</v>
      </c>
      <c r="B1792" t="s">
        <v>33611</v>
      </c>
      <c r="C1792" t="s">
        <v>33612</v>
      </c>
      <c r="D1792" t="s">
        <v>33613</v>
      </c>
      <c r="E1792" t="s">
        <v>33614</v>
      </c>
      <c r="F1792" t="s">
        <v>33615</v>
      </c>
      <c r="G1792" t="s">
        <v>33616</v>
      </c>
      <c r="H1792" t="s">
        <v>33617</v>
      </c>
      <c r="I1792" t="s">
        <v>33618</v>
      </c>
      <c r="J1792" t="s">
        <v>33619</v>
      </c>
      <c r="K1792" t="s">
        <v>33620</v>
      </c>
      <c r="L1792" t="s">
        <v>33621</v>
      </c>
      <c r="M1792" t="s">
        <v>33622</v>
      </c>
      <c r="N1792" t="s">
        <v>33623</v>
      </c>
      <c r="O1792">
        <f>-612.931830234107 -80.647567127199 -713.499421075475</f>
        <v>-1407.0788184367809</v>
      </c>
      <c r="P1792">
        <f>-589.150108576417 -47.8843740166838 -399.577110147448</f>
        <v>-1036.6115927405488</v>
      </c>
      <c r="Q1792">
        <f>-334.773630266895 -18.5741409681316 -445.135309567566</f>
        <v>-798.48308080259267</v>
      </c>
      <c r="R1792" t="s">
        <v>33624</v>
      </c>
      <c r="S1792" t="s">
        <v>33625</v>
      </c>
      <c r="T1792" t="s">
        <v>33626</v>
      </c>
      <c r="U1792" t="s">
        <v>33627</v>
      </c>
      <c r="V1792" t="s">
        <v>33628</v>
      </c>
      <c r="W1792" t="s">
        <v>33629</v>
      </c>
      <c r="X1792" t="s">
        <v>33630</v>
      </c>
      <c r="Y1792" t="s">
        <v>33631</v>
      </c>
    </row>
    <row r="1793" spans="1:25" x14ac:dyDescent="0.3">
      <c r="A1793">
        <v>89600</v>
      </c>
      <c r="B1793" t="s">
        <v>33632</v>
      </c>
      <c r="C1793" t="s">
        <v>33633</v>
      </c>
      <c r="D1793" t="s">
        <v>33634</v>
      </c>
      <c r="E1793" t="s">
        <v>33635</v>
      </c>
      <c r="F1793" t="s">
        <v>33636</v>
      </c>
      <c r="G1793" t="s">
        <v>33637</v>
      </c>
      <c r="H1793" t="s">
        <v>33638</v>
      </c>
      <c r="I1793" t="s">
        <v>33639</v>
      </c>
      <c r="J1793" t="s">
        <v>33640</v>
      </c>
      <c r="K1793" t="s">
        <v>33641</v>
      </c>
      <c r="L1793" t="s">
        <v>33642</v>
      </c>
      <c r="M1793" t="s">
        <v>33643</v>
      </c>
      <c r="N1793" t="s">
        <v>33644</v>
      </c>
      <c r="O1793">
        <f>-612.251127966179 -80.9060063729289 -714.507297901901</f>
        <v>-1407.6644322410089</v>
      </c>
      <c r="P1793">
        <f>-588.959832353059 -48.5416395458224 -400.506920137721</f>
        <v>-1038.0083920366023</v>
      </c>
      <c r="Q1793">
        <f>-334.32956129749 -20.6566544563716 -445.539228956738</f>
        <v>-800.52544471059957</v>
      </c>
      <c r="R1793" t="s">
        <v>33645</v>
      </c>
      <c r="S1793" t="s">
        <v>33646</v>
      </c>
      <c r="T1793" t="s">
        <v>33647</v>
      </c>
      <c r="U1793" t="s">
        <v>33648</v>
      </c>
      <c r="V1793" t="s">
        <v>33649</v>
      </c>
      <c r="W1793" t="s">
        <v>33650</v>
      </c>
      <c r="X1793" t="s">
        <v>33651</v>
      </c>
      <c r="Y1793" t="s">
        <v>33652</v>
      </c>
    </row>
    <row r="1794" spans="1:25" x14ac:dyDescent="0.3">
      <c r="A1794">
        <v>89650</v>
      </c>
      <c r="B1794" t="s">
        <v>33653</v>
      </c>
      <c r="C1794" t="s">
        <v>33654</v>
      </c>
      <c r="D1794" t="s">
        <v>33655</v>
      </c>
      <c r="E1794" t="s">
        <v>33656</v>
      </c>
      <c r="F1794" t="s">
        <v>33657</v>
      </c>
      <c r="G1794" t="s">
        <v>33658</v>
      </c>
      <c r="H1794" t="s">
        <v>33659</v>
      </c>
      <c r="I1794" t="s">
        <v>33660</v>
      </c>
      <c r="J1794" t="s">
        <v>33661</v>
      </c>
      <c r="K1794" t="s">
        <v>33662</v>
      </c>
      <c r="L1794" t="s">
        <v>33663</v>
      </c>
      <c r="M1794" t="s">
        <v>33664</v>
      </c>
      <c r="N1794" t="s">
        <v>33665</v>
      </c>
      <c r="O1794">
        <f>-610.63440934225 -81.1906315789429 -716.630133813959</f>
        <v>-1408.455174735152</v>
      </c>
      <c r="P1794">
        <f>-590.447761648888 -50.5321438929507 -402.243695867562</f>
        <v>-1043.2236014094005</v>
      </c>
      <c r="Q1794">
        <f>-334.677159879677 -27.3825004405635 -443.323320179761</f>
        <v>-805.38298050000151</v>
      </c>
      <c r="R1794" t="s">
        <v>33666</v>
      </c>
      <c r="S1794" t="s">
        <v>33667</v>
      </c>
      <c r="T1794" t="s">
        <v>33668</v>
      </c>
      <c r="U1794" t="s">
        <v>33669</v>
      </c>
      <c r="V1794" t="s">
        <v>33670</v>
      </c>
      <c r="W1794" t="s">
        <v>33671</v>
      </c>
      <c r="X1794" t="s">
        <v>33672</v>
      </c>
      <c r="Y1794" t="s">
        <v>33673</v>
      </c>
    </row>
    <row r="1795" spans="1:25" x14ac:dyDescent="0.3">
      <c r="A1795">
        <v>89700</v>
      </c>
      <c r="B1795" t="s">
        <v>33674</v>
      </c>
      <c r="C1795" t="s">
        <v>33675</v>
      </c>
      <c r="D1795" t="s">
        <v>33676</v>
      </c>
      <c r="E1795" t="s">
        <v>33677</v>
      </c>
      <c r="F1795" t="s">
        <v>33678</v>
      </c>
      <c r="G1795" t="s">
        <v>33679</v>
      </c>
      <c r="H1795" t="s">
        <v>33680</v>
      </c>
      <c r="I1795" t="s">
        <v>33681</v>
      </c>
      <c r="J1795" t="s">
        <v>33682</v>
      </c>
      <c r="K1795" t="s">
        <v>33683</v>
      </c>
      <c r="L1795" t="s">
        <v>33684</v>
      </c>
      <c r="M1795" t="s">
        <v>33685</v>
      </c>
      <c r="N1795" t="s">
        <v>33686</v>
      </c>
      <c r="O1795">
        <f>-609.754932799843 -81.843120601555 -717.171170459154</f>
        <v>-1408.7692238605521</v>
      </c>
      <c r="P1795">
        <f>-591.476559313497 -51.8080944630103 -402.608020032229</f>
        <v>-1045.8926738087362</v>
      </c>
      <c r="Q1795">
        <f>-335.48788276837 -30.9247494537826 -443.543904683038</f>
        <v>-809.95653690519066</v>
      </c>
      <c r="R1795" t="s">
        <v>33687</v>
      </c>
      <c r="S1795" t="s">
        <v>33688</v>
      </c>
      <c r="T1795" t="s">
        <v>33689</v>
      </c>
      <c r="U1795" t="s">
        <v>33690</v>
      </c>
      <c r="V1795" t="s">
        <v>33691</v>
      </c>
      <c r="W1795" t="s">
        <v>33692</v>
      </c>
      <c r="X1795" t="s">
        <v>33693</v>
      </c>
      <c r="Y1795" t="s">
        <v>33694</v>
      </c>
    </row>
    <row r="1796" spans="1:25" x14ac:dyDescent="0.3">
      <c r="A1796">
        <v>89750</v>
      </c>
      <c r="B1796" t="s">
        <v>33695</v>
      </c>
      <c r="C1796" t="s">
        <v>33696</v>
      </c>
      <c r="D1796" t="s">
        <v>33697</v>
      </c>
      <c r="E1796" t="s">
        <v>33698</v>
      </c>
      <c r="F1796" t="s">
        <v>33699</v>
      </c>
      <c r="G1796" t="s">
        <v>33700</v>
      </c>
      <c r="H1796" t="s">
        <v>33701</v>
      </c>
      <c r="I1796" t="s">
        <v>33702</v>
      </c>
      <c r="J1796" t="s">
        <v>33703</v>
      </c>
      <c r="K1796" t="s">
        <v>33704</v>
      </c>
      <c r="L1796" t="s">
        <v>33705</v>
      </c>
      <c r="M1796" t="s">
        <v>33706</v>
      </c>
      <c r="N1796" t="s">
        <v>33707</v>
      </c>
      <c r="O1796">
        <f>-608.680865602518 -83.7529672221851 -717.972505087535</f>
        <v>-1410.4063379122381</v>
      </c>
      <c r="P1796">
        <f>-594.971810089093 -54.8017220176484 -403.075639044364</f>
        <v>-1052.8491711511053</v>
      </c>
      <c r="Q1796">
        <f>-338.259575738519 -36.8271213812691 -440.728974469763</f>
        <v>-815.81567158955113</v>
      </c>
      <c r="R1796" t="s">
        <v>33708</v>
      </c>
      <c r="S1796" t="s">
        <v>33709</v>
      </c>
      <c r="T1796" t="s">
        <v>33710</v>
      </c>
      <c r="U1796" t="s">
        <v>33711</v>
      </c>
      <c r="V1796" t="s">
        <v>33712</v>
      </c>
      <c r="W1796" t="s">
        <v>33713</v>
      </c>
      <c r="X1796" t="s">
        <v>33714</v>
      </c>
      <c r="Y1796" t="s">
        <v>33715</v>
      </c>
    </row>
    <row r="1797" spans="1:25" x14ac:dyDescent="0.3">
      <c r="A1797">
        <v>89800</v>
      </c>
      <c r="B1797" t="s">
        <v>33716</v>
      </c>
      <c r="C1797" t="s">
        <v>33717</v>
      </c>
      <c r="D1797" t="s">
        <v>33718</v>
      </c>
      <c r="E1797" t="s">
        <v>33719</v>
      </c>
      <c r="F1797" t="s">
        <v>33720</v>
      </c>
      <c r="G1797" t="s">
        <v>33721</v>
      </c>
      <c r="H1797" t="s">
        <v>33722</v>
      </c>
      <c r="I1797" t="s">
        <v>33723</v>
      </c>
      <c r="J1797" t="s">
        <v>33724</v>
      </c>
      <c r="K1797" t="s">
        <v>33725</v>
      </c>
      <c r="L1797" t="s">
        <v>33726</v>
      </c>
      <c r="M1797" t="s">
        <v>33727</v>
      </c>
      <c r="N1797" t="s">
        <v>33728</v>
      </c>
      <c r="O1797">
        <f>-608.824485339368 -84.7719682664665 -718.13089176094</f>
        <v>-1411.7273453667744</v>
      </c>
      <c r="P1797">
        <f>-597.257378156341 -56.2099441037556 -403.112413737542</f>
        <v>-1056.5797359976386</v>
      </c>
      <c r="Q1797">
        <f>-340.88614954573 -37.6042584928766 -442.731469165986</f>
        <v>-821.2218772045926</v>
      </c>
      <c r="R1797" t="s">
        <v>33729</v>
      </c>
      <c r="S1797" t="s">
        <v>33730</v>
      </c>
      <c r="T1797" t="s">
        <v>33731</v>
      </c>
      <c r="U1797" t="s">
        <v>33732</v>
      </c>
      <c r="V1797" t="s">
        <v>33733</v>
      </c>
      <c r="W1797" t="s">
        <v>33734</v>
      </c>
      <c r="X1797" t="s">
        <v>33735</v>
      </c>
      <c r="Y1797" t="s">
        <v>33736</v>
      </c>
    </row>
    <row r="1798" spans="1:25" x14ac:dyDescent="0.3">
      <c r="A1798">
        <v>89850</v>
      </c>
      <c r="B1798" t="s">
        <v>33737</v>
      </c>
      <c r="C1798" t="s">
        <v>33738</v>
      </c>
      <c r="D1798" t="s">
        <v>33739</v>
      </c>
      <c r="E1798" t="s">
        <v>33740</v>
      </c>
      <c r="F1798" t="s">
        <v>33741</v>
      </c>
      <c r="G1798" t="s">
        <v>33742</v>
      </c>
      <c r="H1798" t="s">
        <v>33743</v>
      </c>
      <c r="I1798" t="s">
        <v>33744</v>
      </c>
      <c r="J1798" t="s">
        <v>33745</v>
      </c>
      <c r="K1798" t="s">
        <v>33746</v>
      </c>
      <c r="L1798" t="s">
        <v>33747</v>
      </c>
      <c r="M1798" t="s">
        <v>33748</v>
      </c>
      <c r="N1798" t="s">
        <v>33749</v>
      </c>
      <c r="O1798">
        <f>-608.91992818835 -86.5657475245007 -718.444078880926</f>
        <v>-1413.9297545937766</v>
      </c>
      <c r="P1798">
        <f>-601.136527693638 -57.7528327220227 -403.332258113859</f>
        <v>-1062.2216185295197</v>
      </c>
      <c r="Q1798">
        <f>-344.960430336228 -40.9068108749709 -444.950638115671</f>
        <v>-830.81787932686984</v>
      </c>
      <c r="R1798" t="s">
        <v>33750</v>
      </c>
      <c r="S1798" t="s">
        <v>33751</v>
      </c>
      <c r="T1798" t="s">
        <v>33752</v>
      </c>
      <c r="U1798" t="s">
        <v>33753</v>
      </c>
      <c r="V1798" t="s">
        <v>33754</v>
      </c>
      <c r="W1798" t="s">
        <v>33755</v>
      </c>
      <c r="X1798" t="s">
        <v>33756</v>
      </c>
      <c r="Y1798" t="s">
        <v>33757</v>
      </c>
    </row>
    <row r="1799" spans="1:25" x14ac:dyDescent="0.3">
      <c r="A1799">
        <v>89900</v>
      </c>
      <c r="B1799" t="s">
        <v>33758</v>
      </c>
      <c r="C1799" t="s">
        <v>33759</v>
      </c>
      <c r="D1799" t="s">
        <v>33760</v>
      </c>
      <c r="E1799" t="s">
        <v>33761</v>
      </c>
      <c r="F1799" t="s">
        <v>33762</v>
      </c>
      <c r="G1799" t="s">
        <v>33763</v>
      </c>
      <c r="H1799" t="s">
        <v>33764</v>
      </c>
      <c r="I1799" t="s">
        <v>33765</v>
      </c>
      <c r="J1799" t="s">
        <v>33766</v>
      </c>
      <c r="K1799" t="s">
        <v>33767</v>
      </c>
      <c r="L1799" t="s">
        <v>33768</v>
      </c>
      <c r="M1799" t="s">
        <v>33769</v>
      </c>
      <c r="N1799" t="s">
        <v>33770</v>
      </c>
      <c r="O1799">
        <f>-609.3616458864 -87.3857917812179 -718.59470698599</f>
        <v>-1415.3421446536079</v>
      </c>
      <c r="P1799">
        <f>-603.44976178529 -58.9514556490701 -403.407882314487</f>
        <v>-1065.8090997488471</v>
      </c>
      <c r="Q1799">
        <f>-347.226072511702 -42.4161004383227 -444.857351571969</f>
        <v>-834.49952452199364</v>
      </c>
      <c r="R1799" t="s">
        <v>33771</v>
      </c>
      <c r="S1799" t="s">
        <v>33772</v>
      </c>
      <c r="T1799" t="s">
        <v>33773</v>
      </c>
      <c r="U1799" t="s">
        <v>33774</v>
      </c>
      <c r="V1799" t="s">
        <v>33775</v>
      </c>
      <c r="W1799" t="s">
        <v>33776</v>
      </c>
      <c r="X1799" t="s">
        <v>33777</v>
      </c>
      <c r="Y1799" t="s">
        <v>33778</v>
      </c>
    </row>
    <row r="1800" spans="1:25" x14ac:dyDescent="0.3">
      <c r="A1800">
        <v>89950</v>
      </c>
      <c r="B1800" t="s">
        <v>33779</v>
      </c>
      <c r="C1800" t="s">
        <v>33780</v>
      </c>
      <c r="D1800" t="s">
        <v>33781</v>
      </c>
      <c r="E1800" t="s">
        <v>33782</v>
      </c>
      <c r="F1800" t="s">
        <v>33783</v>
      </c>
      <c r="G1800" t="s">
        <v>33784</v>
      </c>
      <c r="H1800" t="s">
        <v>33785</v>
      </c>
      <c r="I1800" t="s">
        <v>33786</v>
      </c>
      <c r="J1800" t="s">
        <v>33787</v>
      </c>
      <c r="K1800" t="s">
        <v>33788</v>
      </c>
      <c r="L1800" t="s">
        <v>33789</v>
      </c>
      <c r="M1800" t="s">
        <v>33790</v>
      </c>
      <c r="N1800" t="s">
        <v>33791</v>
      </c>
      <c r="O1800">
        <f>-609.760608205976 -87.8638137905953 -719.387588266003</f>
        <v>-1417.0120102625742</v>
      </c>
      <c r="P1800">
        <f>-607.635470252259 -60.2577431883035 -404.078892982607</f>
        <v>-1071.9721064231694</v>
      </c>
      <c r="Q1800">
        <f>-350.347618928652 -45.1662105877581 -438.968071939558</f>
        <v>-834.48190145596811</v>
      </c>
      <c r="R1800" t="s">
        <v>33792</v>
      </c>
      <c r="S1800" t="s">
        <v>33793</v>
      </c>
      <c r="T1800" t="s">
        <v>33794</v>
      </c>
      <c r="U1800" t="s">
        <v>33795</v>
      </c>
      <c r="V1800" t="s">
        <v>33796</v>
      </c>
      <c r="W1800" t="s">
        <v>33797</v>
      </c>
      <c r="X1800" t="s">
        <v>33798</v>
      </c>
      <c r="Y1800" t="s">
        <v>33799</v>
      </c>
    </row>
    <row r="1801" spans="1:25" x14ac:dyDescent="0.3">
      <c r="A1801">
        <v>90000</v>
      </c>
      <c r="B1801" t="s">
        <v>33800</v>
      </c>
      <c r="C1801" t="s">
        <v>33801</v>
      </c>
      <c r="D1801" t="s">
        <v>33802</v>
      </c>
      <c r="E1801" t="s">
        <v>33803</v>
      </c>
      <c r="F1801" t="s">
        <v>33804</v>
      </c>
      <c r="G1801" t="s">
        <v>33805</v>
      </c>
      <c r="H1801" t="s">
        <v>33806</v>
      </c>
      <c r="I1801" t="s">
        <v>33807</v>
      </c>
      <c r="J1801" t="s">
        <v>33808</v>
      </c>
      <c r="K1801" t="s">
        <v>33809</v>
      </c>
      <c r="L1801" t="s">
        <v>33810</v>
      </c>
      <c r="M1801" t="s">
        <v>33811</v>
      </c>
      <c r="N1801" t="s">
        <v>33812</v>
      </c>
      <c r="O1801">
        <f>-609.765177499237 -88.3119694591685 -719.199447635953</f>
        <v>-1417.2765945943584</v>
      </c>
      <c r="P1801">
        <f>-608.854220748064 -60.7114906570248 -403.884354967331</f>
        <v>-1073.4500663724198</v>
      </c>
      <c r="Q1801">
        <f>-351.032133739293 -47.0014570210981 -435.218765650737</f>
        <v>-833.25235641112806</v>
      </c>
      <c r="R1801" t="s">
        <v>33813</v>
      </c>
      <c r="S1801" t="s">
        <v>33814</v>
      </c>
      <c r="T1801" t="s">
        <v>33815</v>
      </c>
      <c r="U1801" t="s">
        <v>33816</v>
      </c>
      <c r="V1801" t="s">
        <v>33817</v>
      </c>
      <c r="W1801" t="s">
        <v>33818</v>
      </c>
      <c r="X1801" t="s">
        <v>33819</v>
      </c>
      <c r="Y1801" t="s">
        <v>33820</v>
      </c>
    </row>
    <row r="1802" spans="1:25" x14ac:dyDescent="0.3">
      <c r="A1802">
        <v>90050</v>
      </c>
      <c r="B1802" t="s">
        <v>33821</v>
      </c>
      <c r="C1802" t="s">
        <v>33822</v>
      </c>
      <c r="D1802" t="s">
        <v>33823</v>
      </c>
      <c r="E1802" t="s">
        <v>33824</v>
      </c>
      <c r="F1802" t="s">
        <v>33825</v>
      </c>
      <c r="G1802" t="s">
        <v>33826</v>
      </c>
      <c r="H1802" t="s">
        <v>33827</v>
      </c>
      <c r="I1802" t="s">
        <v>33828</v>
      </c>
      <c r="J1802" t="s">
        <v>33829</v>
      </c>
      <c r="K1802" t="s">
        <v>33830</v>
      </c>
      <c r="L1802" t="s">
        <v>33831</v>
      </c>
      <c r="M1802" t="s">
        <v>33832</v>
      </c>
      <c r="N1802" t="s">
        <v>33833</v>
      </c>
      <c r="O1802">
        <f>-608.761173866134 -89.1645425207041 -718.989270033094</f>
        <v>-1416.9149864199321</v>
      </c>
      <c r="P1802">
        <f>-609.985954810005 -60.2174060253963 -403.796147034263</f>
        <v>-1073.9995078696643</v>
      </c>
      <c r="Q1802">
        <f>-351.327306255936 -50.085253422194 -428.997720242656</f>
        <v>-830.41027992078602</v>
      </c>
      <c r="R1802" t="s">
        <v>33834</v>
      </c>
      <c r="S1802" t="s">
        <v>33835</v>
      </c>
      <c r="T1802" t="s">
        <v>33836</v>
      </c>
      <c r="U1802" t="s">
        <v>33837</v>
      </c>
      <c r="V1802" t="s">
        <v>33838</v>
      </c>
      <c r="W1802" t="s">
        <v>33839</v>
      </c>
      <c r="X1802" t="s">
        <v>33840</v>
      </c>
      <c r="Y1802" t="s">
        <v>33841</v>
      </c>
    </row>
    <row r="1803" spans="1:25" x14ac:dyDescent="0.3">
      <c r="A1803">
        <v>90100</v>
      </c>
      <c r="B1803" t="s">
        <v>33842</v>
      </c>
      <c r="C1803" t="s">
        <v>33843</v>
      </c>
      <c r="D1803" t="s">
        <v>33844</v>
      </c>
      <c r="E1803" t="s">
        <v>33845</v>
      </c>
      <c r="F1803" t="s">
        <v>33846</v>
      </c>
      <c r="G1803" t="s">
        <v>33847</v>
      </c>
      <c r="H1803" t="s">
        <v>33848</v>
      </c>
      <c r="I1803" t="s">
        <v>33849</v>
      </c>
      <c r="J1803" t="s">
        <v>33850</v>
      </c>
      <c r="K1803" t="s">
        <v>33851</v>
      </c>
      <c r="L1803" t="s">
        <v>33852</v>
      </c>
      <c r="M1803" t="s">
        <v>33853</v>
      </c>
      <c r="N1803" t="s">
        <v>33854</v>
      </c>
      <c r="O1803">
        <f>-608.611970984225 -89.5525240990214 -719.066629079639</f>
        <v>-1417.2311241628854</v>
      </c>
      <c r="P1803">
        <f>-610.637231663411 -60.2426057989096 -403.91108369693</f>
        <v>-1074.7909211592505</v>
      </c>
      <c r="Q1803">
        <f>-351.621441476798 -50.7951157248615 -425.442254341556</f>
        <v>-827.85881154321555</v>
      </c>
      <c r="R1803" t="s">
        <v>33855</v>
      </c>
      <c r="S1803" t="s">
        <v>33856</v>
      </c>
      <c r="T1803" t="s">
        <v>33857</v>
      </c>
      <c r="U1803" t="s">
        <v>33858</v>
      </c>
      <c r="V1803" t="s">
        <v>33859</v>
      </c>
      <c r="W1803" t="s">
        <v>33860</v>
      </c>
      <c r="X1803" t="s">
        <v>33861</v>
      </c>
      <c r="Y1803" t="s">
        <v>33862</v>
      </c>
    </row>
    <row r="1804" spans="1:25" x14ac:dyDescent="0.3">
      <c r="A1804">
        <v>90150</v>
      </c>
      <c r="B1804" t="s">
        <v>33863</v>
      </c>
      <c r="C1804" t="s">
        <v>33864</v>
      </c>
      <c r="D1804" t="s">
        <v>33865</v>
      </c>
      <c r="E1804" t="s">
        <v>33866</v>
      </c>
      <c r="F1804" t="s">
        <v>33867</v>
      </c>
      <c r="G1804" t="s">
        <v>33868</v>
      </c>
      <c r="H1804" t="s">
        <v>33869</v>
      </c>
      <c r="I1804" t="s">
        <v>33870</v>
      </c>
      <c r="J1804" t="s">
        <v>33871</v>
      </c>
      <c r="K1804" t="s">
        <v>33872</v>
      </c>
      <c r="L1804" t="s">
        <v>33873</v>
      </c>
      <c r="M1804" t="s">
        <v>33874</v>
      </c>
      <c r="N1804" t="s">
        <v>33875</v>
      </c>
      <c r="O1804">
        <f>-607.580123976861 -90.3571912559905 -719.459480821712</f>
        <v>-1417.3967960545635</v>
      </c>
      <c r="P1804">
        <f>-612.594075045735 -60.5277405861591 -404.386172091824</f>
        <v>-1077.5079877237181</v>
      </c>
      <c r="Q1804">
        <f>-353.020538166153 -51.4341671219081 -417.837111196001</f>
        <v>-822.29181648406211</v>
      </c>
      <c r="R1804" t="s">
        <v>33876</v>
      </c>
      <c r="S1804" t="s">
        <v>33877</v>
      </c>
      <c r="T1804" t="s">
        <v>33878</v>
      </c>
      <c r="U1804" t="s">
        <v>33879</v>
      </c>
      <c r="V1804" t="s">
        <v>33880</v>
      </c>
      <c r="W1804" t="s">
        <v>33881</v>
      </c>
      <c r="X1804" t="s">
        <v>33882</v>
      </c>
      <c r="Y1804" t="s">
        <v>33883</v>
      </c>
    </row>
    <row r="1805" spans="1:25" x14ac:dyDescent="0.3">
      <c r="A1805">
        <v>90200</v>
      </c>
      <c r="B1805" t="s">
        <v>33884</v>
      </c>
      <c r="C1805" t="s">
        <v>33885</v>
      </c>
      <c r="D1805" t="s">
        <v>33886</v>
      </c>
      <c r="E1805" t="s">
        <v>33887</v>
      </c>
      <c r="F1805" t="s">
        <v>33888</v>
      </c>
      <c r="G1805" t="s">
        <v>33889</v>
      </c>
      <c r="H1805" t="s">
        <v>33890</v>
      </c>
      <c r="I1805" t="s">
        <v>33891</v>
      </c>
      <c r="J1805" t="s">
        <v>33892</v>
      </c>
      <c r="K1805" t="s">
        <v>33893</v>
      </c>
      <c r="L1805" t="s">
        <v>33894</v>
      </c>
      <c r="M1805" t="s">
        <v>33895</v>
      </c>
      <c r="N1805" t="s">
        <v>33896</v>
      </c>
      <c r="O1805">
        <f>-606.713260110508 -90.4328725316188 -719.565142138976</f>
        <v>-1416.7112747811029</v>
      </c>
      <c r="P1805">
        <f>-613.211548038018 -60.1483379951765 -404.562261456441</f>
        <v>-1077.9221474896353</v>
      </c>
      <c r="Q1805">
        <f>-353.42908404708 -51.2898688282849 -413.317018197282</f>
        <v>-818.03597107264682</v>
      </c>
      <c r="R1805" t="s">
        <v>33897</v>
      </c>
      <c r="S1805" t="s">
        <v>33898</v>
      </c>
      <c r="T1805" t="s">
        <v>33899</v>
      </c>
      <c r="U1805" t="s">
        <v>33900</v>
      </c>
      <c r="V1805" t="s">
        <v>33901</v>
      </c>
      <c r="W1805" t="s">
        <v>33902</v>
      </c>
      <c r="X1805" t="s">
        <v>33903</v>
      </c>
      <c r="Y1805" t="s">
        <v>33904</v>
      </c>
    </row>
    <row r="1806" spans="1:25" x14ac:dyDescent="0.3">
      <c r="A1806">
        <v>90250</v>
      </c>
      <c r="B1806" t="s">
        <v>33905</v>
      </c>
      <c r="C1806" t="s">
        <v>33906</v>
      </c>
      <c r="D1806" t="s">
        <v>33907</v>
      </c>
      <c r="E1806" t="s">
        <v>33908</v>
      </c>
      <c r="F1806" t="s">
        <v>33909</v>
      </c>
      <c r="G1806" t="s">
        <v>33910</v>
      </c>
      <c r="H1806" t="s">
        <v>33911</v>
      </c>
      <c r="I1806" t="s">
        <v>33912</v>
      </c>
      <c r="J1806" t="s">
        <v>33913</v>
      </c>
      <c r="K1806" t="s">
        <v>33914</v>
      </c>
      <c r="L1806" t="s">
        <v>33915</v>
      </c>
      <c r="M1806" t="s">
        <v>33916</v>
      </c>
      <c r="N1806" t="s">
        <v>33917</v>
      </c>
      <c r="O1806">
        <f>-600.078004763474 -90.961919117816 -719.619867732072</f>
        <v>-1410.6597916133619</v>
      </c>
      <c r="P1806">
        <f>-610.151823178499 -56.5057792176672 -405.140281384325</f>
        <v>-1071.7978837804912</v>
      </c>
      <c r="Q1806">
        <f>-350.291307408501 -46.9037968240368 -409.869764986203</f>
        <v>-807.0648692187408</v>
      </c>
      <c r="R1806" t="s">
        <v>33918</v>
      </c>
      <c r="S1806" t="s">
        <v>33919</v>
      </c>
      <c r="T1806" t="s">
        <v>33920</v>
      </c>
      <c r="U1806" t="s">
        <v>33921</v>
      </c>
      <c r="V1806" t="s">
        <v>33922</v>
      </c>
      <c r="W1806" t="s">
        <v>33923</v>
      </c>
      <c r="X1806" t="s">
        <v>33924</v>
      </c>
      <c r="Y1806" t="s">
        <v>33925</v>
      </c>
    </row>
    <row r="1807" spans="1:25" x14ac:dyDescent="0.3">
      <c r="A1807">
        <v>90300</v>
      </c>
      <c r="B1807" t="s">
        <v>33926</v>
      </c>
      <c r="C1807" t="s">
        <v>33927</v>
      </c>
      <c r="D1807" t="s">
        <v>33928</v>
      </c>
      <c r="E1807" t="s">
        <v>33929</v>
      </c>
      <c r="F1807" t="s">
        <v>33930</v>
      </c>
      <c r="G1807" t="s">
        <v>33931</v>
      </c>
      <c r="H1807" t="s">
        <v>33932</v>
      </c>
      <c r="I1807" t="s">
        <v>33933</v>
      </c>
      <c r="J1807" t="s">
        <v>33934</v>
      </c>
      <c r="K1807" t="s">
        <v>33935</v>
      </c>
      <c r="L1807" t="s">
        <v>33936</v>
      </c>
      <c r="M1807" t="s">
        <v>33937</v>
      </c>
      <c r="N1807" t="s">
        <v>33938</v>
      </c>
      <c r="O1807">
        <f>-598.374839767161 -91.4920747311651 -719.789596878052</f>
        <v>-1409.6565113763781</v>
      </c>
      <c r="P1807">
        <f>-610.388674736998 -52.9413358744578 -405.853874429507</f>
        <v>-1069.1838850409629</v>
      </c>
      <c r="Q1807">
        <f>-350.689779576615 -41.7240291203477 -414.38081265702</f>
        <v>-806.79462135398273</v>
      </c>
      <c r="R1807" t="s">
        <v>33939</v>
      </c>
      <c r="S1807" t="s">
        <v>33940</v>
      </c>
      <c r="T1807" t="s">
        <v>33941</v>
      </c>
      <c r="U1807" t="s">
        <v>33942</v>
      </c>
      <c r="V1807" t="s">
        <v>33943</v>
      </c>
      <c r="W1807" t="s">
        <v>33944</v>
      </c>
      <c r="X1807" t="s">
        <v>33945</v>
      </c>
      <c r="Y1807" t="s">
        <v>33946</v>
      </c>
    </row>
    <row r="1808" spans="1:25" x14ac:dyDescent="0.3">
      <c r="A1808">
        <v>90350</v>
      </c>
      <c r="B1808" t="s">
        <v>33947</v>
      </c>
      <c r="C1808" t="s">
        <v>33948</v>
      </c>
      <c r="D1808" t="s">
        <v>33949</v>
      </c>
      <c r="E1808" t="s">
        <v>33950</v>
      </c>
      <c r="F1808" t="s">
        <v>33951</v>
      </c>
      <c r="G1808" t="s">
        <v>33952</v>
      </c>
      <c r="H1808" t="s">
        <v>33953</v>
      </c>
      <c r="I1808" t="s">
        <v>33954</v>
      </c>
      <c r="J1808" t="s">
        <v>33955</v>
      </c>
      <c r="K1808" t="s">
        <v>33956</v>
      </c>
      <c r="L1808" t="s">
        <v>33957</v>
      </c>
      <c r="M1808" t="s">
        <v>33958</v>
      </c>
      <c r="N1808" t="s">
        <v>33959</v>
      </c>
      <c r="O1808">
        <f>-597.872539446007 -91.520760724341 -720.219420524869</f>
        <v>-1409.6127206952169</v>
      </c>
      <c r="P1808">
        <f>-609.037922433026 -49.046144519036 -406.759062430948</f>
        <v>-1064.8431293830099</v>
      </c>
      <c r="Q1808">
        <f>-349.932776383611 -35.4910706433225 -424.726851810343</f>
        <v>-810.15069883727642</v>
      </c>
      <c r="R1808" t="s">
        <v>33960</v>
      </c>
      <c r="S1808" t="s">
        <v>33961</v>
      </c>
      <c r="T1808" t="s">
        <v>33962</v>
      </c>
      <c r="U1808" t="s">
        <v>33963</v>
      </c>
      <c r="V1808" t="s">
        <v>33964</v>
      </c>
      <c r="W1808" t="s">
        <v>33965</v>
      </c>
      <c r="X1808" t="s">
        <v>33966</v>
      </c>
      <c r="Y1808" t="s">
        <v>33967</v>
      </c>
    </row>
    <row r="1809" spans="1:25" x14ac:dyDescent="0.3">
      <c r="A1809">
        <v>90400</v>
      </c>
      <c r="B1809" t="s">
        <v>33968</v>
      </c>
      <c r="C1809" t="s">
        <v>33969</v>
      </c>
      <c r="D1809" t="s">
        <v>33970</v>
      </c>
      <c r="E1809" t="s">
        <v>33971</v>
      </c>
      <c r="F1809" t="s">
        <v>33972</v>
      </c>
      <c r="G1809" t="s">
        <v>33973</v>
      </c>
      <c r="H1809" t="s">
        <v>33974</v>
      </c>
      <c r="I1809" t="s">
        <v>33975</v>
      </c>
      <c r="J1809" t="s">
        <v>33976</v>
      </c>
      <c r="K1809" t="s">
        <v>33977</v>
      </c>
      <c r="L1809" t="s">
        <v>33978</v>
      </c>
      <c r="M1809" t="s">
        <v>33979</v>
      </c>
      <c r="N1809" t="s">
        <v>33980</v>
      </c>
      <c r="O1809">
        <f>-598.628241246925 -90.9485619608049 -720.638893461927</f>
        <v>-1410.2156966696568</v>
      </c>
      <c r="P1809">
        <f>-608.566990497148 -48.0606173335284 -407.193611089657</f>
        <v>-1063.8212189203334</v>
      </c>
      <c r="Q1809">
        <f>-349.85193704889 -32.1922814546997 -428.566178263771</f>
        <v>-810.61039676736073</v>
      </c>
      <c r="R1809" t="s">
        <v>33981</v>
      </c>
      <c r="S1809" t="s">
        <v>33982</v>
      </c>
      <c r="T1809" t="s">
        <v>33983</v>
      </c>
      <c r="U1809" t="s">
        <v>33984</v>
      </c>
      <c r="V1809" t="s">
        <v>33985</v>
      </c>
      <c r="W1809" t="s">
        <v>33986</v>
      </c>
      <c r="X1809" t="s">
        <v>33987</v>
      </c>
      <c r="Y1809" t="s">
        <v>33988</v>
      </c>
    </row>
    <row r="1810" spans="1:25" x14ac:dyDescent="0.3">
      <c r="A1810">
        <v>90450</v>
      </c>
      <c r="B1810" t="s">
        <v>33989</v>
      </c>
      <c r="C1810" t="s">
        <v>33990</v>
      </c>
      <c r="D1810" t="s">
        <v>33991</v>
      </c>
      <c r="E1810" t="s">
        <v>33992</v>
      </c>
      <c r="F1810" t="s">
        <v>33993</v>
      </c>
      <c r="G1810" t="s">
        <v>33994</v>
      </c>
      <c r="H1810" t="s">
        <v>33995</v>
      </c>
      <c r="I1810" t="s">
        <v>33996</v>
      </c>
      <c r="J1810" t="s">
        <v>33997</v>
      </c>
      <c r="K1810" t="s">
        <v>33998</v>
      </c>
      <c r="L1810" t="s">
        <v>33999</v>
      </c>
      <c r="M1810" t="s">
        <v>34000</v>
      </c>
      <c r="N1810" t="s">
        <v>34001</v>
      </c>
      <c r="O1810">
        <f>-600.594531010384 -90.6204871112141 -721.812102979672</f>
        <v>-1413.02712110127</v>
      </c>
      <c r="P1810">
        <f>-611.91492220191 -49.1227788140866 -408.226445647326</f>
        <v>-1069.2641466633227</v>
      </c>
      <c r="Q1810">
        <f>-353.554049832171 -27.9120239410208 -429.245682176587</f>
        <v>-810.71175594977876</v>
      </c>
      <c r="R1810" t="s">
        <v>34002</v>
      </c>
      <c r="S1810" t="s">
        <v>34003</v>
      </c>
      <c r="T1810" t="s">
        <v>34004</v>
      </c>
      <c r="U1810" t="s">
        <v>34005</v>
      </c>
      <c r="V1810" t="s">
        <v>34006</v>
      </c>
      <c r="W1810" t="s">
        <v>34007</v>
      </c>
      <c r="X1810" t="s">
        <v>34008</v>
      </c>
      <c r="Y1810" t="s">
        <v>34009</v>
      </c>
    </row>
    <row r="1811" spans="1:25" x14ac:dyDescent="0.3">
      <c r="A1811">
        <v>90500</v>
      </c>
      <c r="B1811" t="s">
        <v>34010</v>
      </c>
      <c r="C1811" t="s">
        <v>34011</v>
      </c>
      <c r="D1811" t="s">
        <v>34012</v>
      </c>
      <c r="E1811" t="s">
        <v>34013</v>
      </c>
      <c r="F1811" t="s">
        <v>34014</v>
      </c>
      <c r="G1811" t="s">
        <v>34015</v>
      </c>
      <c r="H1811" t="s">
        <v>34016</v>
      </c>
      <c r="I1811" t="s">
        <v>34017</v>
      </c>
      <c r="J1811" t="s">
        <v>34018</v>
      </c>
      <c r="K1811" t="s">
        <v>34019</v>
      </c>
      <c r="L1811" t="s">
        <v>34020</v>
      </c>
      <c r="M1811" t="s">
        <v>34021</v>
      </c>
      <c r="N1811" t="s">
        <v>34022</v>
      </c>
      <c r="O1811">
        <f>-600.6055090165 -90.8344983794975 -722.101195849203</f>
        <v>-1413.5412032452004</v>
      </c>
      <c r="P1811">
        <f>-612.458967471481 -50.1500759289688 -408.428673985431</f>
        <v>-1071.0377173858808</v>
      </c>
      <c r="Q1811">
        <f>-354.202977203311 -26.4703406110639 -428.053984213521</f>
        <v>-808.7273020278958</v>
      </c>
      <c r="R1811" t="s">
        <v>34023</v>
      </c>
      <c r="S1811" t="s">
        <v>34024</v>
      </c>
      <c r="T1811" t="s">
        <v>34025</v>
      </c>
      <c r="U1811" t="s">
        <v>34026</v>
      </c>
      <c r="V1811" t="s">
        <v>34027</v>
      </c>
      <c r="W1811" t="s">
        <v>34028</v>
      </c>
      <c r="X1811" t="s">
        <v>34029</v>
      </c>
      <c r="Y1811" t="s">
        <v>34030</v>
      </c>
    </row>
    <row r="1812" spans="1:25" x14ac:dyDescent="0.3">
      <c r="A1812">
        <v>90550</v>
      </c>
      <c r="B1812" t="s">
        <v>34031</v>
      </c>
      <c r="C1812" t="s">
        <v>34032</v>
      </c>
      <c r="D1812" t="s">
        <v>34033</v>
      </c>
      <c r="E1812" t="s">
        <v>34034</v>
      </c>
      <c r="F1812" t="s">
        <v>34035</v>
      </c>
      <c r="G1812" t="s">
        <v>34036</v>
      </c>
      <c r="H1812" t="s">
        <v>34037</v>
      </c>
      <c r="I1812" t="s">
        <v>34038</v>
      </c>
      <c r="J1812" t="s">
        <v>34039</v>
      </c>
      <c r="K1812" t="s">
        <v>34040</v>
      </c>
      <c r="L1812" t="s">
        <v>34041</v>
      </c>
      <c r="M1812" t="s">
        <v>34042</v>
      </c>
      <c r="N1812" t="s">
        <v>34043</v>
      </c>
      <c r="O1812">
        <f>-601.044844616026 -90.9886744529078 -722.483812247209</f>
        <v>-1414.5173313161429</v>
      </c>
      <c r="P1812">
        <f>-614.207797823736 -50.071445594926 -408.893764411996</f>
        <v>-1073.173007830658</v>
      </c>
      <c r="Q1812">
        <f>-355.946378748785 -24.045766489224 -425.19541478691</f>
        <v>-805.18756002491898</v>
      </c>
      <c r="R1812" t="s">
        <v>34044</v>
      </c>
      <c r="S1812" t="s">
        <v>34045</v>
      </c>
      <c r="T1812" t="s">
        <v>34046</v>
      </c>
      <c r="U1812" t="s">
        <v>34047</v>
      </c>
      <c r="V1812" t="s">
        <v>34048</v>
      </c>
      <c r="W1812" t="s">
        <v>34049</v>
      </c>
      <c r="X1812" t="s">
        <v>34050</v>
      </c>
      <c r="Y1812" t="s">
        <v>34051</v>
      </c>
    </row>
    <row r="1813" spans="1:25" x14ac:dyDescent="0.3">
      <c r="A1813">
        <v>90600</v>
      </c>
      <c r="B1813" t="s">
        <v>34052</v>
      </c>
      <c r="C1813" t="s">
        <v>34053</v>
      </c>
      <c r="D1813" t="s">
        <v>34054</v>
      </c>
      <c r="E1813" t="s">
        <v>34055</v>
      </c>
      <c r="F1813" t="s">
        <v>34056</v>
      </c>
      <c r="G1813" t="s">
        <v>34057</v>
      </c>
      <c r="H1813" t="s">
        <v>34058</v>
      </c>
      <c r="I1813" t="s">
        <v>34059</v>
      </c>
      <c r="J1813" t="s">
        <v>34060</v>
      </c>
      <c r="K1813" t="s">
        <v>34061</v>
      </c>
      <c r="L1813" t="s">
        <v>34062</v>
      </c>
      <c r="M1813" t="s">
        <v>34063</v>
      </c>
      <c r="N1813" t="s">
        <v>34064</v>
      </c>
      <c r="O1813">
        <f>-601.408560854168 -90.9085612803856 -722.528406904755</f>
        <v>-1414.8455290393085</v>
      </c>
      <c r="P1813">
        <f>-615.023519153312 -50.3494288500908 -408.911257163572</f>
        <v>-1074.2842051669747</v>
      </c>
      <c r="Q1813">
        <f>-356.895614318655 -22.3494464456571 -424.012512938996</f>
        <v>-803.25757370330814</v>
      </c>
      <c r="R1813" t="s">
        <v>34065</v>
      </c>
      <c r="S1813" t="s">
        <v>34066</v>
      </c>
      <c r="T1813" t="s">
        <v>34067</v>
      </c>
      <c r="U1813" t="s">
        <v>34068</v>
      </c>
      <c r="V1813" t="s">
        <v>34069</v>
      </c>
      <c r="W1813" t="s">
        <v>34070</v>
      </c>
      <c r="X1813" t="s">
        <v>34071</v>
      </c>
      <c r="Y1813" t="s">
        <v>34072</v>
      </c>
    </row>
    <row r="1814" spans="1:25" x14ac:dyDescent="0.3">
      <c r="A1814">
        <v>90650</v>
      </c>
      <c r="B1814" t="s">
        <v>34073</v>
      </c>
      <c r="C1814" t="s">
        <v>34074</v>
      </c>
      <c r="D1814" t="s">
        <v>34075</v>
      </c>
      <c r="E1814" t="s">
        <v>34076</v>
      </c>
      <c r="F1814" t="s">
        <v>34077</v>
      </c>
      <c r="G1814" t="s">
        <v>34078</v>
      </c>
      <c r="H1814" t="s">
        <v>34079</v>
      </c>
      <c r="I1814" t="s">
        <v>34080</v>
      </c>
      <c r="J1814" t="s">
        <v>34081</v>
      </c>
      <c r="K1814" t="s">
        <v>34082</v>
      </c>
      <c r="L1814" t="s">
        <v>34083</v>
      </c>
      <c r="M1814" t="s">
        <v>34084</v>
      </c>
      <c r="N1814" t="s">
        <v>34085</v>
      </c>
      <c r="O1814">
        <f>-603.219614846409 -90.1502974886164 -722.487178335463</f>
        <v>-1415.8570906704883</v>
      </c>
      <c r="P1814">
        <f>-618.243745526973 -49.3441753358886 -408.966349066574</f>
        <v>-1076.5542699294356</v>
      </c>
      <c r="Q1814">
        <f>-360.116381721497 -20.3524888460186 -422.07299633204</f>
        <v>-802.54186689955566</v>
      </c>
      <c r="R1814" t="s">
        <v>34086</v>
      </c>
      <c r="S1814" t="s">
        <v>34087</v>
      </c>
      <c r="T1814" t="s">
        <v>34088</v>
      </c>
      <c r="U1814" t="s">
        <v>34089</v>
      </c>
      <c r="V1814" t="s">
        <v>34090</v>
      </c>
      <c r="W1814" t="s">
        <v>34091</v>
      </c>
      <c r="X1814" t="s">
        <v>34092</v>
      </c>
      <c r="Y1814" t="s">
        <v>34093</v>
      </c>
    </row>
    <row r="1815" spans="1:25" x14ac:dyDescent="0.3">
      <c r="A1815">
        <v>90700</v>
      </c>
      <c r="B1815" t="s">
        <v>34094</v>
      </c>
      <c r="C1815" t="s">
        <v>34095</v>
      </c>
      <c r="D1815" t="s">
        <v>34096</v>
      </c>
      <c r="E1815" t="s">
        <v>34097</v>
      </c>
      <c r="F1815" t="s">
        <v>34098</v>
      </c>
      <c r="G1815" t="s">
        <v>34099</v>
      </c>
      <c r="H1815" t="s">
        <v>34100</v>
      </c>
      <c r="I1815" t="s">
        <v>34101</v>
      </c>
      <c r="J1815" t="s">
        <v>34102</v>
      </c>
      <c r="K1815" t="s">
        <v>34103</v>
      </c>
      <c r="L1815" t="s">
        <v>34104</v>
      </c>
      <c r="M1815" t="s">
        <v>34105</v>
      </c>
      <c r="N1815" t="s">
        <v>34106</v>
      </c>
      <c r="O1815">
        <f>-604.736850197965 -89.4690188840402 -722.482927530566</f>
        <v>-1416.6887966125714</v>
      </c>
      <c r="P1815">
        <f>-619.296160409383 -48.9940951845724 -408.897312804127</f>
        <v>-1077.1875683980825</v>
      </c>
      <c r="Q1815">
        <f>-361.189459969091 -19.6830303072115 -421.698617547869</f>
        <v>-802.57110782417146</v>
      </c>
      <c r="R1815" t="s">
        <v>34107</v>
      </c>
      <c r="S1815" t="s">
        <v>34108</v>
      </c>
      <c r="T1815" t="s">
        <v>34109</v>
      </c>
      <c r="U1815" t="s">
        <v>34110</v>
      </c>
      <c r="V1815" t="s">
        <v>34111</v>
      </c>
      <c r="W1815" t="s">
        <v>34112</v>
      </c>
      <c r="X1815" t="s">
        <v>34113</v>
      </c>
      <c r="Y1815" t="s">
        <v>34114</v>
      </c>
    </row>
    <row r="1816" spans="1:25" x14ac:dyDescent="0.3">
      <c r="A1816">
        <v>90750</v>
      </c>
      <c r="B1816" t="s">
        <v>34115</v>
      </c>
      <c r="C1816" t="s">
        <v>34116</v>
      </c>
      <c r="D1816" t="s">
        <v>34117</v>
      </c>
      <c r="E1816" t="s">
        <v>34118</v>
      </c>
      <c r="F1816" t="s">
        <v>34119</v>
      </c>
      <c r="G1816" t="s">
        <v>34120</v>
      </c>
      <c r="H1816" t="s">
        <v>34121</v>
      </c>
      <c r="I1816" t="s">
        <v>34122</v>
      </c>
      <c r="J1816" t="s">
        <v>34123</v>
      </c>
      <c r="K1816" t="s">
        <v>34124</v>
      </c>
      <c r="L1816" t="s">
        <v>34125</v>
      </c>
      <c r="M1816" t="s">
        <v>34126</v>
      </c>
      <c r="N1816" t="s">
        <v>34127</v>
      </c>
      <c r="O1816">
        <f>-607.158110860036 -88.1240221388136 -722.525114331175</f>
        <v>-1417.8072473300247</v>
      </c>
      <c r="P1816">
        <f>-621.342531881587 -48.1349831573073 -408.859853717198</f>
        <v>-1078.3373687560922</v>
      </c>
      <c r="Q1816">
        <f>-363.329365392322 -18.4932564024357 -422.73932381989</f>
        <v>-804.5619456146477</v>
      </c>
      <c r="R1816" t="s">
        <v>34128</v>
      </c>
      <c r="S1816" t="s">
        <v>34129</v>
      </c>
      <c r="T1816" t="s">
        <v>34130</v>
      </c>
      <c r="U1816" t="s">
        <v>34131</v>
      </c>
      <c r="V1816" t="s">
        <v>34132</v>
      </c>
      <c r="W1816" t="s">
        <v>34133</v>
      </c>
      <c r="X1816" t="s">
        <v>34134</v>
      </c>
      <c r="Y1816" t="s">
        <v>34135</v>
      </c>
    </row>
    <row r="1817" spans="1:25" x14ac:dyDescent="0.3">
      <c r="A1817">
        <v>90800</v>
      </c>
      <c r="B1817" t="s">
        <v>34136</v>
      </c>
      <c r="C1817" t="s">
        <v>34137</v>
      </c>
      <c r="D1817" t="s">
        <v>34138</v>
      </c>
      <c r="E1817" t="s">
        <v>34139</v>
      </c>
      <c r="F1817" t="s">
        <v>34140</v>
      </c>
      <c r="G1817" t="s">
        <v>34141</v>
      </c>
      <c r="H1817" t="s">
        <v>34142</v>
      </c>
      <c r="I1817" t="s">
        <v>34143</v>
      </c>
      <c r="J1817" t="s">
        <v>34144</v>
      </c>
      <c r="K1817" t="s">
        <v>34145</v>
      </c>
      <c r="L1817" t="s">
        <v>34146</v>
      </c>
      <c r="M1817" t="s">
        <v>34147</v>
      </c>
      <c r="N1817" t="s">
        <v>34148</v>
      </c>
      <c r="O1817">
        <f>-607.992358402567 -87.2863844196129 -722.56125272423</f>
        <v>-1417.8399955464099</v>
      </c>
      <c r="P1817">
        <f>-621.630037229874 -47.0973909017143 -408.897252273101</f>
        <v>-1077.6246804046893</v>
      </c>
      <c r="Q1817">
        <f>-363.597344343677 -17.9461081545442 -423.436695143728</f>
        <v>-804.9801476419492</v>
      </c>
      <c r="R1817" t="s">
        <v>34149</v>
      </c>
      <c r="S1817" t="s">
        <v>34150</v>
      </c>
      <c r="T1817" t="s">
        <v>34151</v>
      </c>
      <c r="U1817" t="s">
        <v>34152</v>
      </c>
      <c r="V1817" t="s">
        <v>34153</v>
      </c>
      <c r="W1817" t="s">
        <v>34154</v>
      </c>
      <c r="X1817" t="s">
        <v>34155</v>
      </c>
      <c r="Y1817" t="s">
        <v>34156</v>
      </c>
    </row>
    <row r="1818" spans="1:25" x14ac:dyDescent="0.3">
      <c r="A1818">
        <v>90850</v>
      </c>
      <c r="B1818" t="s">
        <v>34157</v>
      </c>
      <c r="C1818" t="s">
        <v>34158</v>
      </c>
      <c r="D1818" t="s">
        <v>34159</v>
      </c>
      <c r="E1818" t="s">
        <v>34160</v>
      </c>
      <c r="F1818" t="s">
        <v>34161</v>
      </c>
      <c r="G1818" t="s">
        <v>34162</v>
      </c>
      <c r="H1818" t="s">
        <v>34163</v>
      </c>
      <c r="I1818" t="s">
        <v>34164</v>
      </c>
      <c r="J1818" t="s">
        <v>34165</v>
      </c>
      <c r="K1818" t="s">
        <v>34166</v>
      </c>
      <c r="L1818" t="s">
        <v>34167</v>
      </c>
      <c r="M1818" t="s">
        <v>34168</v>
      </c>
      <c r="N1818" t="s">
        <v>34169</v>
      </c>
      <c r="O1818">
        <f>-609.951741194926 -86.3539302132242 -722.301855450716</f>
        <v>-1418.6075268588661</v>
      </c>
      <c r="P1818">
        <f>-622.549402501478 -45.833130544881 -408.637211061361</f>
        <v>-1077.0197441077198</v>
      </c>
      <c r="Q1818">
        <f>-364.395337791083 -17.9749476889535 -423.551914462581</f>
        <v>-805.92219994261745</v>
      </c>
      <c r="R1818" t="s">
        <v>34170</v>
      </c>
      <c r="S1818" t="s">
        <v>34171</v>
      </c>
      <c r="T1818" t="s">
        <v>34172</v>
      </c>
      <c r="U1818" t="s">
        <v>34173</v>
      </c>
      <c r="V1818" t="s">
        <v>34174</v>
      </c>
      <c r="W1818" t="s">
        <v>34175</v>
      </c>
      <c r="X1818" t="s">
        <v>34176</v>
      </c>
      <c r="Y1818" t="s">
        <v>34177</v>
      </c>
    </row>
    <row r="1819" spans="1:25" x14ac:dyDescent="0.3">
      <c r="A1819">
        <v>90900</v>
      </c>
      <c r="B1819" t="s">
        <v>34178</v>
      </c>
      <c r="C1819" t="s">
        <v>34179</v>
      </c>
      <c r="D1819" t="s">
        <v>34180</v>
      </c>
      <c r="E1819" t="s">
        <v>34181</v>
      </c>
      <c r="F1819" t="s">
        <v>34182</v>
      </c>
      <c r="G1819" t="s">
        <v>34183</v>
      </c>
      <c r="H1819" t="s">
        <v>34184</v>
      </c>
      <c r="I1819" t="s">
        <v>34185</v>
      </c>
      <c r="J1819" t="s">
        <v>34186</v>
      </c>
      <c r="K1819" t="s">
        <v>34187</v>
      </c>
      <c r="L1819" t="s">
        <v>34188</v>
      </c>
      <c r="M1819" t="s">
        <v>34189</v>
      </c>
      <c r="N1819" t="s">
        <v>34190</v>
      </c>
      <c r="O1819">
        <f>-611.115889294504 -86.1078627158793 -722.053367253426</f>
        <v>-1419.2771192638093</v>
      </c>
      <c r="P1819">
        <f>-623.420814531419 -45.4937039769743 -408.389134953868</f>
        <v>-1077.3036534622613</v>
      </c>
      <c r="Q1819">
        <f>-365.252128176009 -18.3254414622911 -424.290247565762</f>
        <v>-807.86781720406213</v>
      </c>
      <c r="R1819" t="s">
        <v>34191</v>
      </c>
      <c r="S1819" t="s">
        <v>34192</v>
      </c>
      <c r="T1819" t="s">
        <v>34193</v>
      </c>
      <c r="U1819" t="s">
        <v>34194</v>
      </c>
      <c r="V1819" t="s">
        <v>34195</v>
      </c>
      <c r="W1819" t="s">
        <v>34196</v>
      </c>
      <c r="X1819" t="s">
        <v>34197</v>
      </c>
      <c r="Y1819" t="s">
        <v>34198</v>
      </c>
    </row>
    <row r="1820" spans="1:25" x14ac:dyDescent="0.3">
      <c r="A1820">
        <v>90950</v>
      </c>
      <c r="B1820" t="s">
        <v>34199</v>
      </c>
      <c r="C1820" t="s">
        <v>34200</v>
      </c>
      <c r="D1820" t="s">
        <v>34201</v>
      </c>
      <c r="E1820" t="s">
        <v>34202</v>
      </c>
      <c r="F1820" t="s">
        <v>34203</v>
      </c>
      <c r="G1820" t="s">
        <v>34204</v>
      </c>
      <c r="H1820" t="s">
        <v>34205</v>
      </c>
      <c r="I1820" t="s">
        <v>34206</v>
      </c>
      <c r="J1820" t="s">
        <v>34207</v>
      </c>
      <c r="K1820" t="s">
        <v>34208</v>
      </c>
      <c r="L1820" t="s">
        <v>34209</v>
      </c>
      <c r="M1820" t="s">
        <v>34210</v>
      </c>
      <c r="N1820" t="s">
        <v>34211</v>
      </c>
      <c r="O1820">
        <f>-613.288073118747 -84.6615340356898 -721.792603392397</f>
        <v>-1419.7422105468338</v>
      </c>
      <c r="P1820">
        <f>-624.451690161526 -44.3110142871974 -408.051607814835</f>
        <v>-1076.8143122635583</v>
      </c>
      <c r="Q1820">
        <f>-366.312496922386 -17.6937158331207 -425.306546415149</f>
        <v>-809.31275917065568</v>
      </c>
      <c r="R1820" t="s">
        <v>34212</v>
      </c>
      <c r="S1820" t="s">
        <v>34213</v>
      </c>
      <c r="T1820" t="s">
        <v>34214</v>
      </c>
      <c r="U1820" t="s">
        <v>34215</v>
      </c>
      <c r="V1820" t="s">
        <v>34216</v>
      </c>
      <c r="W1820" t="s">
        <v>34217</v>
      </c>
      <c r="X1820" t="s">
        <v>34218</v>
      </c>
      <c r="Y1820" t="s">
        <v>34219</v>
      </c>
    </row>
    <row r="1821" spans="1:25" x14ac:dyDescent="0.3">
      <c r="A1821">
        <v>91000</v>
      </c>
      <c r="B1821" t="s">
        <v>34220</v>
      </c>
      <c r="C1821" t="s">
        <v>34221</v>
      </c>
      <c r="D1821" t="s">
        <v>34222</v>
      </c>
      <c r="E1821" t="s">
        <v>34223</v>
      </c>
      <c r="F1821" t="s">
        <v>34224</v>
      </c>
      <c r="G1821" t="s">
        <v>34225</v>
      </c>
      <c r="H1821" t="s">
        <v>34226</v>
      </c>
      <c r="I1821" t="s">
        <v>34227</v>
      </c>
      <c r="J1821" t="s">
        <v>34228</v>
      </c>
      <c r="K1821" t="s">
        <v>34229</v>
      </c>
      <c r="L1821" t="s">
        <v>34230</v>
      </c>
      <c r="M1821" t="s">
        <v>34231</v>
      </c>
      <c r="N1821" t="s">
        <v>34232</v>
      </c>
      <c r="O1821">
        <f>-614.415633956324 -83.8644533854501 -721.678093902208</f>
        <v>-1419.9581812439822</v>
      </c>
      <c r="P1821">
        <f>-625.411413914289 -43.5016796052148 -407.932754536583</f>
        <v>-1076.8458480560869</v>
      </c>
      <c r="Q1821">
        <f>-367.3438034038 -16.7711660135603 -426.061184433094</f>
        <v>-810.17615385045428</v>
      </c>
      <c r="R1821" t="s">
        <v>34233</v>
      </c>
      <c r="S1821" t="s">
        <v>34234</v>
      </c>
      <c r="T1821" t="s">
        <v>34235</v>
      </c>
      <c r="U1821" t="s">
        <v>34236</v>
      </c>
      <c r="V1821" t="s">
        <v>34237</v>
      </c>
      <c r="W1821" t="s">
        <v>34238</v>
      </c>
      <c r="X1821" t="s">
        <v>34239</v>
      </c>
      <c r="Y1821" t="s">
        <v>34240</v>
      </c>
    </row>
    <row r="1822" spans="1:25" x14ac:dyDescent="0.3">
      <c r="A1822">
        <v>91050</v>
      </c>
      <c r="B1822" t="s">
        <v>34241</v>
      </c>
      <c r="C1822" t="s">
        <v>34242</v>
      </c>
      <c r="D1822" t="s">
        <v>34243</v>
      </c>
      <c r="E1822" t="s">
        <v>34244</v>
      </c>
      <c r="F1822" t="s">
        <v>34245</v>
      </c>
      <c r="G1822" t="s">
        <v>34246</v>
      </c>
      <c r="H1822" t="s">
        <v>34247</v>
      </c>
      <c r="I1822" t="s">
        <v>34248</v>
      </c>
      <c r="J1822" t="s">
        <v>34249</v>
      </c>
      <c r="K1822" t="s">
        <v>34250</v>
      </c>
      <c r="L1822" t="s">
        <v>34251</v>
      </c>
      <c r="M1822" t="s">
        <v>34252</v>
      </c>
      <c r="N1822" t="s">
        <v>34253</v>
      </c>
      <c r="O1822">
        <f>-616.121872760222 -82.9068217642307 -721.22008222953</f>
        <v>-1420.2487767539828</v>
      </c>
      <c r="P1822">
        <f>-626.224174331048 -42.6008025193091 -407.437378072093</f>
        <v>-1076.26235492245</v>
      </c>
      <c r="Q1822">
        <f>-368.22701866967 -15.4911211574931 -426.000114298259</f>
        <v>-809.71825412542216</v>
      </c>
      <c r="R1822" t="s">
        <v>34254</v>
      </c>
      <c r="S1822" t="s">
        <v>34255</v>
      </c>
      <c r="T1822" t="s">
        <v>34256</v>
      </c>
      <c r="U1822" t="s">
        <v>34257</v>
      </c>
      <c r="V1822" t="s">
        <v>34258</v>
      </c>
      <c r="W1822" t="s">
        <v>34259</v>
      </c>
      <c r="X1822" t="s">
        <v>34260</v>
      </c>
      <c r="Y1822" t="s">
        <v>34261</v>
      </c>
    </row>
    <row r="1823" spans="1:25" x14ac:dyDescent="0.3">
      <c r="A1823">
        <v>91100</v>
      </c>
      <c r="B1823" t="s">
        <v>34262</v>
      </c>
      <c r="C1823" t="s">
        <v>34263</v>
      </c>
      <c r="D1823" t="s">
        <v>34264</v>
      </c>
      <c r="E1823" t="s">
        <v>34265</v>
      </c>
      <c r="F1823" t="s">
        <v>34266</v>
      </c>
      <c r="G1823" t="s">
        <v>34267</v>
      </c>
      <c r="H1823" t="s">
        <v>34268</v>
      </c>
      <c r="I1823" t="s">
        <v>34269</v>
      </c>
      <c r="J1823" t="s">
        <v>34270</v>
      </c>
      <c r="K1823" t="s">
        <v>34271</v>
      </c>
      <c r="L1823" t="s">
        <v>34272</v>
      </c>
      <c r="M1823" t="s">
        <v>34273</v>
      </c>
      <c r="N1823" t="s">
        <v>34274</v>
      </c>
      <c r="O1823">
        <f>-616.590568069127 -82.3924172429824 -721.005133560252</f>
        <v>-1419.9881188723616</v>
      </c>
      <c r="P1823">
        <f>-625.74752214615 -42.193315171168 -407.179787769871</f>
        <v>-1075.120625087189</v>
      </c>
      <c r="Q1823">
        <f>-367.74800430727 -15.5543815535607 -426.380385224237</f>
        <v>-809.68277108506766</v>
      </c>
      <c r="R1823" t="s">
        <v>34275</v>
      </c>
      <c r="S1823" t="s">
        <v>34276</v>
      </c>
      <c r="T1823" t="s">
        <v>34277</v>
      </c>
      <c r="U1823" t="s">
        <v>34278</v>
      </c>
      <c r="V1823" t="s">
        <v>34279</v>
      </c>
      <c r="W1823" t="s">
        <v>34280</v>
      </c>
      <c r="X1823" t="s">
        <v>34281</v>
      </c>
      <c r="Y1823" t="s">
        <v>34282</v>
      </c>
    </row>
    <row r="1824" spans="1:25" x14ac:dyDescent="0.3">
      <c r="A1824">
        <v>91150</v>
      </c>
      <c r="B1824" t="s">
        <v>34283</v>
      </c>
      <c r="C1824" t="s">
        <v>34284</v>
      </c>
      <c r="D1824" t="s">
        <v>34285</v>
      </c>
      <c r="E1824" t="s">
        <v>34286</v>
      </c>
      <c r="F1824" t="s">
        <v>34287</v>
      </c>
      <c r="G1824" t="s">
        <v>34288</v>
      </c>
      <c r="H1824" t="s">
        <v>34289</v>
      </c>
      <c r="I1824" t="s">
        <v>34290</v>
      </c>
      <c r="J1824" t="s">
        <v>34291</v>
      </c>
      <c r="K1824" t="s">
        <v>34292</v>
      </c>
      <c r="L1824" t="s">
        <v>34293</v>
      </c>
      <c r="M1824" t="s">
        <v>34294</v>
      </c>
      <c r="N1824" t="s">
        <v>34295</v>
      </c>
      <c r="O1824">
        <f>-615.553260072674 -81.8771288787339 -720.253550225522</f>
        <v>-1417.6839391769299</v>
      </c>
      <c r="P1824">
        <f>-621.509024001173 -41.4838515566214 -406.376070017487</f>
        <v>-1069.3689455752815</v>
      </c>
      <c r="Q1824">
        <f>-363.288509413271 -18.2084257478416 -426.930576749698</f>
        <v>-808.42751191081061</v>
      </c>
      <c r="R1824" t="s">
        <v>34296</v>
      </c>
      <c r="S1824" t="s">
        <v>34297</v>
      </c>
      <c r="T1824" t="s">
        <v>34298</v>
      </c>
      <c r="U1824" t="s">
        <v>34299</v>
      </c>
      <c r="V1824" t="s">
        <v>34300</v>
      </c>
      <c r="W1824" t="s">
        <v>34301</v>
      </c>
      <c r="X1824" t="s">
        <v>34302</v>
      </c>
      <c r="Y1824" t="s">
        <v>34303</v>
      </c>
    </row>
    <row r="1825" spans="1:25" x14ac:dyDescent="0.3">
      <c r="A1825">
        <v>91200</v>
      </c>
      <c r="B1825" t="s">
        <v>34304</v>
      </c>
      <c r="C1825" t="s">
        <v>34305</v>
      </c>
      <c r="D1825" t="s">
        <v>34306</v>
      </c>
      <c r="E1825" t="s">
        <v>34307</v>
      </c>
      <c r="F1825" t="s">
        <v>34308</v>
      </c>
      <c r="G1825" t="s">
        <v>34309</v>
      </c>
      <c r="H1825" t="s">
        <v>34310</v>
      </c>
      <c r="I1825" t="s">
        <v>34311</v>
      </c>
      <c r="J1825" t="s">
        <v>34312</v>
      </c>
      <c r="K1825" t="s">
        <v>34313</v>
      </c>
      <c r="L1825" t="s">
        <v>34314</v>
      </c>
      <c r="M1825" t="s">
        <v>34315</v>
      </c>
      <c r="N1825" t="s">
        <v>34316</v>
      </c>
      <c r="O1825">
        <f>-614.771195696749 -82.2859283895116 -719.953226781922</f>
        <v>-1417.0103508681827</v>
      </c>
      <c r="P1825">
        <f>-619.628116620883 -42.5895532734849 -405.967862285423</f>
        <v>-1068.1855321797909</v>
      </c>
      <c r="Q1825">
        <f>-361.39871392783 -20.4989001740178 -427.685145155861</f>
        <v>-809.58275925770886</v>
      </c>
      <c r="R1825" t="s">
        <v>34317</v>
      </c>
      <c r="S1825" t="s">
        <v>34318</v>
      </c>
      <c r="T1825" t="s">
        <v>34319</v>
      </c>
      <c r="U1825" t="s">
        <v>34320</v>
      </c>
      <c r="V1825" t="s">
        <v>34321</v>
      </c>
      <c r="W1825" t="s">
        <v>34322</v>
      </c>
      <c r="X1825" t="s">
        <v>34323</v>
      </c>
      <c r="Y1825" t="s">
        <v>34324</v>
      </c>
    </row>
    <row r="1826" spans="1:25" x14ac:dyDescent="0.3">
      <c r="A1826">
        <v>91250</v>
      </c>
      <c r="B1826" t="s">
        <v>34325</v>
      </c>
      <c r="C1826" t="s">
        <v>34326</v>
      </c>
      <c r="D1826" t="s">
        <v>34327</v>
      </c>
      <c r="E1826" t="s">
        <v>34328</v>
      </c>
      <c r="F1826" t="s">
        <v>34329</v>
      </c>
      <c r="G1826" t="s">
        <v>34330</v>
      </c>
      <c r="H1826" t="s">
        <v>34331</v>
      </c>
      <c r="I1826" t="s">
        <v>34332</v>
      </c>
      <c r="J1826" t="s">
        <v>34333</v>
      </c>
      <c r="K1826" t="s">
        <v>34334</v>
      </c>
      <c r="L1826" t="s">
        <v>34335</v>
      </c>
      <c r="M1826" t="s">
        <v>34336</v>
      </c>
      <c r="N1826" t="s">
        <v>34337</v>
      </c>
      <c r="O1826">
        <f>-612.088754096683 -81.8261900894713 -720.46296734428</f>
        <v>-1414.3779115304342</v>
      </c>
      <c r="P1826">
        <f>-613.306033587922 -46.2128041809531 -405.953336053132</f>
        <v>-1065.4721738220071</v>
      </c>
      <c r="Q1826">
        <f>-355.409958878372 -23.6621198706612 -430.915577937944</f>
        <v>-809.98765668697718</v>
      </c>
      <c r="R1826" t="s">
        <v>34338</v>
      </c>
      <c r="S1826" t="s">
        <v>34339</v>
      </c>
      <c r="T1826" t="s">
        <v>34340</v>
      </c>
      <c r="U1826" t="s">
        <v>34341</v>
      </c>
      <c r="V1826" t="s">
        <v>34342</v>
      </c>
      <c r="W1826" t="s">
        <v>34343</v>
      </c>
      <c r="X1826" t="s">
        <v>34344</v>
      </c>
      <c r="Y1826" t="s">
        <v>34345</v>
      </c>
    </row>
    <row r="1827" spans="1:25" x14ac:dyDescent="0.3">
      <c r="A1827">
        <v>91300</v>
      </c>
      <c r="B1827" t="s">
        <v>34346</v>
      </c>
      <c r="C1827" t="s">
        <v>34347</v>
      </c>
      <c r="D1827" t="s">
        <v>34348</v>
      </c>
      <c r="E1827" t="s">
        <v>34349</v>
      </c>
      <c r="F1827" t="s">
        <v>34350</v>
      </c>
      <c r="G1827" t="s">
        <v>34351</v>
      </c>
      <c r="H1827" t="s">
        <v>34352</v>
      </c>
      <c r="I1827" t="s">
        <v>34353</v>
      </c>
      <c r="J1827" t="s">
        <v>34354</v>
      </c>
      <c r="K1827" t="s">
        <v>34355</v>
      </c>
      <c r="L1827" t="s">
        <v>34356</v>
      </c>
      <c r="M1827" t="s">
        <v>34357</v>
      </c>
      <c r="N1827" t="s">
        <v>34358</v>
      </c>
      <c r="O1827">
        <f>-610.200215711858 -81.422091136865 -720.970977261328</f>
        <v>-1412.5932841100512</v>
      </c>
      <c r="P1827">
        <f>-609.742003427016 -48.660227582074 -406.149469841616</f>
        <v>-1064.5517008507059</v>
      </c>
      <c r="Q1827">
        <f>-352.109214902056 -24.547743122379 -432.341068727583</f>
        <v>-808.99802675201795</v>
      </c>
      <c r="R1827" t="s">
        <v>34359</v>
      </c>
      <c r="S1827" t="s">
        <v>34360</v>
      </c>
      <c r="T1827" t="s">
        <v>34361</v>
      </c>
      <c r="U1827" t="s">
        <v>34362</v>
      </c>
      <c r="V1827" t="s">
        <v>34363</v>
      </c>
      <c r="W1827" t="s">
        <v>34364</v>
      </c>
      <c r="X1827" t="s">
        <v>34365</v>
      </c>
      <c r="Y1827" t="s">
        <v>34366</v>
      </c>
    </row>
    <row r="1828" spans="1:25" x14ac:dyDescent="0.3">
      <c r="A1828">
        <v>91350</v>
      </c>
      <c r="B1828" t="s">
        <v>34367</v>
      </c>
      <c r="C1828" t="s">
        <v>34368</v>
      </c>
      <c r="D1828" t="s">
        <v>34369</v>
      </c>
      <c r="E1828" t="s">
        <v>34370</v>
      </c>
      <c r="F1828" t="s">
        <v>34371</v>
      </c>
      <c r="G1828" t="s">
        <v>34372</v>
      </c>
      <c r="H1828" t="s">
        <v>34373</v>
      </c>
      <c r="I1828" t="s">
        <v>34374</v>
      </c>
      <c r="J1828" t="s">
        <v>34375</v>
      </c>
      <c r="K1828" t="s">
        <v>34376</v>
      </c>
      <c r="L1828" t="s">
        <v>34377</v>
      </c>
      <c r="M1828" t="s">
        <v>34378</v>
      </c>
      <c r="N1828" t="s">
        <v>34379</v>
      </c>
      <c r="O1828">
        <f>-605.368891491941 -80.7373279470557 -721.816290540171</f>
        <v>-1407.9225099791679</v>
      </c>
      <c r="P1828">
        <f>-599.476021773046 -51.2542502871729 -406.725512987333</f>
        <v>-1057.4557850475519</v>
      </c>
      <c r="Q1828">
        <f>-342.350584211406 -23.3783474653128 -434.13829383628</f>
        <v>-799.86722551299886</v>
      </c>
      <c r="R1828" t="s">
        <v>34380</v>
      </c>
      <c r="S1828" t="s">
        <v>34381</v>
      </c>
      <c r="T1828" t="s">
        <v>34382</v>
      </c>
      <c r="U1828" t="s">
        <v>34383</v>
      </c>
      <c r="V1828" t="s">
        <v>34384</v>
      </c>
      <c r="W1828" t="s">
        <v>34385</v>
      </c>
      <c r="X1828" t="s">
        <v>34386</v>
      </c>
      <c r="Y1828" t="s">
        <v>34387</v>
      </c>
    </row>
    <row r="1829" spans="1:25" x14ac:dyDescent="0.3">
      <c r="A1829">
        <v>91400</v>
      </c>
      <c r="B1829" t="s">
        <v>34388</v>
      </c>
      <c r="C1829" t="s">
        <v>34389</v>
      </c>
      <c r="D1829" t="s">
        <v>34390</v>
      </c>
      <c r="E1829" t="s">
        <v>34391</v>
      </c>
      <c r="F1829" t="s">
        <v>34392</v>
      </c>
      <c r="G1829" t="s">
        <v>34393</v>
      </c>
      <c r="H1829" t="s">
        <v>34394</v>
      </c>
      <c r="I1829" t="s">
        <v>34395</v>
      </c>
      <c r="J1829" t="s">
        <v>34396</v>
      </c>
      <c r="K1829" t="s">
        <v>34397</v>
      </c>
      <c r="L1829" t="s">
        <v>34398</v>
      </c>
      <c r="M1829" t="s">
        <v>34399</v>
      </c>
      <c r="N1829" t="s">
        <v>34400</v>
      </c>
      <c r="O1829">
        <f>-601.955995527685 -80.9435883537096 -721.84449477536</f>
        <v>-1404.7440786567545</v>
      </c>
      <c r="P1829">
        <f>-593.149977263158 -51.202070994656 -406.84593538423</f>
        <v>-1051.1979836420439</v>
      </c>
      <c r="Q1829">
        <f>-336.067348210412 -22.3158245123773 -433.607200755318</f>
        <v>-791.99037347810724</v>
      </c>
      <c r="R1829" t="s">
        <v>34401</v>
      </c>
      <c r="S1829" t="s">
        <v>34402</v>
      </c>
      <c r="T1829" t="s">
        <v>34403</v>
      </c>
      <c r="U1829" t="s">
        <v>34404</v>
      </c>
      <c r="V1829" t="s">
        <v>34405</v>
      </c>
      <c r="W1829" t="s">
        <v>34406</v>
      </c>
      <c r="X1829" t="s">
        <v>34407</v>
      </c>
      <c r="Y1829" t="s">
        <v>34408</v>
      </c>
    </row>
    <row r="1830" spans="1:25" x14ac:dyDescent="0.3">
      <c r="A1830">
        <v>91450</v>
      </c>
      <c r="B1830" t="s">
        <v>34409</v>
      </c>
      <c r="C1830" t="s">
        <v>34410</v>
      </c>
      <c r="D1830" t="s">
        <v>34411</v>
      </c>
      <c r="E1830" t="s">
        <v>34412</v>
      </c>
      <c r="F1830" t="s">
        <v>34413</v>
      </c>
      <c r="G1830" t="s">
        <v>34414</v>
      </c>
      <c r="H1830" t="s">
        <v>34415</v>
      </c>
      <c r="I1830" t="s">
        <v>34416</v>
      </c>
      <c r="J1830" t="s">
        <v>34417</v>
      </c>
      <c r="K1830" t="s">
        <v>34418</v>
      </c>
      <c r="L1830" t="s">
        <v>34419</v>
      </c>
      <c r="M1830" t="s">
        <v>34420</v>
      </c>
      <c r="N1830" t="s">
        <v>34421</v>
      </c>
      <c r="O1830">
        <f>-597.811512679929 -83.1365209287087 -722.198224085059</f>
        <v>-1403.1462576936967</v>
      </c>
      <c r="P1830">
        <f>-582.946338458048 -56.0934942348956 -407.184231379624</f>
        <v>-1046.2240640725677</v>
      </c>
      <c r="Q1830">
        <f>-326.539512464122 -21.2499218044479 -433.32811797145</f>
        <v>-781.1175522400199</v>
      </c>
      <c r="R1830" t="s">
        <v>34422</v>
      </c>
      <c r="S1830" t="s">
        <v>34423</v>
      </c>
      <c r="T1830" t="s">
        <v>34424</v>
      </c>
      <c r="U1830" t="s">
        <v>34425</v>
      </c>
      <c r="V1830" t="s">
        <v>34426</v>
      </c>
      <c r="W1830" t="s">
        <v>34427</v>
      </c>
      <c r="X1830" t="s">
        <v>34428</v>
      </c>
      <c r="Y1830" t="s">
        <v>34429</v>
      </c>
    </row>
    <row r="1831" spans="1:25" x14ac:dyDescent="0.3">
      <c r="A1831">
        <v>91500</v>
      </c>
      <c r="B1831" t="s">
        <v>34430</v>
      </c>
      <c r="C1831" t="s">
        <v>34431</v>
      </c>
      <c r="D1831" t="s">
        <v>34432</v>
      </c>
      <c r="E1831" t="s">
        <v>34433</v>
      </c>
      <c r="F1831" t="s">
        <v>34434</v>
      </c>
      <c r="G1831" t="s">
        <v>34435</v>
      </c>
      <c r="H1831" t="s">
        <v>34436</v>
      </c>
      <c r="I1831" t="s">
        <v>34437</v>
      </c>
      <c r="J1831" t="s">
        <v>34438</v>
      </c>
      <c r="K1831" t="s">
        <v>34439</v>
      </c>
      <c r="L1831" t="s">
        <v>34440</v>
      </c>
      <c r="M1831" t="s">
        <v>34441</v>
      </c>
      <c r="N1831" t="s">
        <v>34442</v>
      </c>
      <c r="O1831">
        <f>-597.309769394085 -84.7537134286724 -722.565668356562</f>
        <v>-1404.6291511793195</v>
      </c>
      <c r="P1831">
        <f>-578.259590154122 -61.0417117156665 -407.508584286178</f>
        <v>-1046.8098861559665</v>
      </c>
      <c r="Q1831">
        <f>-322.569453208309 -20.9112100634691 -433.084985940286</f>
        <v>-776.56564921206405</v>
      </c>
      <c r="R1831" t="s">
        <v>34443</v>
      </c>
      <c r="S1831" t="s">
        <v>34444</v>
      </c>
      <c r="T1831" t="s">
        <v>34445</v>
      </c>
      <c r="U1831" t="s">
        <v>34446</v>
      </c>
      <c r="V1831" t="s">
        <v>34447</v>
      </c>
      <c r="W1831" t="s">
        <v>34448</v>
      </c>
      <c r="X1831" t="s">
        <v>34449</v>
      </c>
      <c r="Y1831" t="s">
        <v>34450</v>
      </c>
    </row>
    <row r="1832" spans="1:25" x14ac:dyDescent="0.3">
      <c r="A1832">
        <v>91550</v>
      </c>
      <c r="B1832" t="s">
        <v>34451</v>
      </c>
      <c r="C1832" t="s">
        <v>34452</v>
      </c>
      <c r="D1832" t="s">
        <v>34453</v>
      </c>
      <c r="E1832" t="s">
        <v>34454</v>
      </c>
      <c r="F1832" t="s">
        <v>34455</v>
      </c>
      <c r="G1832" t="s">
        <v>34456</v>
      </c>
      <c r="H1832" t="s">
        <v>34457</v>
      </c>
      <c r="I1832" t="s">
        <v>34458</v>
      </c>
      <c r="J1832" t="s">
        <v>34459</v>
      </c>
      <c r="K1832" t="s">
        <v>34460</v>
      </c>
      <c r="L1832" t="s">
        <v>34461</v>
      </c>
      <c r="M1832" t="s">
        <v>34462</v>
      </c>
      <c r="N1832" t="s">
        <v>34463</v>
      </c>
      <c r="O1832">
        <f>-597.268413541628 -87.5629799130384 -724.320009758931</f>
        <v>-1409.1514032135974</v>
      </c>
      <c r="P1832">
        <f>-571.614519153353 -70.8069423723566 -409.284523099868</f>
        <v>-1051.7059846255775</v>
      </c>
      <c r="Q1832">
        <f>-317.798113078482 -19.8814923080272 -434.301823812212</f>
        <v>-771.98142919872112</v>
      </c>
      <c r="R1832" t="s">
        <v>34464</v>
      </c>
      <c r="S1832" t="s">
        <v>34465</v>
      </c>
      <c r="T1832" t="s">
        <v>34466</v>
      </c>
      <c r="U1832" t="s">
        <v>34467</v>
      </c>
      <c r="V1832" t="s">
        <v>34468</v>
      </c>
      <c r="W1832" t="s">
        <v>34469</v>
      </c>
      <c r="X1832" t="s">
        <v>34470</v>
      </c>
      <c r="Y1832" t="s">
        <v>34471</v>
      </c>
    </row>
    <row r="1833" spans="1:25" x14ac:dyDescent="0.3">
      <c r="A1833">
        <v>91600</v>
      </c>
      <c r="B1833" t="s">
        <v>34472</v>
      </c>
      <c r="C1833" t="s">
        <v>34473</v>
      </c>
      <c r="D1833" t="s">
        <v>34474</v>
      </c>
      <c r="E1833" t="s">
        <v>34475</v>
      </c>
      <c r="F1833" t="s">
        <v>34476</v>
      </c>
      <c r="G1833" t="s">
        <v>34477</v>
      </c>
      <c r="H1833" t="s">
        <v>34478</v>
      </c>
      <c r="I1833" t="s">
        <v>34479</v>
      </c>
      <c r="J1833" t="s">
        <v>34480</v>
      </c>
      <c r="K1833" t="s">
        <v>34481</v>
      </c>
      <c r="L1833" t="s">
        <v>34482</v>
      </c>
      <c r="M1833" t="s">
        <v>34483</v>
      </c>
      <c r="N1833" t="s">
        <v>34484</v>
      </c>
      <c r="O1833">
        <f>-597.009844290009 -89.0705027434515 -725.448076615588</f>
        <v>-1411.5284236490484</v>
      </c>
      <c r="P1833">
        <f>-568.293303398911 -75.0010459980804 -410.54541255906</f>
        <v>-1053.8397619560515</v>
      </c>
      <c r="Q1833">
        <f>-315.356770743054 -19.5534263799241 -434.850508355575</f>
        <v>-769.76070547855306</v>
      </c>
      <c r="R1833" t="s">
        <v>34485</v>
      </c>
      <c r="S1833" t="s">
        <v>34486</v>
      </c>
      <c r="T1833" t="s">
        <v>34487</v>
      </c>
      <c r="U1833" t="s">
        <v>34488</v>
      </c>
      <c r="V1833" t="s">
        <v>34489</v>
      </c>
      <c r="W1833" t="s">
        <v>34490</v>
      </c>
      <c r="X1833" t="s">
        <v>34491</v>
      </c>
      <c r="Y1833" t="s">
        <v>34492</v>
      </c>
    </row>
    <row r="1834" spans="1:25" x14ac:dyDescent="0.3">
      <c r="A1834">
        <v>91650</v>
      </c>
      <c r="B1834" t="s">
        <v>34493</v>
      </c>
      <c r="C1834" t="s">
        <v>34494</v>
      </c>
      <c r="D1834" t="s">
        <v>34495</v>
      </c>
      <c r="E1834" t="s">
        <v>34496</v>
      </c>
      <c r="F1834" t="s">
        <v>34497</v>
      </c>
      <c r="G1834" t="s">
        <v>34498</v>
      </c>
      <c r="H1834" t="s">
        <v>34499</v>
      </c>
      <c r="I1834" t="s">
        <v>34500</v>
      </c>
      <c r="J1834" t="s">
        <v>34501</v>
      </c>
      <c r="K1834" t="s">
        <v>34502</v>
      </c>
      <c r="L1834" t="s">
        <v>34503</v>
      </c>
      <c r="M1834" t="s">
        <v>34504</v>
      </c>
      <c r="N1834" t="s">
        <v>34505</v>
      </c>
      <c r="O1834">
        <f>-595.969093939964 -92.8362372449751 -727.616576763121</f>
        <v>-1416.4219079480599</v>
      </c>
      <c r="P1834">
        <f>-561.717470249115 -81.7937859150748 -413.147065372603</f>
        <v>-1056.6583215367928</v>
      </c>
      <c r="Q1834">
        <f>-310.779055637335 -17.6035928971558 -436.632857758857</f>
        <v>-765.01550629334781</v>
      </c>
      <c r="R1834" t="s">
        <v>34506</v>
      </c>
      <c r="S1834" t="s">
        <v>34507</v>
      </c>
      <c r="T1834" t="s">
        <v>34508</v>
      </c>
      <c r="U1834" t="s">
        <v>34509</v>
      </c>
      <c r="V1834" t="s">
        <v>34510</v>
      </c>
      <c r="W1834" t="s">
        <v>34511</v>
      </c>
      <c r="X1834" t="s">
        <v>34512</v>
      </c>
      <c r="Y1834" t="s">
        <v>34513</v>
      </c>
    </row>
    <row r="1835" spans="1:25" x14ac:dyDescent="0.3">
      <c r="A1835">
        <v>91700</v>
      </c>
      <c r="B1835" t="s">
        <v>34514</v>
      </c>
      <c r="C1835" t="s">
        <v>34515</v>
      </c>
      <c r="D1835" t="s">
        <v>34516</v>
      </c>
      <c r="E1835" t="s">
        <v>34517</v>
      </c>
      <c r="F1835" t="s">
        <v>34518</v>
      </c>
      <c r="G1835" t="s">
        <v>34519</v>
      </c>
      <c r="H1835" t="s">
        <v>34520</v>
      </c>
      <c r="I1835" t="s">
        <v>34521</v>
      </c>
      <c r="J1835" t="s">
        <v>34522</v>
      </c>
      <c r="K1835" t="s">
        <v>34523</v>
      </c>
      <c r="L1835" t="s">
        <v>34524</v>
      </c>
      <c r="M1835" t="s">
        <v>34525</v>
      </c>
      <c r="N1835" t="s">
        <v>34526</v>
      </c>
      <c r="O1835">
        <f>-595.482590885092 -95.0706050172785 -728.446761130777</f>
        <v>-1418.9999570331474</v>
      </c>
      <c r="P1835">
        <f>-559.818799902793 -85.2368473689926 -414.094099326462</f>
        <v>-1059.1497465982475</v>
      </c>
      <c r="Q1835">
        <f>-309.600804324834 -17.9906511638387 -436.698301833436</f>
        <v>-764.2897573221087</v>
      </c>
      <c r="R1835" t="s">
        <v>34527</v>
      </c>
      <c r="S1835" t="s">
        <v>34528</v>
      </c>
      <c r="T1835" t="s">
        <v>34529</v>
      </c>
      <c r="U1835" t="s">
        <v>34530</v>
      </c>
      <c r="V1835" t="s">
        <v>34531</v>
      </c>
      <c r="W1835" t="s">
        <v>34532</v>
      </c>
      <c r="X1835" t="s">
        <v>34533</v>
      </c>
      <c r="Y1835" t="s">
        <v>34534</v>
      </c>
    </row>
    <row r="1836" spans="1:25" x14ac:dyDescent="0.3">
      <c r="A1836">
        <v>91750</v>
      </c>
      <c r="B1836" t="s">
        <v>34535</v>
      </c>
      <c r="C1836" t="s">
        <v>34536</v>
      </c>
      <c r="D1836" t="s">
        <v>34537</v>
      </c>
      <c r="E1836" t="s">
        <v>34538</v>
      </c>
      <c r="F1836" t="s">
        <v>34539</v>
      </c>
      <c r="G1836" t="s">
        <v>34540</v>
      </c>
      <c r="H1836" t="s">
        <v>34541</v>
      </c>
      <c r="I1836" t="s">
        <v>34542</v>
      </c>
      <c r="J1836" t="s">
        <v>34543</v>
      </c>
      <c r="K1836" t="s">
        <v>34544</v>
      </c>
      <c r="L1836" t="s">
        <v>34545</v>
      </c>
      <c r="M1836" t="s">
        <v>34546</v>
      </c>
      <c r="N1836" t="s">
        <v>34547</v>
      </c>
      <c r="O1836">
        <f>-592.984738240941 -99.1046919683745 -730.302978165225</f>
        <v>-1422.3924083745405</v>
      </c>
      <c r="P1836">
        <f>-555.496485477672 -90.8878655809365 -416.116202681581</f>
        <v>-1062.5005537401894</v>
      </c>
      <c r="Q1836">
        <f>-306.184063556483 -19.84779640083 -437.060579565523</f>
        <v>-763.092439522836</v>
      </c>
      <c r="R1836" t="s">
        <v>34548</v>
      </c>
      <c r="S1836" t="s">
        <v>34549</v>
      </c>
      <c r="T1836" t="s">
        <v>34550</v>
      </c>
      <c r="U1836" t="s">
        <v>34551</v>
      </c>
      <c r="V1836" t="s">
        <v>34552</v>
      </c>
      <c r="W1836" t="s">
        <v>34553</v>
      </c>
      <c r="X1836" t="s">
        <v>34554</v>
      </c>
      <c r="Y1836" t="s">
        <v>34555</v>
      </c>
    </row>
    <row r="1837" spans="1:25" x14ac:dyDescent="0.3">
      <c r="A1837">
        <v>91800</v>
      </c>
      <c r="B1837" t="s">
        <v>34556</v>
      </c>
      <c r="C1837" t="s">
        <v>34557</v>
      </c>
      <c r="D1837" t="s">
        <v>34558</v>
      </c>
      <c r="E1837" t="s">
        <v>34559</v>
      </c>
      <c r="F1837" t="s">
        <v>34560</v>
      </c>
      <c r="G1837" t="s">
        <v>34561</v>
      </c>
      <c r="H1837" t="s">
        <v>34562</v>
      </c>
      <c r="I1837" t="s">
        <v>34563</v>
      </c>
      <c r="J1837" t="s">
        <v>34564</v>
      </c>
      <c r="K1837" t="s">
        <v>34565</v>
      </c>
      <c r="L1837" t="s">
        <v>34566</v>
      </c>
      <c r="M1837" t="s">
        <v>34567</v>
      </c>
      <c r="N1837" t="s">
        <v>34568</v>
      </c>
      <c r="O1837">
        <f>-591.424753002139 -100.435964031761 -731.306714240011</f>
        <v>-1423.167431273911</v>
      </c>
      <c r="P1837">
        <f>-553.160580241066 -93.464635327156 -417.183479072334</f>
        <v>-1063.808694640556</v>
      </c>
      <c r="Q1837">
        <f>-304.115960875493 -20.9574561937716 -436.196849313855</f>
        <v>-761.27026638311963</v>
      </c>
      <c r="R1837" t="s">
        <v>34569</v>
      </c>
      <c r="S1837" t="s">
        <v>34570</v>
      </c>
      <c r="T1837" t="s">
        <v>34571</v>
      </c>
      <c r="U1837" t="s">
        <v>34572</v>
      </c>
      <c r="V1837" t="s">
        <v>34573</v>
      </c>
      <c r="W1837" t="s">
        <v>34574</v>
      </c>
      <c r="X1837" t="s">
        <v>34575</v>
      </c>
      <c r="Y1837" t="s">
        <v>34576</v>
      </c>
    </row>
    <row r="1838" spans="1:25" x14ac:dyDescent="0.3">
      <c r="A1838">
        <v>91850</v>
      </c>
      <c r="B1838" t="s">
        <v>34577</v>
      </c>
      <c r="C1838" t="s">
        <v>34578</v>
      </c>
      <c r="D1838" t="s">
        <v>34579</v>
      </c>
      <c r="E1838" t="s">
        <v>34580</v>
      </c>
      <c r="F1838" t="s">
        <v>34581</v>
      </c>
      <c r="G1838" t="s">
        <v>34582</v>
      </c>
      <c r="H1838" t="s">
        <v>34583</v>
      </c>
      <c r="I1838" t="s">
        <v>34584</v>
      </c>
      <c r="J1838" t="s">
        <v>34585</v>
      </c>
      <c r="K1838" t="s">
        <v>34586</v>
      </c>
      <c r="L1838" t="s">
        <v>34587</v>
      </c>
      <c r="M1838" t="s">
        <v>34588</v>
      </c>
      <c r="N1838" t="s">
        <v>34589</v>
      </c>
      <c r="O1838">
        <f>-586.946921084473 -102.752836271231 -733.22272156874</f>
        <v>-1422.922478924444</v>
      </c>
      <c r="P1838">
        <f>-548.147083220733 -98.7076630383008 -419.113847414446</f>
        <v>-1065.9685936734797</v>
      </c>
      <c r="Q1838">
        <f>-300.357281664143 -21.1731646048734 -434.30094496263</f>
        <v>-755.83139123164642</v>
      </c>
      <c r="R1838" t="s">
        <v>34590</v>
      </c>
      <c r="S1838" t="s">
        <v>34591</v>
      </c>
      <c r="T1838" t="s">
        <v>34592</v>
      </c>
      <c r="U1838" t="s">
        <v>34593</v>
      </c>
      <c r="V1838" t="s">
        <v>34594</v>
      </c>
      <c r="W1838" t="s">
        <v>34595</v>
      </c>
      <c r="X1838" t="s">
        <v>34596</v>
      </c>
      <c r="Y1838" t="s">
        <v>34597</v>
      </c>
    </row>
    <row r="1839" spans="1:25" x14ac:dyDescent="0.3">
      <c r="A1839">
        <v>91900</v>
      </c>
      <c r="B1839" t="s">
        <v>34598</v>
      </c>
      <c r="C1839" t="s">
        <v>34599</v>
      </c>
      <c r="D1839" t="s">
        <v>34600</v>
      </c>
      <c r="E1839" t="s">
        <v>34601</v>
      </c>
      <c r="F1839" t="s">
        <v>34602</v>
      </c>
      <c r="G1839" t="s">
        <v>34603</v>
      </c>
      <c r="H1839" t="s">
        <v>34604</v>
      </c>
      <c r="I1839" t="s">
        <v>34605</v>
      </c>
      <c r="J1839" t="s">
        <v>34606</v>
      </c>
      <c r="K1839" t="s">
        <v>34607</v>
      </c>
      <c r="L1839" t="s">
        <v>34608</v>
      </c>
      <c r="M1839" t="s">
        <v>34609</v>
      </c>
      <c r="N1839" t="s">
        <v>34610</v>
      </c>
      <c r="O1839">
        <f>-583.997388441641 -104.295025921638 -733.885480983768</f>
        <v>-1422.1778953470471</v>
      </c>
      <c r="P1839">
        <f>-545.755708342729 -101.432120957637 -419.695130543862</f>
        <v>-1066.882959844228</v>
      </c>
      <c r="Q1839">
        <f>-298.636422119144 -21.3498620810599 -432.38170405031</f>
        <v>-752.36798825051392</v>
      </c>
      <c r="R1839" t="s">
        <v>34611</v>
      </c>
      <c r="S1839" t="s">
        <v>34612</v>
      </c>
      <c r="T1839" t="s">
        <v>34613</v>
      </c>
      <c r="U1839" t="s">
        <v>34614</v>
      </c>
      <c r="V1839" t="s">
        <v>34615</v>
      </c>
      <c r="W1839" t="s">
        <v>34616</v>
      </c>
      <c r="X1839" t="s">
        <v>34617</v>
      </c>
      <c r="Y1839" t="s">
        <v>34618</v>
      </c>
    </row>
    <row r="1840" spans="1:25" x14ac:dyDescent="0.3">
      <c r="A1840">
        <v>91950</v>
      </c>
      <c r="B1840" t="s">
        <v>34619</v>
      </c>
      <c r="C1840" t="s">
        <v>34620</v>
      </c>
      <c r="D1840" t="s">
        <v>34621</v>
      </c>
      <c r="E1840" t="s">
        <v>34622</v>
      </c>
      <c r="F1840" t="s">
        <v>34623</v>
      </c>
      <c r="G1840" t="s">
        <v>34624</v>
      </c>
      <c r="H1840" t="s">
        <v>34625</v>
      </c>
      <c r="I1840" t="s">
        <v>34626</v>
      </c>
      <c r="J1840" t="s">
        <v>34627</v>
      </c>
      <c r="K1840" t="s">
        <v>34628</v>
      </c>
      <c r="L1840" t="s">
        <v>34629</v>
      </c>
      <c r="M1840" t="s">
        <v>34630</v>
      </c>
      <c r="N1840" t="s">
        <v>34631</v>
      </c>
      <c r="O1840">
        <f>-577.026383874939 -107.476119832282 -734.592303630288</f>
        <v>-1419.0948073375089</v>
      </c>
      <c r="P1840">
        <f>-541.277298604877 -104.788369580625 -420.107148207652</f>
        <v>-1066.1728163931541</v>
      </c>
      <c r="Q1840">
        <f>-295.722982705858 -19.7090662857586 -430.432920477007</f>
        <v>-745.86496946862349</v>
      </c>
      <c r="R1840" t="s">
        <v>34632</v>
      </c>
      <c r="S1840" t="s">
        <v>34633</v>
      </c>
      <c r="T1840" t="s">
        <v>34634</v>
      </c>
      <c r="U1840" t="s">
        <v>34635</v>
      </c>
      <c r="V1840" t="s">
        <v>34636</v>
      </c>
      <c r="W1840" t="s">
        <v>34637</v>
      </c>
      <c r="X1840" t="s">
        <v>34638</v>
      </c>
      <c r="Y1840" t="s">
        <v>34639</v>
      </c>
    </row>
    <row r="1841" spans="1:25" x14ac:dyDescent="0.3">
      <c r="A1841">
        <v>92000</v>
      </c>
      <c r="B1841" t="s">
        <v>34640</v>
      </c>
      <c r="C1841" t="s">
        <v>34641</v>
      </c>
      <c r="D1841" t="s">
        <v>34642</v>
      </c>
      <c r="E1841" t="s">
        <v>34643</v>
      </c>
      <c r="F1841" t="s">
        <v>34644</v>
      </c>
      <c r="G1841" t="s">
        <v>34645</v>
      </c>
      <c r="H1841" t="s">
        <v>34646</v>
      </c>
      <c r="I1841" t="s">
        <v>34647</v>
      </c>
      <c r="J1841" t="s">
        <v>34648</v>
      </c>
      <c r="K1841" t="s">
        <v>34649</v>
      </c>
      <c r="L1841" t="s">
        <v>34650</v>
      </c>
      <c r="M1841" t="s">
        <v>34651</v>
      </c>
      <c r="N1841" t="s">
        <v>34652</v>
      </c>
      <c r="O1841">
        <f>-573.384340402614 -108.884868892552 -734.801124902736</f>
        <v>-1417.070334197902</v>
      </c>
      <c r="P1841">
        <f>-539.822929996458 -106.008149329574 -420.07650730667</f>
        <v>-1065.9075866327021</v>
      </c>
      <c r="Q1841">
        <f>-295.161929826381 -18.3443007786648 -429.981111623566</f>
        <v>-743.48734222861185</v>
      </c>
      <c r="R1841" t="s">
        <v>34653</v>
      </c>
      <c r="S1841" t="s">
        <v>34654</v>
      </c>
      <c r="T1841" t="s">
        <v>34655</v>
      </c>
      <c r="U1841" t="s">
        <v>34656</v>
      </c>
      <c r="V1841" t="s">
        <v>34657</v>
      </c>
      <c r="W1841" t="s">
        <v>34658</v>
      </c>
      <c r="X1841" t="s">
        <v>34659</v>
      </c>
      <c r="Y1841" t="s">
        <v>34660</v>
      </c>
    </row>
    <row r="1842" spans="1:25" x14ac:dyDescent="0.3">
      <c r="A1842">
        <v>92050</v>
      </c>
      <c r="B1842" t="s">
        <v>34661</v>
      </c>
      <c r="C1842" t="s">
        <v>34662</v>
      </c>
      <c r="D1842" t="s">
        <v>34663</v>
      </c>
      <c r="E1842" t="s">
        <v>34664</v>
      </c>
      <c r="F1842" t="s">
        <v>34665</v>
      </c>
      <c r="G1842" t="s">
        <v>34666</v>
      </c>
      <c r="H1842" t="s">
        <v>34667</v>
      </c>
      <c r="I1842" t="s">
        <v>34668</v>
      </c>
      <c r="J1842" t="s">
        <v>34669</v>
      </c>
      <c r="K1842" t="s">
        <v>34670</v>
      </c>
      <c r="L1842" t="s">
        <v>34671</v>
      </c>
      <c r="M1842" t="s">
        <v>34672</v>
      </c>
      <c r="N1842" t="s">
        <v>34673</v>
      </c>
      <c r="O1842">
        <f>-566.074342882207 -111.863776160014 -734.735804881779</f>
        <v>-1412.6739239240001</v>
      </c>
      <c r="P1842">
        <f>-538.883079568336 -107.86819214416 -419.409293612489</f>
        <v>-1066.1605653249851</v>
      </c>
      <c r="Q1842">
        <f>-294.93277720975 -18.151992935411 -428.427328803755</f>
        <v>-741.51209894891599</v>
      </c>
      <c r="R1842" t="s">
        <v>34674</v>
      </c>
      <c r="S1842" t="s">
        <v>34675</v>
      </c>
      <c r="T1842" t="s">
        <v>34676</v>
      </c>
      <c r="U1842" t="s">
        <v>34677</v>
      </c>
      <c r="V1842" t="s">
        <v>34678</v>
      </c>
      <c r="W1842" t="s">
        <v>34679</v>
      </c>
      <c r="X1842" t="s">
        <v>34680</v>
      </c>
      <c r="Y1842" t="s">
        <v>34681</v>
      </c>
    </row>
    <row r="1843" spans="1:25" x14ac:dyDescent="0.3">
      <c r="A1843">
        <v>92100</v>
      </c>
      <c r="B1843" t="s">
        <v>34682</v>
      </c>
      <c r="C1843" t="s">
        <v>34683</v>
      </c>
      <c r="D1843" t="s">
        <v>34684</v>
      </c>
      <c r="E1843" t="s">
        <v>34685</v>
      </c>
      <c r="F1843" t="s">
        <v>34686</v>
      </c>
      <c r="G1843" t="s">
        <v>34687</v>
      </c>
      <c r="H1843" t="s">
        <v>34688</v>
      </c>
      <c r="I1843" t="s">
        <v>34689</v>
      </c>
      <c r="J1843" t="s">
        <v>34690</v>
      </c>
      <c r="K1843" t="s">
        <v>34691</v>
      </c>
      <c r="L1843" t="s">
        <v>34692</v>
      </c>
      <c r="M1843" t="s">
        <v>34693</v>
      </c>
      <c r="N1843" t="s">
        <v>34694</v>
      </c>
      <c r="O1843">
        <f>-562.599407163039 -113.300719813329 -734.555549494391</f>
        <v>-1410.455676470759</v>
      </c>
      <c r="P1843">
        <f>-537.976832165745 -109.058703378407 -419.021161791222</f>
        <v>-1066.0566973353741</v>
      </c>
      <c r="Q1843">
        <f>-294.141612640793 -18.8558055252524 -426.082261873626</f>
        <v>-739.07968003967142</v>
      </c>
      <c r="R1843" t="s">
        <v>34695</v>
      </c>
      <c r="S1843" t="s">
        <v>34696</v>
      </c>
      <c r="T1843" t="s">
        <v>34697</v>
      </c>
      <c r="U1843" t="s">
        <v>34698</v>
      </c>
      <c r="V1843" t="s">
        <v>34699</v>
      </c>
      <c r="W1843" t="s">
        <v>34700</v>
      </c>
      <c r="X1843" t="s">
        <v>34701</v>
      </c>
      <c r="Y1843" t="s">
        <v>34702</v>
      </c>
    </row>
    <row r="1844" spans="1:25" x14ac:dyDescent="0.3">
      <c r="A1844">
        <v>92150</v>
      </c>
      <c r="B1844" t="s">
        <v>34703</v>
      </c>
      <c r="C1844" t="s">
        <v>34704</v>
      </c>
      <c r="D1844" t="s">
        <v>34705</v>
      </c>
      <c r="E1844" t="s">
        <v>34706</v>
      </c>
      <c r="F1844" t="s">
        <v>34707</v>
      </c>
      <c r="G1844" t="s">
        <v>34708</v>
      </c>
      <c r="H1844" t="s">
        <v>34709</v>
      </c>
      <c r="I1844" t="s">
        <v>34710</v>
      </c>
      <c r="J1844" t="s">
        <v>34711</v>
      </c>
      <c r="K1844" t="s">
        <v>34712</v>
      </c>
      <c r="L1844" t="s">
        <v>34713</v>
      </c>
      <c r="M1844" t="s">
        <v>34714</v>
      </c>
      <c r="N1844" t="s">
        <v>34715</v>
      </c>
      <c r="O1844">
        <f>-556.777489151741 -116.145477640117 -733.592714660359</f>
        <v>-1406.515681452217</v>
      </c>
      <c r="P1844">
        <f>-538.00405145638 -110.589932818184 -417.676835585985</f>
        <v>-1066.270819860549</v>
      </c>
      <c r="Q1844">
        <f>-293.929373959162 -20.8905881406811 -422.535604486965</f>
        <v>-737.35556658680798</v>
      </c>
      <c r="R1844" t="s">
        <v>34716</v>
      </c>
      <c r="S1844" t="s">
        <v>34717</v>
      </c>
      <c r="T1844" t="s">
        <v>34718</v>
      </c>
      <c r="U1844" t="s">
        <v>34719</v>
      </c>
      <c r="V1844" t="s">
        <v>34720</v>
      </c>
      <c r="W1844" t="s">
        <v>34721</v>
      </c>
      <c r="X1844" t="s">
        <v>34722</v>
      </c>
      <c r="Y1844" t="s">
        <v>34723</v>
      </c>
    </row>
    <row r="1845" spans="1:25" x14ac:dyDescent="0.3">
      <c r="A1845">
        <v>92200</v>
      </c>
      <c r="B1845" t="s">
        <v>34724</v>
      </c>
      <c r="C1845" t="s">
        <v>34725</v>
      </c>
      <c r="D1845" t="s">
        <v>34726</v>
      </c>
      <c r="E1845" t="s">
        <v>34727</v>
      </c>
      <c r="F1845" t="s">
        <v>34728</v>
      </c>
      <c r="G1845" t="s">
        <v>34729</v>
      </c>
      <c r="H1845" t="s">
        <v>34730</v>
      </c>
      <c r="I1845" t="s">
        <v>34731</v>
      </c>
      <c r="J1845" t="s">
        <v>34732</v>
      </c>
      <c r="K1845" t="s">
        <v>34733</v>
      </c>
      <c r="L1845" t="s">
        <v>34734</v>
      </c>
      <c r="M1845" t="s">
        <v>34735</v>
      </c>
      <c r="N1845" t="s">
        <v>34736</v>
      </c>
      <c r="O1845">
        <f>-554.204715039006 -118.014030818951 -732.478109966601</f>
        <v>-1404.696855824558</v>
      </c>
      <c r="P1845">
        <f>-537.717608016326 -111.64485808765 -416.44990974852</f>
        <v>-1065.812375852496</v>
      </c>
      <c r="Q1845">
        <f>-292.807648079696 -24.1626704342004 -419.274348454882</f>
        <v>-736.24466696877835</v>
      </c>
      <c r="R1845" t="s">
        <v>34737</v>
      </c>
      <c r="S1845" t="s">
        <v>34738</v>
      </c>
      <c r="T1845" t="s">
        <v>34739</v>
      </c>
      <c r="U1845" t="s">
        <v>34740</v>
      </c>
      <c r="V1845" t="s">
        <v>34741</v>
      </c>
      <c r="W1845" t="s">
        <v>34742</v>
      </c>
      <c r="X1845" t="s">
        <v>34743</v>
      </c>
      <c r="Y1845" t="s">
        <v>34744</v>
      </c>
    </row>
    <row r="1846" spans="1:25" x14ac:dyDescent="0.3">
      <c r="A1846">
        <v>92250</v>
      </c>
      <c r="B1846" t="s">
        <v>34745</v>
      </c>
      <c r="C1846" t="s">
        <v>34746</v>
      </c>
      <c r="D1846" t="s">
        <v>34747</v>
      </c>
      <c r="E1846" t="s">
        <v>34748</v>
      </c>
      <c r="F1846" t="s">
        <v>34749</v>
      </c>
      <c r="G1846" t="s">
        <v>34750</v>
      </c>
      <c r="H1846" t="s">
        <v>34751</v>
      </c>
      <c r="I1846" t="s">
        <v>34752</v>
      </c>
      <c r="J1846" t="s">
        <v>34753</v>
      </c>
      <c r="K1846" t="s">
        <v>34754</v>
      </c>
      <c r="L1846" t="s">
        <v>34755</v>
      </c>
      <c r="M1846" t="s">
        <v>34756</v>
      </c>
      <c r="N1846" t="s">
        <v>34757</v>
      </c>
      <c r="O1846">
        <f>-550.66482080733 -121.525300896438 -730.237161819795</f>
        <v>-1402.4272835235629</v>
      </c>
      <c r="P1846">
        <f>-534.424226026968 -114.292791268943 -414.214948209473</f>
        <v>-1062.9319655053839</v>
      </c>
      <c r="Q1846">
        <f>-288.33515206521 -30.137736777152 -413.875193189064</f>
        <v>-732.34808203142597</v>
      </c>
      <c r="R1846" t="s">
        <v>34758</v>
      </c>
      <c r="S1846" t="s">
        <v>34759</v>
      </c>
      <c r="T1846" t="s">
        <v>34760</v>
      </c>
      <c r="U1846" t="s">
        <v>34761</v>
      </c>
      <c r="V1846" t="s">
        <v>34762</v>
      </c>
      <c r="W1846" t="s">
        <v>34763</v>
      </c>
      <c r="X1846" t="s">
        <v>34764</v>
      </c>
      <c r="Y1846" t="s">
        <v>34765</v>
      </c>
    </row>
    <row r="1847" spans="1:25" x14ac:dyDescent="0.3">
      <c r="A1847">
        <v>92300</v>
      </c>
      <c r="B1847" t="s">
        <v>34766</v>
      </c>
      <c r="C1847" t="s">
        <v>34767</v>
      </c>
      <c r="D1847" t="s">
        <v>34768</v>
      </c>
      <c r="E1847" t="s">
        <v>34769</v>
      </c>
      <c r="F1847" t="s">
        <v>34770</v>
      </c>
      <c r="G1847" t="s">
        <v>34771</v>
      </c>
      <c r="H1847" t="s">
        <v>34772</v>
      </c>
      <c r="I1847" t="s">
        <v>34773</v>
      </c>
      <c r="J1847" t="s">
        <v>34774</v>
      </c>
      <c r="K1847" t="s">
        <v>34775</v>
      </c>
      <c r="L1847" t="s">
        <v>34776</v>
      </c>
      <c r="M1847" t="s">
        <v>34777</v>
      </c>
      <c r="N1847" t="s">
        <v>34778</v>
      </c>
      <c r="O1847">
        <f>-549.732933301004 -123.557668771538 -729.027865947271</f>
        <v>-1402.3184680198131</v>
      </c>
      <c r="P1847">
        <f>-532.331686165528 -117.386585561345 -413.04473287832</f>
        <v>-1062.7630046051931</v>
      </c>
      <c r="Q1847">
        <f>-286.390460491911 -32.802170726409 -412.387857226883</f>
        <v>-731.58048844520295</v>
      </c>
      <c r="R1847" t="s">
        <v>34779</v>
      </c>
      <c r="S1847" t="s">
        <v>34780</v>
      </c>
      <c r="T1847" t="s">
        <v>34781</v>
      </c>
      <c r="U1847" t="s">
        <v>34782</v>
      </c>
      <c r="V1847" t="s">
        <v>34783</v>
      </c>
      <c r="W1847" t="s">
        <v>34784</v>
      </c>
      <c r="X1847" t="s">
        <v>34785</v>
      </c>
      <c r="Y1847" t="s">
        <v>34786</v>
      </c>
    </row>
    <row r="1848" spans="1:25" x14ac:dyDescent="0.3">
      <c r="A1848">
        <v>92350</v>
      </c>
      <c r="B1848" t="s">
        <v>34787</v>
      </c>
      <c r="C1848" t="s">
        <v>34788</v>
      </c>
      <c r="D1848" t="s">
        <v>34789</v>
      </c>
      <c r="E1848" t="s">
        <v>34790</v>
      </c>
      <c r="F1848" t="s">
        <v>34791</v>
      </c>
      <c r="G1848" t="s">
        <v>34792</v>
      </c>
      <c r="H1848" t="s">
        <v>34793</v>
      </c>
      <c r="I1848" t="s">
        <v>34794</v>
      </c>
      <c r="J1848" t="s">
        <v>34795</v>
      </c>
      <c r="K1848" t="s">
        <v>34796</v>
      </c>
      <c r="L1848" t="s">
        <v>34797</v>
      </c>
      <c r="M1848" t="s">
        <v>34798</v>
      </c>
      <c r="N1848" t="s">
        <v>34799</v>
      </c>
      <c r="O1848">
        <f>-548.356980253347 -126.587613433147 -727.198827980912</f>
        <v>-1402.1434216674061</v>
      </c>
      <c r="P1848">
        <f>-527.054077575689 -121.662194774312 -411.432803860842</f>
        <v>-1060.1490762108428</v>
      </c>
      <c r="Q1848">
        <f>-281.77638085264 -35.1723188550041 -410.785941625007</f>
        <v>-727.73464133265111</v>
      </c>
      <c r="R1848" t="s">
        <v>34800</v>
      </c>
      <c r="S1848" t="s">
        <v>34801</v>
      </c>
      <c r="T1848" t="s">
        <v>34802</v>
      </c>
      <c r="U1848" t="s">
        <v>34803</v>
      </c>
      <c r="V1848" t="s">
        <v>34804</v>
      </c>
      <c r="W1848" t="s">
        <v>34805</v>
      </c>
      <c r="X1848" t="s">
        <v>34806</v>
      </c>
      <c r="Y1848" t="s">
        <v>34807</v>
      </c>
    </row>
    <row r="1849" spans="1:25" x14ac:dyDescent="0.3">
      <c r="A1849">
        <v>92400</v>
      </c>
      <c r="B1849" t="s">
        <v>34808</v>
      </c>
      <c r="C1849" t="s">
        <v>34809</v>
      </c>
      <c r="D1849" t="s">
        <v>34810</v>
      </c>
      <c r="E1849" t="s">
        <v>34811</v>
      </c>
      <c r="F1849" t="s">
        <v>34812</v>
      </c>
      <c r="G1849" t="s">
        <v>34813</v>
      </c>
      <c r="H1849" t="s">
        <v>34814</v>
      </c>
      <c r="I1849" t="s">
        <v>34815</v>
      </c>
      <c r="J1849" t="s">
        <v>34816</v>
      </c>
      <c r="K1849" t="s">
        <v>34817</v>
      </c>
      <c r="L1849" t="s">
        <v>34818</v>
      </c>
      <c r="M1849" t="s">
        <v>34819</v>
      </c>
      <c r="N1849" t="s">
        <v>34820</v>
      </c>
      <c r="O1849">
        <f>-547.813181379187 -128.283384293937 -726.254575310094</f>
        <v>-1402.3511409832179</v>
      </c>
      <c r="P1849">
        <f>-524.04474807365 -123.12248898804 -410.668421878783</f>
        <v>-1057.835658940473</v>
      </c>
      <c r="Q1849">
        <f>-279.192302048204 -35.4390766316185 -409.687865246004</f>
        <v>-724.31924392582641</v>
      </c>
      <c r="R1849" t="s">
        <v>34821</v>
      </c>
      <c r="S1849" t="s">
        <v>34822</v>
      </c>
      <c r="T1849" t="s">
        <v>34823</v>
      </c>
      <c r="U1849" t="s">
        <v>34824</v>
      </c>
      <c r="V1849" t="s">
        <v>34825</v>
      </c>
      <c r="W1849" t="s">
        <v>34826</v>
      </c>
      <c r="X1849" t="s">
        <v>34827</v>
      </c>
      <c r="Y1849" t="s">
        <v>34828</v>
      </c>
    </row>
    <row r="1850" spans="1:25" x14ac:dyDescent="0.3">
      <c r="A1850">
        <v>92450</v>
      </c>
      <c r="B1850" t="s">
        <v>34829</v>
      </c>
      <c r="C1850" t="s">
        <v>34830</v>
      </c>
      <c r="D1850" t="s">
        <v>34831</v>
      </c>
      <c r="E1850" t="s">
        <v>34832</v>
      </c>
      <c r="F1850" t="s">
        <v>34833</v>
      </c>
      <c r="G1850" t="s">
        <v>34834</v>
      </c>
      <c r="H1850" t="s">
        <v>34835</v>
      </c>
      <c r="I1850" t="s">
        <v>34836</v>
      </c>
      <c r="J1850" t="s">
        <v>34837</v>
      </c>
      <c r="K1850" t="s">
        <v>34838</v>
      </c>
      <c r="L1850" t="s">
        <v>34839</v>
      </c>
      <c r="M1850" t="s">
        <v>34840</v>
      </c>
      <c r="N1850" t="s">
        <v>34841</v>
      </c>
      <c r="O1850">
        <f>-546.669547555572 -132.774943955038 -724.310140129318</f>
        <v>-1403.754631639928</v>
      </c>
      <c r="P1850">
        <f>-515.07457819984 -126.820718161847 -409.425283823933</f>
        <v>-1051.32058018562</v>
      </c>
      <c r="Q1850">
        <f>-272.176380339675 -33.8603786295846 -408.50611761669</f>
        <v>-714.54287658594967</v>
      </c>
      <c r="R1850" t="s">
        <v>34842</v>
      </c>
      <c r="S1850" t="s">
        <v>34843</v>
      </c>
      <c r="T1850" t="s">
        <v>34844</v>
      </c>
      <c r="U1850" t="s">
        <v>34845</v>
      </c>
      <c r="V1850" t="s">
        <v>34846</v>
      </c>
      <c r="W1850" t="s">
        <v>34847</v>
      </c>
      <c r="X1850" t="s">
        <v>34848</v>
      </c>
      <c r="Y1850" t="s">
        <v>34849</v>
      </c>
    </row>
    <row r="1851" spans="1:25" x14ac:dyDescent="0.3">
      <c r="A1851">
        <v>92500</v>
      </c>
      <c r="B1851" t="s">
        <v>34850</v>
      </c>
      <c r="C1851" t="s">
        <v>34851</v>
      </c>
      <c r="D1851" t="s">
        <v>34852</v>
      </c>
      <c r="E1851" t="s">
        <v>34853</v>
      </c>
      <c r="F1851" t="s">
        <v>34854</v>
      </c>
      <c r="G1851" t="s">
        <v>34855</v>
      </c>
      <c r="H1851" t="s">
        <v>34856</v>
      </c>
      <c r="I1851" t="s">
        <v>34857</v>
      </c>
      <c r="J1851" t="s">
        <v>34858</v>
      </c>
      <c r="K1851" t="s">
        <v>34859</v>
      </c>
      <c r="L1851" t="s">
        <v>34860</v>
      </c>
      <c r="M1851" t="s">
        <v>34861</v>
      </c>
      <c r="N1851" t="s">
        <v>34862</v>
      </c>
      <c r="O1851">
        <f>-545.813192554381 -134.805361067942 -723.374259824329</f>
        <v>-1403.9928134466518</v>
      </c>
      <c r="P1851">
        <f>-511.165138779757 -128.596558362305 -408.815628941859</f>
        <v>-1048.577326083921</v>
      </c>
      <c r="Q1851">
        <f>-269.562464105531 -32.3190887658748 -407.870715282239</f>
        <v>-709.75226815364476</v>
      </c>
      <c r="R1851" t="s">
        <v>34863</v>
      </c>
      <c r="S1851" t="s">
        <v>34864</v>
      </c>
      <c r="T1851" t="s">
        <v>34865</v>
      </c>
      <c r="U1851" t="s">
        <v>34866</v>
      </c>
      <c r="V1851" t="s">
        <v>34867</v>
      </c>
      <c r="W1851" t="s">
        <v>34868</v>
      </c>
      <c r="X1851" t="s">
        <v>34869</v>
      </c>
      <c r="Y1851" t="s">
        <v>34870</v>
      </c>
    </row>
    <row r="1852" spans="1:25" x14ac:dyDescent="0.3">
      <c r="A1852">
        <v>92550</v>
      </c>
      <c r="B1852" t="s">
        <v>34871</v>
      </c>
      <c r="C1852" t="s">
        <v>34872</v>
      </c>
      <c r="D1852" t="s">
        <v>34873</v>
      </c>
      <c r="E1852" t="s">
        <v>34874</v>
      </c>
      <c r="F1852" t="s">
        <v>34875</v>
      </c>
      <c r="G1852" t="s">
        <v>34876</v>
      </c>
      <c r="H1852" t="s">
        <v>34877</v>
      </c>
      <c r="I1852" t="s">
        <v>34878</v>
      </c>
      <c r="J1852" t="s">
        <v>34879</v>
      </c>
      <c r="K1852" t="s">
        <v>34880</v>
      </c>
      <c r="L1852" t="s">
        <v>34881</v>
      </c>
      <c r="M1852" t="s">
        <v>34882</v>
      </c>
      <c r="N1852" t="s">
        <v>34883</v>
      </c>
      <c r="O1852">
        <f>-542.774902683519 -138.023328684634 -722.590095894596</f>
        <v>-1403.388327262749</v>
      </c>
      <c r="P1852">
        <f>-504.497301133324 -132.427267441979 -408.440843157268</f>
        <v>-1045.3654117325709</v>
      </c>
      <c r="Q1852">
        <f>-265.001620242352 -31.0584539318086 -405.567872978949</f>
        <v>-701.62794715310963</v>
      </c>
      <c r="R1852" t="s">
        <v>34884</v>
      </c>
      <c r="S1852" t="s">
        <v>34885</v>
      </c>
      <c r="T1852" t="s">
        <v>34886</v>
      </c>
      <c r="U1852" t="s">
        <v>34887</v>
      </c>
      <c r="V1852" t="s">
        <v>34888</v>
      </c>
      <c r="W1852" t="s">
        <v>34889</v>
      </c>
      <c r="X1852" t="s">
        <v>34890</v>
      </c>
      <c r="Y1852" t="s">
        <v>34891</v>
      </c>
    </row>
    <row r="1853" spans="1:25" x14ac:dyDescent="0.3">
      <c r="A1853">
        <v>92600</v>
      </c>
      <c r="B1853" t="s">
        <v>34892</v>
      </c>
      <c r="C1853" t="s">
        <v>34893</v>
      </c>
      <c r="D1853" t="s">
        <v>34894</v>
      </c>
      <c r="E1853" t="s">
        <v>34895</v>
      </c>
      <c r="F1853" t="s">
        <v>34896</v>
      </c>
      <c r="G1853" t="s">
        <v>34897</v>
      </c>
      <c r="H1853" t="s">
        <v>34898</v>
      </c>
      <c r="I1853" t="s">
        <v>34899</v>
      </c>
      <c r="J1853" t="s">
        <v>34900</v>
      </c>
      <c r="K1853" t="s">
        <v>34901</v>
      </c>
      <c r="L1853" t="s">
        <v>34902</v>
      </c>
      <c r="M1853" t="s">
        <v>34903</v>
      </c>
      <c r="N1853" t="s">
        <v>34904</v>
      </c>
      <c r="O1853">
        <f>-540.949662602204 -139.374737973997 -722.685517257841</f>
        <v>-1403.009917834042</v>
      </c>
      <c r="P1853">
        <f>-501.898105127259 -133.944405307013 -408.628661556686</f>
        <v>-1044.4711719909578</v>
      </c>
      <c r="Q1853">
        <f>-263.762425301823 -29.4434328568398 -405.021244597895</f>
        <v>-698.22710275655777</v>
      </c>
      <c r="R1853" t="s">
        <v>34905</v>
      </c>
      <c r="S1853" t="s">
        <v>34906</v>
      </c>
      <c r="T1853" t="s">
        <v>34907</v>
      </c>
      <c r="U1853" t="s">
        <v>34908</v>
      </c>
      <c r="V1853" t="s">
        <v>34909</v>
      </c>
      <c r="W1853" t="s">
        <v>34910</v>
      </c>
      <c r="X1853" t="s">
        <v>34911</v>
      </c>
      <c r="Y1853" t="s">
        <v>34912</v>
      </c>
    </row>
    <row r="1854" spans="1:25" x14ac:dyDescent="0.3">
      <c r="A1854">
        <v>92650</v>
      </c>
      <c r="B1854" t="s">
        <v>34913</v>
      </c>
      <c r="C1854" t="s">
        <v>34914</v>
      </c>
      <c r="D1854" t="s">
        <v>34915</v>
      </c>
      <c r="E1854" t="s">
        <v>34916</v>
      </c>
      <c r="F1854" t="s">
        <v>34917</v>
      </c>
      <c r="G1854" t="s">
        <v>34918</v>
      </c>
      <c r="H1854" t="s">
        <v>34919</v>
      </c>
      <c r="I1854" t="s">
        <v>34920</v>
      </c>
      <c r="J1854" t="s">
        <v>34921</v>
      </c>
      <c r="K1854" t="s">
        <v>34922</v>
      </c>
      <c r="L1854" t="s">
        <v>34923</v>
      </c>
      <c r="M1854" t="s">
        <v>34924</v>
      </c>
      <c r="N1854">
        <f>-529.649316373844 -0.569689505229462 -765.618448048897</f>
        <v>-1295.8374539279705</v>
      </c>
      <c r="O1854">
        <f>-537.177260553064 -141.19591115711 -723.306440600765</f>
        <v>-1401.6796123109389</v>
      </c>
      <c r="P1854">
        <f>-498.549556143277 -133.655871409524 -409.240825635047</f>
        <v>-1041.446253187848</v>
      </c>
      <c r="Q1854">
        <f>-262.425998961637 -24.7445283150121 -404.138370904399</f>
        <v>-691.30889818104811</v>
      </c>
      <c r="R1854" t="s">
        <v>34925</v>
      </c>
      <c r="S1854" t="s">
        <v>34926</v>
      </c>
      <c r="T1854" t="s">
        <v>34927</v>
      </c>
      <c r="U1854" t="s">
        <v>34928</v>
      </c>
      <c r="V1854" t="s">
        <v>34929</v>
      </c>
      <c r="W1854" t="s">
        <v>34930</v>
      </c>
      <c r="X1854" t="s">
        <v>34931</v>
      </c>
      <c r="Y1854" t="s">
        <v>34932</v>
      </c>
    </row>
    <row r="1855" spans="1:25" x14ac:dyDescent="0.3">
      <c r="A1855">
        <v>92700</v>
      </c>
      <c r="B1855" t="s">
        <v>34933</v>
      </c>
      <c r="C1855" t="s">
        <v>34934</v>
      </c>
      <c r="D1855" t="s">
        <v>34935</v>
      </c>
      <c r="E1855" t="s">
        <v>34936</v>
      </c>
      <c r="F1855" t="s">
        <v>34937</v>
      </c>
      <c r="G1855" t="s">
        <v>34938</v>
      </c>
      <c r="H1855" t="s">
        <v>34939</v>
      </c>
      <c r="I1855" t="s">
        <v>34940</v>
      </c>
      <c r="J1855" t="s">
        <v>34941</v>
      </c>
      <c r="K1855" t="s">
        <v>34942</v>
      </c>
      <c r="L1855" t="s">
        <v>34943</v>
      </c>
      <c r="M1855" t="s">
        <v>34944</v>
      </c>
      <c r="N1855">
        <f>-528.610852459947 -0.847726034043944 -766.04430274616</f>
        <v>-1295.5028812401511</v>
      </c>
      <c r="O1855">
        <f>-535.250493296559 -141.586405165545 -723.872873968083</f>
        <v>-1400.7097724301871</v>
      </c>
      <c r="P1855">
        <f>-498.293054102252 -132.285718921243 -409.653445807827</f>
        <v>-1040.2322188313219</v>
      </c>
      <c r="Q1855">
        <f>-262.816980723509 -22.0047162041687 -404.07393343325</f>
        <v>-688.89563036092773</v>
      </c>
      <c r="R1855" t="s">
        <v>34945</v>
      </c>
      <c r="S1855" t="s">
        <v>34946</v>
      </c>
      <c r="T1855" t="s">
        <v>34947</v>
      </c>
      <c r="U1855" t="s">
        <v>34948</v>
      </c>
      <c r="V1855" t="s">
        <v>34949</v>
      </c>
      <c r="W1855" t="s">
        <v>34950</v>
      </c>
      <c r="X1855" t="s">
        <v>34951</v>
      </c>
      <c r="Y1855" t="s">
        <v>34952</v>
      </c>
    </row>
    <row r="1856" spans="1:25" x14ac:dyDescent="0.3">
      <c r="A1856">
        <v>92750</v>
      </c>
      <c r="B1856" t="s">
        <v>34953</v>
      </c>
      <c r="C1856" t="s">
        <v>34954</v>
      </c>
      <c r="D1856" t="s">
        <v>34955</v>
      </c>
      <c r="E1856" t="s">
        <v>34956</v>
      </c>
      <c r="F1856" t="s">
        <v>34957</v>
      </c>
      <c r="G1856" t="s">
        <v>34958</v>
      </c>
      <c r="H1856" t="s">
        <v>34959</v>
      </c>
      <c r="I1856" t="s">
        <v>34960</v>
      </c>
      <c r="J1856" t="s">
        <v>34961</v>
      </c>
      <c r="K1856" t="s">
        <v>34962</v>
      </c>
      <c r="L1856" t="s">
        <v>34963</v>
      </c>
      <c r="M1856" t="s">
        <v>34964</v>
      </c>
      <c r="N1856">
        <f>-526.603620175564 -0.751249024324125 -767.003342122158</f>
        <v>-1294.3582113220459</v>
      </c>
      <c r="O1856">
        <f>-531.85509144157 -141.649401973535 -725.272026732767</f>
        <v>-1398.7765201478719</v>
      </c>
      <c r="P1856">
        <f>-500.765155670399 -129.626711786068 -410.510214852197</f>
        <v>-1040.9020823086639</v>
      </c>
      <c r="Q1856">
        <f>-266.539895318569 -16.7497546596601 -404.23646443192</f>
        <v>-687.52611441014915</v>
      </c>
      <c r="R1856" t="s">
        <v>34965</v>
      </c>
      <c r="S1856" t="s">
        <v>34966</v>
      </c>
      <c r="T1856" t="s">
        <v>34967</v>
      </c>
      <c r="U1856" t="s">
        <v>34968</v>
      </c>
      <c r="V1856" t="s">
        <v>34969</v>
      </c>
      <c r="W1856" t="s">
        <v>34970</v>
      </c>
      <c r="X1856" t="s">
        <v>34971</v>
      </c>
      <c r="Y1856" t="s">
        <v>34972</v>
      </c>
    </row>
    <row r="1857" spans="1:25" x14ac:dyDescent="0.3">
      <c r="A1857">
        <v>92800</v>
      </c>
      <c r="B1857" t="s">
        <v>34973</v>
      </c>
      <c r="C1857" t="s">
        <v>34974</v>
      </c>
      <c r="D1857" t="s">
        <v>34975</v>
      </c>
      <c r="E1857" t="s">
        <v>34976</v>
      </c>
      <c r="F1857" t="s">
        <v>34977</v>
      </c>
      <c r="G1857" t="s">
        <v>34978</v>
      </c>
      <c r="H1857" t="s">
        <v>34979</v>
      </c>
      <c r="I1857" t="s">
        <v>34980</v>
      </c>
      <c r="J1857" t="s">
        <v>34981</v>
      </c>
      <c r="K1857" t="s">
        <v>34982</v>
      </c>
      <c r="L1857" t="s">
        <v>34983</v>
      </c>
      <c r="M1857" t="s">
        <v>34984</v>
      </c>
      <c r="N1857">
        <f>-525.93187259319 -0.865934236343264 -767.193846739298</f>
        <v>-1293.9916535688312</v>
      </c>
      <c r="O1857">
        <f>-530.681776571744 -141.845643208209 -725.653640716868</f>
        <v>-1398.1810604968209</v>
      </c>
      <c r="P1857">
        <f>-503.020523803269 -128.803494775846 -410.612538010963</f>
        <v>-1042.436556590078</v>
      </c>
      <c r="Q1857">
        <f>-269.121691119279 -15.2370559055958 -404.606536117371</f>
        <v>-688.96528314224577</v>
      </c>
      <c r="R1857" t="s">
        <v>34985</v>
      </c>
      <c r="S1857" t="s">
        <v>34986</v>
      </c>
      <c r="T1857" t="s">
        <v>34987</v>
      </c>
      <c r="U1857" t="s">
        <v>34988</v>
      </c>
      <c r="V1857" t="s">
        <v>34989</v>
      </c>
      <c r="W1857" t="s">
        <v>34990</v>
      </c>
      <c r="X1857" t="s">
        <v>34991</v>
      </c>
      <c r="Y1857" t="s">
        <v>34992</v>
      </c>
    </row>
    <row r="1858" spans="1:25" x14ac:dyDescent="0.3">
      <c r="A1858">
        <v>92850</v>
      </c>
      <c r="B1858" t="s">
        <v>34993</v>
      </c>
      <c r="C1858" t="s">
        <v>34994</v>
      </c>
      <c r="D1858" t="s">
        <v>34995</v>
      </c>
      <c r="E1858" t="s">
        <v>34996</v>
      </c>
      <c r="F1858" t="s">
        <v>34997</v>
      </c>
      <c r="G1858" t="s">
        <v>34998</v>
      </c>
      <c r="H1858" t="s">
        <v>34999</v>
      </c>
      <c r="I1858" t="s">
        <v>35000</v>
      </c>
      <c r="J1858" t="s">
        <v>35001</v>
      </c>
      <c r="K1858" t="s">
        <v>35002</v>
      </c>
      <c r="L1858" t="s">
        <v>35003</v>
      </c>
      <c r="M1858" t="s">
        <v>35004</v>
      </c>
      <c r="N1858">
        <f>-525.514390741161 -1.98051864322542 -766.739051511885</f>
        <v>-1294.2339608962716</v>
      </c>
      <c r="O1858">
        <f>-529.89779958364 -142.986664024893 -725.356401945788</f>
        <v>-1398.2408655543209</v>
      </c>
      <c r="P1858">
        <f>-507.727203813284 -128.579482444899 -409.940627077595</f>
        <v>-1046.247313335778</v>
      </c>
      <c r="Q1858">
        <f>-273.551557977569 -15.5332096325451 -405.006426975901</f>
        <v>-694.09119458601504</v>
      </c>
      <c r="R1858" t="s">
        <v>35005</v>
      </c>
      <c r="S1858" t="s">
        <v>35006</v>
      </c>
      <c r="T1858" t="s">
        <v>35007</v>
      </c>
      <c r="U1858" t="s">
        <v>35008</v>
      </c>
      <c r="V1858" t="s">
        <v>35009</v>
      </c>
      <c r="W1858" t="s">
        <v>35010</v>
      </c>
      <c r="X1858" t="s">
        <v>35011</v>
      </c>
      <c r="Y1858" t="s">
        <v>35012</v>
      </c>
    </row>
    <row r="1859" spans="1:25" x14ac:dyDescent="0.3">
      <c r="A1859">
        <v>92900</v>
      </c>
      <c r="B1859" t="s">
        <v>35013</v>
      </c>
      <c r="C1859" t="s">
        <v>35014</v>
      </c>
      <c r="D1859" t="s">
        <v>35015</v>
      </c>
      <c r="E1859" t="s">
        <v>35016</v>
      </c>
      <c r="F1859" t="s">
        <v>35017</v>
      </c>
      <c r="G1859" t="s">
        <v>35018</v>
      </c>
      <c r="H1859" t="s">
        <v>35019</v>
      </c>
      <c r="I1859" t="s">
        <v>35020</v>
      </c>
      <c r="J1859" t="s">
        <v>35021</v>
      </c>
      <c r="K1859" t="s">
        <v>35022</v>
      </c>
      <c r="L1859" t="s">
        <v>35023</v>
      </c>
      <c r="M1859" t="s">
        <v>35024</v>
      </c>
      <c r="N1859">
        <f>-525.529918066766 -3.55873625481195 -766.057552642148</f>
        <v>-1295.1462069637259</v>
      </c>
      <c r="O1859">
        <f>-530.237507239469 -144.581569187902 -724.71032995937</f>
        <v>-1399.5294063867409</v>
      </c>
      <c r="P1859">
        <f>-510.611264574133 -129.179553950041 -409.172876571065</f>
        <v>-1048.963695095239</v>
      </c>
      <c r="Q1859">
        <f>-275.399540880662 -18.3301048292171 -403.70698978765</f>
        <v>-697.4366354975291</v>
      </c>
      <c r="R1859" t="s">
        <v>35025</v>
      </c>
      <c r="S1859" t="s">
        <v>35026</v>
      </c>
      <c r="T1859" t="s">
        <v>35027</v>
      </c>
      <c r="U1859" t="s">
        <v>35028</v>
      </c>
      <c r="V1859" t="s">
        <v>35029</v>
      </c>
      <c r="W1859" t="s">
        <v>35030</v>
      </c>
      <c r="X1859" t="s">
        <v>35031</v>
      </c>
      <c r="Y1859" t="s">
        <v>35032</v>
      </c>
    </row>
    <row r="1860" spans="1:25" x14ac:dyDescent="0.3">
      <c r="A1860">
        <v>92950</v>
      </c>
      <c r="B1860" t="s">
        <v>35033</v>
      </c>
      <c r="C1860" t="s">
        <v>35034</v>
      </c>
      <c r="D1860" t="s">
        <v>35035</v>
      </c>
      <c r="E1860" t="s">
        <v>35036</v>
      </c>
      <c r="F1860" t="s">
        <v>35037</v>
      </c>
      <c r="G1860" t="s">
        <v>35038</v>
      </c>
      <c r="H1860" t="s">
        <v>35039</v>
      </c>
      <c r="I1860" t="s">
        <v>35040</v>
      </c>
      <c r="J1860" t="s">
        <v>35041</v>
      </c>
      <c r="K1860" t="s">
        <v>35042</v>
      </c>
      <c r="L1860" t="s">
        <v>35043</v>
      </c>
      <c r="M1860" t="s">
        <v>35044</v>
      </c>
      <c r="N1860">
        <f>-525.816767897393 -6.50858237207308 -765.034111318712</f>
        <v>-1297.359461588178</v>
      </c>
      <c r="O1860">
        <f>-531.984451278073 -147.477865829679 -723.540164746639</f>
        <v>-1403.0024818543911</v>
      </c>
      <c r="P1860">
        <f>-514.875913925395 -130.341646372168 -407.945709397736</f>
        <v>-1053.163269695299</v>
      </c>
      <c r="Q1860">
        <f>-277.61448430653 -24.1347014627529 -399.63075416258</f>
        <v>-701.37993993186296</v>
      </c>
      <c r="R1860" t="s">
        <v>35045</v>
      </c>
      <c r="S1860" t="s">
        <v>35046</v>
      </c>
      <c r="T1860" t="s">
        <v>35047</v>
      </c>
      <c r="U1860" t="s">
        <v>35048</v>
      </c>
      <c r="V1860" t="s">
        <v>35049</v>
      </c>
      <c r="W1860" t="s">
        <v>35050</v>
      </c>
      <c r="X1860" t="s">
        <v>35051</v>
      </c>
      <c r="Y1860" t="s">
        <v>35052</v>
      </c>
    </row>
    <row r="1861" spans="1:25" x14ac:dyDescent="0.3">
      <c r="A1861">
        <v>93000</v>
      </c>
      <c r="B1861" t="s">
        <v>35053</v>
      </c>
      <c r="C1861" t="s">
        <v>35054</v>
      </c>
      <c r="D1861" t="s">
        <v>35055</v>
      </c>
      <c r="E1861" t="s">
        <v>35056</v>
      </c>
      <c r="F1861" t="s">
        <v>35057</v>
      </c>
      <c r="G1861" t="s">
        <v>35058</v>
      </c>
      <c r="H1861" t="s">
        <v>35059</v>
      </c>
      <c r="I1861" t="s">
        <v>35060</v>
      </c>
      <c r="J1861" t="s">
        <v>35061</v>
      </c>
      <c r="K1861" t="s">
        <v>35062</v>
      </c>
      <c r="L1861" t="s">
        <v>35063</v>
      </c>
      <c r="M1861" t="s">
        <v>35064</v>
      </c>
      <c r="N1861">
        <f>-525.835547804171 -7.78558439937751 -764.606169348916</f>
        <v>-1298.2273015524645</v>
      </c>
      <c r="O1861">
        <f>-532.809061183456 -148.626766943705 -722.906486371521</f>
        <v>-1404.3423144986821</v>
      </c>
      <c r="P1861">
        <f>-516.641625980171 -130.869972066947 -407.296739819266</f>
        <v>-1054.8083378663841</v>
      </c>
      <c r="Q1861">
        <f>-278.656881598607 -26.5028671048531 -396.672469524856</f>
        <v>-701.83221822831615</v>
      </c>
      <c r="R1861" t="s">
        <v>35065</v>
      </c>
      <c r="S1861" t="s">
        <v>35066</v>
      </c>
      <c r="T1861" t="s">
        <v>35067</v>
      </c>
      <c r="U1861" t="s">
        <v>35068</v>
      </c>
      <c r="V1861" t="s">
        <v>35069</v>
      </c>
      <c r="W1861" t="s">
        <v>35070</v>
      </c>
      <c r="X1861" t="s">
        <v>35071</v>
      </c>
      <c r="Y1861" t="s">
        <v>35072</v>
      </c>
    </row>
    <row r="1862" spans="1:25" x14ac:dyDescent="0.3">
      <c r="A1862">
        <v>93050</v>
      </c>
      <c r="B1862" t="s">
        <v>35073</v>
      </c>
      <c r="C1862" t="s">
        <v>35074</v>
      </c>
      <c r="D1862" t="s">
        <v>35075</v>
      </c>
      <c r="E1862" t="s">
        <v>35076</v>
      </c>
      <c r="F1862" t="s">
        <v>35077</v>
      </c>
      <c r="G1862" t="s">
        <v>35078</v>
      </c>
      <c r="H1862" t="s">
        <v>35079</v>
      </c>
      <c r="I1862" t="s">
        <v>35080</v>
      </c>
      <c r="J1862" t="s">
        <v>35081</v>
      </c>
      <c r="K1862" t="s">
        <v>35082</v>
      </c>
      <c r="L1862" t="s">
        <v>35083</v>
      </c>
      <c r="M1862" t="s">
        <v>35084</v>
      </c>
      <c r="N1862">
        <f>-525.83893338018 -10.4560052736649 -764.140839070718</f>
        <v>-1300.435777724563</v>
      </c>
      <c r="O1862">
        <f>-533.916212590013 -150.925751758093 -721.526575038081</f>
        <v>-1406.368539386187</v>
      </c>
      <c r="P1862">
        <f>-520.407527960676 -132.239360675574 -405.845641196518</f>
        <v>-1058.492529832768</v>
      </c>
      <c r="Q1862">
        <f>-282.739037375291 -27.4782250289636 -392.396210604685</f>
        <v>-702.61347300893954</v>
      </c>
      <c r="R1862" t="s">
        <v>35085</v>
      </c>
      <c r="S1862" t="s">
        <v>35086</v>
      </c>
      <c r="T1862" t="s">
        <v>35087</v>
      </c>
      <c r="U1862" t="s">
        <v>35088</v>
      </c>
      <c r="V1862" t="s">
        <v>35089</v>
      </c>
      <c r="W1862" t="s">
        <v>35090</v>
      </c>
      <c r="X1862" t="s">
        <v>35091</v>
      </c>
      <c r="Y1862" t="s">
        <v>35092</v>
      </c>
    </row>
    <row r="1863" spans="1:25" x14ac:dyDescent="0.3">
      <c r="A1863">
        <v>93100</v>
      </c>
      <c r="B1863" t="s">
        <v>35093</v>
      </c>
      <c r="C1863" t="s">
        <v>35094</v>
      </c>
      <c r="D1863" t="s">
        <v>35095</v>
      </c>
      <c r="E1863" t="s">
        <v>35096</v>
      </c>
      <c r="F1863" t="s">
        <v>35097</v>
      </c>
      <c r="G1863" t="s">
        <v>35098</v>
      </c>
      <c r="H1863" t="s">
        <v>35099</v>
      </c>
      <c r="I1863">
        <f>-469.692496617114 -1.56535863073418 -925.198655929649</f>
        <v>-1396.4565111774973</v>
      </c>
      <c r="J1863" t="s">
        <v>35100</v>
      </c>
      <c r="K1863" t="s">
        <v>35101</v>
      </c>
      <c r="L1863" t="s">
        <v>35102</v>
      </c>
      <c r="M1863" t="s">
        <v>35103</v>
      </c>
      <c r="N1863">
        <f>-526.261531190817 -12.0122161114311 -763.790937338505</f>
        <v>-1302.0646846407531</v>
      </c>
      <c r="O1863">
        <f>-534.352639161375 -152.3033986223 -720.530178926122</f>
        <v>-1407.186216709797</v>
      </c>
      <c r="P1863">
        <f>-523.160773431748 -132.852120572879 -404.804556355648</f>
        <v>-1060.817450360275</v>
      </c>
      <c r="Q1863">
        <f>-286.00540707386 -27.1718988150124 -389.603156509987</f>
        <v>-702.78046239885941</v>
      </c>
      <c r="R1863" t="s">
        <v>35104</v>
      </c>
      <c r="S1863" t="s">
        <v>35105</v>
      </c>
      <c r="T1863" t="s">
        <v>35106</v>
      </c>
      <c r="U1863" t="s">
        <v>35107</v>
      </c>
      <c r="V1863" t="s">
        <v>35108</v>
      </c>
      <c r="W1863" t="s">
        <v>35109</v>
      </c>
      <c r="X1863" t="s">
        <v>35110</v>
      </c>
      <c r="Y1863" t="s">
        <v>35111</v>
      </c>
    </row>
    <row r="1864" spans="1:25" x14ac:dyDescent="0.3">
      <c r="A1864">
        <v>93150</v>
      </c>
      <c r="B1864" t="s">
        <v>35112</v>
      </c>
      <c r="C1864" t="s">
        <v>35113</v>
      </c>
      <c r="D1864" t="s">
        <v>35114</v>
      </c>
      <c r="E1864" t="s">
        <v>35115</v>
      </c>
      <c r="F1864" t="s">
        <v>35116</v>
      </c>
      <c r="G1864" t="s">
        <v>35117</v>
      </c>
      <c r="H1864" t="s">
        <v>35118</v>
      </c>
      <c r="I1864">
        <f>-470.767997745615 -4.65528625480124 -924.838593003182</f>
        <v>-1400.2618770035983</v>
      </c>
      <c r="J1864" t="s">
        <v>35119</v>
      </c>
      <c r="K1864" t="s">
        <v>35120</v>
      </c>
      <c r="L1864" t="s">
        <v>35121</v>
      </c>
      <c r="M1864" t="s">
        <v>35122</v>
      </c>
      <c r="N1864">
        <f>-527.340631453707 -13.746062081819 -763.345093507022</f>
        <v>-1304.431787042548</v>
      </c>
      <c r="O1864">
        <f>-535.618494604969 -153.657696181032 -718.833985053645</f>
        <v>-1408.1101758396462</v>
      </c>
      <c r="P1864">
        <f>-527.507092228968 -130.754639446854 -403.245779395964</f>
        <v>-1061.507511071786</v>
      </c>
      <c r="Q1864">
        <f>-291.475902152212 -22.7828124925222 -386.711061557342</f>
        <v>-700.96977620207622</v>
      </c>
      <c r="R1864" t="s">
        <v>35123</v>
      </c>
      <c r="S1864" t="s">
        <v>35124</v>
      </c>
      <c r="T1864" t="s">
        <v>35125</v>
      </c>
      <c r="U1864" t="s">
        <v>35126</v>
      </c>
      <c r="V1864" t="s">
        <v>35127</v>
      </c>
      <c r="W1864" t="s">
        <v>35128</v>
      </c>
      <c r="X1864" t="s">
        <v>35129</v>
      </c>
      <c r="Y1864" t="s">
        <v>35130</v>
      </c>
    </row>
    <row r="1865" spans="1:25" x14ac:dyDescent="0.3">
      <c r="A1865">
        <v>93200</v>
      </c>
      <c r="B1865" t="s">
        <v>35131</v>
      </c>
      <c r="C1865" t="s">
        <v>35132</v>
      </c>
      <c r="D1865" t="s">
        <v>35133</v>
      </c>
      <c r="E1865" t="s">
        <v>35134</v>
      </c>
      <c r="F1865" t="s">
        <v>35135</v>
      </c>
      <c r="G1865" t="s">
        <v>35136</v>
      </c>
      <c r="H1865" t="s">
        <v>35137</v>
      </c>
      <c r="I1865">
        <f>-471.639805454868 -6.05378976767543 -924.609044761527</f>
        <v>-1402.3026399840705</v>
      </c>
      <c r="J1865" t="s">
        <v>35138</v>
      </c>
      <c r="K1865" t="s">
        <v>35139</v>
      </c>
      <c r="L1865" t="s">
        <v>35140</v>
      </c>
      <c r="M1865" t="s">
        <v>35141</v>
      </c>
      <c r="N1865">
        <f>-528.131843325255 -14.5355933395622 -763.058208607974</f>
        <v>-1305.7256452727911</v>
      </c>
      <c r="O1865">
        <f>-536.376636743297 -154.278913450009 -718.028818342688</f>
        <v>-1408.6843685359941</v>
      </c>
      <c r="P1865">
        <f>-529.744930590283 -129.305929022583 -402.563209446552</f>
        <v>-1061.6140690594179</v>
      </c>
      <c r="Q1865">
        <f>-293.985134973638 -20.7683158629957 -385.860911611496</f>
        <v>-700.61436244812967</v>
      </c>
      <c r="R1865" t="s">
        <v>35142</v>
      </c>
      <c r="S1865" t="s">
        <v>35143</v>
      </c>
      <c r="T1865" t="s">
        <v>35144</v>
      </c>
      <c r="U1865" t="s">
        <v>35145</v>
      </c>
      <c r="V1865" t="s">
        <v>35146</v>
      </c>
      <c r="W1865" t="s">
        <v>35147</v>
      </c>
      <c r="X1865" t="s">
        <v>35148</v>
      </c>
      <c r="Y1865" t="s">
        <v>35149</v>
      </c>
    </row>
    <row r="1866" spans="1:25" x14ac:dyDescent="0.3">
      <c r="A1866">
        <v>93250</v>
      </c>
      <c r="B1866" t="s">
        <v>35150</v>
      </c>
      <c r="C1866" t="s">
        <v>35151</v>
      </c>
      <c r="D1866" t="s">
        <v>35152</v>
      </c>
      <c r="E1866" t="s">
        <v>35153</v>
      </c>
      <c r="F1866" t="s">
        <v>35154</v>
      </c>
      <c r="G1866" t="s">
        <v>35155</v>
      </c>
      <c r="H1866" t="s">
        <v>35156</v>
      </c>
      <c r="I1866">
        <f>-473.448531074978 -7.17841042338341 -924.336827733283</f>
        <v>-1404.9637692316444</v>
      </c>
      <c r="J1866" t="s">
        <v>35157</v>
      </c>
      <c r="K1866" t="s">
        <v>35158</v>
      </c>
      <c r="L1866" t="s">
        <v>35159</v>
      </c>
      <c r="M1866" t="s">
        <v>35160</v>
      </c>
      <c r="N1866">
        <f>-529.734239314062 -15.1111144774129 -762.706050884879</f>
        <v>-1307.551404676354</v>
      </c>
      <c r="O1866">
        <f>-538.030282008418 -154.701836116055 -717.184861044887</f>
        <v>-1409.91697916936</v>
      </c>
      <c r="P1866">
        <f>-533.641054675388 -126.990508573942 -401.908853564398</f>
        <v>-1062.5404168137279</v>
      </c>
      <c r="Q1866">
        <f>-298.060807407868 -18.0680868514546 -385.178641876467</f>
        <v>-701.30753613578963</v>
      </c>
      <c r="R1866" t="s">
        <v>35161</v>
      </c>
      <c r="S1866" t="s">
        <v>35162</v>
      </c>
      <c r="T1866" t="s">
        <v>35163</v>
      </c>
      <c r="U1866" t="s">
        <v>35164</v>
      </c>
      <c r="V1866" t="s">
        <v>35165</v>
      </c>
      <c r="W1866" t="s">
        <v>35166</v>
      </c>
      <c r="X1866" t="s">
        <v>35167</v>
      </c>
      <c r="Y1866" t="s">
        <v>35168</v>
      </c>
    </row>
    <row r="1867" spans="1:25" x14ac:dyDescent="0.3">
      <c r="A1867">
        <v>93300</v>
      </c>
      <c r="B1867" t="s">
        <v>35169</v>
      </c>
      <c r="C1867" t="s">
        <v>35170</v>
      </c>
      <c r="D1867" t="s">
        <v>35171</v>
      </c>
      <c r="E1867" t="s">
        <v>35172</v>
      </c>
      <c r="F1867" t="s">
        <v>35173</v>
      </c>
      <c r="G1867" t="s">
        <v>35174</v>
      </c>
      <c r="H1867" t="s">
        <v>35175</v>
      </c>
      <c r="I1867">
        <f>-474.393172052006 -7.16332380283802 -924.387271122376</f>
        <v>-1405.9437669772201</v>
      </c>
      <c r="J1867" t="s">
        <v>35176</v>
      </c>
      <c r="K1867" t="s">
        <v>35177</v>
      </c>
      <c r="L1867" t="s">
        <v>35178</v>
      </c>
      <c r="M1867" t="s">
        <v>35179</v>
      </c>
      <c r="N1867">
        <f>-530.550075140458 -15.0247700108321 -762.717283215193</f>
        <v>-1308.2921283664832</v>
      </c>
      <c r="O1867">
        <f>-538.863918031099 -154.566966275647 -717.076918467879</f>
        <v>-1410.5078027746249</v>
      </c>
      <c r="P1867">
        <f>-535.452455278597 -126.541642578527 -401.816441127303</f>
        <v>-1063.810538984427</v>
      </c>
      <c r="Q1867">
        <f>-299.772848692316 -17.8216180175164 -385.168698795263</f>
        <v>-702.76316550509546</v>
      </c>
      <c r="R1867" t="s">
        <v>35180</v>
      </c>
      <c r="S1867" t="s">
        <v>35181</v>
      </c>
      <c r="T1867" t="s">
        <v>35182</v>
      </c>
      <c r="U1867" t="s">
        <v>35183</v>
      </c>
      <c r="V1867" t="s">
        <v>35184</v>
      </c>
      <c r="W1867" t="s">
        <v>35185</v>
      </c>
      <c r="X1867" t="s">
        <v>35186</v>
      </c>
      <c r="Y1867" t="s">
        <v>35187</v>
      </c>
    </row>
    <row r="1868" spans="1:25" x14ac:dyDescent="0.3">
      <c r="A1868">
        <v>93350</v>
      </c>
      <c r="B1868" t="s">
        <v>35188</v>
      </c>
      <c r="C1868" t="s">
        <v>35189</v>
      </c>
      <c r="D1868" t="s">
        <v>35190</v>
      </c>
      <c r="E1868" t="s">
        <v>35191</v>
      </c>
      <c r="F1868" t="s">
        <v>35192</v>
      </c>
      <c r="G1868" t="s">
        <v>35193</v>
      </c>
      <c r="H1868" t="s">
        <v>35194</v>
      </c>
      <c r="I1868">
        <f>-476.194839605102 -5.75844565755119 -924.569252885469</f>
        <v>-1406.5225381481223</v>
      </c>
      <c r="J1868" t="s">
        <v>35195</v>
      </c>
      <c r="K1868" t="s">
        <v>35196</v>
      </c>
      <c r="L1868" t="s">
        <v>35197</v>
      </c>
      <c r="M1868" t="s">
        <v>35198</v>
      </c>
      <c r="N1868">
        <f>-532.149832447664 -13.7761751041689 -762.833717011599</f>
        <v>-1308.759724563432</v>
      </c>
      <c r="O1868">
        <f>-540.344005988561 -153.326524146989 -717.22323718632</f>
        <v>-1410.89376732187</v>
      </c>
      <c r="P1868">
        <f>-538.261698723708 -126.931001557606 -401.810550993649</f>
        <v>-1067.0032512749631</v>
      </c>
      <c r="Q1868">
        <f>-302.74469890301 -17.6543849013078 -386.564434898904</f>
        <v>-706.96351870322178</v>
      </c>
      <c r="R1868" t="s">
        <v>35199</v>
      </c>
      <c r="S1868" t="s">
        <v>35200</v>
      </c>
      <c r="T1868" t="s">
        <v>35201</v>
      </c>
      <c r="U1868" t="s">
        <v>35202</v>
      </c>
      <c r="V1868" t="s">
        <v>35203</v>
      </c>
      <c r="W1868" t="s">
        <v>35204</v>
      </c>
      <c r="X1868" t="s">
        <v>35205</v>
      </c>
      <c r="Y1868" t="s">
        <v>35206</v>
      </c>
    </row>
    <row r="1869" spans="1:25" x14ac:dyDescent="0.3">
      <c r="A1869">
        <v>93400</v>
      </c>
      <c r="B1869" t="s">
        <v>35207</v>
      </c>
      <c r="C1869" t="s">
        <v>35208</v>
      </c>
      <c r="D1869" t="s">
        <v>35209</v>
      </c>
      <c r="E1869" t="s">
        <v>35210</v>
      </c>
      <c r="F1869" t="s">
        <v>35211</v>
      </c>
      <c r="G1869" t="s">
        <v>35212</v>
      </c>
      <c r="H1869" t="s">
        <v>35213</v>
      </c>
      <c r="I1869">
        <f>-477.609929820121 -4.88978593481465 -924.811643293393</f>
        <v>-1407.3113590483285</v>
      </c>
      <c r="J1869" t="s">
        <v>35214</v>
      </c>
      <c r="K1869" t="s">
        <v>35215</v>
      </c>
      <c r="L1869" t="s">
        <v>35216</v>
      </c>
      <c r="M1869" t="s">
        <v>35217</v>
      </c>
      <c r="N1869">
        <f>-533.375617719312 -13.0845436560189 -763.0151107124</f>
        <v>-1309.4752720877309</v>
      </c>
      <c r="O1869">
        <f>-541.550287604475 -152.661658454468 -717.477601133939</f>
        <v>-1411.6895471928819</v>
      </c>
      <c r="P1869">
        <f>-539.909919748821 -126.303839282074 -402.059304001553</f>
        <v>-1068.2730630324481</v>
      </c>
      <c r="Q1869">
        <f>-303.995597289323 -17.6915287453237 -388.280204784202</f>
        <v>-709.96733081884872</v>
      </c>
      <c r="R1869" t="s">
        <v>35218</v>
      </c>
      <c r="S1869" t="s">
        <v>35219</v>
      </c>
      <c r="T1869" t="s">
        <v>35220</v>
      </c>
      <c r="U1869" t="s">
        <v>35221</v>
      </c>
      <c r="V1869" t="s">
        <v>35222</v>
      </c>
      <c r="W1869" t="s">
        <v>35223</v>
      </c>
      <c r="X1869" t="s">
        <v>35224</v>
      </c>
      <c r="Y1869" t="s">
        <v>35225</v>
      </c>
    </row>
    <row r="1870" spans="1:25" x14ac:dyDescent="0.3">
      <c r="A1870">
        <v>93450</v>
      </c>
      <c r="B1870" t="s">
        <v>35226</v>
      </c>
      <c r="C1870" t="s">
        <v>35227</v>
      </c>
      <c r="D1870" t="s">
        <v>35228</v>
      </c>
      <c r="E1870" t="s">
        <v>35229</v>
      </c>
      <c r="F1870" t="s">
        <v>35230</v>
      </c>
      <c r="G1870" t="s">
        <v>35231</v>
      </c>
      <c r="H1870" t="s">
        <v>35232</v>
      </c>
      <c r="I1870">
        <f>-480.712214035805 -2.49109003437752 -925.486700068548</f>
        <v>-1408.6900041387305</v>
      </c>
      <c r="J1870" t="s">
        <v>35233</v>
      </c>
      <c r="K1870" t="s">
        <v>35234</v>
      </c>
      <c r="L1870" t="s">
        <v>35235</v>
      </c>
      <c r="M1870" t="s">
        <v>35236</v>
      </c>
      <c r="N1870">
        <f>-536.011998858993 -11.3146908471924 -763.537514131965</f>
        <v>-1310.8642038381504</v>
      </c>
      <c r="O1870">
        <f>-544.260472043687 -150.96717840046 -718.207936522368</f>
        <v>-1413.4355869665151</v>
      </c>
      <c r="P1870">
        <f>-540.747106957794 -124.764385220675 -402.792044166217</f>
        <v>-1068.3035363446861</v>
      </c>
      <c r="Q1870">
        <f>-303.704946440243 -18.5153794130188 -389.977363985894</f>
        <v>-712.19768983915583</v>
      </c>
      <c r="R1870" t="s">
        <v>35237</v>
      </c>
      <c r="S1870" t="s">
        <v>35238</v>
      </c>
      <c r="T1870" t="s">
        <v>35239</v>
      </c>
      <c r="U1870" t="s">
        <v>35240</v>
      </c>
      <c r="V1870" t="s">
        <v>35241</v>
      </c>
      <c r="W1870" t="s">
        <v>35242</v>
      </c>
      <c r="X1870" t="s">
        <v>35243</v>
      </c>
      <c r="Y1870" t="s">
        <v>35244</v>
      </c>
    </row>
    <row r="1871" spans="1:25" x14ac:dyDescent="0.3">
      <c r="A1871">
        <v>93500</v>
      </c>
      <c r="B1871" t="s">
        <v>35245</v>
      </c>
      <c r="C1871" t="s">
        <v>35246</v>
      </c>
      <c r="D1871" t="s">
        <v>35247</v>
      </c>
      <c r="E1871" t="s">
        <v>35248</v>
      </c>
      <c r="F1871" t="s">
        <v>35249</v>
      </c>
      <c r="G1871" t="s">
        <v>35250</v>
      </c>
      <c r="H1871" t="s">
        <v>35251</v>
      </c>
      <c r="I1871">
        <f>-482.583830575077 -1.08118462349444 -925.858551330369</f>
        <v>-1409.5235665289404</v>
      </c>
      <c r="J1871" t="s">
        <v>35252</v>
      </c>
      <c r="K1871" t="s">
        <v>35253</v>
      </c>
      <c r="L1871" t="s">
        <v>35254</v>
      </c>
      <c r="M1871" t="s">
        <v>35255</v>
      </c>
      <c r="N1871">
        <f>-537.58838689441 -10.2628162441597 -763.81869431263</f>
        <v>-1311.6698974511996</v>
      </c>
      <c r="O1871">
        <f>-545.885738295954 -149.962634766268 -718.686996967799</f>
        <v>-1414.5353700300211</v>
      </c>
      <c r="P1871">
        <f>-541.448022643355 -123.942751293363 -403.267537923877</f>
        <v>-1068.6583118605949</v>
      </c>
      <c r="Q1871">
        <f>-303.974662912242 -18.5941468152405 -391.012864707715</f>
        <v>-713.58167443519756</v>
      </c>
      <c r="R1871" t="s">
        <v>35256</v>
      </c>
      <c r="S1871" t="s">
        <v>35257</v>
      </c>
      <c r="T1871" t="s">
        <v>35258</v>
      </c>
      <c r="U1871" t="s">
        <v>35259</v>
      </c>
      <c r="V1871" t="s">
        <v>35260</v>
      </c>
      <c r="W1871" t="s">
        <v>35261</v>
      </c>
      <c r="X1871" t="s">
        <v>35262</v>
      </c>
      <c r="Y1871" t="s">
        <v>35263</v>
      </c>
    </row>
    <row r="1872" spans="1:25" x14ac:dyDescent="0.3">
      <c r="A1872">
        <v>93550</v>
      </c>
      <c r="B1872" t="s">
        <v>35264</v>
      </c>
      <c r="C1872" t="s">
        <v>35265</v>
      </c>
      <c r="D1872" t="s">
        <v>35266</v>
      </c>
      <c r="E1872" t="s">
        <v>35267</v>
      </c>
      <c r="F1872" t="s">
        <v>35268</v>
      </c>
      <c r="G1872" t="s">
        <v>35269</v>
      </c>
      <c r="H1872" t="s">
        <v>35270</v>
      </c>
      <c r="I1872" t="s">
        <v>35271</v>
      </c>
      <c r="J1872" t="s">
        <v>35272</v>
      </c>
      <c r="K1872" t="s">
        <v>35273</v>
      </c>
      <c r="L1872" t="s">
        <v>35274</v>
      </c>
      <c r="M1872" t="s">
        <v>35275</v>
      </c>
      <c r="N1872">
        <f>-540.240263634955 -7.60736345163173 -764.506593856247</f>
        <v>-1312.3542209428338</v>
      </c>
      <c r="O1872">
        <f>-548.539782773484 -147.545261955857 -720.101606936816</f>
        <v>-1416.1866516661571</v>
      </c>
      <c r="P1872">
        <f>-541.954050673314 -123.32977555673 -404.575946156763</f>
        <v>-1069.859772386807</v>
      </c>
      <c r="Q1872">
        <f>-304.115418302518 -18.8956010808358 -391.600863235908</f>
        <v>-714.61188261926168</v>
      </c>
      <c r="R1872" t="s">
        <v>35276</v>
      </c>
      <c r="S1872" t="s">
        <v>35277</v>
      </c>
      <c r="T1872" t="s">
        <v>35278</v>
      </c>
      <c r="U1872" t="s">
        <v>35279</v>
      </c>
      <c r="V1872" t="s">
        <v>35280</v>
      </c>
      <c r="W1872" t="s">
        <v>35281</v>
      </c>
      <c r="X1872" t="s">
        <v>35282</v>
      </c>
      <c r="Y1872" t="s">
        <v>35283</v>
      </c>
    </row>
    <row r="1873" spans="1:25" x14ac:dyDescent="0.3">
      <c r="A1873">
        <v>93600</v>
      </c>
      <c r="B1873" t="s">
        <v>35284</v>
      </c>
      <c r="C1873" t="s">
        <v>35285</v>
      </c>
      <c r="D1873" t="s">
        <v>35286</v>
      </c>
      <c r="E1873" t="s">
        <v>35287</v>
      </c>
      <c r="F1873" t="s">
        <v>35288</v>
      </c>
      <c r="G1873" t="s">
        <v>35289</v>
      </c>
      <c r="H1873" t="s">
        <v>35290</v>
      </c>
      <c r="I1873" t="s">
        <v>35291</v>
      </c>
      <c r="J1873" t="s">
        <v>35292</v>
      </c>
      <c r="K1873" t="s">
        <v>35293</v>
      </c>
      <c r="L1873" t="s">
        <v>35294</v>
      </c>
      <c r="M1873" t="s">
        <v>35295</v>
      </c>
      <c r="N1873">
        <f>-542.764358828214 -5.23668508258606 -765.046366490555</f>
        <v>-1313.0474104013551</v>
      </c>
      <c r="O1873">
        <f>-551.099134316679 -145.473027478397 -721.582209558174</f>
        <v>-1418.1543713532501</v>
      </c>
      <c r="P1873">
        <f>-543.484698913372 -123.96751697166 -405.883385776159</f>
        <v>-1073.335601661191</v>
      </c>
      <c r="Q1873">
        <f>-305.890498382295 -19.2026772586314 -391.206827974151</f>
        <v>-716.30000361507746</v>
      </c>
      <c r="R1873" t="s">
        <v>35296</v>
      </c>
      <c r="S1873" t="s">
        <v>35297</v>
      </c>
      <c r="T1873" t="s">
        <v>35298</v>
      </c>
      <c r="U1873" t="s">
        <v>35299</v>
      </c>
      <c r="V1873" t="s">
        <v>35300</v>
      </c>
      <c r="W1873" t="s">
        <v>35301</v>
      </c>
      <c r="X1873" t="s">
        <v>35302</v>
      </c>
      <c r="Y1873" t="s">
        <v>35303</v>
      </c>
    </row>
    <row r="1874" spans="1:25" x14ac:dyDescent="0.3">
      <c r="A1874">
        <v>93650</v>
      </c>
      <c r="B1874" t="s">
        <v>35304</v>
      </c>
      <c r="C1874" t="s">
        <v>35305</v>
      </c>
      <c r="D1874" t="s">
        <v>35306</v>
      </c>
      <c r="E1874" t="s">
        <v>35307</v>
      </c>
      <c r="F1874" t="s">
        <v>35308</v>
      </c>
      <c r="G1874" t="s">
        <v>35309</v>
      </c>
      <c r="H1874" t="s">
        <v>35310</v>
      </c>
      <c r="I1874" t="s">
        <v>35311</v>
      </c>
      <c r="J1874" t="s">
        <v>35312</v>
      </c>
      <c r="K1874" t="s">
        <v>35313</v>
      </c>
      <c r="L1874" t="s">
        <v>35314</v>
      </c>
      <c r="M1874" t="s">
        <v>35315</v>
      </c>
      <c r="N1874">
        <f>-543.69305646542 -3.99791324027979 -765.275323399308</f>
        <v>-1312.9662931050079</v>
      </c>
      <c r="O1874">
        <f>-552.002099574167 -144.365422608606 -722.234542702671</f>
        <v>-1418.602064885444</v>
      </c>
      <c r="P1874">
        <f>-543.85042216643 -124.259073385203 -406.45692285323</f>
        <v>-1074.566418404863</v>
      </c>
      <c r="Q1874">
        <f>-306.48771824449 -19.1058124143688 -390.844873078914</f>
        <v>-716.43840373777289</v>
      </c>
      <c r="R1874" t="s">
        <v>35316</v>
      </c>
      <c r="S1874" t="s">
        <v>35317</v>
      </c>
      <c r="T1874" t="s">
        <v>35318</v>
      </c>
      <c r="U1874" t="s">
        <v>35319</v>
      </c>
      <c r="V1874" t="s">
        <v>35320</v>
      </c>
      <c r="W1874" t="s">
        <v>35321</v>
      </c>
      <c r="X1874" t="s">
        <v>35322</v>
      </c>
      <c r="Y1874" t="s">
        <v>35323</v>
      </c>
    </row>
    <row r="1875" spans="1:25" x14ac:dyDescent="0.3">
      <c r="A1875">
        <v>93700</v>
      </c>
      <c r="B1875" t="s">
        <v>35324</v>
      </c>
      <c r="C1875" t="s">
        <v>35325</v>
      </c>
      <c r="D1875" t="s">
        <v>35326</v>
      </c>
      <c r="E1875" t="s">
        <v>35327</v>
      </c>
      <c r="F1875" t="s">
        <v>35328</v>
      </c>
      <c r="G1875" t="s">
        <v>35329</v>
      </c>
      <c r="H1875" t="s">
        <v>35330</v>
      </c>
      <c r="I1875" t="s">
        <v>35331</v>
      </c>
      <c r="J1875" t="s">
        <v>35332</v>
      </c>
      <c r="K1875" t="s">
        <v>35333</v>
      </c>
      <c r="L1875" t="s">
        <v>35334</v>
      </c>
      <c r="M1875" t="s">
        <v>35335</v>
      </c>
      <c r="N1875">
        <f>-544.537784686013 -2.73203866839845 -765.503477523248</f>
        <v>-1312.7733008776595</v>
      </c>
      <c r="O1875">
        <f>-552.873622085638 -143.231041747912 -722.8759213551</f>
        <v>-1418.9805851886499</v>
      </c>
      <c r="P1875">
        <f>-544.269982724271 -124.236407252031 -407.041625557865</f>
        <v>-1075.548015534167</v>
      </c>
      <c r="Q1875">
        <f>-307.331804047723 -18.2259284193524 -390.788474799263</f>
        <v>-716.3462072663383</v>
      </c>
      <c r="R1875" t="s">
        <v>35336</v>
      </c>
      <c r="S1875" t="s">
        <v>35337</v>
      </c>
      <c r="T1875" t="s">
        <v>35338</v>
      </c>
      <c r="U1875" t="s">
        <v>35339</v>
      </c>
      <c r="V1875" t="s">
        <v>35340</v>
      </c>
      <c r="W1875" t="s">
        <v>35341</v>
      </c>
      <c r="X1875" t="s">
        <v>35342</v>
      </c>
      <c r="Y1875" t="s">
        <v>35343</v>
      </c>
    </row>
    <row r="1876" spans="1:25" x14ac:dyDescent="0.3">
      <c r="A1876">
        <v>93750</v>
      </c>
      <c r="B1876" t="s">
        <v>35344</v>
      </c>
      <c r="C1876" t="s">
        <v>35345</v>
      </c>
      <c r="D1876" t="s">
        <v>35346</v>
      </c>
      <c r="E1876" t="s">
        <v>35347</v>
      </c>
      <c r="F1876" t="s">
        <v>35348</v>
      </c>
      <c r="G1876" t="s">
        <v>35349</v>
      </c>
      <c r="H1876" t="s">
        <v>35350</v>
      </c>
      <c r="I1876" t="s">
        <v>35351</v>
      </c>
      <c r="J1876" t="s">
        <v>35352</v>
      </c>
      <c r="K1876" t="s">
        <v>35353</v>
      </c>
      <c r="L1876" t="s">
        <v>35354</v>
      </c>
      <c r="M1876" t="s">
        <v>35355</v>
      </c>
      <c r="N1876" t="s">
        <v>35356</v>
      </c>
      <c r="O1876">
        <f>-553.827094623086 -140.287622161396 -724.419731904032</f>
        <v>-1418.5344486885142</v>
      </c>
      <c r="P1876">
        <f>-544.865328730391 -123.495739332094 -408.470500669867</f>
        <v>-1076.831568732352</v>
      </c>
      <c r="Q1876">
        <f>-309.063868633758 -15.3080588047596 -390.163230871069</f>
        <v>-714.53515830958656</v>
      </c>
      <c r="R1876" t="s">
        <v>35357</v>
      </c>
      <c r="S1876" t="s">
        <v>35358</v>
      </c>
      <c r="T1876" t="s">
        <v>35359</v>
      </c>
      <c r="U1876" t="s">
        <v>35360</v>
      </c>
      <c r="V1876" t="s">
        <v>35361</v>
      </c>
      <c r="W1876" t="s">
        <v>35362</v>
      </c>
      <c r="X1876" t="s">
        <v>35363</v>
      </c>
      <c r="Y1876" t="s">
        <v>35364</v>
      </c>
    </row>
    <row r="1877" spans="1:25" x14ac:dyDescent="0.3">
      <c r="A1877">
        <v>93800</v>
      </c>
      <c r="B1877" t="s">
        <v>35365</v>
      </c>
      <c r="C1877" t="s">
        <v>35366</v>
      </c>
      <c r="D1877" t="s">
        <v>35367</v>
      </c>
      <c r="E1877" t="s">
        <v>35368</v>
      </c>
      <c r="F1877" t="s">
        <v>35369</v>
      </c>
      <c r="G1877" t="s">
        <v>35370</v>
      </c>
      <c r="H1877" t="s">
        <v>35371</v>
      </c>
      <c r="I1877" t="s">
        <v>35372</v>
      </c>
      <c r="J1877" t="s">
        <v>35373</v>
      </c>
      <c r="K1877" t="s">
        <v>35374</v>
      </c>
      <c r="L1877" t="s">
        <v>35375</v>
      </c>
      <c r="M1877" t="s">
        <v>35376</v>
      </c>
      <c r="N1877" t="s">
        <v>35377</v>
      </c>
      <c r="O1877">
        <f>-554.058964706707 -138.774940155375 -725.161973479876</f>
        <v>-1417.9958783419579</v>
      </c>
      <c r="P1877">
        <f>-545.24235618472 -122.645414630153 -409.174272941363</f>
        <v>-1077.0620437562361</v>
      </c>
      <c r="Q1877">
        <f>-310.010775028816 -13.4475287231426 -389.579441383521</f>
        <v>-713.03774513547955</v>
      </c>
      <c r="R1877" t="s">
        <v>35378</v>
      </c>
      <c r="S1877" t="s">
        <v>35379</v>
      </c>
      <c r="T1877" t="s">
        <v>35380</v>
      </c>
      <c r="U1877" t="s">
        <v>35381</v>
      </c>
      <c r="V1877" t="s">
        <v>35382</v>
      </c>
      <c r="W1877" t="s">
        <v>35383</v>
      </c>
      <c r="X1877" t="s">
        <v>35384</v>
      </c>
      <c r="Y1877" t="s">
        <v>35385</v>
      </c>
    </row>
    <row r="1878" spans="1:25" x14ac:dyDescent="0.3">
      <c r="A1878">
        <v>93850</v>
      </c>
      <c r="B1878" t="s">
        <v>35386</v>
      </c>
      <c r="C1878" t="s">
        <v>35387</v>
      </c>
      <c r="D1878" t="s">
        <v>35388</v>
      </c>
      <c r="E1878" t="s">
        <v>35389</v>
      </c>
      <c r="F1878" t="s">
        <v>35390</v>
      </c>
      <c r="G1878" t="s">
        <v>35391</v>
      </c>
      <c r="H1878" t="s">
        <v>35392</v>
      </c>
      <c r="I1878" t="s">
        <v>35393</v>
      </c>
      <c r="J1878" t="s">
        <v>35394</v>
      </c>
      <c r="K1878" t="s">
        <v>35395</v>
      </c>
      <c r="L1878" t="s">
        <v>35396</v>
      </c>
      <c r="M1878" t="s">
        <v>35397</v>
      </c>
      <c r="N1878" t="s">
        <v>35398</v>
      </c>
      <c r="O1878">
        <f>-554.38165985952 -135.313973477696 -726.522488232225</f>
        <v>-1416.2181215694409</v>
      </c>
      <c r="P1878">
        <f>-546.343798949898 -120.293212041339 -410.459371604912</f>
        <v>-1077.0963825961489</v>
      </c>
      <c r="Q1878">
        <f>-312.103592899978 -9.38605804066856 -388.706820174242</f>
        <v>-710.1964711148886</v>
      </c>
      <c r="R1878" t="s">
        <v>35399</v>
      </c>
      <c r="S1878" t="s">
        <v>35400</v>
      </c>
      <c r="T1878" t="s">
        <v>35401</v>
      </c>
      <c r="U1878" t="s">
        <v>35402</v>
      </c>
      <c r="V1878" t="s">
        <v>35403</v>
      </c>
      <c r="W1878" t="s">
        <v>35404</v>
      </c>
      <c r="X1878" t="s">
        <v>35405</v>
      </c>
      <c r="Y1878" t="s">
        <v>35406</v>
      </c>
    </row>
    <row r="1879" spans="1:25" x14ac:dyDescent="0.3">
      <c r="A1879">
        <v>93900</v>
      </c>
      <c r="B1879" t="s">
        <v>35407</v>
      </c>
      <c r="C1879" t="s">
        <v>35408</v>
      </c>
      <c r="D1879" t="s">
        <v>35409</v>
      </c>
      <c r="E1879" t="s">
        <v>35410</v>
      </c>
      <c r="F1879" t="s">
        <v>35411</v>
      </c>
      <c r="G1879" t="s">
        <v>35412</v>
      </c>
      <c r="H1879" t="s">
        <v>35413</v>
      </c>
      <c r="I1879" t="s">
        <v>35414</v>
      </c>
      <c r="J1879" t="s">
        <v>35415</v>
      </c>
      <c r="K1879" t="s">
        <v>35416</v>
      </c>
      <c r="L1879" t="s">
        <v>35417</v>
      </c>
      <c r="M1879" t="s">
        <v>35418</v>
      </c>
      <c r="N1879" t="s">
        <v>35419</v>
      </c>
      <c r="O1879">
        <f>-554.364210360109 -133.30238371016 -727.144624033581</f>
        <v>-1414.81121810385</v>
      </c>
      <c r="P1879">
        <f>-546.662070123128 -118.815386064676 -411.048071280322</f>
        <v>-1076.525527468126</v>
      </c>
      <c r="Q1879">
        <f>-312.703262400312 -7.37816207980336 -388.978023911158</f>
        <v>-709.05944839127335</v>
      </c>
      <c r="R1879" t="s">
        <v>35420</v>
      </c>
      <c r="S1879" t="s">
        <v>35421</v>
      </c>
      <c r="T1879" t="s">
        <v>35422</v>
      </c>
      <c r="U1879" t="s">
        <v>35423</v>
      </c>
      <c r="V1879" t="s">
        <v>35424</v>
      </c>
      <c r="W1879" t="s">
        <v>35425</v>
      </c>
      <c r="X1879" t="s">
        <v>35426</v>
      </c>
      <c r="Y1879" t="s">
        <v>35427</v>
      </c>
    </row>
    <row r="1880" spans="1:25" x14ac:dyDescent="0.3">
      <c r="A1880">
        <v>93950</v>
      </c>
      <c r="B1880" t="s">
        <v>35428</v>
      </c>
      <c r="C1880" t="s">
        <v>35429</v>
      </c>
      <c r="D1880" t="s">
        <v>35430</v>
      </c>
      <c r="E1880" t="s">
        <v>35431</v>
      </c>
      <c r="F1880" t="s">
        <v>35432</v>
      </c>
      <c r="G1880" t="s">
        <v>35433</v>
      </c>
      <c r="H1880" t="s">
        <v>35434</v>
      </c>
      <c r="I1880" t="s">
        <v>35435</v>
      </c>
      <c r="J1880" t="s">
        <v>35436</v>
      </c>
      <c r="K1880" t="s">
        <v>35437</v>
      </c>
      <c r="L1880" t="s">
        <v>35438</v>
      </c>
      <c r="M1880" t="s">
        <v>35439</v>
      </c>
      <c r="N1880" t="s">
        <v>35440</v>
      </c>
      <c r="O1880">
        <f>-554.170450420942 -129.932634554364 -727.944140934445</f>
        <v>-1412.047225909751</v>
      </c>
      <c r="P1880">
        <f>-546.615419714159 -116.300863719571 -411.806175010881</f>
        <v>-1074.722458444611</v>
      </c>
      <c r="Q1880">
        <f>-312.748725740168 -4.62286381571653 -389.978384082975</f>
        <v>-707.34997363885964</v>
      </c>
      <c r="R1880" t="s">
        <v>35441</v>
      </c>
      <c r="S1880" t="s">
        <v>35442</v>
      </c>
      <c r="T1880" t="s">
        <v>35443</v>
      </c>
      <c r="U1880" t="s">
        <v>35444</v>
      </c>
      <c r="V1880" t="s">
        <v>35445</v>
      </c>
      <c r="W1880" t="s">
        <v>35446</v>
      </c>
      <c r="X1880" t="s">
        <v>35447</v>
      </c>
      <c r="Y1880" t="s">
        <v>35448</v>
      </c>
    </row>
    <row r="1881" spans="1:25" x14ac:dyDescent="0.3">
      <c r="A1881">
        <v>94000</v>
      </c>
      <c r="B1881" t="s">
        <v>35449</v>
      </c>
      <c r="C1881" t="s">
        <v>35450</v>
      </c>
      <c r="D1881" t="s">
        <v>35451</v>
      </c>
      <c r="E1881" t="s">
        <v>35452</v>
      </c>
      <c r="F1881" t="s">
        <v>35453</v>
      </c>
      <c r="G1881" t="s">
        <v>35454</v>
      </c>
      <c r="H1881" t="s">
        <v>35455</v>
      </c>
      <c r="I1881" t="s">
        <v>35456</v>
      </c>
      <c r="J1881" t="s">
        <v>35457</v>
      </c>
      <c r="K1881" t="s">
        <v>35458</v>
      </c>
      <c r="L1881" t="s">
        <v>35459</v>
      </c>
      <c r="M1881" t="s">
        <v>35460</v>
      </c>
      <c r="N1881" t="s">
        <v>35461</v>
      </c>
      <c r="O1881">
        <f>-554.194461267371 -128.469213968574 -728.202496599885</f>
        <v>-1410.8661718358298</v>
      </c>
      <c r="P1881">
        <f>-546.405553411743 -115.234934258174 -412.053224795707</f>
        <v>-1073.693712465624</v>
      </c>
      <c r="Q1881">
        <f>-312.390255072024 -3.81514663948155 -390.500941085034</f>
        <v>-706.7063427965395</v>
      </c>
      <c r="R1881" t="s">
        <v>35462</v>
      </c>
      <c r="S1881" t="s">
        <v>35463</v>
      </c>
      <c r="T1881" t="s">
        <v>35464</v>
      </c>
      <c r="U1881" t="s">
        <v>35465</v>
      </c>
      <c r="V1881" t="s">
        <v>35466</v>
      </c>
      <c r="W1881" t="s">
        <v>35467</v>
      </c>
      <c r="X1881" t="s">
        <v>35468</v>
      </c>
      <c r="Y1881" t="s">
        <v>35469</v>
      </c>
    </row>
    <row r="1882" spans="1:25" x14ac:dyDescent="0.3">
      <c r="A1882">
        <v>94050</v>
      </c>
      <c r="B1882" t="s">
        <v>35470</v>
      </c>
      <c r="C1882" t="s">
        <v>35471</v>
      </c>
      <c r="D1882" t="s">
        <v>35472</v>
      </c>
      <c r="E1882" t="s">
        <v>35473</v>
      </c>
      <c r="F1882" t="s">
        <v>35474</v>
      </c>
      <c r="G1882" t="s">
        <v>35475</v>
      </c>
      <c r="H1882" t="s">
        <v>35476</v>
      </c>
      <c r="I1882" t="s">
        <v>35477</v>
      </c>
      <c r="J1882" t="s">
        <v>35478</v>
      </c>
      <c r="K1882" t="s">
        <v>35479</v>
      </c>
      <c r="L1882" t="s">
        <v>35480</v>
      </c>
      <c r="M1882" t="s">
        <v>35481</v>
      </c>
      <c r="N1882" t="s">
        <v>35482</v>
      </c>
      <c r="O1882">
        <f>-554.157108585198 -125.659703116992 -728.449428651013</f>
        <v>-1408.2662403532031</v>
      </c>
      <c r="P1882">
        <f>-546.006037664016 -112.329659286885 -412.313316817823</f>
        <v>-1070.649013768724</v>
      </c>
      <c r="Q1882">
        <f>-311.304495789825 -2.17228010148051 -391.755102036604</f>
        <v>-705.23187792790952</v>
      </c>
      <c r="R1882" t="s">
        <v>35483</v>
      </c>
      <c r="S1882" t="s">
        <v>35484</v>
      </c>
      <c r="T1882" t="s">
        <v>35485</v>
      </c>
      <c r="U1882" t="s">
        <v>35486</v>
      </c>
      <c r="V1882" t="s">
        <v>35487</v>
      </c>
      <c r="W1882" t="s">
        <v>35488</v>
      </c>
      <c r="X1882" t="s">
        <v>35489</v>
      </c>
      <c r="Y1882" t="s">
        <v>35490</v>
      </c>
    </row>
    <row r="1883" spans="1:25" x14ac:dyDescent="0.3">
      <c r="A1883">
        <v>94100</v>
      </c>
      <c r="B1883" t="s">
        <v>35491</v>
      </c>
      <c r="C1883" t="s">
        <v>35492</v>
      </c>
      <c r="D1883" t="s">
        <v>35493</v>
      </c>
      <c r="E1883" t="s">
        <v>35494</v>
      </c>
      <c r="F1883" t="s">
        <v>35495</v>
      </c>
      <c r="G1883" t="s">
        <v>35496</v>
      </c>
      <c r="H1883" t="s">
        <v>35497</v>
      </c>
      <c r="I1883" t="s">
        <v>35498</v>
      </c>
      <c r="J1883" t="s">
        <v>35499</v>
      </c>
      <c r="K1883" t="s">
        <v>35500</v>
      </c>
      <c r="L1883" t="s">
        <v>35501</v>
      </c>
      <c r="M1883" t="s">
        <v>35502</v>
      </c>
      <c r="N1883" t="s">
        <v>35503</v>
      </c>
      <c r="O1883">
        <f>-554.099113535793 -124.264762663889 -728.459850671527</f>
        <v>-1406.8237268712089</v>
      </c>
      <c r="P1883">
        <f>-545.822750304518 -110.814811338431 -412.33202151784</f>
        <v>-1068.9695831607889</v>
      </c>
      <c r="Q1883">
        <f>-310.652632487307 -1.5794719790822 -392.215342681786</f>
        <v>-704.44744714817523</v>
      </c>
      <c r="R1883" t="s">
        <v>35504</v>
      </c>
      <c r="S1883" t="s">
        <v>35505</v>
      </c>
      <c r="T1883" t="s">
        <v>35506</v>
      </c>
      <c r="U1883" t="s">
        <v>35507</v>
      </c>
      <c r="V1883" t="s">
        <v>35508</v>
      </c>
      <c r="W1883" t="s">
        <v>35509</v>
      </c>
      <c r="X1883" t="s">
        <v>35510</v>
      </c>
      <c r="Y1883" t="s">
        <v>35511</v>
      </c>
    </row>
    <row r="1884" spans="1:25" x14ac:dyDescent="0.3">
      <c r="A1884">
        <v>94150</v>
      </c>
      <c r="B1884" t="s">
        <v>35512</v>
      </c>
      <c r="C1884" t="s">
        <v>35513</v>
      </c>
      <c r="D1884" t="s">
        <v>35514</v>
      </c>
      <c r="E1884" t="s">
        <v>35515</v>
      </c>
      <c r="F1884" t="s">
        <v>35516</v>
      </c>
      <c r="G1884" t="s">
        <v>35517</v>
      </c>
      <c r="H1884" t="s">
        <v>35518</v>
      </c>
      <c r="I1884" t="s">
        <v>35519</v>
      </c>
      <c r="J1884" t="s">
        <v>35520</v>
      </c>
      <c r="K1884" t="s">
        <v>35521</v>
      </c>
      <c r="L1884" t="s">
        <v>35522</v>
      </c>
      <c r="M1884" t="s">
        <v>35523</v>
      </c>
      <c r="N1884" t="s">
        <v>35524</v>
      </c>
      <c r="O1884">
        <f>-554.460594640058 -121.46701206544 -728.303901121511</f>
        <v>-1404.231507827009</v>
      </c>
      <c r="P1884">
        <f>-545.861979577705 -107.534941919629 -412.20557743057</f>
        <v>-1065.602498927904</v>
      </c>
      <c r="Q1884">
        <f>-309.799873428957 -0.125206968001066 -392.714751670668</f>
        <v>-702.63983206762612</v>
      </c>
      <c r="R1884" t="s">
        <v>35525</v>
      </c>
      <c r="S1884" t="s">
        <v>35526</v>
      </c>
      <c r="T1884" t="s">
        <v>35527</v>
      </c>
      <c r="U1884" t="s">
        <v>35528</v>
      </c>
      <c r="V1884" t="s">
        <v>35529</v>
      </c>
      <c r="W1884" t="s">
        <v>35530</v>
      </c>
      <c r="X1884" t="s">
        <v>35531</v>
      </c>
      <c r="Y1884" t="s">
        <v>35532</v>
      </c>
    </row>
    <row r="1885" spans="1:25" x14ac:dyDescent="0.3">
      <c r="A1885">
        <v>94200</v>
      </c>
      <c r="B1885" t="s">
        <v>35533</v>
      </c>
      <c r="C1885" t="s">
        <v>35534</v>
      </c>
      <c r="D1885" t="s">
        <v>35535</v>
      </c>
      <c r="E1885" t="s">
        <v>35536</v>
      </c>
      <c r="F1885" t="s">
        <v>35537</v>
      </c>
      <c r="G1885" t="s">
        <v>35538</v>
      </c>
      <c r="H1885" t="s">
        <v>35539</v>
      </c>
      <c r="I1885" t="s">
        <v>35540</v>
      </c>
      <c r="J1885" t="s">
        <v>35541</v>
      </c>
      <c r="K1885" t="s">
        <v>35542</v>
      </c>
      <c r="L1885" t="s">
        <v>35543</v>
      </c>
      <c r="M1885" t="s">
        <v>35544</v>
      </c>
      <c r="N1885" t="s">
        <v>35545</v>
      </c>
      <c r="O1885">
        <f>-554.701976749635 -120.203007471958 -728.261934301689</f>
        <v>-1403.1669185232822</v>
      </c>
      <c r="P1885">
        <f>-546.158686259132 -105.846397787835 -412.181204966524</f>
        <v>-1064.186289013491</v>
      </c>
      <c r="Q1885" t="s">
        <v>35546</v>
      </c>
      <c r="R1885" t="s">
        <v>35547</v>
      </c>
      <c r="S1885" t="s">
        <v>35548</v>
      </c>
      <c r="T1885" t="s">
        <v>35549</v>
      </c>
      <c r="U1885" t="s">
        <v>35550</v>
      </c>
      <c r="V1885" t="s">
        <v>35551</v>
      </c>
      <c r="W1885" t="s">
        <v>35552</v>
      </c>
      <c r="X1885" t="s">
        <v>35553</v>
      </c>
      <c r="Y1885" t="s">
        <v>35554</v>
      </c>
    </row>
    <row r="1886" spans="1:25" x14ac:dyDescent="0.3">
      <c r="A1886">
        <v>94250</v>
      </c>
      <c r="B1886" t="s">
        <v>35555</v>
      </c>
      <c r="C1886" t="s">
        <v>35556</v>
      </c>
      <c r="D1886" t="s">
        <v>35557</v>
      </c>
      <c r="E1886" t="s">
        <v>35558</v>
      </c>
      <c r="F1886" t="s">
        <v>35559</v>
      </c>
      <c r="G1886" t="s">
        <v>35560</v>
      </c>
      <c r="H1886" t="s">
        <v>35561</v>
      </c>
      <c r="I1886" t="s">
        <v>35562</v>
      </c>
      <c r="J1886" t="s">
        <v>35563</v>
      </c>
      <c r="K1886" t="s">
        <v>35564</v>
      </c>
      <c r="L1886" t="s">
        <v>35565</v>
      </c>
      <c r="M1886" t="s">
        <v>35566</v>
      </c>
      <c r="N1886" t="s">
        <v>35567</v>
      </c>
      <c r="O1886">
        <f>-555.154824767483 -117.684717867097 -728.086439775665</f>
        <v>-1400.9259824102451</v>
      </c>
      <c r="P1886">
        <f>-547.008453337297 -102.766653607019 -412.021308818969</f>
        <v>-1061.796415763285</v>
      </c>
      <c r="Q1886" t="s">
        <v>35568</v>
      </c>
      <c r="R1886" t="s">
        <v>35569</v>
      </c>
      <c r="S1886" t="s">
        <v>35570</v>
      </c>
      <c r="T1886" t="s">
        <v>35571</v>
      </c>
      <c r="U1886" t="s">
        <v>35572</v>
      </c>
      <c r="V1886" t="s">
        <v>35573</v>
      </c>
      <c r="W1886" t="s">
        <v>35574</v>
      </c>
      <c r="X1886" t="s">
        <v>35575</v>
      </c>
      <c r="Y1886" t="s">
        <v>35576</v>
      </c>
    </row>
    <row r="1887" spans="1:25" x14ac:dyDescent="0.3">
      <c r="A1887">
        <v>94300</v>
      </c>
      <c r="B1887" t="s">
        <v>35577</v>
      </c>
      <c r="C1887" t="s">
        <v>35578</v>
      </c>
      <c r="D1887" t="s">
        <v>35579</v>
      </c>
      <c r="E1887" t="s">
        <v>35580</v>
      </c>
      <c r="F1887" t="s">
        <v>35581</v>
      </c>
      <c r="G1887" t="s">
        <v>35582</v>
      </c>
      <c r="H1887" t="s">
        <v>35583</v>
      </c>
      <c r="I1887" t="s">
        <v>35584</v>
      </c>
      <c r="J1887" t="s">
        <v>35585</v>
      </c>
      <c r="K1887" t="s">
        <v>35586</v>
      </c>
      <c r="L1887" t="s">
        <v>35587</v>
      </c>
      <c r="M1887" t="s">
        <v>35588</v>
      </c>
      <c r="N1887" t="s">
        <v>35589</v>
      </c>
      <c r="O1887">
        <f>-555.735073858132 -116.626295192348 -727.948440004716</f>
        <v>-1400.309809055196</v>
      </c>
      <c r="P1887">
        <f>-547.949938194584 -101.218319271775 -411.897552500723</f>
        <v>-1061.065809967082</v>
      </c>
      <c r="Q1887" t="s">
        <v>35590</v>
      </c>
      <c r="R1887" t="s">
        <v>35591</v>
      </c>
      <c r="S1887" t="s">
        <v>35592</v>
      </c>
      <c r="T1887" t="s">
        <v>35593</v>
      </c>
      <c r="U1887" t="s">
        <v>35594</v>
      </c>
      <c r="V1887" t="s">
        <v>35595</v>
      </c>
      <c r="W1887" t="s">
        <v>35596</v>
      </c>
      <c r="X1887" t="s">
        <v>35597</v>
      </c>
      <c r="Y1887" t="s">
        <v>35598</v>
      </c>
    </row>
    <row r="1888" spans="1:25" x14ac:dyDescent="0.3">
      <c r="A1888">
        <v>94350</v>
      </c>
      <c r="B1888" t="s">
        <v>35599</v>
      </c>
      <c r="C1888" t="s">
        <v>35600</v>
      </c>
      <c r="D1888" t="s">
        <v>35601</v>
      </c>
      <c r="E1888" t="s">
        <v>35602</v>
      </c>
      <c r="F1888" t="s">
        <v>35603</v>
      </c>
      <c r="G1888" t="s">
        <v>35604</v>
      </c>
      <c r="H1888" t="s">
        <v>35605</v>
      </c>
      <c r="I1888" t="s">
        <v>35606</v>
      </c>
      <c r="J1888" t="s">
        <v>35607</v>
      </c>
      <c r="K1888" t="s">
        <v>35608</v>
      </c>
      <c r="L1888" t="s">
        <v>35609</v>
      </c>
      <c r="M1888" t="s">
        <v>35610</v>
      </c>
      <c r="N1888" t="s">
        <v>35611</v>
      </c>
      <c r="O1888">
        <f>-556.351440929643 -114.838861512651 -727.446747181944</f>
        <v>-1398.637049624238</v>
      </c>
      <c r="P1888">
        <f>-549.143416775036 -98.439461660666 -411.432030461334</f>
        <v>-1059.0149088970361</v>
      </c>
      <c r="Q1888" t="s">
        <v>35612</v>
      </c>
      <c r="R1888" t="s">
        <v>35613</v>
      </c>
      <c r="S1888" t="s">
        <v>35614</v>
      </c>
      <c r="T1888" t="s">
        <v>35615</v>
      </c>
      <c r="U1888" t="s">
        <v>35616</v>
      </c>
      <c r="V1888" t="s">
        <v>35617</v>
      </c>
      <c r="W1888" t="s">
        <v>35618</v>
      </c>
      <c r="X1888" t="s">
        <v>35619</v>
      </c>
      <c r="Y1888" t="s">
        <v>35620</v>
      </c>
    </row>
    <row r="1889" spans="1:25" x14ac:dyDescent="0.3">
      <c r="A1889">
        <v>94400</v>
      </c>
      <c r="B1889" t="s">
        <v>35621</v>
      </c>
      <c r="C1889" t="s">
        <v>35622</v>
      </c>
      <c r="D1889" t="s">
        <v>35623</v>
      </c>
      <c r="E1889" t="s">
        <v>35624</v>
      </c>
      <c r="F1889" t="s">
        <v>35625</v>
      </c>
      <c r="G1889" t="s">
        <v>35626</v>
      </c>
      <c r="H1889" t="s">
        <v>35627</v>
      </c>
      <c r="I1889" t="s">
        <v>35628</v>
      </c>
      <c r="J1889" t="s">
        <v>35629</v>
      </c>
      <c r="K1889" t="s">
        <v>35630</v>
      </c>
      <c r="L1889" t="s">
        <v>35631</v>
      </c>
      <c r="M1889" t="s">
        <v>35632</v>
      </c>
      <c r="N1889" t="s">
        <v>35633</v>
      </c>
      <c r="O1889">
        <f>-557.101653208482 -114.265884199997 -727.159246394691</f>
        <v>-1398.52678380317</v>
      </c>
      <c r="P1889">
        <f>-550.281297811867 -97.1590090239711 -411.173301737641</f>
        <v>-1058.613608573479</v>
      </c>
      <c r="Q1889" t="s">
        <v>35634</v>
      </c>
      <c r="R1889" t="s">
        <v>35635</v>
      </c>
      <c r="S1889" t="s">
        <v>35636</v>
      </c>
      <c r="T1889" t="s">
        <v>35637</v>
      </c>
      <c r="U1889" t="s">
        <v>35638</v>
      </c>
      <c r="V1889" t="s">
        <v>35639</v>
      </c>
      <c r="W1889" t="s">
        <v>35640</v>
      </c>
      <c r="X1889" t="s">
        <v>35641</v>
      </c>
      <c r="Y1889" t="s">
        <v>35642</v>
      </c>
    </row>
    <row r="1890" spans="1:25" x14ac:dyDescent="0.3">
      <c r="A1890">
        <v>94450</v>
      </c>
      <c r="B1890" t="s">
        <v>35643</v>
      </c>
      <c r="C1890" t="s">
        <v>35644</v>
      </c>
      <c r="D1890" t="s">
        <v>35645</v>
      </c>
      <c r="E1890" t="s">
        <v>35646</v>
      </c>
      <c r="F1890" t="s">
        <v>35647</v>
      </c>
      <c r="G1890" t="s">
        <v>35648</v>
      </c>
      <c r="H1890" t="s">
        <v>35649</v>
      </c>
      <c r="I1890" t="s">
        <v>35650</v>
      </c>
      <c r="J1890" t="s">
        <v>35651</v>
      </c>
      <c r="K1890" t="s">
        <v>35652</v>
      </c>
      <c r="L1890" t="s">
        <v>35653</v>
      </c>
      <c r="M1890" t="s">
        <v>35654</v>
      </c>
      <c r="N1890" t="s">
        <v>35655</v>
      </c>
      <c r="O1890">
        <f>-558.871047944758 -113.001453607465 -726.429532849488</f>
        <v>-1398.3020344017109</v>
      </c>
      <c r="P1890">
        <f>-552.367336526244 -94.5468809941549 -410.51283042376</f>
        <v>-1057.4270479441589</v>
      </c>
      <c r="Q1890" t="s">
        <v>35656</v>
      </c>
      <c r="R1890" t="s">
        <v>35657</v>
      </c>
      <c r="S1890" t="s">
        <v>35658</v>
      </c>
      <c r="T1890" t="s">
        <v>35659</v>
      </c>
      <c r="U1890" t="s">
        <v>35660</v>
      </c>
      <c r="V1890" t="s">
        <v>35661</v>
      </c>
      <c r="W1890" t="s">
        <v>35662</v>
      </c>
      <c r="X1890" t="s">
        <v>35663</v>
      </c>
      <c r="Y1890" t="s">
        <v>35664</v>
      </c>
    </row>
    <row r="1891" spans="1:25" x14ac:dyDescent="0.3">
      <c r="A1891">
        <v>94500</v>
      </c>
      <c r="B1891" t="s">
        <v>35665</v>
      </c>
      <c r="C1891" t="s">
        <v>35666</v>
      </c>
      <c r="D1891" t="s">
        <v>35667</v>
      </c>
      <c r="E1891" t="s">
        <v>35668</v>
      </c>
      <c r="F1891" t="s">
        <v>35669</v>
      </c>
      <c r="G1891" t="s">
        <v>35670</v>
      </c>
      <c r="H1891" t="s">
        <v>35671</v>
      </c>
      <c r="I1891" t="s">
        <v>35672</v>
      </c>
      <c r="J1891" t="s">
        <v>35673</v>
      </c>
      <c r="K1891" t="s">
        <v>35674</v>
      </c>
      <c r="L1891" t="s">
        <v>35675</v>
      </c>
      <c r="M1891" t="s">
        <v>35676</v>
      </c>
      <c r="N1891" t="s">
        <v>35677</v>
      </c>
      <c r="O1891">
        <f>-559.885555453801 -112.505890995881 -726.011780438377</f>
        <v>-1398.403226888059</v>
      </c>
      <c r="P1891">
        <f>-553.826008845694 -92.9397843238023 -410.153243813013</f>
        <v>-1056.9190369825092</v>
      </c>
      <c r="Q1891" t="s">
        <v>35678</v>
      </c>
      <c r="R1891" t="s">
        <v>35679</v>
      </c>
      <c r="S1891" t="s">
        <v>35680</v>
      </c>
      <c r="T1891" t="s">
        <v>35681</v>
      </c>
      <c r="U1891" t="s">
        <v>35682</v>
      </c>
      <c r="V1891" t="s">
        <v>35683</v>
      </c>
      <c r="W1891" t="s">
        <v>35684</v>
      </c>
      <c r="X1891" t="s">
        <v>35685</v>
      </c>
      <c r="Y1891" t="s">
        <v>35686</v>
      </c>
    </row>
    <row r="1892" spans="1:25" x14ac:dyDescent="0.3">
      <c r="A1892">
        <v>94550</v>
      </c>
      <c r="B1892" t="s">
        <v>35687</v>
      </c>
      <c r="C1892" t="s">
        <v>35688</v>
      </c>
      <c r="D1892" t="s">
        <v>35689</v>
      </c>
      <c r="E1892" t="s">
        <v>35690</v>
      </c>
      <c r="F1892" t="s">
        <v>35691</v>
      </c>
      <c r="G1892" t="s">
        <v>35692</v>
      </c>
      <c r="H1892" t="s">
        <v>35693</v>
      </c>
      <c r="I1892" t="s">
        <v>35694</v>
      </c>
      <c r="J1892" t="s">
        <v>35695</v>
      </c>
      <c r="K1892" t="s">
        <v>35696</v>
      </c>
      <c r="L1892" t="s">
        <v>35697</v>
      </c>
      <c r="M1892" t="s">
        <v>35698</v>
      </c>
      <c r="N1892" t="s">
        <v>35699</v>
      </c>
      <c r="O1892">
        <f>-561.913463499755 -112.040896698152 -724.839079303205</f>
        <v>-1398.7934395011121</v>
      </c>
      <c r="P1892">
        <f>-556.403706925486 -90.3056233928949 -409.112275082919</f>
        <v>-1055.8216054012998</v>
      </c>
      <c r="Q1892" t="s">
        <v>35700</v>
      </c>
      <c r="R1892" t="s">
        <v>35701</v>
      </c>
      <c r="S1892" t="s">
        <v>35702</v>
      </c>
      <c r="T1892" t="s">
        <v>35703</v>
      </c>
      <c r="U1892" t="s">
        <v>35704</v>
      </c>
      <c r="V1892" t="s">
        <v>35705</v>
      </c>
      <c r="W1892" t="s">
        <v>35706</v>
      </c>
      <c r="X1892" t="s">
        <v>35707</v>
      </c>
      <c r="Y1892" t="s">
        <v>35708</v>
      </c>
    </row>
    <row r="1893" spans="1:25" x14ac:dyDescent="0.3">
      <c r="A1893">
        <v>94600</v>
      </c>
      <c r="B1893" t="s">
        <v>35709</v>
      </c>
      <c r="C1893" t="s">
        <v>35710</v>
      </c>
      <c r="D1893" t="s">
        <v>35711</v>
      </c>
      <c r="E1893" t="s">
        <v>35712</v>
      </c>
      <c r="F1893" t="s">
        <v>35713</v>
      </c>
      <c r="G1893" t="s">
        <v>35714</v>
      </c>
      <c r="H1893" t="s">
        <v>35715</v>
      </c>
      <c r="I1893" t="s">
        <v>35716</v>
      </c>
      <c r="J1893" t="s">
        <v>35717</v>
      </c>
      <c r="K1893" t="s">
        <v>35718</v>
      </c>
      <c r="L1893" t="s">
        <v>35719</v>
      </c>
      <c r="M1893" t="s">
        <v>35720</v>
      </c>
      <c r="N1893" t="s">
        <v>35721</v>
      </c>
      <c r="O1893">
        <f>-562.943436428829 -111.984978287823 -724.179742322767</f>
        <v>-1399.108157039419</v>
      </c>
      <c r="P1893">
        <f>-557.895760220541 -88.7421601762169 -408.552645573005</f>
        <v>-1055.1905659697629</v>
      </c>
      <c r="Q1893" t="s">
        <v>35722</v>
      </c>
      <c r="R1893" t="s">
        <v>35723</v>
      </c>
      <c r="S1893" t="s">
        <v>35724</v>
      </c>
      <c r="T1893" t="s">
        <v>35725</v>
      </c>
      <c r="U1893" t="s">
        <v>35726</v>
      </c>
      <c r="V1893" t="s">
        <v>35727</v>
      </c>
      <c r="W1893" t="s">
        <v>35728</v>
      </c>
      <c r="X1893" t="s">
        <v>35729</v>
      </c>
      <c r="Y1893" t="s">
        <v>35730</v>
      </c>
    </row>
    <row r="1894" spans="1:25" x14ac:dyDescent="0.3">
      <c r="A1894">
        <v>94650</v>
      </c>
      <c r="B1894" t="s">
        <v>35731</v>
      </c>
      <c r="C1894" t="s">
        <v>35732</v>
      </c>
      <c r="D1894" t="s">
        <v>35733</v>
      </c>
      <c r="E1894" t="s">
        <v>35734</v>
      </c>
      <c r="F1894" t="s">
        <v>35735</v>
      </c>
      <c r="G1894" t="s">
        <v>35736</v>
      </c>
      <c r="H1894" t="s">
        <v>35737</v>
      </c>
      <c r="I1894" t="s">
        <v>35738</v>
      </c>
      <c r="J1894" t="s">
        <v>35739</v>
      </c>
      <c r="K1894" t="s">
        <v>35740</v>
      </c>
      <c r="L1894" t="s">
        <v>35741</v>
      </c>
      <c r="M1894" t="s">
        <v>35742</v>
      </c>
      <c r="N1894" t="s">
        <v>35743</v>
      </c>
      <c r="O1894">
        <f>-564.962864844842 -112.138404567305 -722.718799042902</f>
        <v>-1399.8200684550488</v>
      </c>
      <c r="P1894">
        <f>-561.044233904681 -85.0665156630953 -407.381047629134</f>
        <v>-1053.4917971969103</v>
      </c>
      <c r="Q1894" t="s">
        <v>35744</v>
      </c>
      <c r="R1894" t="s">
        <v>35745</v>
      </c>
      <c r="S1894" t="s">
        <v>35746</v>
      </c>
      <c r="T1894" t="s">
        <v>35747</v>
      </c>
      <c r="U1894" t="s">
        <v>35748</v>
      </c>
      <c r="V1894" t="s">
        <v>35749</v>
      </c>
      <c r="W1894" t="s">
        <v>35750</v>
      </c>
      <c r="X1894" t="s">
        <v>35751</v>
      </c>
      <c r="Y1894" t="s">
        <v>35752</v>
      </c>
    </row>
    <row r="1895" spans="1:25" x14ac:dyDescent="0.3">
      <c r="A1895">
        <v>94700</v>
      </c>
      <c r="B1895" t="s">
        <v>35753</v>
      </c>
      <c r="C1895" t="s">
        <v>35754</v>
      </c>
      <c r="D1895" t="s">
        <v>35755</v>
      </c>
      <c r="E1895" t="s">
        <v>35756</v>
      </c>
      <c r="F1895" t="s">
        <v>35757</v>
      </c>
      <c r="G1895" t="s">
        <v>35758</v>
      </c>
      <c r="H1895" t="s">
        <v>35759</v>
      </c>
      <c r="I1895" t="s">
        <v>35760</v>
      </c>
      <c r="J1895" t="s">
        <v>35761</v>
      </c>
      <c r="K1895" t="s">
        <v>35762</v>
      </c>
      <c r="L1895" t="s">
        <v>35763</v>
      </c>
      <c r="M1895" t="s">
        <v>35764</v>
      </c>
      <c r="N1895" t="s">
        <v>35765</v>
      </c>
      <c r="O1895">
        <f>-566.14613969149 -112.134772291388 -721.990027778007</f>
        <v>-1400.2709397608851</v>
      </c>
      <c r="P1895">
        <f>-562.647210770904 -83.1601934937983 -406.816504168768</f>
        <v>-1052.6239084334702</v>
      </c>
      <c r="Q1895" t="s">
        <v>35766</v>
      </c>
      <c r="R1895" t="s">
        <v>35767</v>
      </c>
      <c r="S1895" t="s">
        <v>35768</v>
      </c>
      <c r="T1895" t="s">
        <v>35769</v>
      </c>
      <c r="U1895" t="s">
        <v>35770</v>
      </c>
      <c r="V1895" t="s">
        <v>35771</v>
      </c>
      <c r="W1895" t="s">
        <v>35772</v>
      </c>
      <c r="X1895" t="s">
        <v>35773</v>
      </c>
      <c r="Y1895" t="s">
        <v>35774</v>
      </c>
    </row>
    <row r="1896" spans="1:25" x14ac:dyDescent="0.3">
      <c r="A1896">
        <v>94750</v>
      </c>
      <c r="B1896" t="s">
        <v>35775</v>
      </c>
      <c r="C1896" t="s">
        <v>35776</v>
      </c>
      <c r="D1896" t="s">
        <v>35777</v>
      </c>
      <c r="E1896" t="s">
        <v>35778</v>
      </c>
      <c r="F1896" t="s">
        <v>35779</v>
      </c>
      <c r="G1896" t="s">
        <v>35780</v>
      </c>
      <c r="H1896" t="s">
        <v>35781</v>
      </c>
      <c r="I1896" t="s">
        <v>35782</v>
      </c>
      <c r="J1896" t="s">
        <v>35783</v>
      </c>
      <c r="K1896" t="s">
        <v>35784</v>
      </c>
      <c r="L1896" t="s">
        <v>35785</v>
      </c>
      <c r="M1896" t="s">
        <v>35786</v>
      </c>
      <c r="N1896" t="s">
        <v>35787</v>
      </c>
      <c r="O1896">
        <f>-568.991813135657 -112.281655340368 -720.623776154542</f>
        <v>-1401.897244630567</v>
      </c>
      <c r="P1896">
        <f>-565.903719696741 -79.8024407224739 -405.787685571005</f>
        <v>-1051.4938459902198</v>
      </c>
      <c r="Q1896" t="s">
        <v>35788</v>
      </c>
      <c r="R1896" t="s">
        <v>35789</v>
      </c>
      <c r="S1896" t="s">
        <v>35790</v>
      </c>
      <c r="T1896" t="s">
        <v>35791</v>
      </c>
      <c r="U1896" t="s">
        <v>35792</v>
      </c>
      <c r="V1896" t="s">
        <v>35793</v>
      </c>
      <c r="W1896" t="s">
        <v>35794</v>
      </c>
      <c r="X1896" t="s">
        <v>35795</v>
      </c>
      <c r="Y1896" t="s">
        <v>35796</v>
      </c>
    </row>
    <row r="1897" spans="1:25" x14ac:dyDescent="0.3">
      <c r="A1897">
        <v>94800</v>
      </c>
      <c r="B1897" t="s">
        <v>35797</v>
      </c>
      <c r="C1897" t="s">
        <v>35798</v>
      </c>
      <c r="D1897" t="s">
        <v>35799</v>
      </c>
      <c r="E1897" t="s">
        <v>35800</v>
      </c>
      <c r="F1897" t="s">
        <v>35801</v>
      </c>
      <c r="G1897" t="s">
        <v>35802</v>
      </c>
      <c r="H1897" t="s">
        <v>35803</v>
      </c>
      <c r="I1897" t="s">
        <v>35804</v>
      </c>
      <c r="J1897" t="s">
        <v>35805</v>
      </c>
      <c r="K1897" t="s">
        <v>35806</v>
      </c>
      <c r="L1897" t="s">
        <v>35807</v>
      </c>
      <c r="M1897" t="s">
        <v>35808</v>
      </c>
      <c r="N1897" t="s">
        <v>35809</v>
      </c>
      <c r="O1897">
        <f>-570.464421086883 -112.545589585121 -719.951305136944</f>
        <v>-1402.961315808948</v>
      </c>
      <c r="P1897">
        <f>-567.22845816397 -78.5511605669024 -405.276864378526</f>
        <v>-1051.0564831093984</v>
      </c>
      <c r="Q1897" t="s">
        <v>35810</v>
      </c>
      <c r="R1897" t="s">
        <v>35811</v>
      </c>
      <c r="S1897" t="s">
        <v>35812</v>
      </c>
      <c r="T1897" t="s">
        <v>35813</v>
      </c>
      <c r="U1897" t="s">
        <v>35814</v>
      </c>
      <c r="V1897" t="s">
        <v>35815</v>
      </c>
      <c r="W1897" t="s">
        <v>35816</v>
      </c>
      <c r="X1897" t="s">
        <v>35817</v>
      </c>
      <c r="Y1897" t="s">
        <v>35818</v>
      </c>
    </row>
    <row r="1898" spans="1:25" x14ac:dyDescent="0.3">
      <c r="A1898">
        <v>94850</v>
      </c>
      <c r="B1898" t="s">
        <v>35819</v>
      </c>
      <c r="C1898" t="s">
        <v>35820</v>
      </c>
      <c r="D1898" t="s">
        <v>35821</v>
      </c>
      <c r="E1898" t="s">
        <v>35822</v>
      </c>
      <c r="F1898" t="s">
        <v>35823</v>
      </c>
      <c r="G1898" t="s">
        <v>35824</v>
      </c>
      <c r="H1898" t="s">
        <v>35825</v>
      </c>
      <c r="I1898" t="s">
        <v>35826</v>
      </c>
      <c r="J1898" t="s">
        <v>35827</v>
      </c>
      <c r="K1898" t="s">
        <v>35828</v>
      </c>
      <c r="L1898" t="s">
        <v>35829</v>
      </c>
      <c r="M1898" t="s">
        <v>35830</v>
      </c>
      <c r="N1898" t="s">
        <v>35831</v>
      </c>
      <c r="O1898">
        <f>-573.580354496877 -113.599050790254 -718.793197822026</f>
        <v>-1405.9726031091568</v>
      </c>
      <c r="P1898">
        <f>-569.402621035453 -77.0828219313951 -404.412382845301</f>
        <v>-1050.897825812149</v>
      </c>
      <c r="Q1898">
        <f>-320.92522072201 -1.30217683431829 -391.828462929175</f>
        <v>-714.05586048550322</v>
      </c>
      <c r="R1898" t="s">
        <v>35832</v>
      </c>
      <c r="S1898" t="s">
        <v>35833</v>
      </c>
      <c r="T1898" t="s">
        <v>35834</v>
      </c>
      <c r="U1898" t="s">
        <v>35835</v>
      </c>
      <c r="V1898" t="s">
        <v>35836</v>
      </c>
      <c r="W1898" t="s">
        <v>35837</v>
      </c>
      <c r="X1898" t="s">
        <v>35838</v>
      </c>
      <c r="Y1898" t="s">
        <v>35839</v>
      </c>
    </row>
    <row r="1899" spans="1:25" x14ac:dyDescent="0.3">
      <c r="A1899">
        <v>94900</v>
      </c>
      <c r="B1899" t="s">
        <v>35840</v>
      </c>
      <c r="C1899" t="s">
        <v>35841</v>
      </c>
      <c r="D1899" t="s">
        <v>35842</v>
      </c>
      <c r="E1899" t="s">
        <v>35843</v>
      </c>
      <c r="F1899" t="s">
        <v>35844</v>
      </c>
      <c r="G1899" t="s">
        <v>35845</v>
      </c>
      <c r="H1899" t="s">
        <v>35846</v>
      </c>
      <c r="I1899" t="s">
        <v>35847</v>
      </c>
      <c r="J1899" t="s">
        <v>35848</v>
      </c>
      <c r="K1899" t="s">
        <v>35849</v>
      </c>
      <c r="L1899" t="s">
        <v>35850</v>
      </c>
      <c r="M1899" t="s">
        <v>35851</v>
      </c>
      <c r="N1899" t="s">
        <v>35852</v>
      </c>
      <c r="O1899">
        <f>-574.82802395762 -113.731698972041 -718.272666571322</f>
        <v>-1406.832389500983</v>
      </c>
      <c r="P1899">
        <f>-569.90812792693 -77.0706107280453 -403.919366032481</f>
        <v>-1050.8981046874562</v>
      </c>
      <c r="Q1899">
        <f>-320.843990818954 -3.25518618524211 -391.255679249706</f>
        <v>-715.3548562539022</v>
      </c>
      <c r="R1899" t="s">
        <v>35853</v>
      </c>
      <c r="S1899" t="s">
        <v>35854</v>
      </c>
      <c r="T1899" t="s">
        <v>35855</v>
      </c>
      <c r="U1899" t="s">
        <v>35856</v>
      </c>
      <c r="V1899" t="s">
        <v>35857</v>
      </c>
      <c r="W1899" t="s">
        <v>35858</v>
      </c>
      <c r="X1899" t="s">
        <v>35859</v>
      </c>
      <c r="Y1899" t="s">
        <v>35860</v>
      </c>
    </row>
    <row r="1900" spans="1:25" x14ac:dyDescent="0.3">
      <c r="A1900">
        <v>94950</v>
      </c>
      <c r="B1900" t="s">
        <v>35861</v>
      </c>
      <c r="C1900" t="s">
        <v>35862</v>
      </c>
      <c r="D1900" t="s">
        <v>35863</v>
      </c>
      <c r="E1900" t="s">
        <v>35864</v>
      </c>
      <c r="F1900" t="s">
        <v>35865</v>
      </c>
      <c r="G1900" t="s">
        <v>35866</v>
      </c>
      <c r="H1900" t="s">
        <v>35867</v>
      </c>
      <c r="I1900" t="s">
        <v>35868</v>
      </c>
      <c r="J1900" t="s">
        <v>35869</v>
      </c>
      <c r="K1900" t="s">
        <v>35870</v>
      </c>
      <c r="L1900" t="s">
        <v>35871</v>
      </c>
      <c r="M1900" t="s">
        <v>35872</v>
      </c>
      <c r="N1900" t="s">
        <v>35873</v>
      </c>
      <c r="O1900">
        <f>-577.454198084819 -114.293943164261 -717.625424659821</f>
        <v>-1409.3735659089011</v>
      </c>
      <c r="P1900">
        <f>-572.424022887873 -77.4790218038681 -403.291828888734</f>
        <v>-1053.1948735804751</v>
      </c>
      <c r="Q1900">
        <f>-322.395642013472 -7.08863674299459 -390.136537515082</f>
        <v>-719.62081627154862</v>
      </c>
      <c r="R1900" t="s">
        <v>35874</v>
      </c>
      <c r="S1900" t="s">
        <v>35875</v>
      </c>
      <c r="T1900" t="s">
        <v>35876</v>
      </c>
      <c r="U1900" t="s">
        <v>35877</v>
      </c>
      <c r="V1900" t="s">
        <v>35878</v>
      </c>
      <c r="W1900" t="s">
        <v>35879</v>
      </c>
      <c r="X1900" t="s">
        <v>35880</v>
      </c>
      <c r="Y1900" t="s">
        <v>35881</v>
      </c>
    </row>
    <row r="1901" spans="1:25" x14ac:dyDescent="0.3">
      <c r="A1901">
        <v>95000</v>
      </c>
      <c r="B1901" t="s">
        <v>35882</v>
      </c>
      <c r="C1901" t="s">
        <v>35883</v>
      </c>
      <c r="D1901" t="s">
        <v>35884</v>
      </c>
      <c r="E1901" t="s">
        <v>35885</v>
      </c>
      <c r="F1901" t="s">
        <v>35886</v>
      </c>
      <c r="G1901" t="s">
        <v>35887</v>
      </c>
      <c r="H1901" t="s">
        <v>35888</v>
      </c>
      <c r="I1901" t="s">
        <v>35889</v>
      </c>
      <c r="J1901" t="s">
        <v>35890</v>
      </c>
      <c r="K1901" t="s">
        <v>35891</v>
      </c>
      <c r="L1901" t="s">
        <v>35892</v>
      </c>
      <c r="M1901" t="s">
        <v>35893</v>
      </c>
      <c r="N1901" t="s">
        <v>35894</v>
      </c>
      <c r="O1901">
        <f>-578.345287997703 -114.42355227704 -717.385370654087</f>
        <v>-1410.15421092883</v>
      </c>
      <c r="P1901">
        <f>-573.202116829222 -77.4859761102718 -403.068125465851</f>
        <v>-1053.7562184053447</v>
      </c>
      <c r="Q1901">
        <f>-322.761832720371 -8.68651685971349 -389.342850129328</f>
        <v>-720.79119970941247</v>
      </c>
      <c r="R1901" t="s">
        <v>35895</v>
      </c>
      <c r="S1901" t="s">
        <v>35896</v>
      </c>
      <c r="T1901" t="s">
        <v>35897</v>
      </c>
      <c r="U1901" t="s">
        <v>35898</v>
      </c>
      <c r="V1901" t="s">
        <v>35899</v>
      </c>
      <c r="W1901" t="s">
        <v>35900</v>
      </c>
      <c r="X1901" t="s">
        <v>35901</v>
      </c>
      <c r="Y1901" t="s">
        <v>35902</v>
      </c>
    </row>
    <row r="1902" spans="1:25" x14ac:dyDescent="0.3">
      <c r="A1902">
        <v>95050</v>
      </c>
      <c r="B1902" t="s">
        <v>35903</v>
      </c>
      <c r="C1902" t="s">
        <v>35904</v>
      </c>
      <c r="D1902" t="s">
        <v>35905</v>
      </c>
      <c r="E1902" t="s">
        <v>35906</v>
      </c>
      <c r="F1902" t="s">
        <v>35907</v>
      </c>
      <c r="G1902" t="s">
        <v>35908</v>
      </c>
      <c r="H1902" t="s">
        <v>35909</v>
      </c>
      <c r="I1902" t="s">
        <v>35910</v>
      </c>
      <c r="J1902" t="s">
        <v>35911</v>
      </c>
      <c r="K1902" t="s">
        <v>35912</v>
      </c>
      <c r="L1902" t="s">
        <v>35913</v>
      </c>
      <c r="M1902" t="s">
        <v>35914</v>
      </c>
      <c r="N1902" t="s">
        <v>35915</v>
      </c>
      <c r="O1902">
        <f>-581.436743113119 -115.90103106114 -716.117578916798</f>
        <v>-1413.4553530910571</v>
      </c>
      <c r="P1902">
        <f>-576.37090594242 -77.4713730954359 -401.977863718756</f>
        <v>-1055.8201427566119</v>
      </c>
      <c r="Q1902">
        <f>-325.55539890198 -9.89457686559103 -389.055076370925</f>
        <v>-724.50505213849601</v>
      </c>
      <c r="R1902" t="s">
        <v>35916</v>
      </c>
      <c r="S1902" t="s">
        <v>35917</v>
      </c>
      <c r="T1902" t="s">
        <v>35918</v>
      </c>
      <c r="U1902" t="s">
        <v>35919</v>
      </c>
      <c r="V1902" t="s">
        <v>35920</v>
      </c>
      <c r="W1902" t="s">
        <v>35921</v>
      </c>
      <c r="X1902" t="s">
        <v>35922</v>
      </c>
      <c r="Y1902" t="s">
        <v>35923</v>
      </c>
    </row>
    <row r="1903" spans="1:25" x14ac:dyDescent="0.3">
      <c r="A1903">
        <v>95100</v>
      </c>
      <c r="B1903" t="s">
        <v>35924</v>
      </c>
      <c r="C1903" t="s">
        <v>35925</v>
      </c>
      <c r="D1903" t="s">
        <v>35926</v>
      </c>
      <c r="E1903" t="s">
        <v>35927</v>
      </c>
      <c r="F1903" t="s">
        <v>35928</v>
      </c>
      <c r="G1903" t="s">
        <v>35929</v>
      </c>
      <c r="H1903" t="s">
        <v>35930</v>
      </c>
      <c r="I1903" t="s">
        <v>35931</v>
      </c>
      <c r="J1903" t="s">
        <v>35932</v>
      </c>
      <c r="K1903" t="s">
        <v>35933</v>
      </c>
      <c r="L1903" t="s">
        <v>35934</v>
      </c>
      <c r="M1903" t="s">
        <v>35935</v>
      </c>
      <c r="N1903" t="s">
        <v>35936</v>
      </c>
      <c r="O1903">
        <f>-583.003858153554 -117.247775819001 -715.017061216299</f>
        <v>-1415.2686951888541</v>
      </c>
      <c r="P1903">
        <f>-577.954717531323 -77.9483273101077 -400.984744727893</f>
        <v>-1056.8877895693238</v>
      </c>
      <c r="Q1903">
        <f>-327.106296199762 -10.3834747484136 -388.650873833632</f>
        <v>-726.14064478180762</v>
      </c>
      <c r="R1903" t="s">
        <v>35937</v>
      </c>
      <c r="S1903" t="s">
        <v>35938</v>
      </c>
      <c r="T1903" t="s">
        <v>35939</v>
      </c>
      <c r="U1903" t="s">
        <v>35940</v>
      </c>
      <c r="V1903" t="s">
        <v>35941</v>
      </c>
      <c r="W1903" t="s">
        <v>35942</v>
      </c>
      <c r="X1903" t="s">
        <v>35943</v>
      </c>
      <c r="Y1903" t="s">
        <v>35944</v>
      </c>
    </row>
    <row r="1904" spans="1:25" x14ac:dyDescent="0.3">
      <c r="A1904">
        <v>95150</v>
      </c>
      <c r="B1904" t="s">
        <v>35945</v>
      </c>
      <c r="C1904" t="s">
        <v>35946</v>
      </c>
      <c r="D1904" t="s">
        <v>35947</v>
      </c>
      <c r="E1904" t="s">
        <v>35948</v>
      </c>
      <c r="F1904" t="s">
        <v>35949</v>
      </c>
      <c r="G1904" t="s">
        <v>35950</v>
      </c>
      <c r="H1904" t="s">
        <v>35951</v>
      </c>
      <c r="I1904" t="s">
        <v>35952</v>
      </c>
      <c r="J1904" t="s">
        <v>35953</v>
      </c>
      <c r="K1904" t="s">
        <v>35954</v>
      </c>
      <c r="L1904" t="s">
        <v>35955</v>
      </c>
      <c r="M1904" t="s">
        <v>35956</v>
      </c>
      <c r="N1904" t="s">
        <v>35957</v>
      </c>
      <c r="O1904">
        <f>-586.740850663947 -120.026775173693 -712.59995226857</f>
        <v>-1419.3675781062097</v>
      </c>
      <c r="P1904">
        <f>-581.390748726309 -77.1288639360662 -399.044149213234</f>
        <v>-1057.5637618756091</v>
      </c>
      <c r="Q1904">
        <f>-330.388794576672 -9.76496263514241 -388.935656376827</f>
        <v>-729.08941358864149</v>
      </c>
      <c r="R1904" t="s">
        <v>35958</v>
      </c>
      <c r="S1904" t="s">
        <v>35959</v>
      </c>
      <c r="T1904" t="s">
        <v>35960</v>
      </c>
      <c r="U1904" t="s">
        <v>35961</v>
      </c>
      <c r="V1904" t="s">
        <v>35962</v>
      </c>
      <c r="W1904" t="s">
        <v>35963</v>
      </c>
      <c r="X1904" t="s">
        <v>35964</v>
      </c>
      <c r="Y1904" t="s">
        <v>35965</v>
      </c>
    </row>
    <row r="1905" spans="1:25" x14ac:dyDescent="0.3">
      <c r="A1905">
        <v>95200</v>
      </c>
      <c r="B1905" t="s">
        <v>35966</v>
      </c>
      <c r="C1905" t="s">
        <v>35967</v>
      </c>
      <c r="D1905" t="s">
        <v>35968</v>
      </c>
      <c r="E1905" t="s">
        <v>35969</v>
      </c>
      <c r="F1905" t="s">
        <v>35970</v>
      </c>
      <c r="G1905" t="s">
        <v>35971</v>
      </c>
      <c r="H1905" t="s">
        <v>35972</v>
      </c>
      <c r="I1905" t="s">
        <v>35973</v>
      </c>
      <c r="J1905" t="s">
        <v>35974</v>
      </c>
      <c r="K1905" t="s">
        <v>35975</v>
      </c>
      <c r="L1905" t="s">
        <v>35976</v>
      </c>
      <c r="M1905" t="s">
        <v>35977</v>
      </c>
      <c r="N1905" t="s">
        <v>35978</v>
      </c>
      <c r="O1905">
        <f>-588.678025822441 -121.452171055411 -711.237899943198</f>
        <v>-1421.3680968210501</v>
      </c>
      <c r="P1905">
        <f>-582.948593066028 -76.0533017464825 -398.040965468495</f>
        <v>-1057.0428602810055</v>
      </c>
      <c r="Q1905">
        <f>-331.714698116453 -9.48376753077787 -388.445464318797</f>
        <v>-729.64392996602783</v>
      </c>
      <c r="R1905" t="s">
        <v>35979</v>
      </c>
      <c r="S1905" t="s">
        <v>35980</v>
      </c>
      <c r="T1905" t="s">
        <v>35981</v>
      </c>
      <c r="U1905" t="s">
        <v>35982</v>
      </c>
      <c r="V1905" t="s">
        <v>35983</v>
      </c>
      <c r="W1905" t="s">
        <v>35984</v>
      </c>
      <c r="X1905" t="s">
        <v>35985</v>
      </c>
      <c r="Y1905" t="s">
        <v>35986</v>
      </c>
    </row>
    <row r="1906" spans="1:25" x14ac:dyDescent="0.3">
      <c r="A1906">
        <v>95250</v>
      </c>
      <c r="B1906" t="s">
        <v>35987</v>
      </c>
      <c r="C1906" t="s">
        <v>35988</v>
      </c>
      <c r="D1906" t="s">
        <v>35989</v>
      </c>
      <c r="E1906" t="s">
        <v>35990</v>
      </c>
      <c r="F1906" t="s">
        <v>35991</v>
      </c>
      <c r="G1906" t="s">
        <v>35992</v>
      </c>
      <c r="H1906" t="s">
        <v>35993</v>
      </c>
      <c r="I1906" t="s">
        <v>35994</v>
      </c>
      <c r="J1906" t="s">
        <v>35995</v>
      </c>
      <c r="K1906" t="s">
        <v>35996</v>
      </c>
      <c r="L1906" t="s">
        <v>35997</v>
      </c>
      <c r="M1906" t="s">
        <v>35998</v>
      </c>
      <c r="N1906" t="s">
        <v>35999</v>
      </c>
      <c r="O1906">
        <f>-591.116774774019 -122.989114803739 -708.947792246195</f>
        <v>-1423.053681823953</v>
      </c>
      <c r="P1906">
        <f>-584.95957216127 -73.4565667322329 -396.386109432816</f>
        <v>-1054.8022483263189</v>
      </c>
      <c r="Q1906">
        <f>-333.164621356496 -9.28011906712754 -385.306755877432</f>
        <v>-727.75149630105557</v>
      </c>
      <c r="R1906" t="s">
        <v>36000</v>
      </c>
      <c r="S1906" t="s">
        <v>36001</v>
      </c>
      <c r="T1906" t="s">
        <v>36002</v>
      </c>
      <c r="U1906" t="s">
        <v>36003</v>
      </c>
      <c r="V1906" t="s">
        <v>36004</v>
      </c>
      <c r="W1906" t="s">
        <v>36005</v>
      </c>
      <c r="X1906" t="s">
        <v>36006</v>
      </c>
      <c r="Y1906" t="s">
        <v>36007</v>
      </c>
    </row>
    <row r="1907" spans="1:25" x14ac:dyDescent="0.3">
      <c r="A1907">
        <v>95300</v>
      </c>
      <c r="B1907" t="s">
        <v>36008</v>
      </c>
      <c r="C1907" t="s">
        <v>36009</v>
      </c>
      <c r="D1907" t="s">
        <v>36010</v>
      </c>
      <c r="E1907" t="s">
        <v>36011</v>
      </c>
      <c r="F1907" t="s">
        <v>36012</v>
      </c>
      <c r="G1907" t="s">
        <v>36013</v>
      </c>
      <c r="H1907" t="s">
        <v>36014</v>
      </c>
      <c r="I1907" t="s">
        <v>36015</v>
      </c>
      <c r="J1907" t="s">
        <v>36016</v>
      </c>
      <c r="K1907" t="s">
        <v>36017</v>
      </c>
      <c r="L1907" t="s">
        <v>36018</v>
      </c>
      <c r="M1907" t="s">
        <v>36019</v>
      </c>
      <c r="N1907" t="s">
        <v>36020</v>
      </c>
      <c r="O1907">
        <f>-591.390670807107 -123.162335521964 -708.04402537858</f>
        <v>-1422.597031707651</v>
      </c>
      <c r="P1907">
        <f>-585.824968137299 -72.2534176552163 -395.692474704339</f>
        <v>-1053.7708604968543</v>
      </c>
      <c r="Q1907">
        <f>-334.020649232361 -8.35297432564471 -383.309879798064</f>
        <v>-725.68350335606965</v>
      </c>
      <c r="R1907" t="s">
        <v>36021</v>
      </c>
      <c r="S1907" t="s">
        <v>36022</v>
      </c>
      <c r="T1907" t="s">
        <v>36023</v>
      </c>
      <c r="U1907" t="s">
        <v>36024</v>
      </c>
      <c r="V1907" t="s">
        <v>36025</v>
      </c>
      <c r="W1907" t="s">
        <v>36026</v>
      </c>
      <c r="X1907" t="s">
        <v>36027</v>
      </c>
      <c r="Y1907" t="s">
        <v>36028</v>
      </c>
    </row>
    <row r="1908" spans="1:25" x14ac:dyDescent="0.3">
      <c r="A1908">
        <v>95350</v>
      </c>
      <c r="B1908" t="s">
        <v>36029</v>
      </c>
      <c r="C1908" t="s">
        <v>36030</v>
      </c>
      <c r="D1908" t="s">
        <v>36031</v>
      </c>
      <c r="E1908" t="s">
        <v>36032</v>
      </c>
      <c r="F1908" t="s">
        <v>36033</v>
      </c>
      <c r="G1908" t="s">
        <v>36034</v>
      </c>
      <c r="H1908" t="s">
        <v>36035</v>
      </c>
      <c r="I1908">
        <f>-509.972258283768 -1.14797492949469 -923.082578737907</f>
        <v>-1434.2028119511697</v>
      </c>
      <c r="J1908" t="s">
        <v>36036</v>
      </c>
      <c r="K1908" t="s">
        <v>36037</v>
      </c>
      <c r="L1908" t="s">
        <v>36038</v>
      </c>
      <c r="M1908" t="s">
        <v>36039</v>
      </c>
      <c r="N1908" t="s">
        <v>36040</v>
      </c>
      <c r="O1908">
        <f>-591.260719410795 -124.138570248828 -706.555872266812</f>
        <v>-1421.955161926435</v>
      </c>
      <c r="P1908">
        <f>-589.641126072261 -72.3681230484256 -394.300672707198</f>
        <v>-1056.3099218278846</v>
      </c>
      <c r="Q1908">
        <f>-338.427321313039 -6.56710155594487 -380.020953998862</f>
        <v>-725.01537686784582</v>
      </c>
      <c r="R1908" t="s">
        <v>36041</v>
      </c>
      <c r="S1908" t="s">
        <v>36042</v>
      </c>
      <c r="T1908" t="s">
        <v>36043</v>
      </c>
      <c r="U1908" t="s">
        <v>36044</v>
      </c>
      <c r="V1908" t="s">
        <v>36045</v>
      </c>
      <c r="W1908" t="s">
        <v>36046</v>
      </c>
      <c r="X1908" t="s">
        <v>36047</v>
      </c>
      <c r="Y1908" t="s">
        <v>36048</v>
      </c>
    </row>
    <row r="1909" spans="1:25" x14ac:dyDescent="0.3">
      <c r="A1909">
        <v>95400</v>
      </c>
      <c r="B1909" t="s">
        <v>36049</v>
      </c>
      <c r="C1909" t="s">
        <v>36050</v>
      </c>
      <c r="D1909" t="s">
        <v>36051</v>
      </c>
      <c r="E1909" t="s">
        <v>36052</v>
      </c>
      <c r="F1909" t="s">
        <v>36053</v>
      </c>
      <c r="G1909" t="s">
        <v>36054</v>
      </c>
      <c r="H1909" t="s">
        <v>36055</v>
      </c>
      <c r="I1909">
        <f>-509.427953764735 -1.63336170455864 -922.787839081172</f>
        <v>-1433.8491545504658</v>
      </c>
      <c r="J1909" t="s">
        <v>36056</v>
      </c>
      <c r="K1909" t="s">
        <v>36057</v>
      </c>
      <c r="L1909" t="s">
        <v>36058</v>
      </c>
      <c r="M1909" t="s">
        <v>36059</v>
      </c>
      <c r="N1909" t="s">
        <v>36060</v>
      </c>
      <c r="O1909">
        <f>-590.989635548709 -124.190466347376 -705.989215357711</f>
        <v>-1421.1693172537962</v>
      </c>
      <c r="P1909">
        <f>-590.961955934056 -71.5490441039442 -393.875349316016</f>
        <v>-1056.3863493540161</v>
      </c>
      <c r="Q1909">
        <f>-340.118347268167 -4.56168257411468 -378.635673118122</f>
        <v>-723.31570296040366</v>
      </c>
      <c r="R1909" t="s">
        <v>36061</v>
      </c>
      <c r="S1909" t="s">
        <v>36062</v>
      </c>
      <c r="T1909" t="s">
        <v>36063</v>
      </c>
      <c r="U1909" t="s">
        <v>36064</v>
      </c>
      <c r="V1909" t="s">
        <v>36065</v>
      </c>
      <c r="W1909" t="s">
        <v>36066</v>
      </c>
      <c r="X1909" t="s">
        <v>36067</v>
      </c>
      <c r="Y1909" t="s">
        <v>36068</v>
      </c>
    </row>
    <row r="1910" spans="1:25" x14ac:dyDescent="0.3">
      <c r="A1910">
        <v>95450</v>
      </c>
      <c r="B1910" t="s">
        <v>36069</v>
      </c>
      <c r="C1910" t="s">
        <v>36070</v>
      </c>
      <c r="D1910" t="s">
        <v>36071</v>
      </c>
      <c r="E1910" t="s">
        <v>36072</v>
      </c>
      <c r="F1910" t="s">
        <v>36073</v>
      </c>
      <c r="G1910" t="s">
        <v>36074</v>
      </c>
      <c r="H1910" t="s">
        <v>36075</v>
      </c>
      <c r="I1910">
        <f>-507.787604478455 -2.72056782203163 -922.265501744434</f>
        <v>-1432.7736740449207</v>
      </c>
      <c r="J1910" t="s">
        <v>36076</v>
      </c>
      <c r="K1910" t="s">
        <v>36077</v>
      </c>
      <c r="L1910" t="s">
        <v>36078</v>
      </c>
      <c r="M1910" t="s">
        <v>36079</v>
      </c>
      <c r="N1910" t="s">
        <v>36080</v>
      </c>
      <c r="O1910">
        <f>-589.363416516973 -124.413181596754 -704.623178885368</f>
        <v>-1418.3997769990951</v>
      </c>
      <c r="P1910">
        <f>-593.088607310485 -68.1015445099174 -393.172883759152</f>
        <v>-1054.3630355795544</v>
      </c>
      <c r="Q1910">
        <f>-342.644519222576 -0.566458525930102 -374.230529368453</f>
        <v>-717.44150711695909</v>
      </c>
      <c r="R1910" t="s">
        <v>36081</v>
      </c>
      <c r="S1910" t="s">
        <v>36082</v>
      </c>
      <c r="T1910" t="s">
        <v>36083</v>
      </c>
      <c r="U1910" t="s">
        <v>36084</v>
      </c>
      <c r="V1910" t="s">
        <v>36085</v>
      </c>
      <c r="W1910" t="s">
        <v>36086</v>
      </c>
      <c r="X1910" t="s">
        <v>36087</v>
      </c>
      <c r="Y1910" t="s">
        <v>36088</v>
      </c>
    </row>
    <row r="1911" spans="1:25" x14ac:dyDescent="0.3">
      <c r="A1911">
        <v>95500</v>
      </c>
      <c r="B1911" t="s">
        <v>36089</v>
      </c>
      <c r="C1911" t="s">
        <v>36090</v>
      </c>
      <c r="D1911" t="s">
        <v>36091</v>
      </c>
      <c r="E1911" t="s">
        <v>36092</v>
      </c>
      <c r="F1911" t="s">
        <v>36093</v>
      </c>
      <c r="G1911" t="s">
        <v>36094</v>
      </c>
      <c r="H1911" t="s">
        <v>36095</v>
      </c>
      <c r="I1911">
        <f>-506.866028291038 -3.38683745135904 -921.954359826544</f>
        <v>-1432.2072255689409</v>
      </c>
      <c r="J1911" t="s">
        <v>36096</v>
      </c>
      <c r="K1911" t="s">
        <v>36097</v>
      </c>
      <c r="L1911" t="s">
        <v>36098</v>
      </c>
      <c r="M1911" t="s">
        <v>36099</v>
      </c>
      <c r="N1911" t="s">
        <v>36100</v>
      </c>
      <c r="O1911">
        <f>-588.25211080768 -124.70912158158 -703.945524485416</f>
        <v>-1416.9067568746759</v>
      </c>
      <c r="P1911">
        <f>-594.752810936216 -67.2430944107884 -392.75155145701</f>
        <v>-1054.7474568040143</v>
      </c>
      <c r="Q1911" t="s">
        <v>36101</v>
      </c>
      <c r="R1911" t="s">
        <v>36102</v>
      </c>
      <c r="S1911" t="s">
        <v>36103</v>
      </c>
      <c r="T1911" t="s">
        <v>36104</v>
      </c>
      <c r="U1911" t="s">
        <v>36105</v>
      </c>
      <c r="V1911" t="s">
        <v>36106</v>
      </c>
      <c r="W1911" t="s">
        <v>36107</v>
      </c>
      <c r="X1911" t="s">
        <v>36108</v>
      </c>
      <c r="Y1911" t="s">
        <v>36109</v>
      </c>
    </row>
    <row r="1912" spans="1:25" x14ac:dyDescent="0.3">
      <c r="A1912">
        <v>95550</v>
      </c>
      <c r="B1912" t="s">
        <v>36110</v>
      </c>
      <c r="C1912" t="s">
        <v>36111</v>
      </c>
      <c r="D1912" t="s">
        <v>36112</v>
      </c>
      <c r="E1912" t="s">
        <v>36113</v>
      </c>
      <c r="F1912" t="s">
        <v>36114</v>
      </c>
      <c r="G1912" t="s">
        <v>36115</v>
      </c>
      <c r="H1912" t="s">
        <v>36116</v>
      </c>
      <c r="I1912">
        <f>-505.004385756191 -3.55305990512716 -921.58918449099</f>
        <v>-1430.1466301523083</v>
      </c>
      <c r="J1912" t="s">
        <v>36117</v>
      </c>
      <c r="K1912" t="s">
        <v>36118</v>
      </c>
      <c r="L1912" t="s">
        <v>36119</v>
      </c>
      <c r="M1912" t="s">
        <v>36120</v>
      </c>
      <c r="N1912" t="s">
        <v>36121</v>
      </c>
      <c r="O1912">
        <f>-586.324231809145 -124.906436937449 -703.553314178535</f>
        <v>-1414.7839829251288</v>
      </c>
      <c r="P1912">
        <f>-600.008363834453 -66.0719766460606 -392.84855871343</f>
        <v>-1058.9288991939436</v>
      </c>
      <c r="Q1912" t="s">
        <v>36122</v>
      </c>
      <c r="R1912" t="s">
        <v>36123</v>
      </c>
      <c r="S1912" t="s">
        <v>36124</v>
      </c>
      <c r="T1912" t="s">
        <v>36125</v>
      </c>
      <c r="U1912" t="s">
        <v>36126</v>
      </c>
      <c r="V1912" t="s">
        <v>36127</v>
      </c>
      <c r="W1912" t="s">
        <v>36128</v>
      </c>
      <c r="X1912" t="s">
        <v>36129</v>
      </c>
      <c r="Y1912" t="s">
        <v>36130</v>
      </c>
    </row>
    <row r="1913" spans="1:25" x14ac:dyDescent="0.3">
      <c r="A1913">
        <v>95600</v>
      </c>
      <c r="B1913" t="s">
        <v>36131</v>
      </c>
      <c r="C1913" t="s">
        <v>36132</v>
      </c>
      <c r="D1913" t="s">
        <v>36133</v>
      </c>
      <c r="E1913" t="s">
        <v>36134</v>
      </c>
      <c r="F1913" t="s">
        <v>36135</v>
      </c>
      <c r="G1913" t="s">
        <v>36136</v>
      </c>
      <c r="H1913" t="s">
        <v>36137</v>
      </c>
      <c r="I1913">
        <f>-504.275355317716 -3.19942339980253 -921.513328625165</f>
        <v>-1428.9881073426834</v>
      </c>
      <c r="J1913" t="s">
        <v>36138</v>
      </c>
      <c r="K1913" t="s">
        <v>36139</v>
      </c>
      <c r="L1913" t="s">
        <v>36140</v>
      </c>
      <c r="M1913" t="s">
        <v>36141</v>
      </c>
      <c r="N1913" t="s">
        <v>36142</v>
      </c>
      <c r="O1913">
        <f>-585.716693640983 -124.762492537958 -703.659551900965</f>
        <v>-1414.138738079906</v>
      </c>
      <c r="P1913">
        <f>-602.262645797343 -66.5674002104129 -392.973588241205</f>
        <v>-1061.8036342489609</v>
      </c>
      <c r="Q1913" t="s">
        <v>36143</v>
      </c>
      <c r="R1913" t="s">
        <v>36144</v>
      </c>
      <c r="S1913" t="s">
        <v>36145</v>
      </c>
      <c r="T1913" t="s">
        <v>36146</v>
      </c>
      <c r="U1913" t="s">
        <v>36147</v>
      </c>
      <c r="V1913" t="s">
        <v>36148</v>
      </c>
      <c r="W1913" t="s">
        <v>36149</v>
      </c>
      <c r="X1913" t="s">
        <v>36150</v>
      </c>
      <c r="Y1913" t="s">
        <v>36151</v>
      </c>
    </row>
    <row r="1914" spans="1:25" x14ac:dyDescent="0.3">
      <c r="A1914">
        <v>95650</v>
      </c>
      <c r="B1914" t="s">
        <v>36152</v>
      </c>
      <c r="C1914" t="s">
        <v>36153</v>
      </c>
      <c r="D1914" t="s">
        <v>36154</v>
      </c>
      <c r="E1914" t="s">
        <v>36155</v>
      </c>
      <c r="F1914" t="s">
        <v>36156</v>
      </c>
      <c r="G1914" t="s">
        <v>36157</v>
      </c>
      <c r="H1914" t="s">
        <v>36158</v>
      </c>
      <c r="I1914">
        <f>-503.426370854207 -2.01161355574777 -921.592029014395</f>
        <v>-1427.0300134243498</v>
      </c>
      <c r="J1914" t="s">
        <v>36159</v>
      </c>
      <c r="K1914" t="s">
        <v>36160</v>
      </c>
      <c r="L1914" t="s">
        <v>36161</v>
      </c>
      <c r="M1914" t="s">
        <v>36162</v>
      </c>
      <c r="N1914" t="s">
        <v>36163</v>
      </c>
      <c r="O1914">
        <f>-585.294208596574 -124.28629851123 -704.235266012443</f>
        <v>-1413.8157731202471</v>
      </c>
      <c r="P1914">
        <f>-604.722454496777 -66.7059050594728 -393.601702985978</f>
        <v>-1065.0300625422278</v>
      </c>
      <c r="Q1914" t="s">
        <v>36164</v>
      </c>
      <c r="R1914" t="s">
        <v>36165</v>
      </c>
      <c r="S1914" t="s">
        <v>36166</v>
      </c>
      <c r="T1914" t="s">
        <v>36167</v>
      </c>
      <c r="U1914" t="s">
        <v>36168</v>
      </c>
      <c r="V1914" t="s">
        <v>36169</v>
      </c>
      <c r="W1914" t="s">
        <v>36170</v>
      </c>
      <c r="X1914" t="s">
        <v>36171</v>
      </c>
      <c r="Y1914" t="s">
        <v>36172</v>
      </c>
    </row>
    <row r="1915" spans="1:25" x14ac:dyDescent="0.3">
      <c r="A1915">
        <v>95700</v>
      </c>
      <c r="B1915" t="s">
        <v>36173</v>
      </c>
      <c r="C1915" t="s">
        <v>36174</v>
      </c>
      <c r="D1915" t="s">
        <v>36175</v>
      </c>
      <c r="E1915" t="s">
        <v>36176</v>
      </c>
      <c r="F1915" t="s">
        <v>36177</v>
      </c>
      <c r="G1915" t="s">
        <v>36178</v>
      </c>
      <c r="H1915" t="s">
        <v>36179</v>
      </c>
      <c r="I1915">
        <f>-503.337816680373 -1.28127509205706 -921.750039749737</f>
        <v>-1426.369131522167</v>
      </c>
      <c r="J1915" t="s">
        <v>36180</v>
      </c>
      <c r="K1915" t="s">
        <v>36181</v>
      </c>
      <c r="L1915" t="s">
        <v>36182</v>
      </c>
      <c r="M1915" t="s">
        <v>36183</v>
      </c>
      <c r="N1915" t="s">
        <v>36184</v>
      </c>
      <c r="O1915">
        <f>-585.33673606256 -123.918967385837 -704.548444620007</f>
        <v>-1413.8041480684042</v>
      </c>
      <c r="P1915">
        <f>-604.522914501979 -66.9195684461761 -393.792595847385</f>
        <v>-1065.2350787955402</v>
      </c>
      <c r="Q1915" t="s">
        <v>36185</v>
      </c>
      <c r="R1915" t="s">
        <v>36186</v>
      </c>
      <c r="S1915" t="s">
        <v>36187</v>
      </c>
      <c r="T1915" t="s">
        <v>36188</v>
      </c>
      <c r="U1915" t="s">
        <v>36189</v>
      </c>
      <c r="V1915" t="s">
        <v>36190</v>
      </c>
      <c r="W1915" t="s">
        <v>36191</v>
      </c>
      <c r="X1915" t="s">
        <v>36192</v>
      </c>
      <c r="Y1915" t="s">
        <v>36193</v>
      </c>
    </row>
    <row r="1916" spans="1:25" x14ac:dyDescent="0.3">
      <c r="A1916">
        <v>95750</v>
      </c>
      <c r="B1916" t="s">
        <v>36194</v>
      </c>
      <c r="C1916" t="s">
        <v>36195</v>
      </c>
      <c r="D1916" t="s">
        <v>36196</v>
      </c>
      <c r="E1916" t="s">
        <v>36197</v>
      </c>
      <c r="F1916" t="s">
        <v>36198</v>
      </c>
      <c r="G1916" t="s">
        <v>36199</v>
      </c>
      <c r="H1916" t="s">
        <v>36200</v>
      </c>
      <c r="I1916" t="s">
        <v>36201</v>
      </c>
      <c r="J1916" t="s">
        <v>36202</v>
      </c>
      <c r="K1916" t="s">
        <v>36203</v>
      </c>
      <c r="L1916" t="s">
        <v>36204</v>
      </c>
      <c r="M1916" t="s">
        <v>36205</v>
      </c>
      <c r="N1916" t="s">
        <v>36206</v>
      </c>
      <c r="O1916">
        <f>-585.521034516247 -122.850146353898 -705.531128948835</f>
        <v>-1413.90230981898</v>
      </c>
      <c r="P1916">
        <f>-603.235965296121 -67.9251934805195 -394.314691355335</f>
        <v>-1065.4758501319754</v>
      </c>
      <c r="Q1916" t="s">
        <v>36207</v>
      </c>
      <c r="R1916" t="s">
        <v>36208</v>
      </c>
      <c r="S1916" t="s">
        <v>36209</v>
      </c>
      <c r="T1916" t="s">
        <v>36210</v>
      </c>
      <c r="U1916" t="s">
        <v>36211</v>
      </c>
      <c r="V1916" t="s">
        <v>36212</v>
      </c>
      <c r="W1916" t="s">
        <v>36213</v>
      </c>
      <c r="X1916" t="s">
        <v>36214</v>
      </c>
      <c r="Y1916" t="s">
        <v>36215</v>
      </c>
    </row>
    <row r="1917" spans="1:25" x14ac:dyDescent="0.3">
      <c r="A1917">
        <v>95800</v>
      </c>
      <c r="B1917" t="s">
        <v>36216</v>
      </c>
      <c r="C1917" t="s">
        <v>36217</v>
      </c>
      <c r="D1917" t="s">
        <v>36218</v>
      </c>
      <c r="E1917" t="s">
        <v>36219</v>
      </c>
      <c r="F1917" t="s">
        <v>36220</v>
      </c>
      <c r="G1917" t="s">
        <v>36221</v>
      </c>
      <c r="H1917" t="s">
        <v>36222</v>
      </c>
      <c r="I1917" t="s">
        <v>36223</v>
      </c>
      <c r="J1917" t="s">
        <v>36224</v>
      </c>
      <c r="K1917" t="s">
        <v>36225</v>
      </c>
      <c r="L1917" t="s">
        <v>36226</v>
      </c>
      <c r="M1917" t="s">
        <v>36227</v>
      </c>
      <c r="N1917" t="s">
        <v>36228</v>
      </c>
      <c r="O1917">
        <f>-585.792911970649 -122.058047224956 -706.264156043367</f>
        <v>-1414.1151152389721</v>
      </c>
      <c r="P1917">
        <f>-602.501812730952 -68.4294898838366 -394.766175113735</f>
        <v>-1065.6974777285236</v>
      </c>
      <c r="Q1917">
        <f>-352.458899613297 -0.494502822524055 -372.285108577057</f>
        <v>-725.23851101287801</v>
      </c>
      <c r="R1917" t="s">
        <v>36229</v>
      </c>
      <c r="S1917" t="s">
        <v>36230</v>
      </c>
      <c r="T1917" t="s">
        <v>36231</v>
      </c>
      <c r="U1917" t="s">
        <v>36232</v>
      </c>
      <c r="V1917" t="s">
        <v>36233</v>
      </c>
      <c r="W1917" t="s">
        <v>36234</v>
      </c>
      <c r="X1917" t="s">
        <v>36235</v>
      </c>
      <c r="Y1917" t="s">
        <v>36236</v>
      </c>
    </row>
    <row r="1918" spans="1:25" x14ac:dyDescent="0.3">
      <c r="A1918">
        <v>95850</v>
      </c>
      <c r="B1918" t="s">
        <v>36237</v>
      </c>
      <c r="C1918" t="s">
        <v>36238</v>
      </c>
      <c r="D1918" t="s">
        <v>36239</v>
      </c>
      <c r="E1918" t="s">
        <v>36240</v>
      </c>
      <c r="F1918" t="s">
        <v>36241</v>
      </c>
      <c r="G1918" t="s">
        <v>36242</v>
      </c>
      <c r="H1918" t="s">
        <v>36243</v>
      </c>
      <c r="I1918" t="s">
        <v>36244</v>
      </c>
      <c r="J1918" t="s">
        <v>36245</v>
      </c>
      <c r="K1918" t="s">
        <v>36246</v>
      </c>
      <c r="L1918" t="s">
        <v>36247</v>
      </c>
      <c r="M1918" t="s">
        <v>36248</v>
      </c>
      <c r="N1918" t="s">
        <v>36249</v>
      </c>
      <c r="O1918">
        <f>-586.049610880253 -120.642753039218 -707.737827895689</f>
        <v>-1414.43019181516</v>
      </c>
      <c r="P1918">
        <f>-601.677154582203 -69.6124233557055 -395.747716128806</f>
        <v>-1067.0372940667144</v>
      </c>
      <c r="Q1918">
        <f>-351.713204576102 -0.572891085776291 -375.908097415615</f>
        <v>-728.19419307749331</v>
      </c>
      <c r="R1918" t="s">
        <v>36250</v>
      </c>
      <c r="S1918" t="s">
        <v>36251</v>
      </c>
      <c r="T1918" t="s">
        <v>36252</v>
      </c>
      <c r="U1918" t="s">
        <v>36253</v>
      </c>
      <c r="V1918" t="s">
        <v>36254</v>
      </c>
      <c r="W1918" t="s">
        <v>36255</v>
      </c>
      <c r="X1918" t="s">
        <v>36256</v>
      </c>
      <c r="Y1918" t="s">
        <v>36257</v>
      </c>
    </row>
    <row r="1919" spans="1:25" x14ac:dyDescent="0.3">
      <c r="A1919">
        <v>95900</v>
      </c>
      <c r="B1919" t="s">
        <v>36258</v>
      </c>
      <c r="C1919" t="s">
        <v>36259</v>
      </c>
      <c r="D1919" t="s">
        <v>36260</v>
      </c>
      <c r="E1919" t="s">
        <v>36261</v>
      </c>
      <c r="F1919" t="s">
        <v>36262</v>
      </c>
      <c r="G1919" t="s">
        <v>36263</v>
      </c>
      <c r="H1919" t="s">
        <v>36264</v>
      </c>
      <c r="I1919" t="s">
        <v>36265</v>
      </c>
      <c r="J1919" t="s">
        <v>36266</v>
      </c>
      <c r="K1919" t="s">
        <v>36267</v>
      </c>
      <c r="L1919" t="s">
        <v>36268</v>
      </c>
      <c r="M1919" t="s">
        <v>36269</v>
      </c>
      <c r="N1919" t="s">
        <v>36270</v>
      </c>
      <c r="O1919">
        <f>-586.243645872537 -120.079733679383 -708.488386909869</f>
        <v>-1414.8117664617889</v>
      </c>
      <c r="P1919">
        <f>-601.508148046147 -69.8582409323997 -396.349118532209</f>
        <v>-1067.7155075107557</v>
      </c>
      <c r="Q1919">
        <f>-351.677839762159 -0.19784293578914 -377.002235782157</f>
        <v>-728.87791848010511</v>
      </c>
      <c r="R1919" t="s">
        <v>36271</v>
      </c>
      <c r="S1919" t="s">
        <v>36272</v>
      </c>
      <c r="T1919" t="s">
        <v>36273</v>
      </c>
      <c r="U1919" t="s">
        <v>36274</v>
      </c>
      <c r="V1919" t="s">
        <v>36275</v>
      </c>
      <c r="W1919" t="s">
        <v>36276</v>
      </c>
      <c r="X1919" t="s">
        <v>36277</v>
      </c>
      <c r="Y1919" t="s">
        <v>36278</v>
      </c>
    </row>
    <row r="1920" spans="1:25" x14ac:dyDescent="0.3">
      <c r="A1920">
        <v>95950</v>
      </c>
      <c r="B1920" t="s">
        <v>36279</v>
      </c>
      <c r="C1920" t="s">
        <v>36280</v>
      </c>
      <c r="D1920" t="s">
        <v>36281</v>
      </c>
      <c r="E1920" t="s">
        <v>36282</v>
      </c>
      <c r="F1920" t="s">
        <v>36283</v>
      </c>
      <c r="G1920" t="s">
        <v>36284</v>
      </c>
      <c r="H1920" t="s">
        <v>36285</v>
      </c>
      <c r="I1920" t="s">
        <v>36286</v>
      </c>
      <c r="J1920" t="s">
        <v>36287</v>
      </c>
      <c r="K1920" t="s">
        <v>36288</v>
      </c>
      <c r="L1920" t="s">
        <v>36289</v>
      </c>
      <c r="M1920" t="s">
        <v>36290</v>
      </c>
      <c r="N1920" t="s">
        <v>36291</v>
      </c>
      <c r="O1920">
        <f>-587.191261563726 -119.650325684788 -709.338497683847</f>
        <v>-1416.1800849323608</v>
      </c>
      <c r="P1920">
        <f>-602.153332552236 -70.1652078009902 -397.06695132226</f>
        <v>-1069.3854916754863</v>
      </c>
      <c r="Q1920" t="s">
        <v>36292</v>
      </c>
      <c r="R1920" t="s">
        <v>36293</v>
      </c>
      <c r="S1920" t="s">
        <v>36294</v>
      </c>
      <c r="T1920" t="s">
        <v>36295</v>
      </c>
      <c r="U1920" t="s">
        <v>36296</v>
      </c>
      <c r="V1920" t="s">
        <v>36297</v>
      </c>
      <c r="W1920" t="s">
        <v>36298</v>
      </c>
      <c r="X1920" t="s">
        <v>36299</v>
      </c>
      <c r="Y1920" t="s">
        <v>36300</v>
      </c>
    </row>
    <row r="1921" spans="1:25" x14ac:dyDescent="0.3">
      <c r="A1921">
        <v>96000</v>
      </c>
      <c r="B1921" t="s">
        <v>36301</v>
      </c>
      <c r="C1921" t="s">
        <v>36302</v>
      </c>
      <c r="D1921" t="s">
        <v>36303</v>
      </c>
      <c r="E1921" t="s">
        <v>36304</v>
      </c>
      <c r="F1921" t="s">
        <v>36305</v>
      </c>
      <c r="G1921" t="s">
        <v>36306</v>
      </c>
      <c r="H1921" t="s">
        <v>36307</v>
      </c>
      <c r="I1921" t="s">
        <v>36308</v>
      </c>
      <c r="J1921" t="s">
        <v>36309</v>
      </c>
      <c r="K1921" t="s">
        <v>36310</v>
      </c>
      <c r="L1921" t="s">
        <v>36311</v>
      </c>
      <c r="M1921" t="s">
        <v>36312</v>
      </c>
      <c r="N1921" t="s">
        <v>36313</v>
      </c>
      <c r="O1921">
        <f>-587.436861757012 -119.304906060273 -709.790418547422</f>
        <v>-1416.5321863647068</v>
      </c>
      <c r="P1921">
        <f>-602.93423882423 -69.8731316114299 -397.536619012105</f>
        <v>-1070.3439894477649</v>
      </c>
      <c r="Q1921" t="s">
        <v>36314</v>
      </c>
      <c r="R1921" t="s">
        <v>36315</v>
      </c>
      <c r="S1921" t="s">
        <v>36316</v>
      </c>
      <c r="T1921" t="s">
        <v>36317</v>
      </c>
      <c r="U1921" t="s">
        <v>36318</v>
      </c>
      <c r="V1921" t="s">
        <v>36319</v>
      </c>
      <c r="W1921" t="s">
        <v>36320</v>
      </c>
      <c r="X1921" t="s">
        <v>36321</v>
      </c>
      <c r="Y1921" t="s">
        <v>36322</v>
      </c>
    </row>
    <row r="1922" spans="1:25" x14ac:dyDescent="0.3">
      <c r="A1922">
        <v>96050</v>
      </c>
      <c r="B1922" t="s">
        <v>36323</v>
      </c>
      <c r="C1922" t="s">
        <v>36324</v>
      </c>
      <c r="D1922" t="s">
        <v>36325</v>
      </c>
      <c r="E1922" t="s">
        <v>36326</v>
      </c>
      <c r="F1922" t="s">
        <v>36327</v>
      </c>
      <c r="G1922" t="s">
        <v>36328</v>
      </c>
      <c r="H1922" t="s">
        <v>36329</v>
      </c>
      <c r="I1922" t="s">
        <v>36330</v>
      </c>
      <c r="J1922" t="s">
        <v>36331</v>
      </c>
      <c r="K1922" t="s">
        <v>36332</v>
      </c>
      <c r="L1922" t="s">
        <v>36333</v>
      </c>
      <c r="M1922" t="s">
        <v>36334</v>
      </c>
      <c r="N1922" t="s">
        <v>36335</v>
      </c>
      <c r="O1922">
        <f>-588.401574256694 -118.398640377626 -710.65694903546</f>
        <v>-1417.4571636697799</v>
      </c>
      <c r="P1922">
        <f>-604.65991785797 -69.2306584180358 -398.400054071137</f>
        <v>-1072.2906303471427</v>
      </c>
      <c r="Q1922" t="s">
        <v>36336</v>
      </c>
      <c r="R1922" t="s">
        <v>36337</v>
      </c>
      <c r="S1922" t="s">
        <v>36338</v>
      </c>
      <c r="T1922" t="s">
        <v>36339</v>
      </c>
      <c r="U1922" t="s">
        <v>36340</v>
      </c>
      <c r="V1922" t="s">
        <v>36341</v>
      </c>
      <c r="W1922" t="s">
        <v>36342</v>
      </c>
      <c r="X1922" t="s">
        <v>36343</v>
      </c>
      <c r="Y1922" t="s">
        <v>36344</v>
      </c>
    </row>
    <row r="1923" spans="1:25" x14ac:dyDescent="0.3">
      <c r="A1923">
        <v>96100</v>
      </c>
      <c r="B1923" t="s">
        <v>36345</v>
      </c>
      <c r="C1923" t="s">
        <v>36346</v>
      </c>
      <c r="D1923" t="s">
        <v>36347</v>
      </c>
      <c r="E1923" t="s">
        <v>36348</v>
      </c>
      <c r="F1923" t="s">
        <v>36349</v>
      </c>
      <c r="G1923" t="s">
        <v>36350</v>
      </c>
      <c r="H1923" t="s">
        <v>36351</v>
      </c>
      <c r="I1923" t="s">
        <v>36352</v>
      </c>
      <c r="J1923" t="s">
        <v>36353</v>
      </c>
      <c r="K1923" t="s">
        <v>36354</v>
      </c>
      <c r="L1923" t="s">
        <v>36355</v>
      </c>
      <c r="M1923" t="s">
        <v>36356</v>
      </c>
      <c r="N1923" t="s">
        <v>36357</v>
      </c>
      <c r="O1923">
        <f>-589.321869867646 -118.020966323374 -710.966344235183</f>
        <v>-1418.3091804262031</v>
      </c>
      <c r="P1923">
        <f>-605.302926257372 -68.5150025362802 -398.74852659554</f>
        <v>-1072.5664553891922</v>
      </c>
      <c r="Q1923" t="s">
        <v>36358</v>
      </c>
      <c r="R1923" t="s">
        <v>36359</v>
      </c>
      <c r="S1923" t="s">
        <v>36360</v>
      </c>
      <c r="T1923" t="s">
        <v>36361</v>
      </c>
      <c r="U1923" t="s">
        <v>36362</v>
      </c>
      <c r="V1923" t="s">
        <v>36363</v>
      </c>
      <c r="W1923" t="s">
        <v>36364</v>
      </c>
      <c r="X1923" t="s">
        <v>36365</v>
      </c>
      <c r="Y1923" t="s">
        <v>36366</v>
      </c>
    </row>
    <row r="1924" spans="1:25" x14ac:dyDescent="0.3">
      <c r="A1924">
        <v>96150</v>
      </c>
      <c r="B1924" t="s">
        <v>36367</v>
      </c>
      <c r="C1924" t="s">
        <v>36368</v>
      </c>
      <c r="D1924" t="s">
        <v>36369</v>
      </c>
      <c r="E1924" t="s">
        <v>36370</v>
      </c>
      <c r="F1924" t="s">
        <v>36371</v>
      </c>
      <c r="G1924" t="s">
        <v>36372</v>
      </c>
      <c r="H1924" t="s">
        <v>36373</v>
      </c>
      <c r="I1924" t="s">
        <v>36374</v>
      </c>
      <c r="J1924" t="s">
        <v>36375</v>
      </c>
      <c r="K1924" t="s">
        <v>36376</v>
      </c>
      <c r="L1924" t="s">
        <v>36377</v>
      </c>
      <c r="M1924" t="s">
        <v>36378</v>
      </c>
      <c r="N1924" t="s">
        <v>36379</v>
      </c>
      <c r="O1924">
        <f>-591.111831188952 -117.303270786445 -711.077833146493</f>
        <v>-1419.49293512189</v>
      </c>
      <c r="P1924">
        <f>-605.660340906616 -67.2409785060765 -398.878690776658</f>
        <v>-1071.7800101893506</v>
      </c>
      <c r="Q1924" t="s">
        <v>36380</v>
      </c>
      <c r="R1924" t="s">
        <v>36381</v>
      </c>
      <c r="S1924" t="s">
        <v>36382</v>
      </c>
      <c r="T1924" t="s">
        <v>36383</v>
      </c>
      <c r="U1924" t="s">
        <v>36384</v>
      </c>
      <c r="V1924" t="s">
        <v>36385</v>
      </c>
      <c r="W1924" t="s">
        <v>36386</v>
      </c>
      <c r="X1924" t="s">
        <v>36387</v>
      </c>
      <c r="Y1924" t="s">
        <v>36388</v>
      </c>
    </row>
    <row r="1925" spans="1:25" x14ac:dyDescent="0.3">
      <c r="A1925">
        <v>96200</v>
      </c>
      <c r="B1925" t="s">
        <v>36389</v>
      </c>
      <c r="C1925" t="s">
        <v>36390</v>
      </c>
      <c r="D1925" t="s">
        <v>36391</v>
      </c>
      <c r="E1925" t="s">
        <v>36392</v>
      </c>
      <c r="F1925" t="s">
        <v>36393</v>
      </c>
      <c r="G1925" t="s">
        <v>36394</v>
      </c>
      <c r="H1925" t="s">
        <v>36395</v>
      </c>
      <c r="I1925" t="s">
        <v>36396</v>
      </c>
      <c r="J1925" t="s">
        <v>36397</v>
      </c>
      <c r="K1925" t="s">
        <v>36398</v>
      </c>
      <c r="L1925" t="s">
        <v>36399</v>
      </c>
      <c r="M1925" t="s">
        <v>36400</v>
      </c>
      <c r="N1925" t="s">
        <v>36401</v>
      </c>
      <c r="O1925">
        <f>-591.696948341592 -117.312536608009 -710.883419896046</f>
        <v>-1419.8929048456471</v>
      </c>
      <c r="P1925">
        <f>-606.149714816088 -68.1271077081906 -398.540492450713</f>
        <v>-1072.8173149749916</v>
      </c>
      <c r="Q1925" t="s">
        <v>36402</v>
      </c>
      <c r="R1925" t="s">
        <v>36403</v>
      </c>
      <c r="S1925" t="s">
        <v>36404</v>
      </c>
      <c r="T1925" t="s">
        <v>36405</v>
      </c>
      <c r="U1925" t="s">
        <v>36406</v>
      </c>
      <c r="V1925" t="s">
        <v>36407</v>
      </c>
      <c r="W1925" t="s">
        <v>36408</v>
      </c>
      <c r="X1925" t="s">
        <v>36409</v>
      </c>
      <c r="Y1925" t="s">
        <v>36410</v>
      </c>
    </row>
    <row r="1926" spans="1:25" x14ac:dyDescent="0.3">
      <c r="A1926">
        <v>96250</v>
      </c>
      <c r="B1926" t="s">
        <v>36411</v>
      </c>
      <c r="C1926" t="s">
        <v>36412</v>
      </c>
      <c r="D1926" t="s">
        <v>36413</v>
      </c>
      <c r="E1926" t="s">
        <v>36414</v>
      </c>
      <c r="F1926" t="s">
        <v>36415</v>
      </c>
      <c r="G1926" t="s">
        <v>36416</v>
      </c>
      <c r="H1926" t="s">
        <v>36417</v>
      </c>
      <c r="I1926" t="s">
        <v>36418</v>
      </c>
      <c r="J1926" t="s">
        <v>36419</v>
      </c>
      <c r="K1926" t="s">
        <v>36420</v>
      </c>
      <c r="L1926" t="s">
        <v>36421</v>
      </c>
      <c r="M1926" t="s">
        <v>36422</v>
      </c>
      <c r="N1926" t="s">
        <v>36423</v>
      </c>
      <c r="O1926">
        <f>-593.287712368941 -117.145246476178 -710.512781392791</f>
        <v>-1420.9457402379101</v>
      </c>
      <c r="P1926">
        <f>-608.236738857341 -68.9617988260811 -398.037027857099</f>
        <v>-1075.2355655405213</v>
      </c>
      <c r="Q1926" t="s">
        <v>36424</v>
      </c>
      <c r="R1926" t="s">
        <v>36425</v>
      </c>
      <c r="S1926" t="s">
        <v>36426</v>
      </c>
      <c r="T1926" t="s">
        <v>36427</v>
      </c>
      <c r="U1926" t="s">
        <v>36428</v>
      </c>
      <c r="V1926" t="s">
        <v>36429</v>
      </c>
      <c r="W1926" t="s">
        <v>36430</v>
      </c>
      <c r="X1926" t="s">
        <v>36431</v>
      </c>
      <c r="Y1926" t="s">
        <v>36432</v>
      </c>
    </row>
    <row r="1927" spans="1:25" x14ac:dyDescent="0.3">
      <c r="A1927">
        <v>96300</v>
      </c>
      <c r="B1927" t="s">
        <v>36433</v>
      </c>
      <c r="C1927" t="s">
        <v>36434</v>
      </c>
      <c r="D1927" t="s">
        <v>36435</v>
      </c>
      <c r="E1927" t="s">
        <v>36436</v>
      </c>
      <c r="F1927" t="s">
        <v>36437</v>
      </c>
      <c r="G1927" t="s">
        <v>36438</v>
      </c>
      <c r="H1927" t="s">
        <v>36439</v>
      </c>
      <c r="I1927" t="s">
        <v>36440</v>
      </c>
      <c r="J1927" t="s">
        <v>36441</v>
      </c>
      <c r="K1927" t="s">
        <v>36442</v>
      </c>
      <c r="L1927" t="s">
        <v>36443</v>
      </c>
      <c r="M1927" t="s">
        <v>36444</v>
      </c>
      <c r="N1927" t="s">
        <v>36445</v>
      </c>
      <c r="O1927">
        <f>-594.225029691955 -117.512759047837 -709.790263992698</f>
        <v>-1421.5280527324899</v>
      </c>
      <c r="P1927">
        <f>-609.284681227163 -67.7212528967318 -397.57202654542</f>
        <v>-1074.5779606693147</v>
      </c>
      <c r="Q1927" t="s">
        <v>36446</v>
      </c>
      <c r="R1927" t="s">
        <v>36447</v>
      </c>
      <c r="S1927" t="s">
        <v>36448</v>
      </c>
      <c r="T1927" t="s">
        <v>36449</v>
      </c>
      <c r="U1927" t="s">
        <v>36450</v>
      </c>
      <c r="V1927" t="s">
        <v>36451</v>
      </c>
      <c r="W1927" t="s">
        <v>36452</v>
      </c>
      <c r="X1927" t="s">
        <v>36453</v>
      </c>
      <c r="Y1927" t="s">
        <v>36454</v>
      </c>
    </row>
    <row r="1928" spans="1:25" x14ac:dyDescent="0.3">
      <c r="A1928">
        <v>96350</v>
      </c>
      <c r="B1928" t="s">
        <v>36455</v>
      </c>
      <c r="C1928" t="s">
        <v>36456</v>
      </c>
      <c r="D1928" t="s">
        <v>36457</v>
      </c>
      <c r="E1928" t="s">
        <v>36458</v>
      </c>
      <c r="F1928" t="s">
        <v>36459</v>
      </c>
      <c r="G1928" t="s">
        <v>36460</v>
      </c>
      <c r="H1928" t="s">
        <v>36461</v>
      </c>
      <c r="I1928" t="s">
        <v>36462</v>
      </c>
      <c r="J1928" t="s">
        <v>36463</v>
      </c>
      <c r="K1928" t="s">
        <v>36464</v>
      </c>
      <c r="L1928" t="s">
        <v>36465</v>
      </c>
      <c r="M1928" t="s">
        <v>36466</v>
      </c>
      <c r="N1928" t="s">
        <v>36467</v>
      </c>
      <c r="O1928">
        <f>-596.748718328535 -118.876816552347 -707.199743545729</f>
        <v>-1422.825278426611</v>
      </c>
      <c r="P1928">
        <f>-609.71621197349 -63.3184007715665 -395.861770304147</f>
        <v>-1068.8963830492035</v>
      </c>
      <c r="Q1928">
        <f>-357.337404689989 -0.857736955261089 -389.105083178853</f>
        <v>-747.30022482410311</v>
      </c>
      <c r="R1928" t="s">
        <v>36468</v>
      </c>
      <c r="S1928" t="s">
        <v>36469</v>
      </c>
      <c r="T1928" t="s">
        <v>36470</v>
      </c>
      <c r="U1928" t="s">
        <v>36471</v>
      </c>
      <c r="V1928" t="s">
        <v>36472</v>
      </c>
      <c r="W1928" t="s">
        <v>36473</v>
      </c>
      <c r="X1928" t="s">
        <v>36474</v>
      </c>
      <c r="Y1928" t="s">
        <v>36475</v>
      </c>
    </row>
    <row r="1929" spans="1:25" x14ac:dyDescent="0.3">
      <c r="A1929">
        <v>96400</v>
      </c>
      <c r="B1929" t="s">
        <v>36476</v>
      </c>
      <c r="C1929" t="s">
        <v>36477</v>
      </c>
      <c r="D1929" t="s">
        <v>36478</v>
      </c>
      <c r="E1929" t="s">
        <v>36479</v>
      </c>
      <c r="F1929" t="s">
        <v>36480</v>
      </c>
      <c r="G1929" t="s">
        <v>36481</v>
      </c>
      <c r="H1929" t="s">
        <v>36482</v>
      </c>
      <c r="I1929" t="s">
        <v>36483</v>
      </c>
      <c r="J1929" t="s">
        <v>36484</v>
      </c>
      <c r="K1929" t="s">
        <v>36485</v>
      </c>
      <c r="L1929" t="s">
        <v>36486</v>
      </c>
      <c r="M1929" t="s">
        <v>36487</v>
      </c>
      <c r="N1929" t="s">
        <v>36488</v>
      </c>
      <c r="O1929">
        <f>-598.013173405065 -119.473010979824 -705.922615414046</f>
        <v>-1423.408799798935</v>
      </c>
      <c r="P1929">
        <f>-609.609134459724 -61.4009470162193 -394.989609020857</f>
        <v>-1065.9996904968004</v>
      </c>
      <c r="Q1929">
        <f>-356.448214984588 -1.95968178044518 -390.70762668823</f>
        <v>-749.11552345326322</v>
      </c>
      <c r="R1929" t="s">
        <v>36489</v>
      </c>
      <c r="S1929" t="s">
        <v>36490</v>
      </c>
      <c r="T1929" t="s">
        <v>36491</v>
      </c>
      <c r="U1929" t="s">
        <v>36492</v>
      </c>
      <c r="V1929" t="s">
        <v>36493</v>
      </c>
      <c r="W1929" t="s">
        <v>36494</v>
      </c>
      <c r="X1929" t="s">
        <v>36495</v>
      </c>
      <c r="Y1929" t="s">
        <v>36496</v>
      </c>
    </row>
    <row r="1930" spans="1:25" x14ac:dyDescent="0.3">
      <c r="A1930">
        <v>96450</v>
      </c>
      <c r="B1930" t="s">
        <v>36497</v>
      </c>
      <c r="C1930" t="s">
        <v>36498</v>
      </c>
      <c r="D1930" t="s">
        <v>36499</v>
      </c>
      <c r="E1930" t="s">
        <v>36500</v>
      </c>
      <c r="F1930" t="s">
        <v>36501</v>
      </c>
      <c r="G1930" t="s">
        <v>36502</v>
      </c>
      <c r="H1930" t="s">
        <v>36503</v>
      </c>
      <c r="I1930">
        <f>-513.416217751051 -0.162111054644356 -921.931148882641</f>
        <v>-1435.5094776883363</v>
      </c>
      <c r="J1930" t="s">
        <v>36504</v>
      </c>
      <c r="K1930" t="s">
        <v>36505</v>
      </c>
      <c r="L1930" t="s">
        <v>36506</v>
      </c>
      <c r="M1930" t="s">
        <v>36507</v>
      </c>
      <c r="N1930" t="s">
        <v>36508</v>
      </c>
      <c r="O1930">
        <f>-600.538274656821 -120.384080819085 -703.780268221492</f>
        <v>-1424.7026236973979</v>
      </c>
      <c r="P1930">
        <f>-610.736372535908 -59.9754252205751 -393.243572601912</f>
        <v>-1063.9553703583952</v>
      </c>
      <c r="Q1930">
        <f>-356.561630901078 -4.94306446531118 -390.29752250198</f>
        <v>-751.8022178683691</v>
      </c>
      <c r="R1930" t="s">
        <v>36509</v>
      </c>
      <c r="S1930" t="s">
        <v>36510</v>
      </c>
      <c r="T1930" t="s">
        <v>36511</v>
      </c>
      <c r="U1930" t="s">
        <v>36512</v>
      </c>
      <c r="V1930" t="s">
        <v>36513</v>
      </c>
      <c r="W1930" t="s">
        <v>36514</v>
      </c>
      <c r="X1930" t="s">
        <v>36515</v>
      </c>
      <c r="Y1930" t="s">
        <v>36516</v>
      </c>
    </row>
    <row r="1931" spans="1:25" x14ac:dyDescent="0.3">
      <c r="A1931">
        <v>96500</v>
      </c>
      <c r="B1931" t="s">
        <v>36517</v>
      </c>
      <c r="C1931" t="s">
        <v>36518</v>
      </c>
      <c r="D1931" t="s">
        <v>36519</v>
      </c>
      <c r="E1931" t="s">
        <v>36520</v>
      </c>
      <c r="F1931" t="s">
        <v>36521</v>
      </c>
      <c r="G1931" t="s">
        <v>36522</v>
      </c>
      <c r="H1931" t="s">
        <v>36523</v>
      </c>
      <c r="I1931">
        <f>-514.265425074218 -1.6587580681703 -921.449156535872</f>
        <v>-1437.3733396782604</v>
      </c>
      <c r="J1931" t="s">
        <v>36524</v>
      </c>
      <c r="K1931" t="s">
        <v>36525</v>
      </c>
      <c r="L1931" t="s">
        <v>36526</v>
      </c>
      <c r="M1931" t="s">
        <v>36527</v>
      </c>
      <c r="N1931" t="s">
        <v>36528</v>
      </c>
      <c r="O1931">
        <f>-601.686061871873 -120.78507238801 -702.755611317239</f>
        <v>-1425.2267455771221</v>
      </c>
      <c r="P1931">
        <f>-611.469002985694 -59.9893019532233 -392.281237514724</f>
        <v>-1063.7395424536412</v>
      </c>
      <c r="Q1931">
        <f>-357.093379810788 -5.90578273619553 -389.107425631617</f>
        <v>-752.10658817860053</v>
      </c>
      <c r="R1931" t="s">
        <v>36529</v>
      </c>
      <c r="S1931" t="s">
        <v>36530</v>
      </c>
      <c r="T1931" t="s">
        <v>36531</v>
      </c>
      <c r="U1931" t="s">
        <v>36532</v>
      </c>
      <c r="V1931" t="s">
        <v>36533</v>
      </c>
      <c r="W1931" t="s">
        <v>36534</v>
      </c>
      <c r="X1931" t="s">
        <v>36535</v>
      </c>
      <c r="Y1931" t="s">
        <v>36536</v>
      </c>
    </row>
    <row r="1932" spans="1:25" x14ac:dyDescent="0.3">
      <c r="A1932">
        <v>96550</v>
      </c>
      <c r="B1932" t="s">
        <v>36537</v>
      </c>
      <c r="C1932" t="s">
        <v>36538</v>
      </c>
      <c r="D1932" t="s">
        <v>36539</v>
      </c>
      <c r="E1932" t="s">
        <v>36540</v>
      </c>
      <c r="F1932" t="s">
        <v>36541</v>
      </c>
      <c r="G1932" t="s">
        <v>36542</v>
      </c>
      <c r="H1932" t="s">
        <v>36543</v>
      </c>
      <c r="I1932">
        <f>-515.376628595025 -3.61026575362325 -920.719526103678</f>
        <v>-1439.7064204523263</v>
      </c>
      <c r="J1932" t="s">
        <v>36544</v>
      </c>
      <c r="K1932" t="s">
        <v>36545</v>
      </c>
      <c r="L1932" t="s">
        <v>36546</v>
      </c>
      <c r="M1932" t="s">
        <v>36547</v>
      </c>
      <c r="N1932" t="s">
        <v>36548</v>
      </c>
      <c r="O1932">
        <f>-603.132364202426 -121.120017330719 -701.190403495228</f>
        <v>-1425.4427850283728</v>
      </c>
      <c r="P1932">
        <f>-612.558011798165 -58.3105790706011 -391.105973260676</f>
        <v>-1061.9745641294421</v>
      </c>
      <c r="Q1932">
        <f>-357.902824240741 -5.55552498159386 -387.993804285711</f>
        <v>-751.45215350804585</v>
      </c>
      <c r="R1932" t="s">
        <v>36549</v>
      </c>
      <c r="S1932" t="s">
        <v>36550</v>
      </c>
      <c r="T1932" t="s">
        <v>36551</v>
      </c>
      <c r="U1932" t="s">
        <v>36552</v>
      </c>
      <c r="V1932" t="s">
        <v>36553</v>
      </c>
      <c r="W1932" t="s">
        <v>36554</v>
      </c>
      <c r="X1932" t="s">
        <v>36555</v>
      </c>
      <c r="Y1932" t="s">
        <v>36556</v>
      </c>
    </row>
    <row r="1933" spans="1:25" x14ac:dyDescent="0.3">
      <c r="A1933">
        <v>96600</v>
      </c>
      <c r="B1933" t="s">
        <v>36557</v>
      </c>
      <c r="C1933" t="s">
        <v>36558</v>
      </c>
      <c r="D1933" t="s">
        <v>36559</v>
      </c>
      <c r="E1933" t="s">
        <v>36560</v>
      </c>
      <c r="F1933" t="s">
        <v>36561</v>
      </c>
      <c r="G1933" t="s">
        <v>36562</v>
      </c>
      <c r="H1933" t="s">
        <v>36563</v>
      </c>
      <c r="I1933">
        <f>-516.034467456271 -4.39103512138536 -920.41271270992</f>
        <v>-1440.8382152875765</v>
      </c>
      <c r="J1933" t="s">
        <v>36564</v>
      </c>
      <c r="K1933" t="s">
        <v>36565</v>
      </c>
      <c r="L1933" t="s">
        <v>36566</v>
      </c>
      <c r="M1933" t="s">
        <v>36567</v>
      </c>
      <c r="N1933" t="s">
        <v>36568</v>
      </c>
      <c r="O1933">
        <f>-603.694549437761 -121.268921706573 -700.411555978852</f>
        <v>-1425.3750271231861</v>
      </c>
      <c r="P1933">
        <f>-613.275352776025 -56.4503537829062 -390.745847662523</f>
        <v>-1060.4715542214542</v>
      </c>
      <c r="Q1933">
        <f>-358.457892729924 -4.50477579760263 -387.311324729374</f>
        <v>-750.27399325690067</v>
      </c>
      <c r="R1933" t="s">
        <v>36569</v>
      </c>
      <c r="S1933" t="s">
        <v>36570</v>
      </c>
      <c r="T1933" t="s">
        <v>36571</v>
      </c>
      <c r="U1933" t="s">
        <v>36572</v>
      </c>
      <c r="V1933" t="s">
        <v>36573</v>
      </c>
      <c r="W1933" t="s">
        <v>36574</v>
      </c>
      <c r="X1933" t="s">
        <v>36575</v>
      </c>
      <c r="Y1933" t="s">
        <v>36576</v>
      </c>
    </row>
    <row r="1934" spans="1:25" x14ac:dyDescent="0.3">
      <c r="A1934">
        <v>96650</v>
      </c>
      <c r="B1934" t="s">
        <v>36577</v>
      </c>
      <c r="C1934" t="s">
        <v>36578</v>
      </c>
      <c r="D1934" t="s">
        <v>36579</v>
      </c>
      <c r="E1934" t="s">
        <v>36580</v>
      </c>
      <c r="F1934" t="s">
        <v>36581</v>
      </c>
      <c r="G1934" t="s">
        <v>36582</v>
      </c>
      <c r="H1934" t="s">
        <v>36583</v>
      </c>
      <c r="I1934">
        <f>-516.486726384605 -5.73180958073749 -919.927991663047</f>
        <v>-1442.1465276283895</v>
      </c>
      <c r="J1934" t="s">
        <v>36584</v>
      </c>
      <c r="K1934" t="s">
        <v>36585</v>
      </c>
      <c r="L1934" t="s">
        <v>36586</v>
      </c>
      <c r="M1934" t="s">
        <v>36587</v>
      </c>
      <c r="N1934" t="s">
        <v>36588</v>
      </c>
      <c r="O1934">
        <f>-603.645207053786 -121.565345721554 -699.167248989579</f>
        <v>-1424.3778017649188</v>
      </c>
      <c r="P1934">
        <f>-614.404775848849 -54.5880299278797 -389.99982122112</f>
        <v>-1058.9926269978487</v>
      </c>
      <c r="Q1934">
        <f>-359.528382107468 -3.0166532404121 -385.476430517095</f>
        <v>-748.0214658649752</v>
      </c>
      <c r="R1934" t="s">
        <v>36589</v>
      </c>
      <c r="S1934" t="s">
        <v>36590</v>
      </c>
      <c r="T1934" t="s">
        <v>36591</v>
      </c>
      <c r="U1934" t="s">
        <v>36592</v>
      </c>
      <c r="V1934" t="s">
        <v>36593</v>
      </c>
      <c r="W1934" t="s">
        <v>36594</v>
      </c>
      <c r="X1934" t="s">
        <v>36595</v>
      </c>
      <c r="Y1934" t="s">
        <v>36596</v>
      </c>
    </row>
    <row r="1935" spans="1:25" x14ac:dyDescent="0.3">
      <c r="A1935">
        <v>96700</v>
      </c>
      <c r="B1935" t="s">
        <v>36597</v>
      </c>
      <c r="C1935" t="s">
        <v>36598</v>
      </c>
      <c r="D1935" t="s">
        <v>36599</v>
      </c>
      <c r="E1935" t="s">
        <v>36600</v>
      </c>
      <c r="F1935" t="s">
        <v>36601</v>
      </c>
      <c r="G1935" t="s">
        <v>36602</v>
      </c>
      <c r="H1935" t="s">
        <v>36603</v>
      </c>
      <c r="I1935">
        <f>-516.555972904575 -6.11198060079801 -919.701741089842</f>
        <v>-1442.3696945952152</v>
      </c>
      <c r="J1935" t="s">
        <v>36604</v>
      </c>
      <c r="K1935" t="s">
        <v>36605</v>
      </c>
      <c r="L1935" t="s">
        <v>36606</v>
      </c>
      <c r="M1935" t="s">
        <v>36607</v>
      </c>
      <c r="N1935" t="s">
        <v>36608</v>
      </c>
      <c r="O1935">
        <f>-603.515190338899 -121.679433798769 -698.770818557225</f>
        <v>-1423.9654426948928</v>
      </c>
      <c r="P1935">
        <f>-615.101261357775 -54.4856711150301 -389.680227611527</f>
        <v>-1059.2671600843321</v>
      </c>
      <c r="Q1935">
        <f>-360.266650723742 -2.79472430000055 -384.25586583283</f>
        <v>-747.31724085657254</v>
      </c>
      <c r="R1935" t="s">
        <v>36609</v>
      </c>
      <c r="S1935" t="s">
        <v>36610</v>
      </c>
      <c r="T1935" t="s">
        <v>36611</v>
      </c>
      <c r="U1935" t="s">
        <v>36612</v>
      </c>
      <c r="V1935" t="s">
        <v>36613</v>
      </c>
      <c r="W1935" t="s">
        <v>36614</v>
      </c>
      <c r="X1935" t="s">
        <v>36615</v>
      </c>
      <c r="Y1935" t="s">
        <v>36616</v>
      </c>
    </row>
    <row r="1936" spans="1:25" x14ac:dyDescent="0.3">
      <c r="A1936">
        <v>96750</v>
      </c>
      <c r="B1936" t="s">
        <v>36617</v>
      </c>
      <c r="C1936" t="s">
        <v>36618</v>
      </c>
      <c r="D1936" t="s">
        <v>36619</v>
      </c>
      <c r="E1936" t="s">
        <v>36620</v>
      </c>
      <c r="F1936" t="s">
        <v>36621</v>
      </c>
      <c r="G1936" t="s">
        <v>36622</v>
      </c>
      <c r="H1936" t="s">
        <v>36623</v>
      </c>
      <c r="I1936">
        <f>-517.144721003407 -5.93757818358063 -919.609918363729</f>
        <v>-1442.6922175507166</v>
      </c>
      <c r="J1936" t="s">
        <v>36624</v>
      </c>
      <c r="K1936" t="s">
        <v>36625</v>
      </c>
      <c r="L1936" t="s">
        <v>36626</v>
      </c>
      <c r="M1936" t="s">
        <v>36627</v>
      </c>
      <c r="N1936" t="s">
        <v>36628</v>
      </c>
      <c r="O1936">
        <f>-603.86950590041 -121.508831244006 -698.560392860077</f>
        <v>-1423.938730004493</v>
      </c>
      <c r="P1936">
        <f>-616.238368018325 -54.4164506436355 -389.478094814858</f>
        <v>-1060.1329134768184</v>
      </c>
      <c r="Q1936">
        <f>-361.67192705487 -1.56686917680531 -382.777160522462</f>
        <v>-746.01595675413728</v>
      </c>
      <c r="R1936" t="s">
        <v>36629</v>
      </c>
      <c r="S1936" t="s">
        <v>36630</v>
      </c>
      <c r="T1936" t="s">
        <v>36631</v>
      </c>
      <c r="U1936" t="s">
        <v>36632</v>
      </c>
      <c r="V1936" t="s">
        <v>36633</v>
      </c>
      <c r="W1936" t="s">
        <v>36634</v>
      </c>
      <c r="X1936" t="s">
        <v>36635</v>
      </c>
      <c r="Y1936" t="s">
        <v>36636</v>
      </c>
    </row>
    <row r="1937" spans="1:25" x14ac:dyDescent="0.3">
      <c r="A1937">
        <v>96800</v>
      </c>
      <c r="B1937" t="s">
        <v>36637</v>
      </c>
      <c r="C1937" t="s">
        <v>36638</v>
      </c>
      <c r="D1937" t="s">
        <v>36639</v>
      </c>
      <c r="E1937" t="s">
        <v>36640</v>
      </c>
      <c r="F1937" t="s">
        <v>36641</v>
      </c>
      <c r="G1937" t="s">
        <v>36642</v>
      </c>
      <c r="H1937" t="s">
        <v>36643</v>
      </c>
      <c r="I1937">
        <f>-517.297837581602 -5.74405099192859 -919.610636509387</f>
        <v>-1442.6525250829177</v>
      </c>
      <c r="J1937" t="s">
        <v>36644</v>
      </c>
      <c r="K1937" t="s">
        <v>36645</v>
      </c>
      <c r="L1937" t="s">
        <v>36646</v>
      </c>
      <c r="M1937" t="s">
        <v>36647</v>
      </c>
      <c r="N1937" t="s">
        <v>36648</v>
      </c>
      <c r="O1937">
        <f>-603.931934119967 -121.415909721158 -698.542030527703</f>
        <v>-1423.8898743688278</v>
      </c>
      <c r="P1937">
        <f>-616.50423122672 -53.8919446263628 -389.562126627989</f>
        <v>-1059.9583024810718</v>
      </c>
      <c r="Q1937">
        <f>-362.014288589365 -0.72058001172195 -382.50728430476</f>
        <v>-745.24215290584698</v>
      </c>
      <c r="R1937" t="s">
        <v>36649</v>
      </c>
      <c r="S1937" t="s">
        <v>36650</v>
      </c>
      <c r="T1937" t="s">
        <v>36651</v>
      </c>
      <c r="U1937" t="s">
        <v>36652</v>
      </c>
      <c r="V1937" t="s">
        <v>36653</v>
      </c>
      <c r="W1937" t="s">
        <v>36654</v>
      </c>
      <c r="X1937" t="s">
        <v>36655</v>
      </c>
      <c r="Y1937" t="s">
        <v>36656</v>
      </c>
    </row>
    <row r="1938" spans="1:25" x14ac:dyDescent="0.3">
      <c r="A1938">
        <v>96850</v>
      </c>
      <c r="B1938" t="s">
        <v>36657</v>
      </c>
      <c r="C1938" t="s">
        <v>36658</v>
      </c>
      <c r="D1938" t="s">
        <v>36659</v>
      </c>
      <c r="E1938" t="s">
        <v>36660</v>
      </c>
      <c r="F1938" t="s">
        <v>36661</v>
      </c>
      <c r="G1938" t="s">
        <v>36662</v>
      </c>
      <c r="H1938" t="s">
        <v>36663</v>
      </c>
      <c r="I1938">
        <f>-517.134517862257 -5.57212544184017 -919.572401010362</f>
        <v>-1442.279044314459</v>
      </c>
      <c r="J1938" t="s">
        <v>36664</v>
      </c>
      <c r="K1938" t="s">
        <v>36665</v>
      </c>
      <c r="L1938" t="s">
        <v>36666</v>
      </c>
      <c r="M1938" t="s">
        <v>36667</v>
      </c>
      <c r="N1938" t="s">
        <v>36668</v>
      </c>
      <c r="O1938">
        <f>-603.737208189721 -121.562767485473 -698.566875677454</f>
        <v>-1423.8668513526482</v>
      </c>
      <c r="P1938">
        <f>-616.368926675015 -54.3662202010312 -389.51788895685</f>
        <v>-1060.2530358328963</v>
      </c>
      <c r="Q1938">
        <f>-361.987947631766 -0.68265237162359 -382.415051128063</f>
        <v>-745.08565113145255</v>
      </c>
      <c r="R1938" t="s">
        <v>36669</v>
      </c>
      <c r="S1938" t="s">
        <v>36670</v>
      </c>
      <c r="T1938" t="s">
        <v>36671</v>
      </c>
      <c r="U1938" t="s">
        <v>36672</v>
      </c>
      <c r="V1938" t="s">
        <v>36673</v>
      </c>
      <c r="W1938" t="s">
        <v>36674</v>
      </c>
      <c r="X1938" t="s">
        <v>36675</v>
      </c>
      <c r="Y1938" t="s">
        <v>36676</v>
      </c>
    </row>
    <row r="1939" spans="1:25" x14ac:dyDescent="0.3">
      <c r="A1939">
        <v>96900</v>
      </c>
      <c r="B1939" t="s">
        <v>36677</v>
      </c>
      <c r="C1939" t="s">
        <v>36678</v>
      </c>
      <c r="D1939" t="s">
        <v>36679</v>
      </c>
      <c r="E1939" t="s">
        <v>36680</v>
      </c>
      <c r="F1939" t="s">
        <v>36681</v>
      </c>
      <c r="G1939" t="s">
        <v>36682</v>
      </c>
      <c r="H1939" t="s">
        <v>36683</v>
      </c>
      <c r="I1939">
        <f>-517.625501799655 -5.50056897882382 -919.733787802943</f>
        <v>-1442.8598585814218</v>
      </c>
      <c r="J1939" t="s">
        <v>36684</v>
      </c>
      <c r="K1939" t="s">
        <v>36685</v>
      </c>
      <c r="L1939" t="s">
        <v>36686</v>
      </c>
      <c r="M1939" t="s">
        <v>36687</v>
      </c>
      <c r="N1939" t="s">
        <v>36688</v>
      </c>
      <c r="O1939">
        <f>-604.168933228568 -121.629091705456 -698.697154948437</f>
        <v>-1424.4951798824609</v>
      </c>
      <c r="P1939">
        <f>-616.591715770085 -54.7564572443894 -389.569365599316</f>
        <v>-1060.9175386137904</v>
      </c>
      <c r="Q1939">
        <f>-362.214991285336 -1.0139997689555 -382.766183121978</f>
        <v>-745.99517417626953</v>
      </c>
      <c r="R1939" t="s">
        <v>36689</v>
      </c>
      <c r="S1939" t="s">
        <v>36690</v>
      </c>
      <c r="T1939" t="s">
        <v>36691</v>
      </c>
      <c r="U1939" t="s">
        <v>36692</v>
      </c>
      <c r="V1939" t="s">
        <v>36693</v>
      </c>
      <c r="W1939" t="s">
        <v>36694</v>
      </c>
      <c r="X1939" t="s">
        <v>36695</v>
      </c>
      <c r="Y1939" t="s">
        <v>36696</v>
      </c>
    </row>
    <row r="1940" spans="1:25" x14ac:dyDescent="0.3">
      <c r="A1940">
        <v>96950</v>
      </c>
      <c r="B1940" t="s">
        <v>36697</v>
      </c>
      <c r="C1940" t="s">
        <v>36698</v>
      </c>
      <c r="D1940" t="s">
        <v>36699</v>
      </c>
      <c r="E1940" t="s">
        <v>36700</v>
      </c>
      <c r="F1940" t="s">
        <v>36701</v>
      </c>
      <c r="G1940" t="s">
        <v>36702</v>
      </c>
      <c r="H1940" t="s">
        <v>36703</v>
      </c>
      <c r="I1940">
        <f>-518.833410532201 -5.61789313816666 -919.853783082714</f>
        <v>-1444.3050867530817</v>
      </c>
      <c r="J1940" t="s">
        <v>36704</v>
      </c>
      <c r="K1940" t="s">
        <v>36705</v>
      </c>
      <c r="L1940" t="s">
        <v>36706</v>
      </c>
      <c r="M1940" t="s">
        <v>36707</v>
      </c>
      <c r="N1940" t="s">
        <v>36708</v>
      </c>
      <c r="O1940">
        <f>-605.582990228372 -121.838201840873 -698.948825437343</f>
        <v>-1426.3700175065878</v>
      </c>
      <c r="P1940">
        <f>-617.23729838694 -55.8585220634545 -389.599443444373</f>
        <v>-1062.6952638947675</v>
      </c>
      <c r="Q1940">
        <f>-362.892203943408 -1.99947369310985 -382.539833187079</f>
        <v>-747.43151082359691</v>
      </c>
      <c r="R1940" t="s">
        <v>36709</v>
      </c>
      <c r="S1940" t="s">
        <v>36710</v>
      </c>
      <c r="T1940" t="s">
        <v>36711</v>
      </c>
      <c r="U1940" t="s">
        <v>36712</v>
      </c>
      <c r="V1940" t="s">
        <v>36713</v>
      </c>
      <c r="W1940" t="s">
        <v>36714</v>
      </c>
      <c r="X1940" t="s">
        <v>36715</v>
      </c>
      <c r="Y1940" t="s">
        <v>36716</v>
      </c>
    </row>
    <row r="1941" spans="1:25" x14ac:dyDescent="0.3">
      <c r="A1941">
        <v>97000</v>
      </c>
      <c r="B1941" t="s">
        <v>36717</v>
      </c>
      <c r="C1941" t="s">
        <v>36718</v>
      </c>
      <c r="D1941" t="s">
        <v>36719</v>
      </c>
      <c r="E1941" t="s">
        <v>36720</v>
      </c>
      <c r="F1941" t="s">
        <v>36721</v>
      </c>
      <c r="G1941" t="s">
        <v>36722</v>
      </c>
      <c r="H1941" t="s">
        <v>36723</v>
      </c>
      <c r="I1941">
        <f>-519.464429119734 -6.05296522488288 -919.85752264566</f>
        <v>-1445.3749169902767</v>
      </c>
      <c r="J1941" t="s">
        <v>36724</v>
      </c>
      <c r="K1941" t="s">
        <v>36725</v>
      </c>
      <c r="L1941" t="s">
        <v>36726</v>
      </c>
      <c r="M1941" t="s">
        <v>36727</v>
      </c>
      <c r="N1941" t="s">
        <v>36728</v>
      </c>
      <c r="O1941">
        <f>-606.377145645793 -122.117390175391 -698.960444554104</f>
        <v>-1427.454980375288</v>
      </c>
      <c r="P1941">
        <f>-617.384203969776 -56.5126204621893 -389.507599323642</f>
        <v>-1063.4044237556072</v>
      </c>
      <c r="Q1941">
        <f>-363.05324544128 -2.63165447166693 -382.113009442096</f>
        <v>-747.79790935504298</v>
      </c>
      <c r="R1941" t="s">
        <v>36729</v>
      </c>
      <c r="S1941" t="s">
        <v>36730</v>
      </c>
      <c r="T1941" t="s">
        <v>36731</v>
      </c>
      <c r="U1941" t="s">
        <v>36732</v>
      </c>
      <c r="V1941" t="s">
        <v>36733</v>
      </c>
      <c r="W1941" t="s">
        <v>36734</v>
      </c>
      <c r="X1941" t="s">
        <v>36735</v>
      </c>
      <c r="Y1941" t="s">
        <v>36736</v>
      </c>
    </row>
    <row r="1942" spans="1:25" x14ac:dyDescent="0.3">
      <c r="A1942">
        <v>97050</v>
      </c>
      <c r="B1942" t="s">
        <v>36737</v>
      </c>
      <c r="C1942" t="s">
        <v>36738</v>
      </c>
      <c r="D1942" t="s">
        <v>36739</v>
      </c>
      <c r="E1942" t="s">
        <v>36740</v>
      </c>
      <c r="F1942" t="s">
        <v>36741</v>
      </c>
      <c r="G1942" t="s">
        <v>36742</v>
      </c>
      <c r="H1942" t="s">
        <v>36743</v>
      </c>
      <c r="I1942">
        <f>-520.492464456087 -7.38464258110412 -919.738752724522</f>
        <v>-1447.6158597617132</v>
      </c>
      <c r="J1942" t="s">
        <v>36744</v>
      </c>
      <c r="K1942" t="s">
        <v>36745</v>
      </c>
      <c r="L1942" t="s">
        <v>36746</v>
      </c>
      <c r="M1942" t="s">
        <v>36747</v>
      </c>
      <c r="N1942" t="s">
        <v>36748</v>
      </c>
      <c r="O1942">
        <f>-608.066617539357 -123.08923798403 -698.855814843472</f>
        <v>-1430.0116703668591</v>
      </c>
      <c r="P1942">
        <f>-618.259113504794 -58.0060055182557 -389.26499666794</f>
        <v>-1065.5301156909898</v>
      </c>
      <c r="Q1942">
        <f>-363.804641839879 -4.66977498059737 -382.178484555023</f>
        <v>-750.65290137549937</v>
      </c>
      <c r="R1942" t="s">
        <v>36749</v>
      </c>
      <c r="S1942" t="s">
        <v>36750</v>
      </c>
      <c r="T1942" t="s">
        <v>36751</v>
      </c>
      <c r="U1942" t="s">
        <v>36752</v>
      </c>
      <c r="V1942" t="s">
        <v>36753</v>
      </c>
      <c r="W1942" t="s">
        <v>36754</v>
      </c>
      <c r="X1942" t="s">
        <v>36755</v>
      </c>
      <c r="Y1942" t="s">
        <v>36756</v>
      </c>
    </row>
    <row r="1943" spans="1:25" x14ac:dyDescent="0.3">
      <c r="A1943">
        <v>97100</v>
      </c>
      <c r="B1943" t="s">
        <v>36757</v>
      </c>
      <c r="C1943" t="s">
        <v>36758</v>
      </c>
      <c r="D1943" t="s">
        <v>36759</v>
      </c>
      <c r="E1943" t="s">
        <v>36760</v>
      </c>
      <c r="F1943" t="s">
        <v>36761</v>
      </c>
      <c r="G1943" t="s">
        <v>36762</v>
      </c>
      <c r="H1943" t="s">
        <v>36763</v>
      </c>
      <c r="I1943">
        <f>-520.394779326676 -8.0104656746621 -919.690844921101</f>
        <v>-1448.0960899224392</v>
      </c>
      <c r="J1943" t="s">
        <v>36764</v>
      </c>
      <c r="K1943" t="s">
        <v>36765</v>
      </c>
      <c r="L1943" t="s">
        <v>36766</v>
      </c>
      <c r="M1943" t="s">
        <v>36767</v>
      </c>
      <c r="N1943" t="s">
        <v>36768</v>
      </c>
      <c r="O1943">
        <f>-608.287342128092 -123.543612741583 -698.809152585122</f>
        <v>-1430.6401074547971</v>
      </c>
      <c r="P1943">
        <f>-617.976477164247 -58.1678115557952 -389.26383613261</f>
        <v>-1065.4081248526522</v>
      </c>
      <c r="Q1943">
        <f>-363.252083039971 -6.01870690557121 -383.100647421585</f>
        <v>-752.37143736712721</v>
      </c>
      <c r="R1943" t="s">
        <v>36769</v>
      </c>
      <c r="S1943" t="s">
        <v>36770</v>
      </c>
      <c r="T1943" t="s">
        <v>36771</v>
      </c>
      <c r="U1943" t="s">
        <v>36772</v>
      </c>
      <c r="V1943" t="s">
        <v>36773</v>
      </c>
      <c r="W1943" t="s">
        <v>36774</v>
      </c>
      <c r="X1943" t="s">
        <v>36775</v>
      </c>
      <c r="Y1943" t="s">
        <v>36776</v>
      </c>
    </row>
    <row r="1944" spans="1:25" x14ac:dyDescent="0.3">
      <c r="A1944">
        <v>97150</v>
      </c>
      <c r="B1944" t="s">
        <v>36777</v>
      </c>
      <c r="C1944" t="s">
        <v>36778</v>
      </c>
      <c r="D1944" t="s">
        <v>36779</v>
      </c>
      <c r="E1944" t="s">
        <v>36780</v>
      </c>
      <c r="F1944" t="s">
        <v>36781</v>
      </c>
      <c r="G1944" t="s">
        <v>36782</v>
      </c>
      <c r="H1944" t="s">
        <v>36783</v>
      </c>
      <c r="I1944">
        <f>-520.408871001837 -8.52535621848028 -919.630620981883</f>
        <v>-1448.5648482022002</v>
      </c>
      <c r="J1944" t="s">
        <v>36784</v>
      </c>
      <c r="K1944" t="s">
        <v>36785</v>
      </c>
      <c r="L1944" t="s">
        <v>36786</v>
      </c>
      <c r="M1944" t="s">
        <v>36787</v>
      </c>
      <c r="N1944" t="s">
        <v>36788</v>
      </c>
      <c r="O1944">
        <f>-608.675083975982 -123.893788384932 -698.752966820942</f>
        <v>-1431.3218391818559</v>
      </c>
      <c r="P1944">
        <f>-617.553825348062 -58.2361477077957 -389.242970036069</f>
        <v>-1065.0329430919267</v>
      </c>
      <c r="Q1944">
        <f>-362.630304108425 -6.97943067908773 -383.875870521676</f>
        <v>-753.48560530918871</v>
      </c>
      <c r="R1944" t="s">
        <v>36789</v>
      </c>
      <c r="S1944" t="s">
        <v>36790</v>
      </c>
      <c r="T1944" t="s">
        <v>36791</v>
      </c>
      <c r="U1944" t="s">
        <v>36792</v>
      </c>
      <c r="V1944" t="s">
        <v>36793</v>
      </c>
      <c r="W1944" t="s">
        <v>36794</v>
      </c>
      <c r="X1944" t="s">
        <v>36795</v>
      </c>
      <c r="Y1944" t="s">
        <v>36796</v>
      </c>
    </row>
    <row r="1945" spans="1:25" x14ac:dyDescent="0.3">
      <c r="A1945">
        <v>97200</v>
      </c>
      <c r="B1945" t="s">
        <v>36797</v>
      </c>
      <c r="C1945" t="s">
        <v>36798</v>
      </c>
      <c r="D1945" t="s">
        <v>36799</v>
      </c>
      <c r="E1945" t="s">
        <v>36800</v>
      </c>
      <c r="F1945" t="s">
        <v>36801</v>
      </c>
      <c r="G1945" t="s">
        <v>36802</v>
      </c>
      <c r="H1945" t="s">
        <v>36803</v>
      </c>
      <c r="I1945">
        <f>-519.466868852187 -9.47404783226534 -919.286051855738</f>
        <v>-1448.2269685401902</v>
      </c>
      <c r="J1945" t="s">
        <v>36804</v>
      </c>
      <c r="K1945" t="s">
        <v>36805</v>
      </c>
      <c r="L1945" t="s">
        <v>36806</v>
      </c>
      <c r="M1945" t="s">
        <v>36807</v>
      </c>
      <c r="N1945" t="s">
        <v>36808</v>
      </c>
      <c r="O1945">
        <f>-608.808816905096 -124.709972381128 -698.673265306789</f>
        <v>-1432.1920545930129</v>
      </c>
      <c r="P1945">
        <f>-616.963991250167 -59.8304817044125 -388.979319324659</f>
        <v>-1065.7737922792385</v>
      </c>
      <c r="Q1945">
        <f>-361.833433780731 -9.53814956144697 -384.381780621355</f>
        <v>-755.75336396353305</v>
      </c>
      <c r="R1945" t="s">
        <v>36809</v>
      </c>
      <c r="S1945" t="s">
        <v>36810</v>
      </c>
      <c r="T1945" t="s">
        <v>36811</v>
      </c>
      <c r="U1945" t="s">
        <v>36812</v>
      </c>
      <c r="V1945" t="s">
        <v>36813</v>
      </c>
      <c r="W1945" t="s">
        <v>36814</v>
      </c>
      <c r="X1945" t="s">
        <v>36815</v>
      </c>
      <c r="Y1945" t="s">
        <v>36816</v>
      </c>
    </row>
    <row r="1946" spans="1:25" x14ac:dyDescent="0.3">
      <c r="A1946">
        <v>97250</v>
      </c>
      <c r="B1946" t="s">
        <v>36817</v>
      </c>
      <c r="C1946" t="s">
        <v>36818</v>
      </c>
      <c r="D1946" t="s">
        <v>36819</v>
      </c>
      <c r="E1946" t="s">
        <v>36820</v>
      </c>
      <c r="F1946" t="s">
        <v>36821</v>
      </c>
      <c r="G1946" t="s">
        <v>36822</v>
      </c>
      <c r="H1946" t="s">
        <v>36823</v>
      </c>
      <c r="I1946">
        <f>-518.632128497617 -9.04204775506332 -919.257833102645</f>
        <v>-1446.9320093553254</v>
      </c>
      <c r="J1946" t="s">
        <v>36824</v>
      </c>
      <c r="K1946" t="s">
        <v>36825</v>
      </c>
      <c r="L1946" t="s">
        <v>36826</v>
      </c>
      <c r="M1946" t="s">
        <v>36827</v>
      </c>
      <c r="N1946" t="s">
        <v>36828</v>
      </c>
      <c r="O1946">
        <f>-608.328244588996 -124.972144511421 -699.199384166345</f>
        <v>-1432.4997732667621</v>
      </c>
      <c r="P1946">
        <f>-616.73456422021 -60.5826941050711 -389.409924712448</f>
        <v>-1066.7271830377292</v>
      </c>
      <c r="Q1946">
        <f>-361.511677202547 -10.7510039473448 -384.921538676928</f>
        <v>-757.1842198268198</v>
      </c>
      <c r="R1946" t="s">
        <v>36829</v>
      </c>
      <c r="S1946" t="s">
        <v>36830</v>
      </c>
      <c r="T1946" t="s">
        <v>36831</v>
      </c>
      <c r="U1946" t="s">
        <v>36832</v>
      </c>
      <c r="V1946" t="s">
        <v>36833</v>
      </c>
      <c r="W1946" t="s">
        <v>36834</v>
      </c>
      <c r="X1946" t="s">
        <v>36835</v>
      </c>
      <c r="Y1946" t="s">
        <v>36836</v>
      </c>
    </row>
    <row r="1947" spans="1:25" x14ac:dyDescent="0.3">
      <c r="A1947">
        <v>97300</v>
      </c>
      <c r="B1947" t="s">
        <v>36837</v>
      </c>
      <c r="C1947" t="s">
        <v>36838</v>
      </c>
      <c r="D1947" t="s">
        <v>36839</v>
      </c>
      <c r="E1947" t="s">
        <v>36840</v>
      </c>
      <c r="F1947" t="s">
        <v>36841</v>
      </c>
      <c r="G1947" t="s">
        <v>36842</v>
      </c>
      <c r="H1947" t="s">
        <v>36843</v>
      </c>
      <c r="I1947">
        <f>-518.077155181689 -8.09602009008745 -919.421645758276</f>
        <v>-1445.5948210300526</v>
      </c>
      <c r="J1947" t="s">
        <v>36844</v>
      </c>
      <c r="K1947" t="s">
        <v>36845</v>
      </c>
      <c r="L1947" t="s">
        <v>36846</v>
      </c>
      <c r="M1947" t="s">
        <v>36847</v>
      </c>
      <c r="N1947" t="s">
        <v>36848</v>
      </c>
      <c r="O1947">
        <f>-608.024504824418 -124.639636914682 -699.79041137869</f>
        <v>-1432.4545531177901</v>
      </c>
      <c r="P1947">
        <f>-617.049181843976 -60.7575014928757 -389.913322778804</f>
        <v>-1067.7200061156557</v>
      </c>
      <c r="Q1947">
        <f>-361.759349859754 -11.3452375072966 -384.660979836871</f>
        <v>-757.76556720392159</v>
      </c>
      <c r="R1947" t="s">
        <v>36849</v>
      </c>
      <c r="S1947" t="s">
        <v>36850</v>
      </c>
      <c r="T1947" t="s">
        <v>36851</v>
      </c>
      <c r="U1947" t="s">
        <v>36852</v>
      </c>
      <c r="V1947" t="s">
        <v>36853</v>
      </c>
      <c r="W1947" t="s">
        <v>36854</v>
      </c>
      <c r="X1947" t="s">
        <v>36855</v>
      </c>
      <c r="Y1947" t="s">
        <v>36856</v>
      </c>
    </row>
    <row r="1948" spans="1:25" x14ac:dyDescent="0.3">
      <c r="A1948">
        <v>97350</v>
      </c>
      <c r="B1948" t="s">
        <v>36857</v>
      </c>
      <c r="C1948" t="s">
        <v>36858</v>
      </c>
      <c r="D1948" t="s">
        <v>36859</v>
      </c>
      <c r="E1948" t="s">
        <v>36860</v>
      </c>
      <c r="F1948" t="s">
        <v>36861</v>
      </c>
      <c r="G1948" t="s">
        <v>36862</v>
      </c>
      <c r="H1948" t="s">
        <v>36863</v>
      </c>
      <c r="I1948">
        <f>-517.810230313939 -6.71610158439898 -920.139832713178</f>
        <v>-1444.6661646115158</v>
      </c>
      <c r="J1948" t="s">
        <v>36864</v>
      </c>
      <c r="K1948" t="s">
        <v>36865</v>
      </c>
      <c r="L1948" t="s">
        <v>36866</v>
      </c>
      <c r="M1948" t="s">
        <v>36867</v>
      </c>
      <c r="N1948" t="s">
        <v>36868</v>
      </c>
      <c r="O1948">
        <f>-607.932664321724 -123.997333124303 -701.132766879223</f>
        <v>-1433.0627643252501</v>
      </c>
      <c r="P1948">
        <f>-618.365692731577 -61.0726219518872 -391.104042944249</f>
        <v>-1070.5423576277133</v>
      </c>
      <c r="Q1948">
        <f>-363.334224517227 -10.770997529316 -382.691583046552</f>
        <v>-756.79680509309503</v>
      </c>
      <c r="R1948" t="s">
        <v>36869</v>
      </c>
      <c r="S1948" t="s">
        <v>36870</v>
      </c>
      <c r="T1948" t="s">
        <v>36871</v>
      </c>
      <c r="U1948" t="s">
        <v>36872</v>
      </c>
      <c r="V1948" t="s">
        <v>36873</v>
      </c>
      <c r="W1948" t="s">
        <v>36874</v>
      </c>
      <c r="X1948" t="s">
        <v>36875</v>
      </c>
      <c r="Y1948" t="s">
        <v>36876</v>
      </c>
    </row>
    <row r="1949" spans="1:25" x14ac:dyDescent="0.3">
      <c r="A1949">
        <v>97400</v>
      </c>
      <c r="B1949" t="s">
        <v>36877</v>
      </c>
      <c r="C1949" t="s">
        <v>36878</v>
      </c>
      <c r="D1949" t="s">
        <v>36879</v>
      </c>
      <c r="E1949" t="s">
        <v>36880</v>
      </c>
      <c r="F1949" t="s">
        <v>36881</v>
      </c>
      <c r="G1949" t="s">
        <v>36882</v>
      </c>
      <c r="H1949" t="s">
        <v>36883</v>
      </c>
      <c r="I1949">
        <f>-518.016024751666 -6.64453666206828 -920.31692745459</f>
        <v>-1444.9774888683241</v>
      </c>
      <c r="J1949" t="s">
        <v>36884</v>
      </c>
      <c r="K1949" t="s">
        <v>36885</v>
      </c>
      <c r="L1949" t="s">
        <v>36886</v>
      </c>
      <c r="M1949" t="s">
        <v>36887</v>
      </c>
      <c r="N1949" t="s">
        <v>36888</v>
      </c>
      <c r="O1949">
        <f>-608.130463980677 -124.133276692415 -701.469775440328</f>
        <v>-1433.7335161134199</v>
      </c>
      <c r="P1949">
        <f>-619.666165821907 -61.3847424880862 -391.444404972823</f>
        <v>-1072.4953132828164</v>
      </c>
      <c r="Q1949">
        <f>-364.835449141684 -10.3619342608743 -381.442085005459</f>
        <v>-756.63946840801736</v>
      </c>
      <c r="R1949" t="s">
        <v>36889</v>
      </c>
      <c r="S1949" t="s">
        <v>36890</v>
      </c>
      <c r="T1949" t="s">
        <v>36891</v>
      </c>
      <c r="U1949" t="s">
        <v>36892</v>
      </c>
      <c r="V1949" t="s">
        <v>36893</v>
      </c>
      <c r="W1949" t="s">
        <v>36894</v>
      </c>
      <c r="X1949" t="s">
        <v>36895</v>
      </c>
      <c r="Y1949" t="s">
        <v>36896</v>
      </c>
    </row>
    <row r="1950" spans="1:25" x14ac:dyDescent="0.3">
      <c r="A1950">
        <v>97450</v>
      </c>
      <c r="B1950" t="s">
        <v>36897</v>
      </c>
      <c r="C1950" t="s">
        <v>36898</v>
      </c>
      <c r="D1950" t="s">
        <v>36899</v>
      </c>
      <c r="E1950" t="s">
        <v>36900</v>
      </c>
      <c r="F1950" t="s">
        <v>36901</v>
      </c>
      <c r="G1950" t="s">
        <v>36902</v>
      </c>
      <c r="H1950" t="s">
        <v>36903</v>
      </c>
      <c r="I1950">
        <f>-517.878905040346 -6.59944756084519 -920.353364771245</f>
        <v>-1444.8317173724363</v>
      </c>
      <c r="J1950" t="s">
        <v>36904</v>
      </c>
      <c r="K1950" t="s">
        <v>36905</v>
      </c>
      <c r="L1950" t="s">
        <v>36906</v>
      </c>
      <c r="M1950" t="s">
        <v>36907</v>
      </c>
      <c r="N1950" t="s">
        <v>36908</v>
      </c>
      <c r="O1950">
        <f>-607.988361486504 -124.426213651382 -701.675419767699</f>
        <v>-1434.0899949055852</v>
      </c>
      <c r="P1950">
        <f>-621.743173426174 -60.3358861112197 -392.015304198325</f>
        <v>-1074.0943637357186</v>
      </c>
      <c r="Q1950">
        <f>-367.169013043968 -8.72715088600671 -378.954997271649</f>
        <v>-754.85116120162365</v>
      </c>
      <c r="R1950" t="s">
        <v>36909</v>
      </c>
      <c r="S1950" t="s">
        <v>36910</v>
      </c>
      <c r="T1950" t="s">
        <v>36911</v>
      </c>
      <c r="U1950" t="s">
        <v>36912</v>
      </c>
      <c r="V1950" t="s">
        <v>36913</v>
      </c>
      <c r="W1950" t="s">
        <v>36914</v>
      </c>
      <c r="X1950" t="s">
        <v>36915</v>
      </c>
      <c r="Y1950" t="s">
        <v>36916</v>
      </c>
    </row>
    <row r="1951" spans="1:25" x14ac:dyDescent="0.3">
      <c r="A1951">
        <v>97500</v>
      </c>
      <c r="B1951" t="s">
        <v>36917</v>
      </c>
      <c r="C1951" t="s">
        <v>36918</v>
      </c>
      <c r="D1951" t="s">
        <v>36919</v>
      </c>
      <c r="E1951" t="s">
        <v>36920</v>
      </c>
      <c r="F1951" t="s">
        <v>36921</v>
      </c>
      <c r="G1951" t="s">
        <v>36922</v>
      </c>
      <c r="H1951" t="s">
        <v>36923</v>
      </c>
      <c r="I1951">
        <f>-518.060584147053 -6.66230596717833 -920.147792825538</f>
        <v>-1444.8706829397693</v>
      </c>
      <c r="J1951" t="s">
        <v>36924</v>
      </c>
      <c r="K1951" t="s">
        <v>36925</v>
      </c>
      <c r="L1951" t="s">
        <v>36926</v>
      </c>
      <c r="M1951" t="s">
        <v>36927</v>
      </c>
      <c r="N1951" t="s">
        <v>36928</v>
      </c>
      <c r="O1951">
        <f>-608.276280864125 -124.54535492121 -701.574358034381</f>
        <v>-1434.3959938197161</v>
      </c>
      <c r="P1951">
        <f>-623.202166626363 -59.8005098438173 -392.104583662326</f>
        <v>-1075.1072601325063</v>
      </c>
      <c r="Q1951">
        <f>-368.785980640315 -7.69818091804177 -377.969503173094</f>
        <v>-754.45366473145077</v>
      </c>
      <c r="R1951" t="s">
        <v>36929</v>
      </c>
      <c r="S1951" t="s">
        <v>36930</v>
      </c>
      <c r="T1951" t="s">
        <v>36931</v>
      </c>
      <c r="U1951" t="s">
        <v>36932</v>
      </c>
      <c r="V1951" t="s">
        <v>36933</v>
      </c>
      <c r="W1951" t="s">
        <v>36934</v>
      </c>
      <c r="X1951" t="s">
        <v>36935</v>
      </c>
      <c r="Y1951" t="s">
        <v>36936</v>
      </c>
    </row>
    <row r="1952" spans="1:25" x14ac:dyDescent="0.3">
      <c r="A1952">
        <v>97550</v>
      </c>
      <c r="B1952" t="s">
        <v>36937</v>
      </c>
      <c r="C1952" t="s">
        <v>36938</v>
      </c>
      <c r="D1952" t="s">
        <v>36939</v>
      </c>
      <c r="E1952" t="s">
        <v>36940</v>
      </c>
      <c r="F1952" t="s">
        <v>36941</v>
      </c>
      <c r="G1952" t="s">
        <v>36942</v>
      </c>
      <c r="H1952" t="s">
        <v>36943</v>
      </c>
      <c r="I1952">
        <f>-518.067531014361 -6.59712612908857 -919.745576900424</f>
        <v>-1444.4102340438735</v>
      </c>
      <c r="J1952" t="s">
        <v>36944</v>
      </c>
      <c r="K1952" t="s">
        <v>36945</v>
      </c>
      <c r="L1952" t="s">
        <v>36946</v>
      </c>
      <c r="M1952" t="s">
        <v>36947</v>
      </c>
      <c r="N1952" t="s">
        <v>36948</v>
      </c>
      <c r="O1952">
        <f>-609.24244688339 -124.655694961734 -701.490009141341</f>
        <v>-1435.388150986465</v>
      </c>
      <c r="P1952">
        <f>-625.489314996547 -59.8200752986259 -392.105926589881</f>
        <v>-1077.4153168850539</v>
      </c>
      <c r="Q1952">
        <f>-371.568051246756 -5.73976710445731 -376.570120307414</f>
        <v>-753.87793865862727</v>
      </c>
      <c r="R1952" t="s">
        <v>36949</v>
      </c>
      <c r="S1952" t="s">
        <v>36950</v>
      </c>
      <c r="T1952" t="s">
        <v>36951</v>
      </c>
      <c r="U1952" t="s">
        <v>36952</v>
      </c>
      <c r="V1952" t="s">
        <v>36953</v>
      </c>
      <c r="W1952" t="s">
        <v>36954</v>
      </c>
      <c r="X1952" t="s">
        <v>36955</v>
      </c>
      <c r="Y1952" t="s">
        <v>36956</v>
      </c>
    </row>
    <row r="1953" spans="1:25" x14ac:dyDescent="0.3">
      <c r="A1953">
        <v>97600</v>
      </c>
      <c r="B1953" t="s">
        <v>36957</v>
      </c>
      <c r="C1953" t="s">
        <v>36958</v>
      </c>
      <c r="D1953" t="s">
        <v>36959</v>
      </c>
      <c r="E1953" t="s">
        <v>36960</v>
      </c>
      <c r="F1953" t="s">
        <v>36961</v>
      </c>
      <c r="G1953" t="s">
        <v>36962</v>
      </c>
      <c r="H1953" t="s">
        <v>36963</v>
      </c>
      <c r="I1953">
        <f>-518.055187348408 -6.48330120283845 -919.555374161609</f>
        <v>-1444.0938627128555</v>
      </c>
      <c r="J1953" t="s">
        <v>36964</v>
      </c>
      <c r="K1953" t="s">
        <v>36965</v>
      </c>
      <c r="L1953" t="s">
        <v>36966</v>
      </c>
      <c r="M1953" t="s">
        <v>36967</v>
      </c>
      <c r="N1953" t="s">
        <v>36968</v>
      </c>
      <c r="O1953">
        <f>-609.642944955059 -124.603204253861 -701.461290428369</f>
        <v>-1435.7074396372891</v>
      </c>
      <c r="P1953">
        <f>-626.412145328838 -60.0428952830953 -392.0474702869</f>
        <v>-1078.5025108988334</v>
      </c>
      <c r="Q1953">
        <f>-372.783456999198 -4.67811888371079 -376.258867237801</f>
        <v>-753.72044312070977</v>
      </c>
      <c r="R1953" t="s">
        <v>36969</v>
      </c>
      <c r="S1953" t="s">
        <v>36970</v>
      </c>
      <c r="T1953" t="s">
        <v>36971</v>
      </c>
      <c r="U1953" t="s">
        <v>36972</v>
      </c>
      <c r="V1953" t="s">
        <v>36973</v>
      </c>
      <c r="W1953" t="s">
        <v>36974</v>
      </c>
      <c r="X1953" t="s">
        <v>36975</v>
      </c>
      <c r="Y1953" t="s">
        <v>36976</v>
      </c>
    </row>
    <row r="1954" spans="1:25" x14ac:dyDescent="0.3">
      <c r="A1954">
        <v>97650</v>
      </c>
      <c r="B1954" t="s">
        <v>36977</v>
      </c>
      <c r="C1954" t="s">
        <v>36978</v>
      </c>
      <c r="D1954" t="s">
        <v>36979</v>
      </c>
      <c r="E1954" t="s">
        <v>36980</v>
      </c>
      <c r="F1954" t="s">
        <v>36981</v>
      </c>
      <c r="G1954" t="s">
        <v>36982</v>
      </c>
      <c r="H1954" t="s">
        <v>36983</v>
      </c>
      <c r="I1954">
        <f>-518.176087922361 -4.6519408929762 -919.669165835728</f>
        <v>-1442.4971946510652</v>
      </c>
      <c r="J1954" t="s">
        <v>36984</v>
      </c>
      <c r="K1954" t="s">
        <v>36985</v>
      </c>
      <c r="L1954" t="s">
        <v>36986</v>
      </c>
      <c r="M1954" t="s">
        <v>36987</v>
      </c>
      <c r="N1954" t="s">
        <v>36988</v>
      </c>
      <c r="O1954">
        <f>-610.602431288039 -123.148026159981 -701.989766318848</f>
        <v>-1435.740223766868</v>
      </c>
      <c r="P1954">
        <f>-627.779632315132 -59.3866689771803 -392.4325889486</f>
        <v>-1079.5988902409122</v>
      </c>
      <c r="Q1954">
        <f>-374.692047454841 -1.60770496495365 -376.610460990055</f>
        <v>-752.91021340984958</v>
      </c>
      <c r="R1954" t="s">
        <v>36989</v>
      </c>
      <c r="S1954" t="s">
        <v>36990</v>
      </c>
      <c r="T1954" t="s">
        <v>36991</v>
      </c>
      <c r="U1954" t="s">
        <v>36992</v>
      </c>
      <c r="V1954" t="s">
        <v>36993</v>
      </c>
      <c r="W1954" t="s">
        <v>36994</v>
      </c>
      <c r="X1954" t="s">
        <v>36995</v>
      </c>
      <c r="Y1954" t="s">
        <v>36996</v>
      </c>
    </row>
    <row r="1955" spans="1:25" x14ac:dyDescent="0.3">
      <c r="A1955">
        <v>97700</v>
      </c>
      <c r="B1955" t="s">
        <v>36997</v>
      </c>
      <c r="C1955" t="s">
        <v>36998</v>
      </c>
      <c r="D1955" t="s">
        <v>36999</v>
      </c>
      <c r="E1955" t="s">
        <v>37000</v>
      </c>
      <c r="F1955" t="s">
        <v>37001</v>
      </c>
      <c r="G1955" t="s">
        <v>37002</v>
      </c>
      <c r="H1955" t="s">
        <v>37003</v>
      </c>
      <c r="I1955">
        <f>-518.026344040271 -3.41060774992161 -919.797803981069</f>
        <v>-1441.2347557712617</v>
      </c>
      <c r="J1955" t="s">
        <v>37004</v>
      </c>
      <c r="K1955" t="s">
        <v>37005</v>
      </c>
      <c r="L1955" t="s">
        <v>37006</v>
      </c>
      <c r="M1955" t="s">
        <v>37007</v>
      </c>
      <c r="N1955" t="s">
        <v>37008</v>
      </c>
      <c r="O1955">
        <f>-610.728379557772 -122.118878040769 -702.286985112342</f>
        <v>-1435.134242710883</v>
      </c>
      <c r="P1955">
        <f>-627.824875958323 -58.6195305386898 -392.671494368342</f>
        <v>-1079.1159008653549</v>
      </c>
      <c r="Q1955">
        <f>-374.844097772428 -0.33004300598941 -377.015344476611</f>
        <v>-752.18948525502833</v>
      </c>
      <c r="R1955" t="s">
        <v>37009</v>
      </c>
      <c r="S1955" t="s">
        <v>37010</v>
      </c>
      <c r="T1955" t="s">
        <v>37011</v>
      </c>
      <c r="U1955" t="s">
        <v>37012</v>
      </c>
      <c r="V1955" t="s">
        <v>37013</v>
      </c>
      <c r="W1955" t="s">
        <v>37014</v>
      </c>
      <c r="X1955" t="s">
        <v>37015</v>
      </c>
      <c r="Y1955" t="s">
        <v>37016</v>
      </c>
    </row>
    <row r="1956" spans="1:25" x14ac:dyDescent="0.3">
      <c r="A1956">
        <v>97750</v>
      </c>
      <c r="B1956" t="s">
        <v>37017</v>
      </c>
      <c r="C1956" t="s">
        <v>37018</v>
      </c>
      <c r="D1956" t="s">
        <v>37019</v>
      </c>
      <c r="E1956" t="s">
        <v>37020</v>
      </c>
      <c r="F1956" t="s">
        <v>37021</v>
      </c>
      <c r="G1956" t="s">
        <v>37022</v>
      </c>
      <c r="H1956" t="s">
        <v>37023</v>
      </c>
      <c r="I1956">
        <f>-517.58141130988 -0.729795813824239 -920.389146266302</f>
        <v>-1438.7003533900061</v>
      </c>
      <c r="J1956" t="s">
        <v>37024</v>
      </c>
      <c r="K1956" t="s">
        <v>37025</v>
      </c>
      <c r="L1956" t="s">
        <v>37026</v>
      </c>
      <c r="M1956" t="s">
        <v>37027</v>
      </c>
      <c r="N1956" t="s">
        <v>37028</v>
      </c>
      <c r="O1956">
        <f>-610.207022790637 -120.091463592798 -703.139099308477</f>
        <v>-1433.4375856919119</v>
      </c>
      <c r="P1956">
        <f>-626.505743383954 -57.3422395956354 -393.327786130762</f>
        <v>-1077.1757691103514</v>
      </c>
      <c r="Q1956" t="s">
        <v>37029</v>
      </c>
      <c r="R1956" t="s">
        <v>37030</v>
      </c>
      <c r="S1956" t="s">
        <v>37031</v>
      </c>
      <c r="T1956" t="s">
        <v>37032</v>
      </c>
      <c r="U1956" t="s">
        <v>37033</v>
      </c>
      <c r="V1956" t="s">
        <v>37034</v>
      </c>
      <c r="W1956" t="s">
        <v>37035</v>
      </c>
      <c r="X1956" t="s">
        <v>37036</v>
      </c>
      <c r="Y1956" t="s">
        <v>37037</v>
      </c>
    </row>
    <row r="1957" spans="1:25" x14ac:dyDescent="0.3">
      <c r="A1957">
        <v>97800</v>
      </c>
      <c r="B1957" t="s">
        <v>37038</v>
      </c>
      <c r="C1957" t="s">
        <v>37039</v>
      </c>
      <c r="D1957" t="s">
        <v>37040</v>
      </c>
      <c r="E1957" t="s">
        <v>37041</v>
      </c>
      <c r="F1957" t="s">
        <v>37042</v>
      </c>
      <c r="G1957" t="s">
        <v>37043</v>
      </c>
      <c r="H1957" t="s">
        <v>37044</v>
      </c>
      <c r="I1957" t="s">
        <v>37045</v>
      </c>
      <c r="J1957" t="s">
        <v>37046</v>
      </c>
      <c r="K1957" t="s">
        <v>37047</v>
      </c>
      <c r="L1957" t="s">
        <v>37048</v>
      </c>
      <c r="M1957" t="s">
        <v>37049</v>
      </c>
      <c r="N1957" t="s">
        <v>37050</v>
      </c>
      <c r="O1957">
        <f>-610.015760759581 -118.966272158209 -703.661242431243</f>
        <v>-1432.643275349033</v>
      </c>
      <c r="P1957">
        <f>-625.370194635775 -56.7329311944966 -393.697566970059</f>
        <v>-1075.8006928003306</v>
      </c>
      <c r="Q1957">
        <f>-371.844758731433 -0.828143874114176 -378.155081606679</f>
        <v>-750.82798421222617</v>
      </c>
      <c r="R1957" t="s">
        <v>37051</v>
      </c>
      <c r="S1957" t="s">
        <v>37052</v>
      </c>
      <c r="T1957" t="s">
        <v>37053</v>
      </c>
      <c r="U1957" t="s">
        <v>37054</v>
      </c>
      <c r="V1957" t="s">
        <v>37055</v>
      </c>
      <c r="W1957" t="s">
        <v>37056</v>
      </c>
      <c r="X1957" t="s">
        <v>37057</v>
      </c>
      <c r="Y1957" t="s">
        <v>37058</v>
      </c>
    </row>
    <row r="1958" spans="1:25" x14ac:dyDescent="0.3">
      <c r="A1958">
        <v>97850</v>
      </c>
      <c r="B1958" t="s">
        <v>37059</v>
      </c>
      <c r="C1958" t="s">
        <v>37060</v>
      </c>
      <c r="D1958" t="s">
        <v>37061</v>
      </c>
      <c r="E1958" t="s">
        <v>37062</v>
      </c>
      <c r="F1958" t="s">
        <v>37063</v>
      </c>
      <c r="G1958" t="s">
        <v>37064</v>
      </c>
      <c r="H1958" t="s">
        <v>37065</v>
      </c>
      <c r="I1958" t="s">
        <v>37066</v>
      </c>
      <c r="J1958" t="s">
        <v>37067</v>
      </c>
      <c r="K1958" t="s">
        <v>37068</v>
      </c>
      <c r="L1958" t="s">
        <v>37069</v>
      </c>
      <c r="M1958" t="s">
        <v>37070</v>
      </c>
      <c r="N1958" t="s">
        <v>37071</v>
      </c>
      <c r="O1958">
        <f>-609.728938084653 -117.715773502384 -704.322961168603</f>
        <v>-1431.76767275564</v>
      </c>
      <c r="P1958">
        <f>-623.000324363997 -56.1353700803049 -394.13267261824</f>
        <v>-1073.268367062542</v>
      </c>
      <c r="Q1958">
        <f>-368.472050791217 -5.02689894160494 -378.4687978982</f>
        <v>-751.96774763102189</v>
      </c>
      <c r="R1958" t="s">
        <v>37072</v>
      </c>
      <c r="S1958" t="s">
        <v>37073</v>
      </c>
      <c r="T1958" t="s">
        <v>37074</v>
      </c>
      <c r="U1958" t="s">
        <v>37075</v>
      </c>
      <c r="V1958" t="s">
        <v>37076</v>
      </c>
      <c r="W1958" t="s">
        <v>37077</v>
      </c>
      <c r="X1958" t="s">
        <v>37078</v>
      </c>
      <c r="Y1958" t="s">
        <v>37079</v>
      </c>
    </row>
    <row r="1959" spans="1:25" x14ac:dyDescent="0.3">
      <c r="A1959">
        <v>97900</v>
      </c>
      <c r="B1959" t="s">
        <v>37080</v>
      </c>
      <c r="C1959" t="s">
        <v>37081</v>
      </c>
      <c r="D1959" t="s">
        <v>37082</v>
      </c>
      <c r="E1959" t="s">
        <v>37083</v>
      </c>
      <c r="F1959" t="s">
        <v>37084</v>
      </c>
      <c r="G1959" t="s">
        <v>37085</v>
      </c>
      <c r="H1959" t="s">
        <v>37086</v>
      </c>
      <c r="I1959" t="s">
        <v>37087</v>
      </c>
      <c r="J1959" t="s">
        <v>37088</v>
      </c>
      <c r="K1959" t="s">
        <v>37089</v>
      </c>
      <c r="L1959" t="s">
        <v>37090</v>
      </c>
      <c r="M1959" t="s">
        <v>37091</v>
      </c>
      <c r="N1959" t="s">
        <v>37092</v>
      </c>
      <c r="O1959">
        <f>-609.201671486466 -117.240125861154 -704.539933951354</f>
        <v>-1430.981731298974</v>
      </c>
      <c r="P1959">
        <f>-621.258527036018 -56.4836877598102 -394.137870203094</f>
        <v>-1071.8800849989223</v>
      </c>
      <c r="Q1959">
        <f>-366.141321517497 -7.79718434431766 -380.466954780276</f>
        <v>-754.4054606420907</v>
      </c>
      <c r="R1959" t="s">
        <v>37093</v>
      </c>
      <c r="S1959" t="s">
        <v>37094</v>
      </c>
      <c r="T1959" t="s">
        <v>37095</v>
      </c>
      <c r="U1959" t="s">
        <v>37096</v>
      </c>
      <c r="V1959" t="s">
        <v>37097</v>
      </c>
      <c r="W1959" t="s">
        <v>37098</v>
      </c>
      <c r="X1959" t="s">
        <v>37099</v>
      </c>
      <c r="Y1959" t="s">
        <v>37100</v>
      </c>
    </row>
    <row r="1960" spans="1:25" x14ac:dyDescent="0.3">
      <c r="A1960">
        <v>97950</v>
      </c>
      <c r="B1960" t="s">
        <v>37101</v>
      </c>
      <c r="C1960" t="s">
        <v>37102</v>
      </c>
      <c r="D1960" t="s">
        <v>37103</v>
      </c>
      <c r="E1960" t="s">
        <v>37104</v>
      </c>
      <c r="F1960" t="s">
        <v>37105</v>
      </c>
      <c r="G1960" t="s">
        <v>37106</v>
      </c>
      <c r="H1960" t="s">
        <v>37107</v>
      </c>
      <c r="I1960" t="s">
        <v>37108</v>
      </c>
      <c r="J1960" t="s">
        <v>37109</v>
      </c>
      <c r="K1960" t="s">
        <v>37110</v>
      </c>
      <c r="L1960" t="s">
        <v>37111</v>
      </c>
      <c r="M1960" t="s">
        <v>37112</v>
      </c>
      <c r="N1960" t="s">
        <v>37113</v>
      </c>
      <c r="O1960">
        <f>-605.523214255384 -116.644094378058 -704.747408276512</f>
        <v>-1426.914716909954</v>
      </c>
      <c r="P1960">
        <f>-615.066264121446 -58.059500795044 -393.840733796712</f>
        <v>-1066.9664987132019</v>
      </c>
      <c r="Q1960">
        <f>-358.842064919274 -14.0023326413545 -386.756070890444</f>
        <v>-759.6004684510724</v>
      </c>
      <c r="R1960" t="s">
        <v>37114</v>
      </c>
      <c r="S1960" t="s">
        <v>37115</v>
      </c>
      <c r="T1960" t="s">
        <v>37116</v>
      </c>
      <c r="U1960" t="s">
        <v>37117</v>
      </c>
      <c r="V1960" t="s">
        <v>37118</v>
      </c>
      <c r="W1960" t="s">
        <v>37119</v>
      </c>
      <c r="X1960" t="s">
        <v>37120</v>
      </c>
      <c r="Y1960" t="s">
        <v>37121</v>
      </c>
    </row>
    <row r="1961" spans="1:25" x14ac:dyDescent="0.3">
      <c r="A1961">
        <v>98000</v>
      </c>
      <c r="B1961" t="s">
        <v>37122</v>
      </c>
      <c r="C1961" t="s">
        <v>37123</v>
      </c>
      <c r="D1961" t="s">
        <v>37124</v>
      </c>
      <c r="E1961" t="s">
        <v>37125</v>
      </c>
      <c r="F1961" t="s">
        <v>37126</v>
      </c>
      <c r="G1961" t="s">
        <v>37127</v>
      </c>
      <c r="H1961" t="s">
        <v>37128</v>
      </c>
      <c r="I1961" t="s">
        <v>37129</v>
      </c>
      <c r="J1961" t="s">
        <v>37130</v>
      </c>
      <c r="K1961" t="s">
        <v>37131</v>
      </c>
      <c r="L1961" t="s">
        <v>37132</v>
      </c>
      <c r="M1961" t="s">
        <v>37133</v>
      </c>
      <c r="N1961" t="s">
        <v>37134</v>
      </c>
      <c r="O1961">
        <f>-604.027172207047 -117.011187704685 -704.632741896775</f>
        <v>-1425.671101808507</v>
      </c>
      <c r="P1961">
        <f>-613.071635734929 -58.7286292641879 -393.654376719858</f>
        <v>-1065.4546417189749</v>
      </c>
      <c r="Q1961">
        <f>-356.496773813806 -16.3067718468119 -390.219942542325</f>
        <v>-763.02348820294287</v>
      </c>
      <c r="R1961" t="s">
        <v>37135</v>
      </c>
      <c r="S1961" t="s">
        <v>37136</v>
      </c>
      <c r="T1961" t="s">
        <v>37137</v>
      </c>
      <c r="U1961" t="s">
        <v>37138</v>
      </c>
      <c r="V1961" t="s">
        <v>37139</v>
      </c>
      <c r="W1961" t="s">
        <v>37140</v>
      </c>
      <c r="X1961" t="s">
        <v>37141</v>
      </c>
      <c r="Y1961" t="s">
        <v>37142</v>
      </c>
    </row>
    <row r="1962" spans="1:25" x14ac:dyDescent="0.3">
      <c r="A1962">
        <v>98050</v>
      </c>
      <c r="B1962" t="s">
        <v>37143</v>
      </c>
      <c r="C1962" t="s">
        <v>37144</v>
      </c>
      <c r="D1962" t="s">
        <v>37145</v>
      </c>
      <c r="E1962" t="s">
        <v>37146</v>
      </c>
      <c r="F1962" t="s">
        <v>37147</v>
      </c>
      <c r="G1962" t="s">
        <v>37148</v>
      </c>
      <c r="H1962" t="s">
        <v>37149</v>
      </c>
      <c r="I1962" t="s">
        <v>37150</v>
      </c>
      <c r="J1962" t="s">
        <v>37151</v>
      </c>
      <c r="K1962" t="s">
        <v>37152</v>
      </c>
      <c r="L1962" t="s">
        <v>37153</v>
      </c>
      <c r="M1962" t="s">
        <v>37154</v>
      </c>
      <c r="N1962" t="s">
        <v>37155</v>
      </c>
      <c r="O1962">
        <f>-601.379364163813 -116.432448926013 -704.828583407452</f>
        <v>-1422.6403964972778</v>
      </c>
      <c r="P1962">
        <f>-609.427801034431 -58.8984593904847 -393.683598094947</f>
        <v>-1062.0098585198627</v>
      </c>
      <c r="Q1962">
        <f>-352.953522486917 -15.9221254820993 -397.686700112024</f>
        <v>-766.56234808104034</v>
      </c>
      <c r="R1962" t="s">
        <v>37156</v>
      </c>
      <c r="S1962" t="s">
        <v>37157</v>
      </c>
      <c r="T1962" t="s">
        <v>37158</v>
      </c>
      <c r="U1962" t="s">
        <v>37159</v>
      </c>
      <c r="V1962" t="s">
        <v>37160</v>
      </c>
      <c r="W1962" t="s">
        <v>37161</v>
      </c>
      <c r="X1962" t="s">
        <v>37162</v>
      </c>
      <c r="Y1962" t="s">
        <v>37163</v>
      </c>
    </row>
    <row r="1963" spans="1:25" x14ac:dyDescent="0.3">
      <c r="A1963">
        <v>98100</v>
      </c>
      <c r="B1963" t="s">
        <v>37164</v>
      </c>
      <c r="C1963" t="s">
        <v>37165</v>
      </c>
      <c r="D1963" t="s">
        <v>37166</v>
      </c>
      <c r="E1963" t="s">
        <v>37167</v>
      </c>
      <c r="F1963" t="s">
        <v>37168</v>
      </c>
      <c r="G1963" t="s">
        <v>37169</v>
      </c>
      <c r="H1963" t="s">
        <v>37170</v>
      </c>
      <c r="I1963" t="s">
        <v>37171</v>
      </c>
      <c r="J1963" t="s">
        <v>37172</v>
      </c>
      <c r="K1963" t="s">
        <v>37173</v>
      </c>
      <c r="L1963" t="s">
        <v>37174</v>
      </c>
      <c r="M1963" t="s">
        <v>37175</v>
      </c>
      <c r="N1963" t="s">
        <v>37176</v>
      </c>
      <c r="O1963">
        <f>-600.377453884745 -116.009553613338 -704.989377637965</f>
        <v>-1421.3763851360482</v>
      </c>
      <c r="P1963">
        <f>-609.191584377617 -58.2993497484022 -393.897813372962</f>
        <v>-1061.388747498981</v>
      </c>
      <c r="Q1963">
        <f>-353.087487243157 -13.6557919888294 -401.623439191761</f>
        <v>-768.36671842374744</v>
      </c>
      <c r="R1963" t="s">
        <v>37177</v>
      </c>
      <c r="S1963" t="s">
        <v>37178</v>
      </c>
      <c r="T1963" t="s">
        <v>37179</v>
      </c>
      <c r="U1963" t="s">
        <v>37180</v>
      </c>
      <c r="V1963" t="s">
        <v>37181</v>
      </c>
      <c r="W1963" t="s">
        <v>37182</v>
      </c>
      <c r="X1963" t="s">
        <v>37183</v>
      </c>
      <c r="Y1963" t="s">
        <v>37184</v>
      </c>
    </row>
    <row r="1964" spans="1:25" x14ac:dyDescent="0.3">
      <c r="A1964">
        <v>98150</v>
      </c>
      <c r="B1964" t="s">
        <v>37185</v>
      </c>
      <c r="C1964" t="s">
        <v>37186</v>
      </c>
      <c r="D1964" t="s">
        <v>37187</v>
      </c>
      <c r="E1964" t="s">
        <v>37188</v>
      </c>
      <c r="F1964" t="s">
        <v>37189</v>
      </c>
      <c r="G1964" t="s">
        <v>37190</v>
      </c>
      <c r="H1964" t="s">
        <v>37191</v>
      </c>
      <c r="I1964" t="s">
        <v>37192</v>
      </c>
      <c r="J1964" t="s">
        <v>37193</v>
      </c>
      <c r="K1964" t="s">
        <v>37194</v>
      </c>
      <c r="L1964" t="s">
        <v>37195</v>
      </c>
      <c r="M1964" t="s">
        <v>37196</v>
      </c>
      <c r="N1964" t="s">
        <v>37197</v>
      </c>
      <c r="O1964">
        <f>-599.254480383754 -114.487166005507 -705.917995537809</f>
        <v>-1419.65964192707</v>
      </c>
      <c r="P1964">
        <f>-609.050247175348 -58.4026651709307 -394.558419790907</f>
        <v>-1062.0113321371857</v>
      </c>
      <c r="Q1964">
        <f>-353.817565417988 -9.45145235023188 -404.662847853185</f>
        <v>-767.93186562140488</v>
      </c>
      <c r="R1964" t="s">
        <v>37198</v>
      </c>
      <c r="S1964" t="s">
        <v>37199</v>
      </c>
      <c r="T1964" t="s">
        <v>37200</v>
      </c>
      <c r="U1964" t="s">
        <v>37201</v>
      </c>
      <c r="V1964" t="s">
        <v>37202</v>
      </c>
      <c r="W1964" t="s">
        <v>37203</v>
      </c>
      <c r="X1964" t="s">
        <v>37204</v>
      </c>
      <c r="Y1964" t="s">
        <v>37205</v>
      </c>
    </row>
    <row r="1965" spans="1:25" x14ac:dyDescent="0.3">
      <c r="A1965">
        <v>98200</v>
      </c>
      <c r="B1965" t="s">
        <v>37206</v>
      </c>
      <c r="C1965" t="s">
        <v>37207</v>
      </c>
      <c r="D1965" t="s">
        <v>37208</v>
      </c>
      <c r="E1965" t="s">
        <v>37209</v>
      </c>
      <c r="F1965" t="s">
        <v>37210</v>
      </c>
      <c r="G1965" t="s">
        <v>37211</v>
      </c>
      <c r="H1965" t="s">
        <v>37212</v>
      </c>
      <c r="I1965" t="s">
        <v>37213</v>
      </c>
      <c r="J1965" t="s">
        <v>37214</v>
      </c>
      <c r="K1965" t="s">
        <v>37215</v>
      </c>
      <c r="L1965" t="s">
        <v>37216</v>
      </c>
      <c r="M1965" t="s">
        <v>37217</v>
      </c>
      <c r="N1965" t="s">
        <v>37218</v>
      </c>
      <c r="O1965">
        <f>-599.455708726786 -113.574650313584 -706.467050124913</f>
        <v>-1419.497409165283</v>
      </c>
      <c r="P1965">
        <f>-610.167041190245 -58.9212088041454 -394.883299778535</f>
        <v>-1063.9715497729253</v>
      </c>
      <c r="Q1965">
        <f>-355.28157846379 -8.21767156485566 -405.112086200317</f>
        <v>-768.61133622896273</v>
      </c>
      <c r="R1965" t="s">
        <v>37219</v>
      </c>
      <c r="S1965" t="s">
        <v>37220</v>
      </c>
      <c r="T1965" t="s">
        <v>37221</v>
      </c>
      <c r="U1965" t="s">
        <v>37222</v>
      </c>
      <c r="V1965" t="s">
        <v>37223</v>
      </c>
      <c r="W1965" t="s">
        <v>37224</v>
      </c>
      <c r="X1965" t="s">
        <v>37225</v>
      </c>
      <c r="Y1965" t="s">
        <v>37226</v>
      </c>
    </row>
    <row r="1966" spans="1:25" x14ac:dyDescent="0.3">
      <c r="A1966">
        <v>98250</v>
      </c>
      <c r="B1966" t="s">
        <v>37227</v>
      </c>
      <c r="C1966" t="s">
        <v>37228</v>
      </c>
      <c r="D1966" t="s">
        <v>37229</v>
      </c>
      <c r="E1966" t="s">
        <v>37230</v>
      </c>
      <c r="F1966" t="s">
        <v>37231</v>
      </c>
      <c r="G1966" t="s">
        <v>37232</v>
      </c>
      <c r="H1966" t="s">
        <v>37233</v>
      </c>
      <c r="I1966" t="s">
        <v>37234</v>
      </c>
      <c r="J1966" t="s">
        <v>37235</v>
      </c>
      <c r="K1966" t="s">
        <v>37236</v>
      </c>
      <c r="L1966" t="s">
        <v>37237</v>
      </c>
      <c r="M1966" t="s">
        <v>37238</v>
      </c>
      <c r="N1966" t="s">
        <v>37239</v>
      </c>
      <c r="O1966">
        <f>-599.249958695212 -111.403062077386 -707.78559655527</f>
        <v>-1418.4386173278681</v>
      </c>
      <c r="P1966">
        <f>-612.271988244726 -60.4328373532476 -395.665989797035</f>
        <v>-1068.3708153950085</v>
      </c>
      <c r="Q1966">
        <f>-357.800197888982 -7.35307247189144 -403.954841504658</f>
        <v>-769.10811186553144</v>
      </c>
      <c r="R1966" t="s">
        <v>37240</v>
      </c>
      <c r="S1966" t="s">
        <v>37241</v>
      </c>
      <c r="T1966" t="s">
        <v>37242</v>
      </c>
      <c r="U1966" t="s">
        <v>37243</v>
      </c>
      <c r="V1966" t="s">
        <v>37244</v>
      </c>
      <c r="W1966" t="s">
        <v>37245</v>
      </c>
      <c r="X1966" t="s">
        <v>37246</v>
      </c>
      <c r="Y1966" t="s">
        <v>37247</v>
      </c>
    </row>
    <row r="1967" spans="1:25" x14ac:dyDescent="0.3">
      <c r="A1967">
        <v>98300</v>
      </c>
      <c r="B1967" t="s">
        <v>37248</v>
      </c>
      <c r="C1967" t="s">
        <v>37249</v>
      </c>
      <c r="D1967" t="s">
        <v>37250</v>
      </c>
      <c r="E1967" t="s">
        <v>37251</v>
      </c>
      <c r="F1967" t="s">
        <v>37252</v>
      </c>
      <c r="G1967" t="s">
        <v>37253</v>
      </c>
      <c r="H1967" t="s">
        <v>37254</v>
      </c>
      <c r="I1967" t="s">
        <v>37255</v>
      </c>
      <c r="J1967" t="s">
        <v>37256</v>
      </c>
      <c r="K1967" t="s">
        <v>37257</v>
      </c>
      <c r="L1967" t="s">
        <v>37258</v>
      </c>
      <c r="M1967" t="s">
        <v>37259</v>
      </c>
      <c r="N1967" t="s">
        <v>37260</v>
      </c>
      <c r="O1967">
        <f>-599.227288165334 -110.470955145398 -708.474175553916</f>
        <v>-1418.1724188646481</v>
      </c>
      <c r="P1967">
        <f>-613.888912667404 -61.0749722559308 -396.174175026459</f>
        <v>-1071.1380599497938</v>
      </c>
      <c r="Q1967">
        <f>-359.700145266334 -6.59508507732016 -404.052230177103</f>
        <v>-770.34746052075718</v>
      </c>
      <c r="R1967" t="s">
        <v>37261</v>
      </c>
      <c r="S1967" t="s">
        <v>37262</v>
      </c>
      <c r="T1967" t="s">
        <v>37263</v>
      </c>
      <c r="U1967" t="s">
        <v>37264</v>
      </c>
      <c r="V1967" t="s">
        <v>37265</v>
      </c>
      <c r="W1967" t="s">
        <v>37266</v>
      </c>
      <c r="X1967" t="s">
        <v>37267</v>
      </c>
      <c r="Y1967" t="s">
        <v>37268</v>
      </c>
    </row>
    <row r="1968" spans="1:25" x14ac:dyDescent="0.3">
      <c r="A1968">
        <v>98350</v>
      </c>
      <c r="B1968" t="s">
        <v>37269</v>
      </c>
      <c r="C1968" t="s">
        <v>37270</v>
      </c>
      <c r="D1968" t="s">
        <v>37271</v>
      </c>
      <c r="E1968" t="s">
        <v>37272</v>
      </c>
      <c r="F1968" t="s">
        <v>37273</v>
      </c>
      <c r="G1968" t="s">
        <v>37274</v>
      </c>
      <c r="H1968" t="s">
        <v>37275</v>
      </c>
      <c r="I1968" t="s">
        <v>37276</v>
      </c>
      <c r="J1968" t="s">
        <v>37277</v>
      </c>
      <c r="K1968" t="s">
        <v>37278</v>
      </c>
      <c r="L1968" t="s">
        <v>37279</v>
      </c>
      <c r="M1968" t="s">
        <v>37280</v>
      </c>
      <c r="N1968" t="s">
        <v>37281</v>
      </c>
      <c r="O1968">
        <f>-600.768237144159 -109.532528585662 -709.580257905121</f>
        <v>-1419.881023634942</v>
      </c>
      <c r="P1968">
        <f>-616.893978949795 -61.8003176390393 -397.09366856875</f>
        <v>-1075.7879651575845</v>
      </c>
      <c r="Q1968">
        <f>-363.185332204322 -4.99203197554084 -403.933539728828</f>
        <v>-772.11090390869083</v>
      </c>
      <c r="R1968" t="s">
        <v>37282</v>
      </c>
      <c r="S1968" t="s">
        <v>37283</v>
      </c>
      <c r="T1968" t="s">
        <v>37284</v>
      </c>
      <c r="U1968" t="s">
        <v>37285</v>
      </c>
      <c r="V1968" t="s">
        <v>37286</v>
      </c>
      <c r="W1968" t="s">
        <v>37287</v>
      </c>
      <c r="X1968" t="s">
        <v>37288</v>
      </c>
      <c r="Y1968" t="s">
        <v>37289</v>
      </c>
    </row>
    <row r="1969" spans="1:25" x14ac:dyDescent="0.3">
      <c r="A1969">
        <v>98400</v>
      </c>
      <c r="B1969" t="s">
        <v>37290</v>
      </c>
      <c r="C1969" t="s">
        <v>37291</v>
      </c>
      <c r="D1969" t="s">
        <v>37292</v>
      </c>
      <c r="E1969" t="s">
        <v>37293</v>
      </c>
      <c r="F1969" t="s">
        <v>37294</v>
      </c>
      <c r="G1969" t="s">
        <v>37295</v>
      </c>
      <c r="H1969" t="s">
        <v>37296</v>
      </c>
      <c r="I1969" t="s">
        <v>37297</v>
      </c>
      <c r="J1969" t="s">
        <v>37298</v>
      </c>
      <c r="K1969" t="s">
        <v>37299</v>
      </c>
      <c r="L1969" t="s">
        <v>37300</v>
      </c>
      <c r="M1969" t="s">
        <v>37301</v>
      </c>
      <c r="N1969" t="s">
        <v>37302</v>
      </c>
      <c r="O1969">
        <f>-601.800598223248 -109.018980182113 -710.233605120427</f>
        <v>-1421.053183525788</v>
      </c>
      <c r="P1969">
        <f>-618.272121110631 -61.9891111893478 -397.658651939068</f>
        <v>-1077.919884239047</v>
      </c>
      <c r="Q1969">
        <f>-364.663581736019 -4.64525063960787 -403.696572406121</f>
        <v>-773.00540478174787</v>
      </c>
      <c r="R1969" t="s">
        <v>37303</v>
      </c>
      <c r="S1969" t="s">
        <v>37304</v>
      </c>
      <c r="T1969" t="s">
        <v>37305</v>
      </c>
      <c r="U1969" t="s">
        <v>37306</v>
      </c>
      <c r="V1969" t="s">
        <v>37307</v>
      </c>
      <c r="W1969" t="s">
        <v>37308</v>
      </c>
      <c r="X1969" t="s">
        <v>37309</v>
      </c>
      <c r="Y1969" t="s">
        <v>37310</v>
      </c>
    </row>
    <row r="1970" spans="1:25" x14ac:dyDescent="0.3">
      <c r="A1970">
        <v>98450</v>
      </c>
      <c r="B1970" t="s">
        <v>37311</v>
      </c>
      <c r="C1970" t="s">
        <v>37312</v>
      </c>
      <c r="D1970" t="s">
        <v>37313</v>
      </c>
      <c r="E1970" t="s">
        <v>37314</v>
      </c>
      <c r="F1970" t="s">
        <v>37315</v>
      </c>
      <c r="G1970" t="s">
        <v>37316</v>
      </c>
      <c r="H1970" t="s">
        <v>37317</v>
      </c>
      <c r="I1970" t="s">
        <v>37318</v>
      </c>
      <c r="J1970" t="s">
        <v>37319</v>
      </c>
      <c r="K1970" t="s">
        <v>37320</v>
      </c>
      <c r="L1970" t="s">
        <v>37321</v>
      </c>
      <c r="M1970" t="s">
        <v>37322</v>
      </c>
      <c r="N1970" t="s">
        <v>37323</v>
      </c>
      <c r="O1970">
        <f>-603.339180178316 -108.289480551707 -711.642688515829</f>
        <v>-1423.271349245852</v>
      </c>
      <c r="P1970">
        <f>-620.880604052601 -62.5407349033585 -398.935907636996</f>
        <v>-1082.3572465929556</v>
      </c>
      <c r="Q1970">
        <f>-367.139431925101 -5.53438008609692 -401.722770338437</f>
        <v>-774.39658234963485</v>
      </c>
      <c r="R1970" t="s">
        <v>37324</v>
      </c>
      <c r="S1970" t="s">
        <v>37325</v>
      </c>
      <c r="T1970" t="s">
        <v>37326</v>
      </c>
      <c r="U1970" t="s">
        <v>37327</v>
      </c>
      <c r="V1970" t="s">
        <v>37328</v>
      </c>
      <c r="W1970" t="s">
        <v>37329</v>
      </c>
      <c r="X1970" t="s">
        <v>37330</v>
      </c>
      <c r="Y1970" t="s">
        <v>37331</v>
      </c>
    </row>
    <row r="1971" spans="1:25" x14ac:dyDescent="0.3">
      <c r="A1971">
        <v>98500</v>
      </c>
      <c r="B1971" t="s">
        <v>37332</v>
      </c>
      <c r="C1971" t="s">
        <v>37333</v>
      </c>
      <c r="D1971" t="s">
        <v>37334</v>
      </c>
      <c r="E1971" t="s">
        <v>37335</v>
      </c>
      <c r="F1971" t="s">
        <v>37336</v>
      </c>
      <c r="G1971" t="s">
        <v>37337</v>
      </c>
      <c r="H1971" t="s">
        <v>37338</v>
      </c>
      <c r="I1971" t="s">
        <v>37339</v>
      </c>
      <c r="J1971" t="s">
        <v>37340</v>
      </c>
      <c r="K1971" t="s">
        <v>37341</v>
      </c>
      <c r="L1971" t="s">
        <v>37342</v>
      </c>
      <c r="M1971" t="s">
        <v>37343</v>
      </c>
      <c r="N1971" t="s">
        <v>37344</v>
      </c>
      <c r="O1971">
        <f>-603.965691962232 -107.921496192009 -712.204886666487</f>
        <v>-1424.0920748207282</v>
      </c>
      <c r="P1971">
        <f>-622.544993782222 -63.0796723980575 -399.426626413472</f>
        <v>-1085.0512925937514</v>
      </c>
      <c r="Q1971">
        <f>-368.840245130044 -5.86138806973827 -400.853237415707</f>
        <v>-775.55487061548934</v>
      </c>
      <c r="R1971" t="s">
        <v>37345</v>
      </c>
      <c r="S1971" t="s">
        <v>37346</v>
      </c>
      <c r="T1971" t="s">
        <v>37347</v>
      </c>
      <c r="U1971" t="s">
        <v>37348</v>
      </c>
      <c r="V1971" t="s">
        <v>37349</v>
      </c>
      <c r="W1971" t="s">
        <v>37350</v>
      </c>
      <c r="X1971" t="s">
        <v>37351</v>
      </c>
      <c r="Y1971" t="s">
        <v>37352</v>
      </c>
    </row>
    <row r="1972" spans="1:25" x14ac:dyDescent="0.3">
      <c r="A1972">
        <v>98550</v>
      </c>
      <c r="B1972" t="s">
        <v>37353</v>
      </c>
      <c r="C1972" t="s">
        <v>37354</v>
      </c>
      <c r="D1972" t="s">
        <v>37355</v>
      </c>
      <c r="E1972" t="s">
        <v>37356</v>
      </c>
      <c r="F1972" t="s">
        <v>37357</v>
      </c>
      <c r="G1972" t="s">
        <v>37358</v>
      </c>
      <c r="H1972" t="s">
        <v>37359</v>
      </c>
      <c r="I1972" t="s">
        <v>37360</v>
      </c>
      <c r="J1972" t="s">
        <v>37361</v>
      </c>
      <c r="K1972" t="s">
        <v>37362</v>
      </c>
      <c r="L1972" t="s">
        <v>37363</v>
      </c>
      <c r="M1972" t="s">
        <v>37364</v>
      </c>
      <c r="N1972" t="s">
        <v>37365</v>
      </c>
      <c r="O1972">
        <f>-604.48817421779 -107.125938705365 -713.13462796255</f>
        <v>-1424.748740885705</v>
      </c>
      <c r="P1972">
        <f>-625.402907372194 -63.3550045777079 -400.352106614152</f>
        <v>-1089.1100185640539</v>
      </c>
      <c r="Q1972">
        <f>-371.512787243359 -6.9632603226471 -398.999324575286</f>
        <v>-777.47537214129215</v>
      </c>
      <c r="R1972" t="s">
        <v>37366</v>
      </c>
      <c r="S1972" t="s">
        <v>37367</v>
      </c>
      <c r="T1972" t="s">
        <v>37368</v>
      </c>
      <c r="U1972" t="s">
        <v>37369</v>
      </c>
      <c r="V1972" t="s">
        <v>37370</v>
      </c>
      <c r="W1972" t="s">
        <v>37371</v>
      </c>
      <c r="X1972" t="s">
        <v>37372</v>
      </c>
      <c r="Y1972" t="s">
        <v>37373</v>
      </c>
    </row>
    <row r="1973" spans="1:25" x14ac:dyDescent="0.3">
      <c r="A1973">
        <v>98600</v>
      </c>
      <c r="B1973" t="s">
        <v>37374</v>
      </c>
      <c r="C1973" t="s">
        <v>37375</v>
      </c>
      <c r="D1973" t="s">
        <v>37376</v>
      </c>
      <c r="E1973" t="s">
        <v>37377</v>
      </c>
      <c r="F1973" t="s">
        <v>37378</v>
      </c>
      <c r="G1973" t="s">
        <v>37379</v>
      </c>
      <c r="H1973" t="s">
        <v>37380</v>
      </c>
      <c r="I1973" t="s">
        <v>37381</v>
      </c>
      <c r="J1973" t="s">
        <v>37382</v>
      </c>
      <c r="K1973" t="s">
        <v>37383</v>
      </c>
      <c r="L1973" t="s">
        <v>37384</v>
      </c>
      <c r="M1973" t="s">
        <v>37385</v>
      </c>
      <c r="N1973" t="s">
        <v>37386</v>
      </c>
      <c r="O1973">
        <f>-605.147049478812 -106.860818911378 -713.378445436773</f>
        <v>-1425.386313826963</v>
      </c>
      <c r="P1973">
        <f>-626.935642132155 -63.0975802583055 -400.654638016793</f>
        <v>-1090.6878604072535</v>
      </c>
      <c r="Q1973">
        <f>-372.961502015049 -7.10087940484618 -398.773312233972</f>
        <v>-778.83569365386711</v>
      </c>
      <c r="R1973" t="s">
        <v>37387</v>
      </c>
      <c r="S1973" t="s">
        <v>37388</v>
      </c>
      <c r="T1973" t="s">
        <v>37389</v>
      </c>
      <c r="U1973" t="s">
        <v>37390</v>
      </c>
      <c r="V1973" t="s">
        <v>37391</v>
      </c>
      <c r="W1973" t="s">
        <v>37392</v>
      </c>
      <c r="X1973" t="s">
        <v>37393</v>
      </c>
      <c r="Y1973" t="s">
        <v>37394</v>
      </c>
    </row>
    <row r="1974" spans="1:25" x14ac:dyDescent="0.3">
      <c r="A1974">
        <v>98650</v>
      </c>
      <c r="B1974" t="s">
        <v>37395</v>
      </c>
      <c r="C1974" t="s">
        <v>37396</v>
      </c>
      <c r="D1974" t="s">
        <v>37397</v>
      </c>
      <c r="E1974" t="s">
        <v>37398</v>
      </c>
      <c r="F1974" t="s">
        <v>37399</v>
      </c>
      <c r="G1974" t="s">
        <v>37400</v>
      </c>
      <c r="H1974" t="s">
        <v>37401</v>
      </c>
      <c r="I1974" t="s">
        <v>37402</v>
      </c>
      <c r="J1974" t="s">
        <v>37403</v>
      </c>
      <c r="K1974" t="s">
        <v>37404</v>
      </c>
      <c r="L1974" t="s">
        <v>37405</v>
      </c>
      <c r="M1974" t="s">
        <v>37406</v>
      </c>
      <c r="N1974" t="s">
        <v>37407</v>
      </c>
      <c r="O1974">
        <f>-605.834310318945 -106.482149598713 -713.733639542281</f>
        <v>-1426.050099459939</v>
      </c>
      <c r="P1974">
        <f>-629.552641620035 -62.7866638987746 -401.140758829992</f>
        <v>-1093.4800643488015</v>
      </c>
      <c r="Q1974">
        <f>-375.346578590505 -7.95579749420881 -397.278557541921</f>
        <v>-780.58093362663476</v>
      </c>
      <c r="R1974" t="s">
        <v>37408</v>
      </c>
      <c r="S1974" t="s">
        <v>37409</v>
      </c>
      <c r="T1974" t="s">
        <v>37410</v>
      </c>
      <c r="U1974" t="s">
        <v>37411</v>
      </c>
      <c r="V1974" t="s">
        <v>37412</v>
      </c>
      <c r="W1974" t="s">
        <v>37413</v>
      </c>
      <c r="X1974" t="s">
        <v>37414</v>
      </c>
      <c r="Y1974" t="s">
        <v>37415</v>
      </c>
    </row>
    <row r="1975" spans="1:25" x14ac:dyDescent="0.3">
      <c r="A1975">
        <v>98700</v>
      </c>
      <c r="B1975" t="s">
        <v>37416</v>
      </c>
      <c r="C1975" t="s">
        <v>37417</v>
      </c>
      <c r="D1975" t="s">
        <v>37418</v>
      </c>
      <c r="E1975" t="s">
        <v>37419</v>
      </c>
      <c r="F1975" t="s">
        <v>37420</v>
      </c>
      <c r="G1975" t="s">
        <v>37421</v>
      </c>
      <c r="H1975" t="s">
        <v>37422</v>
      </c>
      <c r="I1975" t="s">
        <v>37423</v>
      </c>
      <c r="J1975" t="s">
        <v>37424</v>
      </c>
      <c r="K1975" t="s">
        <v>37425</v>
      </c>
      <c r="L1975" t="s">
        <v>37426</v>
      </c>
      <c r="M1975" t="s">
        <v>37427</v>
      </c>
      <c r="N1975" t="s">
        <v>37428</v>
      </c>
      <c r="O1975">
        <f>-606.437573827651 -106.11985307655 -713.943041099828</f>
        <v>-1426.500468004029</v>
      </c>
      <c r="P1975">
        <f>-630.971493425885 -62.830510079232 -401.356587357486</f>
        <v>-1095.158590862603</v>
      </c>
      <c r="Q1975">
        <f>-376.869546814441 -7.56716022586329 -396.860710042328</f>
        <v>-781.29741708263225</v>
      </c>
      <c r="R1975" t="s">
        <v>37429</v>
      </c>
      <c r="S1975" t="s">
        <v>37430</v>
      </c>
      <c r="T1975" t="s">
        <v>37431</v>
      </c>
      <c r="U1975" t="s">
        <v>37432</v>
      </c>
      <c r="V1975" t="s">
        <v>37433</v>
      </c>
      <c r="W1975" t="s">
        <v>37434</v>
      </c>
      <c r="X1975" t="s">
        <v>37435</v>
      </c>
      <c r="Y1975" t="s">
        <v>37436</v>
      </c>
    </row>
    <row r="1976" spans="1:25" x14ac:dyDescent="0.3">
      <c r="A1976">
        <v>98750</v>
      </c>
      <c r="B1976" t="s">
        <v>37437</v>
      </c>
      <c r="C1976" t="s">
        <v>37438</v>
      </c>
      <c r="D1976" t="s">
        <v>37439</v>
      </c>
      <c r="E1976" t="s">
        <v>37440</v>
      </c>
      <c r="F1976" t="s">
        <v>37441</v>
      </c>
      <c r="G1976" t="s">
        <v>37442</v>
      </c>
      <c r="H1976" t="s">
        <v>37443</v>
      </c>
      <c r="I1976" t="s">
        <v>37444</v>
      </c>
      <c r="J1976" t="s">
        <v>37445</v>
      </c>
      <c r="K1976" t="s">
        <v>37446</v>
      </c>
      <c r="L1976" t="s">
        <v>37447</v>
      </c>
      <c r="M1976" t="s">
        <v>37448</v>
      </c>
      <c r="N1976" t="s">
        <v>37449</v>
      </c>
      <c r="O1976">
        <f>-607.08845150625 -105.763204036655 -714.258526996128</f>
        <v>-1427.1101825390328</v>
      </c>
      <c r="P1976">
        <f>-632.914040678826 -63.410126195098 -401.647823675372</f>
        <v>-1097.9719905492962</v>
      </c>
      <c r="Q1976">
        <f>-379.08784215622 -7.05273632850935 -395.471067402671</f>
        <v>-781.6116458874003</v>
      </c>
      <c r="R1976" t="s">
        <v>37450</v>
      </c>
      <c r="S1976" t="s">
        <v>37451</v>
      </c>
      <c r="T1976" t="s">
        <v>37452</v>
      </c>
      <c r="U1976" t="s">
        <v>37453</v>
      </c>
      <c r="V1976" t="s">
        <v>37454</v>
      </c>
      <c r="W1976" t="s">
        <v>37455</v>
      </c>
      <c r="X1976" t="s">
        <v>37456</v>
      </c>
      <c r="Y1976" t="s">
        <v>37457</v>
      </c>
    </row>
    <row r="1977" spans="1:25" x14ac:dyDescent="0.3">
      <c r="A1977">
        <v>98800</v>
      </c>
      <c r="B1977" t="s">
        <v>37458</v>
      </c>
      <c r="C1977" t="s">
        <v>37459</v>
      </c>
      <c r="D1977" t="s">
        <v>37460</v>
      </c>
      <c r="E1977" t="s">
        <v>37461</v>
      </c>
      <c r="F1977" t="s">
        <v>37462</v>
      </c>
      <c r="G1977" t="s">
        <v>37463</v>
      </c>
      <c r="H1977" t="s">
        <v>37464</v>
      </c>
      <c r="I1977" t="s">
        <v>37465</v>
      </c>
      <c r="J1977" t="s">
        <v>37466</v>
      </c>
      <c r="K1977" t="s">
        <v>37467</v>
      </c>
      <c r="L1977" t="s">
        <v>37468</v>
      </c>
      <c r="M1977" t="s">
        <v>37469</v>
      </c>
      <c r="N1977" t="s">
        <v>37470</v>
      </c>
      <c r="O1977">
        <f>-607.272791033982 -105.583707474049 -714.366675028566</f>
        <v>-1427.223173536597</v>
      </c>
      <c r="P1977">
        <f>-633.550074831581 -63.1397885237413 -401.805940212731</f>
        <v>-1098.4958035680534</v>
      </c>
      <c r="Q1977">
        <f>-379.842825009905 -6.3016542021046 -395.164899974322</f>
        <v>-781.30937918633163</v>
      </c>
      <c r="R1977" t="s">
        <v>37471</v>
      </c>
      <c r="S1977" t="s">
        <v>37472</v>
      </c>
      <c r="T1977" t="s">
        <v>37473</v>
      </c>
      <c r="U1977" t="s">
        <v>37474</v>
      </c>
      <c r="V1977" t="s">
        <v>37475</v>
      </c>
      <c r="W1977" t="s">
        <v>37476</v>
      </c>
      <c r="X1977" t="s">
        <v>37477</v>
      </c>
      <c r="Y1977" t="s">
        <v>37478</v>
      </c>
    </row>
    <row r="1978" spans="1:25" x14ac:dyDescent="0.3">
      <c r="A1978">
        <v>98850</v>
      </c>
      <c r="B1978" t="s">
        <v>37479</v>
      </c>
      <c r="C1978" t="s">
        <v>37480</v>
      </c>
      <c r="D1978" t="s">
        <v>37481</v>
      </c>
      <c r="E1978" t="s">
        <v>37482</v>
      </c>
      <c r="F1978" t="s">
        <v>37483</v>
      </c>
      <c r="G1978" t="s">
        <v>37484</v>
      </c>
      <c r="H1978" t="s">
        <v>37485</v>
      </c>
      <c r="I1978" t="s">
        <v>37486</v>
      </c>
      <c r="J1978" t="s">
        <v>37487</v>
      </c>
      <c r="K1978" t="s">
        <v>37488</v>
      </c>
      <c r="L1978" t="s">
        <v>37489</v>
      </c>
      <c r="M1978" t="s">
        <v>37490</v>
      </c>
      <c r="N1978" t="s">
        <v>37491</v>
      </c>
      <c r="O1978">
        <f>-607.721572044311 -105.350842579948 -714.379159586851</f>
        <v>-1427.4515742111098</v>
      </c>
      <c r="P1978">
        <f>-634.364746286195 -62.9156786047106 -401.848189329551</f>
        <v>-1099.1286142204567</v>
      </c>
      <c r="Q1978">
        <f>-380.869686292844 -5.21910602471189 -394.539042338269</f>
        <v>-780.62783465582493</v>
      </c>
      <c r="R1978" t="s">
        <v>37492</v>
      </c>
      <c r="S1978" t="s">
        <v>37493</v>
      </c>
      <c r="T1978" t="s">
        <v>37494</v>
      </c>
      <c r="U1978" t="s">
        <v>37495</v>
      </c>
      <c r="V1978" t="s">
        <v>37496</v>
      </c>
      <c r="W1978" t="s">
        <v>37497</v>
      </c>
      <c r="X1978" t="s">
        <v>37498</v>
      </c>
      <c r="Y1978" t="s">
        <v>37499</v>
      </c>
    </row>
    <row r="1979" spans="1:25" x14ac:dyDescent="0.3">
      <c r="A1979">
        <v>98900</v>
      </c>
      <c r="B1979" t="s">
        <v>37500</v>
      </c>
      <c r="C1979" t="s">
        <v>37501</v>
      </c>
      <c r="D1979" t="s">
        <v>37502</v>
      </c>
      <c r="E1979" t="s">
        <v>37503</v>
      </c>
      <c r="F1979" t="s">
        <v>37504</v>
      </c>
      <c r="G1979" t="s">
        <v>37505</v>
      </c>
      <c r="H1979" t="s">
        <v>37506</v>
      </c>
      <c r="I1979" t="s">
        <v>37507</v>
      </c>
      <c r="J1979" t="s">
        <v>37508</v>
      </c>
      <c r="K1979" t="s">
        <v>37509</v>
      </c>
      <c r="L1979" t="s">
        <v>37510</v>
      </c>
      <c r="M1979" t="s">
        <v>37511</v>
      </c>
      <c r="N1979" t="s">
        <v>37512</v>
      </c>
      <c r="O1979">
        <f>-607.810885731705 -105.017201853664 -714.465556303143</f>
        <v>-1427.293643888512</v>
      </c>
      <c r="P1979">
        <f>-634.588061546214 -62.7352381987675 -401.925308472993</f>
        <v>-1099.2486082179746</v>
      </c>
      <c r="Q1979">
        <f>-381.259086123018 -4.30449385542079 -394.691448486458</f>
        <v>-780.25502846489678</v>
      </c>
      <c r="R1979" t="s">
        <v>37513</v>
      </c>
      <c r="S1979" t="s">
        <v>37514</v>
      </c>
      <c r="T1979" t="s">
        <v>37515</v>
      </c>
      <c r="U1979" t="s">
        <v>37516</v>
      </c>
      <c r="V1979" t="s">
        <v>37517</v>
      </c>
      <c r="W1979" t="s">
        <v>37518</v>
      </c>
      <c r="X1979" t="s">
        <v>37519</v>
      </c>
      <c r="Y1979" t="s">
        <v>37520</v>
      </c>
    </row>
    <row r="1980" spans="1:25" x14ac:dyDescent="0.3">
      <c r="A1980">
        <v>98950</v>
      </c>
      <c r="B1980" t="s">
        <v>37521</v>
      </c>
      <c r="C1980" t="s">
        <v>37522</v>
      </c>
      <c r="D1980" t="s">
        <v>37523</v>
      </c>
      <c r="E1980" t="s">
        <v>37524</v>
      </c>
      <c r="F1980" t="s">
        <v>37525</v>
      </c>
      <c r="G1980" t="s">
        <v>37526</v>
      </c>
      <c r="H1980" t="s">
        <v>37527</v>
      </c>
      <c r="I1980" t="s">
        <v>37528</v>
      </c>
      <c r="J1980" t="s">
        <v>37529</v>
      </c>
      <c r="K1980" t="s">
        <v>37530</v>
      </c>
      <c r="L1980" t="s">
        <v>37531</v>
      </c>
      <c r="M1980" t="s">
        <v>37532</v>
      </c>
      <c r="N1980" t="s">
        <v>37533</v>
      </c>
      <c r="O1980">
        <f>-607.842975728404 -104.151832712644 -714.604565017331</f>
        <v>-1426.599373458379</v>
      </c>
      <c r="P1980">
        <f>-634.546546264431 -62.1274594211027 -402.023213354468</f>
        <v>-1098.6972190400015</v>
      </c>
      <c r="Q1980">
        <f>-381.591971430919 -2.09817249913954 -394.775585956962</f>
        <v>-778.46572988702053</v>
      </c>
      <c r="R1980" t="s">
        <v>37534</v>
      </c>
      <c r="S1980" t="s">
        <v>37535</v>
      </c>
      <c r="T1980" t="s">
        <v>37536</v>
      </c>
      <c r="U1980" t="s">
        <v>37537</v>
      </c>
      <c r="V1980" t="s">
        <v>37538</v>
      </c>
      <c r="W1980" t="s">
        <v>37539</v>
      </c>
      <c r="X1980" t="s">
        <v>37540</v>
      </c>
      <c r="Y1980" t="s">
        <v>37541</v>
      </c>
    </row>
    <row r="1981" spans="1:25" x14ac:dyDescent="0.3">
      <c r="A1981">
        <v>99000</v>
      </c>
      <c r="B1981" t="s">
        <v>37542</v>
      </c>
      <c r="C1981" t="s">
        <v>37543</v>
      </c>
      <c r="D1981" t="s">
        <v>37544</v>
      </c>
      <c r="E1981" t="s">
        <v>37545</v>
      </c>
      <c r="F1981" t="s">
        <v>37546</v>
      </c>
      <c r="G1981" t="s">
        <v>37547</v>
      </c>
      <c r="H1981" t="s">
        <v>37548</v>
      </c>
      <c r="I1981" t="s">
        <v>37549</v>
      </c>
      <c r="J1981" t="s">
        <v>37550</v>
      </c>
      <c r="K1981" t="s">
        <v>37551</v>
      </c>
      <c r="L1981" t="s">
        <v>37552</v>
      </c>
      <c r="M1981" t="s">
        <v>37553</v>
      </c>
      <c r="N1981" t="s">
        <v>37554</v>
      </c>
      <c r="O1981">
        <f>-607.627850098542 -103.6084754371 -714.740685603506</f>
        <v>-1425.9770111391481</v>
      </c>
      <c r="P1981">
        <f>-634.366680431741 -61.5216406477186 -402.170867365501</f>
        <v>-1098.0591884449607</v>
      </c>
      <c r="Q1981">
        <f>-381.554722803814 -0.897032125742271 -394.903466204565</f>
        <v>-777.35522113412128</v>
      </c>
      <c r="R1981" t="s">
        <v>37555</v>
      </c>
      <c r="S1981" t="s">
        <v>37556</v>
      </c>
      <c r="T1981" t="s">
        <v>37557</v>
      </c>
      <c r="U1981" t="s">
        <v>37558</v>
      </c>
      <c r="V1981" t="s">
        <v>37559</v>
      </c>
      <c r="W1981" t="s">
        <v>37560</v>
      </c>
      <c r="X1981" t="s">
        <v>37561</v>
      </c>
      <c r="Y1981" t="s">
        <v>37562</v>
      </c>
    </row>
    <row r="1982" spans="1:25" x14ac:dyDescent="0.3">
      <c r="A1982">
        <v>99050</v>
      </c>
      <c r="B1982" t="s">
        <v>37563</v>
      </c>
      <c r="C1982" t="s">
        <v>37564</v>
      </c>
      <c r="D1982" t="s">
        <v>37565</v>
      </c>
      <c r="E1982" t="s">
        <v>37566</v>
      </c>
      <c r="F1982" t="s">
        <v>37567</v>
      </c>
      <c r="G1982" t="s">
        <v>37568</v>
      </c>
      <c r="H1982" t="s">
        <v>37569</v>
      </c>
      <c r="I1982" t="s">
        <v>37570</v>
      </c>
      <c r="J1982" t="s">
        <v>37571</v>
      </c>
      <c r="K1982" t="s">
        <v>37572</v>
      </c>
      <c r="L1982" t="s">
        <v>37573</v>
      </c>
      <c r="M1982" t="s">
        <v>37574</v>
      </c>
      <c r="N1982" t="s">
        <v>37575</v>
      </c>
      <c r="O1982">
        <f>-607.051211581843 -102.65890297201 -714.966676773115</f>
        <v>-1424.6767913269678</v>
      </c>
      <c r="P1982">
        <f>-633.654117505106 -61.0217501645359 -402.325019059484</f>
        <v>-1097.0008867291258</v>
      </c>
      <c r="Q1982" t="s">
        <v>37576</v>
      </c>
      <c r="R1982" t="s">
        <v>37577</v>
      </c>
      <c r="S1982" t="s">
        <v>37578</v>
      </c>
      <c r="T1982" t="s">
        <v>37579</v>
      </c>
      <c r="U1982" t="s">
        <v>37580</v>
      </c>
      <c r="V1982" t="s">
        <v>37581</v>
      </c>
      <c r="W1982" t="s">
        <v>37582</v>
      </c>
      <c r="X1982" t="s">
        <v>37583</v>
      </c>
      <c r="Y1982" t="s">
        <v>37584</v>
      </c>
    </row>
    <row r="1983" spans="1:25" x14ac:dyDescent="0.3">
      <c r="A1983">
        <v>99100</v>
      </c>
      <c r="B1983" t="s">
        <v>37585</v>
      </c>
      <c r="C1983" t="s">
        <v>37586</v>
      </c>
      <c r="D1983" t="s">
        <v>37587</v>
      </c>
      <c r="E1983" t="s">
        <v>37588</v>
      </c>
      <c r="F1983" t="s">
        <v>37589</v>
      </c>
      <c r="G1983" t="s">
        <v>37590</v>
      </c>
      <c r="H1983" t="s">
        <v>37591</v>
      </c>
      <c r="I1983" t="s">
        <v>37592</v>
      </c>
      <c r="J1983" t="s">
        <v>37593</v>
      </c>
      <c r="K1983" t="s">
        <v>37594</v>
      </c>
      <c r="L1983" t="s">
        <v>37595</v>
      </c>
      <c r="M1983" t="s">
        <v>37596</v>
      </c>
      <c r="N1983" t="s">
        <v>37597</v>
      </c>
      <c r="O1983">
        <f>-606.781700181358 -102.037449026569 -715.06555137545</f>
        <v>-1423.884700583377</v>
      </c>
      <c r="P1983">
        <f>-633.511091751884 -60.442645241106 -402.428947686493</f>
        <v>-1096.382684679483</v>
      </c>
      <c r="Q1983" t="s">
        <v>37598</v>
      </c>
      <c r="R1983" t="s">
        <v>37599</v>
      </c>
      <c r="S1983" t="s">
        <v>37600</v>
      </c>
      <c r="T1983" t="s">
        <v>37601</v>
      </c>
      <c r="U1983" t="s">
        <v>37602</v>
      </c>
      <c r="V1983" t="s">
        <v>37603</v>
      </c>
      <c r="W1983" t="s">
        <v>37604</v>
      </c>
      <c r="X1983" t="s">
        <v>37605</v>
      </c>
      <c r="Y1983" t="s">
        <v>37606</v>
      </c>
    </row>
    <row r="1984" spans="1:25" x14ac:dyDescent="0.3">
      <c r="A1984">
        <v>99150</v>
      </c>
      <c r="B1984" t="s">
        <v>37607</v>
      </c>
      <c r="C1984" t="s">
        <v>37608</v>
      </c>
      <c r="D1984" t="s">
        <v>37609</v>
      </c>
      <c r="E1984" t="s">
        <v>37610</v>
      </c>
      <c r="F1984" t="s">
        <v>37611</v>
      </c>
      <c r="G1984" t="s">
        <v>37612</v>
      </c>
      <c r="H1984" t="s">
        <v>37613</v>
      </c>
      <c r="I1984" t="s">
        <v>37614</v>
      </c>
      <c r="J1984" t="s">
        <v>37615</v>
      </c>
      <c r="K1984" t="s">
        <v>37616</v>
      </c>
      <c r="L1984" t="s">
        <v>37617</v>
      </c>
      <c r="M1984" t="s">
        <v>37618</v>
      </c>
      <c r="N1984" t="s">
        <v>37619</v>
      </c>
      <c r="O1984">
        <f>-606.200138676068 -100.914654394978 -715.177549758616</f>
        <v>-1422.2923428296622</v>
      </c>
      <c r="P1984">
        <f>-632.712992333982 -60.0124465454726 -402.431293915057</f>
        <v>-1095.1567327945115</v>
      </c>
      <c r="Q1984" t="s">
        <v>37620</v>
      </c>
      <c r="R1984" t="s">
        <v>37621</v>
      </c>
      <c r="S1984" t="s">
        <v>37622</v>
      </c>
      <c r="T1984" t="s">
        <v>37623</v>
      </c>
      <c r="U1984" t="s">
        <v>37624</v>
      </c>
      <c r="V1984" t="s">
        <v>37625</v>
      </c>
      <c r="W1984" t="s">
        <v>37626</v>
      </c>
      <c r="X1984" t="s">
        <v>37627</v>
      </c>
      <c r="Y1984" t="s">
        <v>37628</v>
      </c>
    </row>
    <row r="1985" spans="1:25" x14ac:dyDescent="0.3">
      <c r="A1985">
        <v>99200</v>
      </c>
      <c r="B1985" t="s">
        <v>37629</v>
      </c>
      <c r="C1985" t="s">
        <v>37630</v>
      </c>
      <c r="D1985" t="s">
        <v>37631</v>
      </c>
      <c r="E1985" t="s">
        <v>37632</v>
      </c>
      <c r="F1985" t="s">
        <v>37633</v>
      </c>
      <c r="G1985" t="s">
        <v>37634</v>
      </c>
      <c r="H1985" t="s">
        <v>37635</v>
      </c>
      <c r="I1985" t="s">
        <v>37636</v>
      </c>
      <c r="J1985" t="s">
        <v>37637</v>
      </c>
      <c r="K1985" t="s">
        <v>37638</v>
      </c>
      <c r="L1985" t="s">
        <v>37639</v>
      </c>
      <c r="M1985" t="s">
        <v>37640</v>
      </c>
      <c r="N1985" t="s">
        <v>37641</v>
      </c>
      <c r="O1985">
        <f>-606.05024017249 -100.379881394555 -715.191566231671</f>
        <v>-1421.621687798716</v>
      </c>
      <c r="P1985">
        <f>-632.605801129208 -60.0813493637938 -402.370556255924</f>
        <v>-1095.0577067489257</v>
      </c>
      <c r="Q1985" t="s">
        <v>37642</v>
      </c>
      <c r="R1985" t="s">
        <v>37643</v>
      </c>
      <c r="S1985" t="s">
        <v>37644</v>
      </c>
      <c r="T1985" t="s">
        <v>37645</v>
      </c>
      <c r="U1985" t="s">
        <v>37646</v>
      </c>
      <c r="V1985" t="s">
        <v>37647</v>
      </c>
      <c r="W1985" t="s">
        <v>37648</v>
      </c>
      <c r="X1985" t="s">
        <v>37649</v>
      </c>
      <c r="Y1985" t="s">
        <v>37650</v>
      </c>
    </row>
    <row r="1986" spans="1:25" x14ac:dyDescent="0.3">
      <c r="A1986">
        <v>99250</v>
      </c>
      <c r="B1986" t="s">
        <v>37651</v>
      </c>
      <c r="C1986" t="s">
        <v>37652</v>
      </c>
      <c r="D1986" t="s">
        <v>37653</v>
      </c>
      <c r="E1986" t="s">
        <v>37654</v>
      </c>
      <c r="F1986" t="s">
        <v>37655</v>
      </c>
      <c r="G1986" t="s">
        <v>37656</v>
      </c>
      <c r="H1986" t="s">
        <v>37657</v>
      </c>
      <c r="I1986" t="s">
        <v>37658</v>
      </c>
      <c r="J1986" t="s">
        <v>37659</v>
      </c>
      <c r="K1986" t="s">
        <v>37660</v>
      </c>
      <c r="L1986" t="s">
        <v>37661</v>
      </c>
      <c r="M1986" t="s">
        <v>37662</v>
      </c>
      <c r="N1986" t="s">
        <v>37663</v>
      </c>
      <c r="O1986">
        <f>-605.79320360059 -99.4453831920787 -715.268079192883</f>
        <v>-1420.5066659855515</v>
      </c>
      <c r="P1986">
        <f>-632.552605706237 -61.0776789900792 -402.221634932644</f>
        <v>-1095.8519196289603</v>
      </c>
      <c r="Q1986" t="s">
        <v>37664</v>
      </c>
      <c r="R1986" t="s">
        <v>37665</v>
      </c>
      <c r="S1986" t="s">
        <v>37666</v>
      </c>
      <c r="T1986" t="s">
        <v>37667</v>
      </c>
      <c r="U1986" t="s">
        <v>37668</v>
      </c>
      <c r="V1986" t="s">
        <v>37669</v>
      </c>
      <c r="W1986" t="s">
        <v>37670</v>
      </c>
      <c r="X1986" t="s">
        <v>37671</v>
      </c>
      <c r="Y1986" t="s">
        <v>37672</v>
      </c>
    </row>
    <row r="1987" spans="1:25" x14ac:dyDescent="0.3">
      <c r="A1987">
        <v>99300</v>
      </c>
      <c r="B1987" t="s">
        <v>37673</v>
      </c>
      <c r="C1987" t="s">
        <v>37674</v>
      </c>
      <c r="D1987" t="s">
        <v>37675</v>
      </c>
      <c r="E1987" t="s">
        <v>37676</v>
      </c>
      <c r="F1987" t="s">
        <v>37677</v>
      </c>
      <c r="G1987" t="s">
        <v>37678</v>
      </c>
      <c r="H1987" t="s">
        <v>37679</v>
      </c>
      <c r="I1987" t="s">
        <v>37680</v>
      </c>
      <c r="J1987" t="s">
        <v>37681</v>
      </c>
      <c r="K1987" t="s">
        <v>37682</v>
      </c>
      <c r="L1987" t="s">
        <v>37683</v>
      </c>
      <c r="M1987" t="s">
        <v>37684</v>
      </c>
      <c r="N1987" t="s">
        <v>37685</v>
      </c>
      <c r="O1987">
        <f>-606.234429336477 -99.0077993330913 -715.310505986747</f>
        <v>-1420.5527346563154</v>
      </c>
      <c r="P1987">
        <f>-632.223233248023 -60.6066690848422 -402.203223000324</f>
        <v>-1095.0331253331892</v>
      </c>
      <c r="Q1987" t="s">
        <v>37686</v>
      </c>
      <c r="R1987" t="s">
        <v>37687</v>
      </c>
      <c r="S1987" t="s">
        <v>37688</v>
      </c>
      <c r="T1987" t="s">
        <v>37689</v>
      </c>
      <c r="U1987" t="s">
        <v>37690</v>
      </c>
      <c r="V1987" t="s">
        <v>37691</v>
      </c>
      <c r="W1987" t="s">
        <v>37692</v>
      </c>
      <c r="X1987" t="s">
        <v>37693</v>
      </c>
      <c r="Y1987" t="s">
        <v>37694</v>
      </c>
    </row>
    <row r="1988" spans="1:25" x14ac:dyDescent="0.3">
      <c r="A1988">
        <v>99350</v>
      </c>
      <c r="B1988" t="s">
        <v>37695</v>
      </c>
      <c r="C1988" t="s">
        <v>37696</v>
      </c>
      <c r="D1988" t="s">
        <v>37697</v>
      </c>
      <c r="E1988" t="s">
        <v>37698</v>
      </c>
      <c r="F1988" t="s">
        <v>37699</v>
      </c>
      <c r="G1988" t="s">
        <v>37700</v>
      </c>
      <c r="H1988" t="s">
        <v>37701</v>
      </c>
      <c r="I1988" t="s">
        <v>37702</v>
      </c>
      <c r="J1988" t="s">
        <v>37703</v>
      </c>
      <c r="K1988" t="s">
        <v>37704</v>
      </c>
      <c r="L1988" t="s">
        <v>37705</v>
      </c>
      <c r="M1988" t="s">
        <v>37706</v>
      </c>
      <c r="N1988" t="s">
        <v>37707</v>
      </c>
      <c r="O1988">
        <f>-606.36875923651 -98.7217776168052 -715.181449842244</f>
        <v>-1420.271986695559</v>
      </c>
      <c r="P1988">
        <f>-631.438968374958 -60.074640745444 -402.02955375324</f>
        <v>-1093.5431628736419</v>
      </c>
      <c r="Q1988" t="s">
        <v>37708</v>
      </c>
      <c r="R1988" t="s">
        <v>37709</v>
      </c>
      <c r="S1988" t="s">
        <v>37710</v>
      </c>
      <c r="T1988" t="s">
        <v>37711</v>
      </c>
      <c r="U1988" t="s">
        <v>37712</v>
      </c>
      <c r="V1988" t="s">
        <v>37713</v>
      </c>
      <c r="W1988" t="s">
        <v>37714</v>
      </c>
      <c r="X1988" t="s">
        <v>37715</v>
      </c>
      <c r="Y1988" t="s">
        <v>37716</v>
      </c>
    </row>
    <row r="1989" spans="1:25" x14ac:dyDescent="0.3">
      <c r="A1989">
        <v>99400</v>
      </c>
      <c r="B1989" t="s">
        <v>37717</v>
      </c>
      <c r="C1989" t="s">
        <v>37718</v>
      </c>
      <c r="D1989" t="s">
        <v>37719</v>
      </c>
      <c r="E1989" t="s">
        <v>37720</v>
      </c>
      <c r="F1989" t="s">
        <v>37721</v>
      </c>
      <c r="G1989" t="s">
        <v>37722</v>
      </c>
      <c r="H1989" t="s">
        <v>37723</v>
      </c>
      <c r="I1989" t="s">
        <v>37724</v>
      </c>
      <c r="J1989" t="s">
        <v>37725</v>
      </c>
      <c r="K1989" t="s">
        <v>37726</v>
      </c>
      <c r="L1989" t="s">
        <v>37727</v>
      </c>
      <c r="M1989" t="s">
        <v>37728</v>
      </c>
      <c r="N1989" t="s">
        <v>37729</v>
      </c>
      <c r="O1989">
        <f>-606.305673552498 -98.7072706776173 -714.94636600463</f>
        <v>-1419.9593102347453</v>
      </c>
      <c r="P1989">
        <f>-630.123219823721 -59.2320681449257 -401.800053375653</f>
        <v>-1091.1553413442998</v>
      </c>
      <c r="Q1989" t="s">
        <v>37730</v>
      </c>
      <c r="R1989" t="s">
        <v>37731</v>
      </c>
      <c r="S1989" t="s">
        <v>37732</v>
      </c>
      <c r="T1989" t="s">
        <v>37733</v>
      </c>
      <c r="U1989" t="s">
        <v>37734</v>
      </c>
      <c r="V1989" t="s">
        <v>37735</v>
      </c>
      <c r="W1989" t="s">
        <v>37736</v>
      </c>
      <c r="X1989" t="s">
        <v>37737</v>
      </c>
      <c r="Y1989" t="s">
        <v>37738</v>
      </c>
    </row>
    <row r="1990" spans="1:25" x14ac:dyDescent="0.3">
      <c r="A1990">
        <v>99450</v>
      </c>
      <c r="B1990" t="s">
        <v>37739</v>
      </c>
      <c r="C1990" t="s">
        <v>37740</v>
      </c>
      <c r="D1990" t="s">
        <v>37741</v>
      </c>
      <c r="E1990" t="s">
        <v>37742</v>
      </c>
      <c r="F1990" t="s">
        <v>37743</v>
      </c>
      <c r="G1990" t="s">
        <v>37744</v>
      </c>
      <c r="H1990" t="s">
        <v>37745</v>
      </c>
      <c r="I1990" t="s">
        <v>37746</v>
      </c>
      <c r="J1990" t="s">
        <v>37747</v>
      </c>
      <c r="K1990" t="s">
        <v>37748</v>
      </c>
      <c r="L1990" t="s">
        <v>37749</v>
      </c>
      <c r="M1990" t="s">
        <v>37750</v>
      </c>
      <c r="N1990" t="s">
        <v>37751</v>
      </c>
      <c r="O1990">
        <f>-606.391222892959 -99.3610614980055 -713.72637543041</f>
        <v>-1419.4786598213745</v>
      </c>
      <c r="P1990">
        <f>-628.690427483621 -57.2460048387065 -400.812290192315</f>
        <v>-1086.7487225146424</v>
      </c>
      <c r="Q1990" t="s">
        <v>37752</v>
      </c>
      <c r="R1990" t="s">
        <v>37753</v>
      </c>
      <c r="S1990" t="s">
        <v>37754</v>
      </c>
      <c r="T1990" t="s">
        <v>37755</v>
      </c>
      <c r="U1990" t="s">
        <v>37756</v>
      </c>
      <c r="V1990" t="s">
        <v>37757</v>
      </c>
      <c r="W1990" t="s">
        <v>37758</v>
      </c>
      <c r="X1990" t="s">
        <v>37759</v>
      </c>
      <c r="Y1990" t="s">
        <v>37760</v>
      </c>
    </row>
    <row r="1991" spans="1:25" x14ac:dyDescent="0.3">
      <c r="A1991">
        <v>99500</v>
      </c>
      <c r="B1991" t="s">
        <v>37761</v>
      </c>
      <c r="C1991" t="s">
        <v>37762</v>
      </c>
      <c r="D1991" t="s">
        <v>37763</v>
      </c>
      <c r="E1991" t="s">
        <v>37764</v>
      </c>
      <c r="F1991" t="s">
        <v>37765</v>
      </c>
      <c r="G1991" t="s">
        <v>37766</v>
      </c>
      <c r="H1991" t="s">
        <v>37767</v>
      </c>
      <c r="I1991" t="s">
        <v>37768</v>
      </c>
      <c r="J1991" t="s">
        <v>37769</v>
      </c>
      <c r="K1991" t="s">
        <v>37770</v>
      </c>
      <c r="L1991" t="s">
        <v>37771</v>
      </c>
      <c r="M1991" t="s">
        <v>37772</v>
      </c>
      <c r="N1991" t="s">
        <v>37773</v>
      </c>
      <c r="O1991">
        <f>-606.410778645256 -99.5986510444404 -713.244973854325</f>
        <v>-1419.2544035440214</v>
      </c>
      <c r="P1991">
        <f>-628.426011888317 -56.6315875957005 -400.426488839141</f>
        <v>-1085.4840883231584</v>
      </c>
      <c r="Q1991" t="s">
        <v>37774</v>
      </c>
      <c r="R1991" t="s">
        <v>37775</v>
      </c>
      <c r="S1991" t="s">
        <v>37776</v>
      </c>
      <c r="T1991" t="s">
        <v>37777</v>
      </c>
      <c r="U1991" t="s">
        <v>37778</v>
      </c>
      <c r="V1991" t="s">
        <v>37779</v>
      </c>
      <c r="W1991" t="s">
        <v>37780</v>
      </c>
      <c r="X1991" t="s">
        <v>37781</v>
      </c>
      <c r="Y1991" t="s">
        <v>37782</v>
      </c>
    </row>
    <row r="1992" spans="1:25" x14ac:dyDescent="0.3">
      <c r="A1992">
        <v>99550</v>
      </c>
      <c r="B1992" t="s">
        <v>37783</v>
      </c>
      <c r="C1992" t="s">
        <v>37784</v>
      </c>
      <c r="D1992" t="s">
        <v>37785</v>
      </c>
      <c r="E1992" t="s">
        <v>37786</v>
      </c>
      <c r="F1992" t="s">
        <v>37787</v>
      </c>
      <c r="G1992" t="s">
        <v>37788</v>
      </c>
      <c r="H1992" t="s">
        <v>37789</v>
      </c>
      <c r="I1992" t="s">
        <v>37790</v>
      </c>
      <c r="J1992" t="s">
        <v>37791</v>
      </c>
      <c r="K1992" t="s">
        <v>37792</v>
      </c>
      <c r="L1992" t="s">
        <v>37793</v>
      </c>
      <c r="M1992" t="s">
        <v>37794</v>
      </c>
      <c r="N1992" t="s">
        <v>37795</v>
      </c>
      <c r="O1992">
        <f>-606.439839231447 -100.775590837985 -712.169478169878</f>
        <v>-1419.3849082393099</v>
      </c>
      <c r="P1992">
        <f>-628.556184083968 -56.2987142724428 -399.56942238851</f>
        <v>-1084.4243207449208</v>
      </c>
      <c r="Q1992" t="s">
        <v>37796</v>
      </c>
      <c r="R1992" t="s">
        <v>37797</v>
      </c>
      <c r="S1992" t="s">
        <v>37798</v>
      </c>
      <c r="T1992" t="s">
        <v>37799</v>
      </c>
      <c r="U1992" t="s">
        <v>37800</v>
      </c>
      <c r="V1992" t="s">
        <v>37801</v>
      </c>
      <c r="W1992" t="s">
        <v>37802</v>
      </c>
      <c r="X1992" t="s">
        <v>37803</v>
      </c>
      <c r="Y1992" t="s">
        <v>37804</v>
      </c>
    </row>
    <row r="1993" spans="1:25" x14ac:dyDescent="0.3">
      <c r="A1993">
        <v>99600</v>
      </c>
      <c r="B1993" t="s">
        <v>37805</v>
      </c>
      <c r="C1993" t="s">
        <v>37806</v>
      </c>
      <c r="D1993" t="s">
        <v>37807</v>
      </c>
      <c r="E1993" t="s">
        <v>37808</v>
      </c>
      <c r="F1993" t="s">
        <v>37809</v>
      </c>
      <c r="G1993" t="s">
        <v>37810</v>
      </c>
      <c r="H1993" t="s">
        <v>37811</v>
      </c>
      <c r="I1993" t="s">
        <v>37812</v>
      </c>
      <c r="J1993" t="s">
        <v>37813</v>
      </c>
      <c r="K1993" t="s">
        <v>37814</v>
      </c>
      <c r="L1993" t="s">
        <v>37815</v>
      </c>
      <c r="M1993" t="s">
        <v>37816</v>
      </c>
      <c r="N1993" t="s">
        <v>37817</v>
      </c>
      <c r="O1993">
        <f>-606.450244152967 -101.647466610901 -711.443455804245</f>
        <v>-1419.5411665681131</v>
      </c>
      <c r="P1993">
        <f>-628.763394742416 -56.2631185442826 -398.98769982742</f>
        <v>-1084.0142131141188</v>
      </c>
      <c r="Q1993" t="s">
        <v>37818</v>
      </c>
      <c r="R1993" t="s">
        <v>37819</v>
      </c>
      <c r="S1993" t="s">
        <v>37820</v>
      </c>
      <c r="T1993" t="s">
        <v>37821</v>
      </c>
      <c r="U1993" t="s">
        <v>37822</v>
      </c>
      <c r="V1993" t="s">
        <v>37823</v>
      </c>
      <c r="W1993" t="s">
        <v>37824</v>
      </c>
      <c r="X1993" t="s">
        <v>37825</v>
      </c>
      <c r="Y1993" t="s">
        <v>37826</v>
      </c>
    </row>
    <row r="1994" spans="1:25" x14ac:dyDescent="0.3">
      <c r="A1994">
        <v>99650</v>
      </c>
      <c r="B1994" t="s">
        <v>37827</v>
      </c>
      <c r="C1994" t="s">
        <v>37828</v>
      </c>
      <c r="D1994" t="s">
        <v>37829</v>
      </c>
      <c r="E1994" t="s">
        <v>37830</v>
      </c>
      <c r="F1994" t="s">
        <v>37831</v>
      </c>
      <c r="G1994" t="s">
        <v>37832</v>
      </c>
      <c r="H1994" t="s">
        <v>37833</v>
      </c>
      <c r="I1994" t="s">
        <v>37834</v>
      </c>
      <c r="J1994" t="s">
        <v>37835</v>
      </c>
      <c r="K1994" t="s">
        <v>37836</v>
      </c>
      <c r="L1994" t="s">
        <v>37837</v>
      </c>
      <c r="M1994" t="s">
        <v>37838</v>
      </c>
      <c r="N1994" t="s">
        <v>37839</v>
      </c>
      <c r="O1994">
        <f>-607.487005211324 -102.51690605738 -710.627503234457</f>
        <v>-1420.6314145031611</v>
      </c>
      <c r="P1994">
        <f>-627.901384218222 -55.8856305603988 -398.225527522955</f>
        <v>-1082.0125423015759</v>
      </c>
      <c r="Q1994" t="s">
        <v>37840</v>
      </c>
      <c r="R1994" t="s">
        <v>37841</v>
      </c>
      <c r="S1994" t="s">
        <v>37842</v>
      </c>
      <c r="T1994" t="s">
        <v>37843</v>
      </c>
      <c r="U1994" t="s">
        <v>37844</v>
      </c>
      <c r="V1994" t="s">
        <v>37845</v>
      </c>
      <c r="W1994" t="s">
        <v>37846</v>
      </c>
      <c r="X1994" t="s">
        <v>37847</v>
      </c>
      <c r="Y1994" t="s">
        <v>37848</v>
      </c>
    </row>
    <row r="1995" spans="1:25" x14ac:dyDescent="0.3">
      <c r="A1995">
        <v>99700</v>
      </c>
      <c r="B1995" t="s">
        <v>37849</v>
      </c>
      <c r="C1995" t="s">
        <v>37850</v>
      </c>
      <c r="D1995" t="s">
        <v>37851</v>
      </c>
      <c r="E1995" t="s">
        <v>37852</v>
      </c>
      <c r="F1995" t="s">
        <v>37853</v>
      </c>
      <c r="G1995" t="s">
        <v>37854</v>
      </c>
      <c r="H1995" t="s">
        <v>37855</v>
      </c>
      <c r="I1995" t="s">
        <v>37856</v>
      </c>
      <c r="J1995" t="s">
        <v>37857</v>
      </c>
      <c r="K1995" t="s">
        <v>37858</v>
      </c>
      <c r="L1995" t="s">
        <v>37859</v>
      </c>
      <c r="M1995" t="s">
        <v>37860</v>
      </c>
      <c r="N1995" t="s">
        <v>37861</v>
      </c>
      <c r="O1995">
        <f>-607.799056754422 -102.894497835182 -710.407981880746</f>
        <v>-1421.1015364703499</v>
      </c>
      <c r="P1995">
        <f>-626.840863702797 -56.8318394833937 -397.834943873848</f>
        <v>-1081.5076470600386</v>
      </c>
      <c r="Q1995" t="s">
        <v>37862</v>
      </c>
      <c r="R1995" t="s">
        <v>37863</v>
      </c>
      <c r="S1995" t="s">
        <v>37864</v>
      </c>
      <c r="T1995" t="s">
        <v>37865</v>
      </c>
      <c r="U1995" t="s">
        <v>37866</v>
      </c>
      <c r="V1995" t="s">
        <v>37867</v>
      </c>
      <c r="W1995" t="s">
        <v>37868</v>
      </c>
      <c r="X1995" t="s">
        <v>37869</v>
      </c>
      <c r="Y1995" t="s">
        <v>37870</v>
      </c>
    </row>
    <row r="1996" spans="1:25" x14ac:dyDescent="0.3">
      <c r="A1996">
        <v>99750</v>
      </c>
      <c r="B1996" t="s">
        <v>37871</v>
      </c>
      <c r="C1996" t="s">
        <v>37872</v>
      </c>
      <c r="D1996" t="s">
        <v>37873</v>
      </c>
      <c r="E1996" t="s">
        <v>37874</v>
      </c>
      <c r="F1996" t="s">
        <v>37875</v>
      </c>
      <c r="G1996" t="s">
        <v>37876</v>
      </c>
      <c r="H1996" t="s">
        <v>37877</v>
      </c>
      <c r="I1996" t="s">
        <v>37878</v>
      </c>
      <c r="J1996" t="s">
        <v>37879</v>
      </c>
      <c r="K1996" t="s">
        <v>37880</v>
      </c>
      <c r="L1996" t="s">
        <v>37881</v>
      </c>
      <c r="M1996" t="s">
        <v>37882</v>
      </c>
      <c r="N1996" t="s">
        <v>37883</v>
      </c>
      <c r="O1996">
        <f>-606.50115772504 -102.864919073518 -710.544225467279</f>
        <v>-1419.9103022658369</v>
      </c>
      <c r="P1996">
        <f>-623.64674929985 -57.9086507809941 -397.700585083907</f>
        <v>-1079.2559851647511</v>
      </c>
      <c r="Q1996" t="s">
        <v>37884</v>
      </c>
      <c r="R1996" t="s">
        <v>37885</v>
      </c>
      <c r="S1996" t="s">
        <v>37886</v>
      </c>
      <c r="T1996" t="s">
        <v>37887</v>
      </c>
      <c r="U1996" t="s">
        <v>37888</v>
      </c>
      <c r="V1996" t="s">
        <v>37889</v>
      </c>
      <c r="W1996" t="s">
        <v>37890</v>
      </c>
      <c r="X1996" t="s">
        <v>37891</v>
      </c>
      <c r="Y1996" t="s">
        <v>37892</v>
      </c>
    </row>
    <row r="1997" spans="1:25" x14ac:dyDescent="0.3">
      <c r="A1997">
        <v>99800</v>
      </c>
      <c r="B1997" t="s">
        <v>37893</v>
      </c>
      <c r="C1997" t="s">
        <v>37894</v>
      </c>
      <c r="D1997" t="s">
        <v>37895</v>
      </c>
      <c r="E1997" t="s">
        <v>37896</v>
      </c>
      <c r="F1997" t="s">
        <v>37897</v>
      </c>
      <c r="G1997" t="s">
        <v>37898</v>
      </c>
      <c r="H1997" t="s">
        <v>37899</v>
      </c>
      <c r="I1997" t="s">
        <v>37900</v>
      </c>
      <c r="J1997" t="s">
        <v>37901</v>
      </c>
      <c r="K1997" t="s">
        <v>37902</v>
      </c>
      <c r="L1997" t="s">
        <v>37903</v>
      </c>
      <c r="M1997" t="s">
        <v>37904</v>
      </c>
      <c r="N1997" t="s">
        <v>37905</v>
      </c>
      <c r="O1997">
        <f>-605.488159879568 -103.19375417697 -710.521866800482</f>
        <v>-1419.2037808570201</v>
      </c>
      <c r="P1997">
        <f>-622.260991824177 -57.8057633218889 -397.720362398448</f>
        <v>-1077.7871175445139</v>
      </c>
      <c r="Q1997" t="s">
        <v>37906</v>
      </c>
      <c r="R1997" t="s">
        <v>37907</v>
      </c>
      <c r="S1997" t="s">
        <v>37908</v>
      </c>
      <c r="T1997" t="s">
        <v>37909</v>
      </c>
      <c r="U1997" t="s">
        <v>37910</v>
      </c>
      <c r="V1997" t="s">
        <v>37911</v>
      </c>
      <c r="W1997" t="s">
        <v>37912</v>
      </c>
      <c r="X1997" t="s">
        <v>37913</v>
      </c>
      <c r="Y1997" t="s">
        <v>37914</v>
      </c>
    </row>
    <row r="1998" spans="1:25" x14ac:dyDescent="0.3">
      <c r="A1998">
        <v>99850</v>
      </c>
      <c r="B1998" t="s">
        <v>37915</v>
      </c>
      <c r="C1998" t="s">
        <v>37916</v>
      </c>
      <c r="D1998" t="s">
        <v>37917</v>
      </c>
      <c r="E1998" t="s">
        <v>37918</v>
      </c>
      <c r="F1998" t="s">
        <v>37919</v>
      </c>
      <c r="G1998" t="s">
        <v>37920</v>
      </c>
      <c r="H1998" t="s">
        <v>37921</v>
      </c>
      <c r="I1998" t="s">
        <v>37922</v>
      </c>
      <c r="J1998" t="s">
        <v>37923</v>
      </c>
      <c r="K1998" t="s">
        <v>37924</v>
      </c>
      <c r="L1998" t="s">
        <v>37925</v>
      </c>
      <c r="M1998" t="s">
        <v>37926</v>
      </c>
      <c r="N1998" t="s">
        <v>37927</v>
      </c>
      <c r="O1998">
        <f>-603.39474530373 -103.011610164438 -711.045179298361</f>
        <v>-1417.451534766529</v>
      </c>
      <c r="P1998">
        <f>-619.747854490363 -59.1813013640633 -397.999411059672</f>
        <v>-1076.9285669140984</v>
      </c>
      <c r="Q1998" t="s">
        <v>37928</v>
      </c>
      <c r="R1998" t="s">
        <v>37929</v>
      </c>
      <c r="S1998" t="s">
        <v>37930</v>
      </c>
      <c r="T1998" t="s">
        <v>37931</v>
      </c>
      <c r="U1998" t="s">
        <v>37932</v>
      </c>
      <c r="V1998" t="s">
        <v>37933</v>
      </c>
      <c r="W1998" t="s">
        <v>37934</v>
      </c>
      <c r="X1998" t="s">
        <v>37935</v>
      </c>
      <c r="Y1998" t="s">
        <v>37936</v>
      </c>
    </row>
    <row r="1999" spans="1:25" x14ac:dyDescent="0.3">
      <c r="A1999">
        <v>99900</v>
      </c>
      <c r="B1999" t="s">
        <v>37937</v>
      </c>
      <c r="C1999" t="s">
        <v>37938</v>
      </c>
      <c r="D1999" t="s">
        <v>37939</v>
      </c>
      <c r="E1999" t="s">
        <v>37940</v>
      </c>
      <c r="F1999" t="s">
        <v>37941</v>
      </c>
      <c r="G1999" t="s">
        <v>37942</v>
      </c>
      <c r="H1999" t="s">
        <v>37943</v>
      </c>
      <c r="I1999" t="s">
        <v>37944</v>
      </c>
      <c r="J1999" t="s">
        <v>37945</v>
      </c>
      <c r="K1999" t="s">
        <v>37946</v>
      </c>
      <c r="L1999" t="s">
        <v>37947</v>
      </c>
      <c r="M1999" t="s">
        <v>37948</v>
      </c>
      <c r="N1999" t="s">
        <v>37949</v>
      </c>
      <c r="O1999">
        <f>-602.112194427456 -102.134284555648 -711.742477943328</f>
        <v>-1415.9889569264319</v>
      </c>
      <c r="P1999">
        <f>-618.816925084636 -59.5442668651951 -398.544181894476</f>
        <v>-1076.9053738443072</v>
      </c>
      <c r="Q1999" t="s">
        <v>37950</v>
      </c>
      <c r="R1999" t="s">
        <v>37951</v>
      </c>
      <c r="S1999" t="s">
        <v>37952</v>
      </c>
      <c r="T1999" t="s">
        <v>37953</v>
      </c>
      <c r="U1999" t="s">
        <v>37954</v>
      </c>
      <c r="V1999" t="s">
        <v>37955</v>
      </c>
      <c r="W1999" t="s">
        <v>37956</v>
      </c>
      <c r="X1999" t="s">
        <v>37957</v>
      </c>
      <c r="Y1999" t="s">
        <v>37958</v>
      </c>
    </row>
    <row r="2000" spans="1:25" x14ac:dyDescent="0.3">
      <c r="A2000">
        <v>99950</v>
      </c>
      <c r="B2000" t="s">
        <v>37959</v>
      </c>
      <c r="C2000" t="s">
        <v>37960</v>
      </c>
      <c r="D2000" t="s">
        <v>37961</v>
      </c>
      <c r="E2000" t="s">
        <v>37962</v>
      </c>
      <c r="F2000" t="s">
        <v>37963</v>
      </c>
      <c r="G2000" t="s">
        <v>37964</v>
      </c>
      <c r="H2000" t="s">
        <v>37965</v>
      </c>
      <c r="I2000" t="s">
        <v>37966</v>
      </c>
      <c r="J2000" t="s">
        <v>37967</v>
      </c>
      <c r="K2000" t="s">
        <v>37968</v>
      </c>
      <c r="L2000" t="s">
        <v>37969</v>
      </c>
      <c r="M2000" t="s">
        <v>37970</v>
      </c>
      <c r="N2000" t="s">
        <v>37971</v>
      </c>
      <c r="O2000">
        <f>-600.396943057161 -100.653158812712 -713.230214023227</f>
        <v>-1414.2803158931001</v>
      </c>
      <c r="P2000">
        <f>-617.680099122689 -60.5644132185842 -399.733284506774</f>
        <v>-1077.9777968480471</v>
      </c>
      <c r="Q2000" t="s">
        <v>37972</v>
      </c>
      <c r="R2000" t="s">
        <v>37973</v>
      </c>
      <c r="S2000" t="s">
        <v>37974</v>
      </c>
      <c r="T2000" t="s">
        <v>37975</v>
      </c>
      <c r="U2000" t="s">
        <v>37976</v>
      </c>
      <c r="V2000" t="s">
        <v>37977</v>
      </c>
      <c r="W2000" t="s">
        <v>37978</v>
      </c>
      <c r="X2000" t="s">
        <v>37979</v>
      </c>
      <c r="Y2000" t="s">
        <v>37980</v>
      </c>
    </row>
    <row r="2001" spans="1:25" x14ac:dyDescent="0.3">
      <c r="A2001">
        <v>100000</v>
      </c>
      <c r="B2001" t="s">
        <v>37981</v>
      </c>
      <c r="C2001" t="s">
        <v>37982</v>
      </c>
      <c r="D2001" t="s">
        <v>37983</v>
      </c>
      <c r="E2001" t="s">
        <v>37984</v>
      </c>
      <c r="F2001" t="s">
        <v>37985</v>
      </c>
      <c r="G2001" t="s">
        <v>37986</v>
      </c>
      <c r="H2001" t="s">
        <v>37987</v>
      </c>
      <c r="I2001" t="s">
        <v>37988</v>
      </c>
      <c r="J2001" t="s">
        <v>37989</v>
      </c>
      <c r="K2001" t="s">
        <v>37990</v>
      </c>
      <c r="L2001" t="s">
        <v>37991</v>
      </c>
      <c r="M2001" t="s">
        <v>37992</v>
      </c>
      <c r="N2001" t="s">
        <v>37993</v>
      </c>
      <c r="O2001">
        <f>-599.817319217089 -100.186538649439 -713.710874503025</f>
        <v>-1413.7147323695531</v>
      </c>
      <c r="P2001">
        <f>-617.210366748086 -60.7962844410883 -400.131351905861</f>
        <v>-1078.1380030950354</v>
      </c>
      <c r="Q2001">
        <f>-364.194489034728 -0.605413001873785 -398.699525324727</f>
        <v>-763.4994273613288</v>
      </c>
      <c r="R2001" t="s">
        <v>37994</v>
      </c>
      <c r="S2001" t="s">
        <v>37995</v>
      </c>
      <c r="T2001" t="s">
        <v>37996</v>
      </c>
      <c r="U2001" t="s">
        <v>37997</v>
      </c>
      <c r="V2001" t="s">
        <v>37998</v>
      </c>
      <c r="W2001" t="s">
        <v>37999</v>
      </c>
      <c r="X2001" t="s">
        <v>38000</v>
      </c>
      <c r="Y2001" t="s">
        <v>38001</v>
      </c>
    </row>
    <row r="2002" spans="1:25" x14ac:dyDescent="0.3">
      <c r="A2002">
        <v>100050</v>
      </c>
      <c r="B2002" t="s">
        <v>38002</v>
      </c>
      <c r="C2002" t="s">
        <v>38003</v>
      </c>
      <c r="D2002" t="s">
        <v>38004</v>
      </c>
      <c r="E2002" t="s">
        <v>38005</v>
      </c>
      <c r="F2002" t="s">
        <v>38006</v>
      </c>
      <c r="G2002" t="s">
        <v>38007</v>
      </c>
      <c r="H2002" t="s">
        <v>38008</v>
      </c>
      <c r="I2002" t="s">
        <v>38009</v>
      </c>
      <c r="J2002" t="s">
        <v>38010</v>
      </c>
      <c r="K2002" t="s">
        <v>38011</v>
      </c>
      <c r="L2002" t="s">
        <v>38012</v>
      </c>
      <c r="M2002" t="s">
        <v>38013</v>
      </c>
      <c r="N2002" t="s">
        <v>38014</v>
      </c>
      <c r="O2002">
        <f>-599.004840766755 -99.2691095693849 -714.274088761396</f>
        <v>-1412.5480390975358</v>
      </c>
      <c r="P2002">
        <f>-616.365875511651 -60.3408832735277 -400.635044461707</f>
        <v>-1077.3418032468858</v>
      </c>
      <c r="Q2002" t="s">
        <v>38015</v>
      </c>
      <c r="R2002" t="s">
        <v>38016</v>
      </c>
      <c r="S2002" t="s">
        <v>38017</v>
      </c>
      <c r="T2002" t="s">
        <v>38018</v>
      </c>
      <c r="U2002" t="s">
        <v>38019</v>
      </c>
      <c r="V2002" t="s">
        <v>38020</v>
      </c>
      <c r="W2002" t="s">
        <v>38021</v>
      </c>
      <c r="X2002" t="s">
        <v>38022</v>
      </c>
      <c r="Y2002" t="s">
        <v>38023</v>
      </c>
    </row>
    <row r="2003" spans="1:25" x14ac:dyDescent="0.3">
      <c r="A2003">
        <v>100100</v>
      </c>
      <c r="B2003" t="s">
        <v>38024</v>
      </c>
      <c r="C2003" t="s">
        <v>38025</v>
      </c>
      <c r="D2003" t="s">
        <v>38026</v>
      </c>
      <c r="E2003" t="s">
        <v>38027</v>
      </c>
      <c r="F2003" t="s">
        <v>38028</v>
      </c>
      <c r="G2003" t="s">
        <v>38029</v>
      </c>
      <c r="H2003" t="s">
        <v>38030</v>
      </c>
      <c r="I2003" t="s">
        <v>38031</v>
      </c>
      <c r="J2003" t="s">
        <v>38032</v>
      </c>
      <c r="K2003" t="s">
        <v>38033</v>
      </c>
      <c r="L2003" t="s">
        <v>38034</v>
      </c>
      <c r="M2003" t="s">
        <v>38035</v>
      </c>
      <c r="N2003" t="s">
        <v>38036</v>
      </c>
      <c r="O2003">
        <f>-598.669585568323 -98.661228298962 -714.609272738856</f>
        <v>-1411.940086606141</v>
      </c>
      <c r="P2003">
        <f>-616.271270738408 -59.5533310429528 -401.006158920344</f>
        <v>-1076.8307607017048</v>
      </c>
      <c r="Q2003" t="s">
        <v>38037</v>
      </c>
      <c r="R2003" t="s">
        <v>38038</v>
      </c>
      <c r="S2003" t="s">
        <v>38039</v>
      </c>
      <c r="T2003" t="s">
        <v>38040</v>
      </c>
      <c r="U2003" t="s">
        <v>38041</v>
      </c>
      <c r="V2003" t="s">
        <v>38042</v>
      </c>
      <c r="W2003" t="s">
        <v>38043</v>
      </c>
      <c r="X2003" t="s">
        <v>38044</v>
      </c>
      <c r="Y2003" t="s">
        <v>38045</v>
      </c>
    </row>
    <row r="2004" spans="1:25" x14ac:dyDescent="0.3">
      <c r="A2004">
        <v>100150</v>
      </c>
      <c r="B2004" t="s">
        <v>38046</v>
      </c>
      <c r="C2004" t="s">
        <v>38047</v>
      </c>
      <c r="D2004" t="s">
        <v>38048</v>
      </c>
      <c r="E2004" t="s">
        <v>38049</v>
      </c>
      <c r="F2004" t="s">
        <v>38050</v>
      </c>
      <c r="G2004" t="s">
        <v>38051</v>
      </c>
      <c r="H2004" t="s">
        <v>38052</v>
      </c>
      <c r="I2004" t="s">
        <v>38053</v>
      </c>
      <c r="J2004" t="s">
        <v>38054</v>
      </c>
      <c r="K2004" t="s">
        <v>38055</v>
      </c>
      <c r="L2004" t="s">
        <v>38056</v>
      </c>
      <c r="M2004" t="s">
        <v>38057</v>
      </c>
      <c r="N2004" t="s">
        <v>38058</v>
      </c>
      <c r="O2004">
        <f>-598.161847615524 -98.328665916438 -714.6095970802</f>
        <v>-1411.1001106121621</v>
      </c>
      <c r="P2004">
        <f>-617.010052857251 -58.2505179496213 -401.201529379771</f>
        <v>-1076.4621001866433</v>
      </c>
      <c r="Q2004" t="s">
        <v>38059</v>
      </c>
      <c r="R2004" t="s">
        <v>38060</v>
      </c>
      <c r="S2004" t="s">
        <v>38061</v>
      </c>
      <c r="T2004" t="s">
        <v>38062</v>
      </c>
      <c r="U2004" t="s">
        <v>38063</v>
      </c>
      <c r="V2004" t="s">
        <v>38064</v>
      </c>
      <c r="W2004" t="s">
        <v>38065</v>
      </c>
      <c r="X2004" t="s">
        <v>38066</v>
      </c>
      <c r="Y2004" t="s">
        <v>38067</v>
      </c>
    </row>
    <row r="2005" spans="1:25" x14ac:dyDescent="0.3">
      <c r="A2005">
        <v>100200</v>
      </c>
      <c r="B2005" t="s">
        <v>38068</v>
      </c>
      <c r="C2005" t="s">
        <v>38069</v>
      </c>
      <c r="D2005" t="s">
        <v>38070</v>
      </c>
      <c r="E2005" t="s">
        <v>38071</v>
      </c>
      <c r="F2005" t="s">
        <v>38072</v>
      </c>
      <c r="G2005" t="s">
        <v>38073</v>
      </c>
      <c r="H2005" t="s">
        <v>38074</v>
      </c>
      <c r="I2005" t="s">
        <v>38075</v>
      </c>
      <c r="J2005" t="s">
        <v>38076</v>
      </c>
      <c r="K2005" t="s">
        <v>38077</v>
      </c>
      <c r="L2005" t="s">
        <v>38078</v>
      </c>
      <c r="M2005" t="s">
        <v>38079</v>
      </c>
      <c r="N2005" t="s">
        <v>38080</v>
      </c>
      <c r="O2005">
        <f>-597.912262440875 -98.5570525612047 -714.346510037653</f>
        <v>-1410.8158250397328</v>
      </c>
      <c r="P2005">
        <f>-617.652750489025 -57.8754802772137 -401.070933516029</f>
        <v>-1076.5991642822678</v>
      </c>
      <c r="Q2005" t="s">
        <v>38081</v>
      </c>
      <c r="R2005" t="s">
        <v>38082</v>
      </c>
      <c r="S2005" t="s">
        <v>38083</v>
      </c>
      <c r="T2005" t="s">
        <v>38084</v>
      </c>
      <c r="U2005" t="s">
        <v>38085</v>
      </c>
      <c r="V2005" t="s">
        <v>38086</v>
      </c>
      <c r="W2005" t="s">
        <v>38087</v>
      </c>
      <c r="X2005" t="s">
        <v>38088</v>
      </c>
      <c r="Y2005" t="s">
        <v>38089</v>
      </c>
    </row>
    <row r="2006" spans="1:25" x14ac:dyDescent="0.3">
      <c r="A2006">
        <v>100250</v>
      </c>
      <c r="B2006" t="s">
        <v>38090</v>
      </c>
      <c r="C2006" t="s">
        <v>38091</v>
      </c>
      <c r="D2006" t="s">
        <v>38092</v>
      </c>
      <c r="E2006" t="s">
        <v>38093</v>
      </c>
      <c r="F2006" t="s">
        <v>38094</v>
      </c>
      <c r="G2006" t="s">
        <v>38095</v>
      </c>
      <c r="H2006" t="s">
        <v>38096</v>
      </c>
      <c r="I2006" t="s">
        <v>38097</v>
      </c>
      <c r="J2006" t="s">
        <v>38098</v>
      </c>
      <c r="K2006" t="s">
        <v>38099</v>
      </c>
      <c r="L2006" t="s">
        <v>38100</v>
      </c>
      <c r="M2006" t="s">
        <v>38101</v>
      </c>
      <c r="N2006" t="s">
        <v>38102</v>
      </c>
      <c r="O2006">
        <f>-597.043572370007 -98.1278759695788 -714.066004920636</f>
        <v>-1409.2374532602219</v>
      </c>
      <c r="P2006">
        <f>-619.22900617905 -56.527921399628 -401.074898888472</f>
        <v>-1076.83182646715</v>
      </c>
      <c r="Q2006" t="s">
        <v>38103</v>
      </c>
      <c r="R2006" t="s">
        <v>38104</v>
      </c>
      <c r="S2006" t="s">
        <v>38105</v>
      </c>
      <c r="T2006" t="s">
        <v>38106</v>
      </c>
      <c r="U2006" t="s">
        <v>38107</v>
      </c>
      <c r="V2006" t="s">
        <v>38108</v>
      </c>
      <c r="W2006" t="s">
        <v>38109</v>
      </c>
      <c r="X2006" t="s">
        <v>38110</v>
      </c>
      <c r="Y2006" t="s">
        <v>38111</v>
      </c>
    </row>
    <row r="2007" spans="1:25" x14ac:dyDescent="0.3">
      <c r="A2007">
        <v>100300</v>
      </c>
      <c r="B2007" t="s">
        <v>38112</v>
      </c>
      <c r="C2007" t="s">
        <v>38113</v>
      </c>
      <c r="D2007" t="s">
        <v>38114</v>
      </c>
      <c r="E2007" t="s">
        <v>38115</v>
      </c>
      <c r="F2007" t="s">
        <v>38116</v>
      </c>
      <c r="G2007" t="s">
        <v>38117</v>
      </c>
      <c r="H2007" t="s">
        <v>38118</v>
      </c>
      <c r="I2007" t="s">
        <v>38119</v>
      </c>
      <c r="J2007" t="s">
        <v>38120</v>
      </c>
      <c r="K2007" t="s">
        <v>38121</v>
      </c>
      <c r="L2007" t="s">
        <v>38122</v>
      </c>
      <c r="M2007" t="s">
        <v>38123</v>
      </c>
      <c r="N2007" t="s">
        <v>38124</v>
      </c>
      <c r="O2007">
        <f>-596.842771307858 -97.5061899271914 -714.031750439415</f>
        <v>-1408.3807116744642</v>
      </c>
      <c r="P2007">
        <f>-620.626244467707 -55.691176835137 -401.186644489796</f>
        <v>-1077.5040657926399</v>
      </c>
      <c r="Q2007" t="s">
        <v>38125</v>
      </c>
      <c r="R2007" t="s">
        <v>38126</v>
      </c>
      <c r="S2007" t="s">
        <v>38127</v>
      </c>
      <c r="T2007" t="s">
        <v>38128</v>
      </c>
      <c r="U2007" t="s">
        <v>38129</v>
      </c>
      <c r="V2007" t="s">
        <v>38130</v>
      </c>
      <c r="W2007" t="s">
        <v>38131</v>
      </c>
      <c r="X2007" t="s">
        <v>38132</v>
      </c>
      <c r="Y2007" t="s">
        <v>38133</v>
      </c>
    </row>
    <row r="2008" spans="1:25" x14ac:dyDescent="0.3">
      <c r="A2008">
        <v>100350</v>
      </c>
      <c r="B2008" t="s">
        <v>38134</v>
      </c>
      <c r="C2008" t="s">
        <v>38135</v>
      </c>
      <c r="D2008" t="s">
        <v>38136</v>
      </c>
      <c r="E2008" t="s">
        <v>38137</v>
      </c>
      <c r="F2008" t="s">
        <v>38138</v>
      </c>
      <c r="G2008" t="s">
        <v>38139</v>
      </c>
      <c r="H2008" t="s">
        <v>38140</v>
      </c>
      <c r="I2008" t="s">
        <v>38141</v>
      </c>
      <c r="J2008" t="s">
        <v>38142</v>
      </c>
      <c r="K2008" t="s">
        <v>38143</v>
      </c>
      <c r="L2008" t="s">
        <v>38144</v>
      </c>
      <c r="M2008" t="s">
        <v>38145</v>
      </c>
      <c r="N2008" t="s">
        <v>38146</v>
      </c>
      <c r="O2008">
        <f>-596.249879685071 -96.817150423672 -714.058414392851</f>
        <v>-1407.1254445015941</v>
      </c>
      <c r="P2008">
        <f>-623.021073093577 -55.1360182793414 -401.436874886485</f>
        <v>-1079.5939662594035</v>
      </c>
      <c r="Q2008" t="s">
        <v>38147</v>
      </c>
      <c r="R2008" t="s">
        <v>38148</v>
      </c>
      <c r="S2008" t="s">
        <v>38149</v>
      </c>
      <c r="T2008" t="s">
        <v>38150</v>
      </c>
      <c r="U2008" t="s">
        <v>38151</v>
      </c>
      <c r="V2008" t="s">
        <v>38152</v>
      </c>
      <c r="W2008" t="s">
        <v>38153</v>
      </c>
      <c r="X2008" t="s">
        <v>38154</v>
      </c>
      <c r="Y2008" t="s">
        <v>38155</v>
      </c>
    </row>
    <row r="2009" spans="1:25" x14ac:dyDescent="0.3">
      <c r="A2009">
        <v>100400</v>
      </c>
      <c r="B2009" t="s">
        <v>38156</v>
      </c>
      <c r="C2009" t="s">
        <v>38157</v>
      </c>
      <c r="D2009" t="s">
        <v>38158</v>
      </c>
      <c r="E2009" t="s">
        <v>38159</v>
      </c>
      <c r="F2009" t="s">
        <v>38160</v>
      </c>
      <c r="G2009" t="s">
        <v>38161</v>
      </c>
      <c r="H2009" t="s">
        <v>38162</v>
      </c>
      <c r="I2009" t="s">
        <v>38163</v>
      </c>
      <c r="J2009" t="s">
        <v>38164</v>
      </c>
      <c r="K2009" t="s">
        <v>38165</v>
      </c>
      <c r="L2009" t="s">
        <v>38166</v>
      </c>
      <c r="M2009" t="s">
        <v>38167</v>
      </c>
      <c r="N2009" t="s">
        <v>38168</v>
      </c>
      <c r="O2009">
        <f>-596.114125873784 -96.4225780677948 -714.110422145859</f>
        <v>-1406.6471260874378</v>
      </c>
      <c r="P2009">
        <f>-624.179746468537 -54.6416825904746 -401.615797218627</f>
        <v>-1080.4372262776387</v>
      </c>
      <c r="Q2009" t="s">
        <v>38169</v>
      </c>
      <c r="R2009" t="s">
        <v>38170</v>
      </c>
      <c r="S2009" t="s">
        <v>38171</v>
      </c>
      <c r="T2009" t="s">
        <v>38172</v>
      </c>
      <c r="U2009" t="s">
        <v>38173</v>
      </c>
      <c r="V2009" t="s">
        <v>38174</v>
      </c>
      <c r="W2009" t="s">
        <v>38175</v>
      </c>
      <c r="X2009" t="s">
        <v>38176</v>
      </c>
      <c r="Y2009" t="s">
        <v>38177</v>
      </c>
    </row>
    <row r="2010" spans="1:25" x14ac:dyDescent="0.3">
      <c r="A2010">
        <v>100450</v>
      </c>
      <c r="B2010" t="s">
        <v>38178</v>
      </c>
      <c r="C2010" t="s">
        <v>38179</v>
      </c>
      <c r="D2010" t="s">
        <v>38180</v>
      </c>
      <c r="E2010" t="s">
        <v>38181</v>
      </c>
      <c r="F2010" t="s">
        <v>38182</v>
      </c>
      <c r="G2010" t="s">
        <v>38183</v>
      </c>
      <c r="H2010" t="s">
        <v>38184</v>
      </c>
      <c r="I2010" t="s">
        <v>38185</v>
      </c>
      <c r="J2010" t="s">
        <v>38186</v>
      </c>
      <c r="K2010" t="s">
        <v>38187</v>
      </c>
      <c r="L2010" t="s">
        <v>38188</v>
      </c>
      <c r="M2010" t="s">
        <v>38189</v>
      </c>
      <c r="N2010" t="s">
        <v>38190</v>
      </c>
      <c r="O2010">
        <f>-596.804030364678 -96.0765479192621 -713.983455496626</f>
        <v>-1406.8640337805662</v>
      </c>
      <c r="P2010">
        <f>-626.049843411295 -52.8115123608266 -401.799294605649</f>
        <v>-1080.6606503777705</v>
      </c>
      <c r="Q2010" t="s">
        <v>38191</v>
      </c>
      <c r="R2010" t="s">
        <v>38192</v>
      </c>
      <c r="S2010" t="s">
        <v>38193</v>
      </c>
      <c r="T2010" t="s">
        <v>38194</v>
      </c>
      <c r="U2010" t="s">
        <v>38195</v>
      </c>
      <c r="V2010" t="s">
        <v>38196</v>
      </c>
      <c r="W2010" t="s">
        <v>38197</v>
      </c>
      <c r="X2010" t="s">
        <v>38198</v>
      </c>
      <c r="Y2010" t="s">
        <v>38199</v>
      </c>
    </row>
    <row r="2011" spans="1:25" x14ac:dyDescent="0.3">
      <c r="A2011">
        <v>100500</v>
      </c>
      <c r="B2011" t="s">
        <v>38200</v>
      </c>
      <c r="C2011" t="s">
        <v>38201</v>
      </c>
      <c r="D2011" t="s">
        <v>38202</v>
      </c>
      <c r="E2011" t="s">
        <v>38203</v>
      </c>
      <c r="F2011" t="s">
        <v>38204</v>
      </c>
      <c r="G2011" t="s">
        <v>38205</v>
      </c>
      <c r="H2011" t="s">
        <v>38206</v>
      </c>
      <c r="I2011" t="s">
        <v>38207</v>
      </c>
      <c r="J2011" t="s">
        <v>38208</v>
      </c>
      <c r="K2011" t="s">
        <v>38209</v>
      </c>
      <c r="L2011" t="s">
        <v>38210</v>
      </c>
      <c r="M2011" t="s">
        <v>38211</v>
      </c>
      <c r="N2011" t="s">
        <v>38212</v>
      </c>
      <c r="O2011">
        <f>-597.93689871693 -95.2527735406188 -714.095569526698</f>
        <v>-1407.2852417842469</v>
      </c>
      <c r="P2011">
        <f>-627.079780926936 -51.8177282397762 -401.9251424838</f>
        <v>-1080.8226516505122</v>
      </c>
      <c r="Q2011" t="s">
        <v>38213</v>
      </c>
      <c r="R2011" t="s">
        <v>38214</v>
      </c>
      <c r="S2011" t="s">
        <v>38215</v>
      </c>
      <c r="T2011" t="s">
        <v>38216</v>
      </c>
      <c r="U2011" t="s">
        <v>38217</v>
      </c>
      <c r="V2011" t="s">
        <v>38218</v>
      </c>
      <c r="W2011" t="s">
        <v>38219</v>
      </c>
      <c r="X2011" t="s">
        <v>38220</v>
      </c>
      <c r="Y2011" t="s">
        <v>38221</v>
      </c>
    </row>
    <row r="2012" spans="1:25" x14ac:dyDescent="0.3">
      <c r="A2012">
        <v>100550</v>
      </c>
      <c r="B2012" t="s">
        <v>38222</v>
      </c>
      <c r="C2012" t="s">
        <v>38223</v>
      </c>
      <c r="D2012" t="s">
        <v>38224</v>
      </c>
      <c r="E2012" t="s">
        <v>38225</v>
      </c>
      <c r="F2012" t="s">
        <v>38226</v>
      </c>
      <c r="G2012" t="s">
        <v>38227</v>
      </c>
      <c r="H2012" t="s">
        <v>38228</v>
      </c>
      <c r="I2012" t="s">
        <v>38229</v>
      </c>
      <c r="J2012" t="s">
        <v>38230</v>
      </c>
      <c r="K2012" t="s">
        <v>38231</v>
      </c>
      <c r="L2012" t="s">
        <v>38232</v>
      </c>
      <c r="M2012" t="s">
        <v>38233</v>
      </c>
      <c r="N2012" t="s">
        <v>38234</v>
      </c>
      <c r="O2012">
        <f>-598.892735572737 -94.7821803929189 -714.209279521378</f>
        <v>-1407.884195487034</v>
      </c>
      <c r="P2012">
        <f>-627.998358949028 -51.3456816888693 -402.035791353519</f>
        <v>-1081.3798319914163</v>
      </c>
      <c r="Q2012" t="s">
        <v>38235</v>
      </c>
      <c r="R2012" t="s">
        <v>38236</v>
      </c>
      <c r="S2012" t="s">
        <v>38237</v>
      </c>
      <c r="T2012" t="s">
        <v>38238</v>
      </c>
      <c r="U2012" t="s">
        <v>38239</v>
      </c>
      <c r="V2012" t="s">
        <v>38240</v>
      </c>
      <c r="W2012" t="s">
        <v>38241</v>
      </c>
      <c r="X2012" t="s">
        <v>38242</v>
      </c>
      <c r="Y2012" t="s">
        <v>38243</v>
      </c>
    </row>
    <row r="2013" spans="1:25" x14ac:dyDescent="0.3">
      <c r="A2013">
        <v>100600</v>
      </c>
      <c r="B2013" t="s">
        <v>38244</v>
      </c>
      <c r="C2013" t="s">
        <v>38245</v>
      </c>
      <c r="D2013" t="s">
        <v>38246</v>
      </c>
      <c r="E2013" t="s">
        <v>38247</v>
      </c>
      <c r="F2013" t="s">
        <v>38248</v>
      </c>
      <c r="G2013" t="s">
        <v>38249</v>
      </c>
      <c r="H2013" t="s">
        <v>38250</v>
      </c>
      <c r="I2013" t="s">
        <v>38251</v>
      </c>
      <c r="J2013" t="s">
        <v>38252</v>
      </c>
      <c r="K2013" t="s">
        <v>38253</v>
      </c>
      <c r="L2013" t="s">
        <v>38254</v>
      </c>
      <c r="M2013" t="s">
        <v>38255</v>
      </c>
      <c r="N2013" t="s">
        <v>38256</v>
      </c>
      <c r="O2013">
        <f>-599.578776400419 -94.5147570973554 -714.26025739625</f>
        <v>-1408.3537908940243</v>
      </c>
      <c r="P2013">
        <f>-628.586489212609 -51.5327437904195 -402.014583823258</f>
        <v>-1082.1338168262864</v>
      </c>
      <c r="Q2013" t="s">
        <v>38257</v>
      </c>
      <c r="R2013" t="s">
        <v>38258</v>
      </c>
      <c r="S2013" t="s">
        <v>38259</v>
      </c>
      <c r="T2013" t="s">
        <v>38260</v>
      </c>
      <c r="U2013" t="s">
        <v>38261</v>
      </c>
      <c r="V2013" t="s">
        <v>38262</v>
      </c>
      <c r="W2013" t="s">
        <v>38263</v>
      </c>
      <c r="X2013" t="s">
        <v>38264</v>
      </c>
      <c r="Y2013" t="s">
        <v>38265</v>
      </c>
    </row>
    <row r="2014" spans="1:25" x14ac:dyDescent="0.3">
      <c r="A2014">
        <v>100650</v>
      </c>
      <c r="B2014" t="s">
        <v>38266</v>
      </c>
      <c r="C2014" t="s">
        <v>38267</v>
      </c>
      <c r="D2014" t="s">
        <v>38268</v>
      </c>
      <c r="E2014" t="s">
        <v>38269</v>
      </c>
      <c r="F2014" t="s">
        <v>38270</v>
      </c>
      <c r="G2014" t="s">
        <v>38271</v>
      </c>
      <c r="H2014" t="s">
        <v>38272</v>
      </c>
      <c r="I2014" t="s">
        <v>38273</v>
      </c>
      <c r="J2014" t="s">
        <v>38274</v>
      </c>
      <c r="K2014" t="s">
        <v>38275</v>
      </c>
      <c r="L2014" t="s">
        <v>38276</v>
      </c>
      <c r="M2014" t="s">
        <v>38277</v>
      </c>
      <c r="N2014" t="s">
        <v>38278</v>
      </c>
      <c r="O2014">
        <f>-601.640708780742 -93.6947873045515 -714.430473168453</f>
        <v>-1409.7659692537463</v>
      </c>
      <c r="P2014">
        <f>-629.765443663349 -51.1266643715667 -402.047446635871</f>
        <v>-1082.9395546707865</v>
      </c>
      <c r="Q2014" t="s">
        <v>38279</v>
      </c>
      <c r="R2014" t="s">
        <v>38280</v>
      </c>
      <c r="S2014" t="s">
        <v>38281</v>
      </c>
      <c r="T2014" t="s">
        <v>38282</v>
      </c>
      <c r="U2014" t="s">
        <v>38283</v>
      </c>
      <c r="V2014" t="s">
        <v>38284</v>
      </c>
      <c r="W2014" t="s">
        <v>38285</v>
      </c>
      <c r="X2014" t="s">
        <v>38286</v>
      </c>
      <c r="Y2014" t="s">
        <v>38287</v>
      </c>
    </row>
    <row r="2015" spans="1:25" x14ac:dyDescent="0.3">
      <c r="A2015">
        <v>100700</v>
      </c>
      <c r="B2015" t="s">
        <v>38288</v>
      </c>
      <c r="C2015" t="s">
        <v>38289</v>
      </c>
      <c r="D2015" t="s">
        <v>38290</v>
      </c>
      <c r="E2015" t="s">
        <v>38291</v>
      </c>
      <c r="F2015" t="s">
        <v>38292</v>
      </c>
      <c r="G2015" t="s">
        <v>38293</v>
      </c>
      <c r="H2015" t="s">
        <v>38294</v>
      </c>
      <c r="I2015" t="s">
        <v>38295</v>
      </c>
      <c r="J2015" t="s">
        <v>38296</v>
      </c>
      <c r="K2015" t="s">
        <v>38297</v>
      </c>
      <c r="L2015" t="s">
        <v>38298</v>
      </c>
      <c r="M2015" t="s">
        <v>38299</v>
      </c>
      <c r="N2015" t="s">
        <v>38300</v>
      </c>
      <c r="O2015">
        <f>-602.701190197116 -93.1671890130237 -714.524324157271</f>
        <v>-1410.3927033674108</v>
      </c>
      <c r="P2015">
        <f>-630.514293716317 -50.3887834456889 -402.142047614823</f>
        <v>-1083.0451247768287</v>
      </c>
      <c r="Q2015" t="s">
        <v>38301</v>
      </c>
      <c r="R2015" t="s">
        <v>38302</v>
      </c>
      <c r="S2015" t="s">
        <v>38303</v>
      </c>
      <c r="T2015" t="s">
        <v>38304</v>
      </c>
      <c r="U2015" t="s">
        <v>38305</v>
      </c>
      <c r="V2015" t="s">
        <v>38306</v>
      </c>
      <c r="W2015" t="s">
        <v>38307</v>
      </c>
      <c r="X2015" t="s">
        <v>38308</v>
      </c>
      <c r="Y2015" t="s">
        <v>38309</v>
      </c>
    </row>
    <row r="2016" spans="1:25" x14ac:dyDescent="0.3">
      <c r="A2016">
        <v>100750</v>
      </c>
      <c r="B2016" t="s">
        <v>38310</v>
      </c>
      <c r="C2016" t="s">
        <v>38311</v>
      </c>
      <c r="D2016" t="s">
        <v>38312</v>
      </c>
      <c r="E2016" t="s">
        <v>38313</v>
      </c>
      <c r="F2016" t="s">
        <v>38314</v>
      </c>
      <c r="G2016" t="s">
        <v>38315</v>
      </c>
      <c r="H2016" t="s">
        <v>38316</v>
      </c>
      <c r="I2016" t="s">
        <v>38317</v>
      </c>
      <c r="J2016" t="s">
        <v>38318</v>
      </c>
      <c r="K2016" t="s">
        <v>38319</v>
      </c>
      <c r="L2016" t="s">
        <v>38320</v>
      </c>
      <c r="M2016" t="s">
        <v>38321</v>
      </c>
      <c r="N2016" t="s">
        <v>38322</v>
      </c>
      <c r="O2016">
        <f>-604.921578139929 -92.0850403669292 -714.553673319155</f>
        <v>-1411.5602918260133</v>
      </c>
      <c r="P2016">
        <f>-632.688479619432 -48.676829003379 -402.254241783721</f>
        <v>-1083.619550406532</v>
      </c>
      <c r="Q2016" t="s">
        <v>38323</v>
      </c>
      <c r="R2016" t="s">
        <v>38324</v>
      </c>
      <c r="S2016" t="s">
        <v>38325</v>
      </c>
      <c r="T2016" t="s">
        <v>38326</v>
      </c>
      <c r="U2016" t="s">
        <v>38327</v>
      </c>
      <c r="V2016" t="s">
        <v>38328</v>
      </c>
      <c r="W2016" t="s">
        <v>38329</v>
      </c>
      <c r="X2016" t="s">
        <v>38330</v>
      </c>
      <c r="Y2016" t="s">
        <v>38331</v>
      </c>
    </row>
    <row r="2017" spans="1:25" x14ac:dyDescent="0.3">
      <c r="A2017">
        <v>100800</v>
      </c>
      <c r="B2017" t="s">
        <v>38332</v>
      </c>
      <c r="C2017" t="s">
        <v>38333</v>
      </c>
      <c r="D2017" t="s">
        <v>38334</v>
      </c>
      <c r="E2017" t="s">
        <v>38335</v>
      </c>
      <c r="F2017" t="s">
        <v>38336</v>
      </c>
      <c r="G2017" t="s">
        <v>38337</v>
      </c>
      <c r="H2017" t="s">
        <v>38338</v>
      </c>
      <c r="I2017" t="s">
        <v>38339</v>
      </c>
      <c r="J2017" t="s">
        <v>38340</v>
      </c>
      <c r="K2017" t="s">
        <v>38341</v>
      </c>
      <c r="L2017" t="s">
        <v>38342</v>
      </c>
      <c r="M2017" t="s">
        <v>38343</v>
      </c>
      <c r="N2017" t="s">
        <v>38344</v>
      </c>
      <c r="O2017">
        <f>-605.720350010252 -91.6115875050236 -714.598533039793</f>
        <v>-1411.9304705550685</v>
      </c>
      <c r="P2017">
        <f>-633.963154379074 -48.073384749126 -402.359931799294</f>
        <v>-1084.396470927494</v>
      </c>
      <c r="Q2017" t="s">
        <v>38345</v>
      </c>
      <c r="R2017" t="s">
        <v>38346</v>
      </c>
      <c r="S2017" t="s">
        <v>38347</v>
      </c>
      <c r="T2017" t="s">
        <v>38348</v>
      </c>
      <c r="U2017" t="s">
        <v>38349</v>
      </c>
      <c r="V2017" t="s">
        <v>38350</v>
      </c>
      <c r="W2017" t="s">
        <v>38351</v>
      </c>
      <c r="X2017" t="s">
        <v>38352</v>
      </c>
      <c r="Y2017" t="s">
        <v>38353</v>
      </c>
    </row>
    <row r="2018" spans="1:25" x14ac:dyDescent="0.3">
      <c r="A2018">
        <v>100850</v>
      </c>
      <c r="B2018" t="s">
        <v>38354</v>
      </c>
      <c r="C2018" t="s">
        <v>38355</v>
      </c>
      <c r="D2018" t="s">
        <v>38356</v>
      </c>
      <c r="E2018" t="s">
        <v>38357</v>
      </c>
      <c r="F2018" t="s">
        <v>38358</v>
      </c>
      <c r="G2018" t="s">
        <v>38359</v>
      </c>
      <c r="H2018" t="s">
        <v>38360</v>
      </c>
      <c r="I2018" t="s">
        <v>38361</v>
      </c>
      <c r="J2018" t="s">
        <v>38362</v>
      </c>
      <c r="K2018" t="s">
        <v>38363</v>
      </c>
      <c r="L2018" t="s">
        <v>38364</v>
      </c>
      <c r="M2018" t="s">
        <v>38365</v>
      </c>
      <c r="N2018" t="s">
        <v>38366</v>
      </c>
      <c r="O2018">
        <f>-607.586448277018 -90.8006372687528 -714.614703329954</f>
        <v>-1413.0017888757247</v>
      </c>
      <c r="P2018">
        <f>-636.880908569589 -47.6049721388331 -402.425438562261</f>
        <v>-1086.9113192706832</v>
      </c>
      <c r="Q2018" t="s">
        <v>38367</v>
      </c>
      <c r="R2018" t="s">
        <v>38368</v>
      </c>
      <c r="S2018" t="s">
        <v>38369</v>
      </c>
      <c r="T2018" t="s">
        <v>38370</v>
      </c>
      <c r="U2018" t="s">
        <v>38371</v>
      </c>
      <c r="V2018" t="s">
        <v>38372</v>
      </c>
      <c r="W2018" t="s">
        <v>38373</v>
      </c>
      <c r="X2018" t="s">
        <v>38374</v>
      </c>
      <c r="Y2018" t="s">
        <v>38375</v>
      </c>
    </row>
    <row r="2019" spans="1:25" x14ac:dyDescent="0.3">
      <c r="A2019">
        <v>100900</v>
      </c>
      <c r="B2019" t="s">
        <v>38376</v>
      </c>
      <c r="C2019" t="s">
        <v>38377</v>
      </c>
      <c r="D2019" t="s">
        <v>38378</v>
      </c>
      <c r="E2019" t="s">
        <v>38379</v>
      </c>
      <c r="F2019" t="s">
        <v>38380</v>
      </c>
      <c r="G2019" t="s">
        <v>38381</v>
      </c>
      <c r="H2019" t="s">
        <v>38382</v>
      </c>
      <c r="I2019" t="s">
        <v>38383</v>
      </c>
      <c r="J2019" t="s">
        <v>38384</v>
      </c>
      <c r="K2019" t="s">
        <v>38385</v>
      </c>
      <c r="L2019" t="s">
        <v>38386</v>
      </c>
      <c r="M2019" t="s">
        <v>38387</v>
      </c>
      <c r="N2019" t="s">
        <v>38388</v>
      </c>
      <c r="O2019">
        <f>-608.489535908196 -90.6073651745487 -714.52457556794</f>
        <v>-1413.6214766506846</v>
      </c>
      <c r="P2019">
        <f>-638.529154330401 -47.2431937802537 -402.42958102033</f>
        <v>-1088.2019291309846</v>
      </c>
      <c r="Q2019" t="s">
        <v>38389</v>
      </c>
      <c r="R2019" t="s">
        <v>38390</v>
      </c>
      <c r="S2019" t="s">
        <v>38391</v>
      </c>
      <c r="T2019" t="s">
        <v>38392</v>
      </c>
      <c r="U2019" t="s">
        <v>38393</v>
      </c>
      <c r="V2019" t="s">
        <v>38394</v>
      </c>
      <c r="W2019" t="s">
        <v>38395</v>
      </c>
      <c r="X2019" t="s">
        <v>38396</v>
      </c>
      <c r="Y2019" t="s">
        <v>38397</v>
      </c>
    </row>
    <row r="2020" spans="1:25" x14ac:dyDescent="0.3">
      <c r="A2020">
        <v>100950</v>
      </c>
      <c r="B2020" t="s">
        <v>38398</v>
      </c>
      <c r="C2020" t="s">
        <v>38399</v>
      </c>
      <c r="D2020" t="s">
        <v>38400</v>
      </c>
      <c r="E2020" t="s">
        <v>38401</v>
      </c>
      <c r="F2020" t="s">
        <v>38402</v>
      </c>
      <c r="G2020" t="s">
        <v>38403</v>
      </c>
      <c r="H2020" t="s">
        <v>38404</v>
      </c>
      <c r="I2020" t="s">
        <v>38405</v>
      </c>
      <c r="J2020" t="s">
        <v>38406</v>
      </c>
      <c r="K2020" t="s">
        <v>38407</v>
      </c>
      <c r="L2020" t="s">
        <v>38408</v>
      </c>
      <c r="M2020" t="s">
        <v>38409</v>
      </c>
      <c r="N2020" t="s">
        <v>38410</v>
      </c>
      <c r="O2020">
        <f>-610.721613417067 -90.0303254497198 -714.447472495677</f>
        <v>-1415.1994113624637</v>
      </c>
      <c r="P2020">
        <f>-641.410373686705 -46.3871057917793 -402.454390144069</f>
        <v>-1090.2518696225534</v>
      </c>
      <c r="Q2020" t="s">
        <v>38411</v>
      </c>
      <c r="R2020" t="s">
        <v>38412</v>
      </c>
      <c r="S2020" t="s">
        <v>38413</v>
      </c>
      <c r="T2020" t="s">
        <v>38414</v>
      </c>
      <c r="U2020" t="s">
        <v>38415</v>
      </c>
      <c r="V2020" t="s">
        <v>38416</v>
      </c>
      <c r="W2020" t="s">
        <v>38417</v>
      </c>
      <c r="X2020" t="s">
        <v>38418</v>
      </c>
      <c r="Y2020" t="s">
        <v>38419</v>
      </c>
    </row>
    <row r="2021" spans="1:25" x14ac:dyDescent="0.3">
      <c r="A2021">
        <v>101000</v>
      </c>
      <c r="B2021" t="s">
        <v>38420</v>
      </c>
      <c r="C2021" t="s">
        <v>38421</v>
      </c>
      <c r="D2021" t="s">
        <v>38422</v>
      </c>
      <c r="E2021" t="s">
        <v>38423</v>
      </c>
      <c r="F2021" t="s">
        <v>38424</v>
      </c>
      <c r="G2021" t="s">
        <v>38425</v>
      </c>
      <c r="H2021" t="s">
        <v>38426</v>
      </c>
      <c r="I2021" t="s">
        <v>38427</v>
      </c>
      <c r="J2021" t="s">
        <v>38428</v>
      </c>
      <c r="K2021" t="s">
        <v>38429</v>
      </c>
      <c r="L2021" t="s">
        <v>38430</v>
      </c>
      <c r="M2021" t="s">
        <v>38431</v>
      </c>
      <c r="N2021" t="s">
        <v>38432</v>
      </c>
      <c r="O2021">
        <f>-611.591110888401 -89.7548112272204 -714.44910750906</f>
        <v>-1415.7950296246813</v>
      </c>
      <c r="P2021">
        <f>-642.933054161452 -45.6212688924436 -402.590078037148</f>
        <v>-1091.1444010910436</v>
      </c>
      <c r="Q2021" t="s">
        <v>38433</v>
      </c>
      <c r="R2021" t="s">
        <v>38434</v>
      </c>
      <c r="S2021" t="s">
        <v>38435</v>
      </c>
      <c r="T2021" t="s">
        <v>38436</v>
      </c>
      <c r="U2021" t="s">
        <v>38437</v>
      </c>
      <c r="V2021" t="s">
        <v>38438</v>
      </c>
      <c r="W2021" t="s">
        <v>38439</v>
      </c>
      <c r="X2021" t="s">
        <v>38440</v>
      </c>
      <c r="Y2021" t="s">
        <v>38441</v>
      </c>
    </row>
    <row r="2022" spans="1:25" x14ac:dyDescent="0.3">
      <c r="A2022">
        <v>101050</v>
      </c>
      <c r="B2022" t="s">
        <v>38442</v>
      </c>
      <c r="C2022" t="s">
        <v>38443</v>
      </c>
      <c r="D2022" t="s">
        <v>38444</v>
      </c>
      <c r="E2022" t="s">
        <v>38445</v>
      </c>
      <c r="F2022" t="s">
        <v>38446</v>
      </c>
      <c r="G2022" t="s">
        <v>38447</v>
      </c>
      <c r="H2022" t="s">
        <v>38448</v>
      </c>
      <c r="I2022" t="s">
        <v>38449</v>
      </c>
      <c r="J2022" t="s">
        <v>38450</v>
      </c>
      <c r="K2022" t="s">
        <v>38451</v>
      </c>
      <c r="L2022" t="s">
        <v>38452</v>
      </c>
      <c r="M2022" t="s">
        <v>38453</v>
      </c>
      <c r="N2022" t="s">
        <v>38454</v>
      </c>
      <c r="O2022">
        <f>-612.824542874895 -89.1116240938475 -714.689897599272</f>
        <v>-1416.6260645680145</v>
      </c>
      <c r="P2022">
        <f>-645.309199386695 -45.3521961610459 -402.895067871658</f>
        <v>-1093.5564634193988</v>
      </c>
      <c r="Q2022" t="s">
        <v>38455</v>
      </c>
      <c r="R2022" t="s">
        <v>38456</v>
      </c>
      <c r="S2022" t="s">
        <v>38457</v>
      </c>
      <c r="T2022" t="s">
        <v>38458</v>
      </c>
      <c r="U2022" t="s">
        <v>38459</v>
      </c>
      <c r="V2022" t="s">
        <v>38460</v>
      </c>
      <c r="W2022" t="s">
        <v>38461</v>
      </c>
      <c r="X2022" t="s">
        <v>38462</v>
      </c>
      <c r="Y2022" t="s">
        <v>38463</v>
      </c>
    </row>
    <row r="2023" spans="1:25" x14ac:dyDescent="0.3">
      <c r="A2023">
        <v>101100</v>
      </c>
      <c r="B2023" t="s">
        <v>38464</v>
      </c>
      <c r="C2023" t="s">
        <v>38465</v>
      </c>
      <c r="D2023" t="s">
        <v>38466</v>
      </c>
      <c r="E2023" t="s">
        <v>38467</v>
      </c>
      <c r="F2023" t="s">
        <v>38468</v>
      </c>
      <c r="G2023" t="s">
        <v>38469</v>
      </c>
      <c r="H2023" t="s">
        <v>38470</v>
      </c>
      <c r="I2023" t="s">
        <v>38471</v>
      </c>
      <c r="J2023" t="s">
        <v>38472</v>
      </c>
      <c r="K2023" t="s">
        <v>38473</v>
      </c>
      <c r="L2023" t="s">
        <v>38474</v>
      </c>
      <c r="M2023" t="s">
        <v>38475</v>
      </c>
      <c r="N2023" t="s">
        <v>38476</v>
      </c>
      <c r="O2023">
        <f>-613.646424551777 -88.769492769025 -714.763488508232</f>
        <v>-1417.1794058290338</v>
      </c>
      <c r="P2023">
        <f>-646.619493645131 -45.2800134948486 -402.982145464836</f>
        <v>-1094.8816526048156</v>
      </c>
      <c r="Q2023" t="s">
        <v>38477</v>
      </c>
      <c r="R2023" t="s">
        <v>38478</v>
      </c>
      <c r="S2023" t="s">
        <v>38479</v>
      </c>
      <c r="T2023" t="s">
        <v>38480</v>
      </c>
      <c r="U2023" t="s">
        <v>38481</v>
      </c>
      <c r="V2023" t="s">
        <v>38482</v>
      </c>
      <c r="W2023" t="s">
        <v>38483</v>
      </c>
      <c r="X2023" t="s">
        <v>38484</v>
      </c>
      <c r="Y2023" t="s">
        <v>38485</v>
      </c>
    </row>
    <row r="2024" spans="1:25" x14ac:dyDescent="0.3">
      <c r="A2024">
        <v>101150</v>
      </c>
      <c r="B2024" t="s">
        <v>38486</v>
      </c>
      <c r="C2024" t="s">
        <v>38487</v>
      </c>
      <c r="D2024" t="s">
        <v>38488</v>
      </c>
      <c r="E2024" t="s">
        <v>38489</v>
      </c>
      <c r="F2024" t="s">
        <v>38490</v>
      </c>
      <c r="G2024" t="s">
        <v>38491</v>
      </c>
      <c r="H2024" t="s">
        <v>38492</v>
      </c>
      <c r="I2024" t="s">
        <v>38493</v>
      </c>
      <c r="J2024" t="s">
        <v>38494</v>
      </c>
      <c r="K2024" t="s">
        <v>38495</v>
      </c>
      <c r="L2024" t="s">
        <v>38496</v>
      </c>
      <c r="M2024" t="s">
        <v>38497</v>
      </c>
      <c r="N2024" t="s">
        <v>38498</v>
      </c>
      <c r="O2024">
        <f>-615.393824500724 -88.2915320288707 -714.87806521491</f>
        <v>-1418.5634217445047</v>
      </c>
      <c r="P2024">
        <f>-648.07440239442 -45.2193313924324 -403.007930144413</f>
        <v>-1096.3016639312655</v>
      </c>
      <c r="Q2024" t="s">
        <v>38499</v>
      </c>
      <c r="R2024" t="s">
        <v>38500</v>
      </c>
      <c r="S2024" t="s">
        <v>38501</v>
      </c>
      <c r="T2024" t="s">
        <v>38502</v>
      </c>
      <c r="U2024" t="s">
        <v>38503</v>
      </c>
      <c r="V2024" t="s">
        <v>38504</v>
      </c>
      <c r="W2024" t="s">
        <v>38505</v>
      </c>
      <c r="X2024" t="s">
        <v>38506</v>
      </c>
      <c r="Y2024" t="s">
        <v>38507</v>
      </c>
    </row>
    <row r="2025" spans="1:25" x14ac:dyDescent="0.3">
      <c r="A2025">
        <v>101200</v>
      </c>
      <c r="B2025" t="s">
        <v>38508</v>
      </c>
      <c r="C2025" t="s">
        <v>38509</v>
      </c>
      <c r="D2025" t="s">
        <v>38510</v>
      </c>
      <c r="E2025" t="s">
        <v>38511</v>
      </c>
      <c r="F2025" t="s">
        <v>38512</v>
      </c>
      <c r="G2025" t="s">
        <v>38513</v>
      </c>
      <c r="H2025" t="s">
        <v>38514</v>
      </c>
      <c r="I2025" t="s">
        <v>38515</v>
      </c>
      <c r="J2025" t="s">
        <v>38516</v>
      </c>
      <c r="K2025" t="s">
        <v>38517</v>
      </c>
      <c r="L2025" t="s">
        <v>38518</v>
      </c>
      <c r="M2025" t="s">
        <v>38519</v>
      </c>
      <c r="N2025" t="s">
        <v>38520</v>
      </c>
      <c r="O2025">
        <f>-616.447399623555 -88.0511729981549 -714.888415615036</f>
        <v>-1419.386988236746</v>
      </c>
      <c r="P2025">
        <f>-648.968171883536 -45.1354359004481 -402.980091690348</f>
        <v>-1097.0836994743322</v>
      </c>
      <c r="Q2025" t="s">
        <v>38521</v>
      </c>
      <c r="R2025" t="s">
        <v>38522</v>
      </c>
      <c r="S2025" t="s">
        <v>38523</v>
      </c>
      <c r="T2025" t="s">
        <v>38524</v>
      </c>
      <c r="U2025" t="s">
        <v>38525</v>
      </c>
      <c r="V2025" t="s">
        <v>38526</v>
      </c>
      <c r="W2025" t="s">
        <v>38527</v>
      </c>
      <c r="X2025" t="s">
        <v>38528</v>
      </c>
      <c r="Y2025" t="s">
        <v>38529</v>
      </c>
    </row>
    <row r="2026" spans="1:25" x14ac:dyDescent="0.3">
      <c r="A2026">
        <v>101250</v>
      </c>
      <c r="B2026" t="s">
        <v>38530</v>
      </c>
      <c r="C2026" t="s">
        <v>38531</v>
      </c>
      <c r="D2026" t="s">
        <v>38532</v>
      </c>
      <c r="E2026" t="s">
        <v>38533</v>
      </c>
      <c r="F2026" t="s">
        <v>38534</v>
      </c>
      <c r="G2026" t="s">
        <v>38535</v>
      </c>
      <c r="H2026" t="s">
        <v>38536</v>
      </c>
      <c r="I2026" t="s">
        <v>38537</v>
      </c>
      <c r="J2026" t="s">
        <v>38538</v>
      </c>
      <c r="K2026" t="s">
        <v>38539</v>
      </c>
      <c r="L2026" t="s">
        <v>38540</v>
      </c>
      <c r="M2026" t="s">
        <v>38541</v>
      </c>
      <c r="N2026" t="s">
        <v>38542</v>
      </c>
      <c r="O2026">
        <f>-618.396794850028 -87.5841133499291 -714.906597921589</f>
        <v>-1420.887506121546</v>
      </c>
      <c r="P2026">
        <f>-650.283023498063 -44.9221446714794 -402.897812831882</f>
        <v>-1098.1029810014243</v>
      </c>
      <c r="Q2026" t="s">
        <v>38543</v>
      </c>
      <c r="R2026" t="s">
        <v>38544</v>
      </c>
      <c r="S2026" t="s">
        <v>38545</v>
      </c>
      <c r="T2026" t="s">
        <v>38546</v>
      </c>
      <c r="U2026" t="s">
        <v>38547</v>
      </c>
      <c r="V2026" t="s">
        <v>38548</v>
      </c>
      <c r="W2026" t="s">
        <v>38549</v>
      </c>
      <c r="X2026" t="s">
        <v>38550</v>
      </c>
      <c r="Y2026" t="s">
        <v>38551</v>
      </c>
    </row>
    <row r="2027" spans="1:25" x14ac:dyDescent="0.3">
      <c r="A2027">
        <v>101300</v>
      </c>
      <c r="B2027" t="s">
        <v>38552</v>
      </c>
      <c r="C2027" t="s">
        <v>38553</v>
      </c>
      <c r="D2027" t="s">
        <v>38554</v>
      </c>
      <c r="E2027" t="s">
        <v>38555</v>
      </c>
      <c r="F2027" t="s">
        <v>38556</v>
      </c>
      <c r="G2027" t="s">
        <v>38557</v>
      </c>
      <c r="H2027" t="s">
        <v>38558</v>
      </c>
      <c r="I2027" t="s">
        <v>38559</v>
      </c>
      <c r="J2027" t="s">
        <v>38560</v>
      </c>
      <c r="K2027" t="s">
        <v>38561</v>
      </c>
      <c r="L2027" t="s">
        <v>38562</v>
      </c>
      <c r="M2027" t="s">
        <v>38563</v>
      </c>
      <c r="N2027" t="s">
        <v>38564</v>
      </c>
      <c r="O2027">
        <f>-619.225401849854 -87.4285534649487 -714.875821566217</f>
        <v>-1421.5297768810196</v>
      </c>
      <c r="P2027">
        <f>-650.685393646307 -44.701382134981 -402.832816807944</f>
        <v>-1098.219592589232</v>
      </c>
      <c r="Q2027" t="s">
        <v>38565</v>
      </c>
      <c r="R2027" t="s">
        <v>38566</v>
      </c>
      <c r="S2027" t="s">
        <v>38567</v>
      </c>
      <c r="T2027" t="s">
        <v>38568</v>
      </c>
      <c r="U2027" t="s">
        <v>38569</v>
      </c>
      <c r="V2027" t="s">
        <v>38570</v>
      </c>
      <c r="W2027" t="s">
        <v>38571</v>
      </c>
      <c r="X2027" t="s">
        <v>38572</v>
      </c>
      <c r="Y2027" t="s">
        <v>38573</v>
      </c>
    </row>
    <row r="2028" spans="1:25" x14ac:dyDescent="0.3">
      <c r="A2028">
        <v>101350</v>
      </c>
      <c r="B2028" t="s">
        <v>38574</v>
      </c>
      <c r="C2028" t="s">
        <v>38575</v>
      </c>
      <c r="D2028" t="s">
        <v>38576</v>
      </c>
      <c r="E2028" t="s">
        <v>38577</v>
      </c>
      <c r="F2028" t="s">
        <v>38578</v>
      </c>
      <c r="G2028" t="s">
        <v>38579</v>
      </c>
      <c r="H2028" t="s">
        <v>38580</v>
      </c>
      <c r="I2028" t="s">
        <v>38581</v>
      </c>
      <c r="J2028" t="s">
        <v>38582</v>
      </c>
      <c r="K2028" t="s">
        <v>38583</v>
      </c>
      <c r="L2028" t="s">
        <v>38584</v>
      </c>
      <c r="M2028" t="s">
        <v>38585</v>
      </c>
      <c r="N2028" t="s">
        <v>38586</v>
      </c>
      <c r="O2028">
        <f>-620.130784865342 -87.686031656031 -714.536234348064</f>
        <v>-1422.3530508694371</v>
      </c>
      <c r="P2028">
        <f>-650.446490290525 -44.3246711752329 -402.467323095365</f>
        <v>-1097.238484561123</v>
      </c>
      <c r="Q2028" t="s">
        <v>38587</v>
      </c>
      <c r="R2028" t="s">
        <v>38588</v>
      </c>
      <c r="S2028" t="s">
        <v>38589</v>
      </c>
      <c r="T2028" t="s">
        <v>38590</v>
      </c>
      <c r="U2028" t="s">
        <v>38591</v>
      </c>
      <c r="V2028" t="s">
        <v>38592</v>
      </c>
      <c r="W2028" t="s">
        <v>38593</v>
      </c>
      <c r="X2028" t="s">
        <v>38594</v>
      </c>
      <c r="Y2028" t="s">
        <v>38595</v>
      </c>
    </row>
    <row r="2029" spans="1:25" x14ac:dyDescent="0.3">
      <c r="A2029">
        <v>101400</v>
      </c>
      <c r="B2029" t="s">
        <v>38596</v>
      </c>
      <c r="C2029" t="s">
        <v>38597</v>
      </c>
      <c r="D2029" t="s">
        <v>38598</v>
      </c>
      <c r="E2029" t="s">
        <v>38599</v>
      </c>
      <c r="F2029" t="s">
        <v>38600</v>
      </c>
      <c r="G2029" t="s">
        <v>38601</v>
      </c>
      <c r="H2029" t="s">
        <v>38602</v>
      </c>
      <c r="I2029" t="s">
        <v>38603</v>
      </c>
      <c r="J2029" t="s">
        <v>38604</v>
      </c>
      <c r="K2029" t="s">
        <v>38605</v>
      </c>
      <c r="L2029" t="s">
        <v>38606</v>
      </c>
      <c r="M2029" t="s">
        <v>38607</v>
      </c>
      <c r="N2029" t="s">
        <v>38608</v>
      </c>
      <c r="O2029">
        <f>-620.53664059677 -87.9558024444227 -714.134506189539</f>
        <v>-1422.6269492307317</v>
      </c>
      <c r="P2029">
        <f>-650.063110640404 -43.9166481258353 -402.084916444147</f>
        <v>-1096.0646752103862</v>
      </c>
      <c r="Q2029" t="s">
        <v>38609</v>
      </c>
      <c r="R2029" t="s">
        <v>38610</v>
      </c>
      <c r="S2029" t="s">
        <v>38611</v>
      </c>
      <c r="T2029" t="s">
        <v>38612</v>
      </c>
      <c r="U2029" t="s">
        <v>38613</v>
      </c>
      <c r="V2029" t="s">
        <v>38614</v>
      </c>
      <c r="W2029" t="s">
        <v>38615</v>
      </c>
      <c r="X2029" t="s">
        <v>38616</v>
      </c>
      <c r="Y2029" t="s">
        <v>38617</v>
      </c>
    </row>
    <row r="2030" spans="1:25" x14ac:dyDescent="0.3">
      <c r="A2030">
        <v>101450</v>
      </c>
      <c r="B2030" t="s">
        <v>38618</v>
      </c>
      <c r="C2030" t="s">
        <v>38619</v>
      </c>
      <c r="D2030" t="s">
        <v>38620</v>
      </c>
      <c r="E2030" t="s">
        <v>38621</v>
      </c>
      <c r="F2030" t="s">
        <v>38622</v>
      </c>
      <c r="G2030" t="s">
        <v>38623</v>
      </c>
      <c r="H2030" t="s">
        <v>38624</v>
      </c>
      <c r="I2030" t="s">
        <v>38625</v>
      </c>
      <c r="J2030" t="s">
        <v>38626</v>
      </c>
      <c r="K2030" t="s">
        <v>38627</v>
      </c>
      <c r="L2030" t="s">
        <v>38628</v>
      </c>
      <c r="M2030" t="s">
        <v>38629</v>
      </c>
      <c r="N2030" t="s">
        <v>38630</v>
      </c>
      <c r="O2030">
        <f>-620.787933115102 -88.6838506491017 -713.289582741207</f>
        <v>-1422.7613665054107</v>
      </c>
      <c r="P2030">
        <f>-648.904816636064 -43.6036183579531 -401.258459118436</f>
        <v>-1093.766894112453</v>
      </c>
      <c r="Q2030" t="s">
        <v>38631</v>
      </c>
      <c r="R2030" t="s">
        <v>38632</v>
      </c>
      <c r="S2030" t="s">
        <v>38633</v>
      </c>
      <c r="T2030" t="s">
        <v>38634</v>
      </c>
      <c r="U2030" t="s">
        <v>38635</v>
      </c>
      <c r="V2030" t="s">
        <v>38636</v>
      </c>
      <c r="W2030" t="s">
        <v>38637</v>
      </c>
      <c r="X2030" t="s">
        <v>38638</v>
      </c>
      <c r="Y2030" t="s">
        <v>38639</v>
      </c>
    </row>
    <row r="2031" spans="1:25" x14ac:dyDescent="0.3">
      <c r="A2031">
        <v>101500</v>
      </c>
      <c r="B2031" t="s">
        <v>38640</v>
      </c>
      <c r="C2031" t="s">
        <v>38641</v>
      </c>
      <c r="D2031" t="s">
        <v>38642</v>
      </c>
      <c r="E2031" t="s">
        <v>38643</v>
      </c>
      <c r="F2031" t="s">
        <v>38644</v>
      </c>
      <c r="G2031" t="s">
        <v>38645</v>
      </c>
      <c r="H2031" t="s">
        <v>38646</v>
      </c>
      <c r="I2031" t="s">
        <v>38647</v>
      </c>
      <c r="J2031" t="s">
        <v>38648</v>
      </c>
      <c r="K2031" t="s">
        <v>38649</v>
      </c>
      <c r="L2031" t="s">
        <v>38650</v>
      </c>
      <c r="M2031" t="s">
        <v>38651</v>
      </c>
      <c r="N2031" t="s">
        <v>38652</v>
      </c>
      <c r="O2031">
        <f>-620.510006357634 -88.7232408022319 -713.137053460535</f>
        <v>-1422.3703006204009</v>
      </c>
      <c r="P2031">
        <f>-648.041532402123 -43.377323070385 -401.092305501413</f>
        <v>-1092.5111609739211</v>
      </c>
      <c r="Q2031" t="s">
        <v>38653</v>
      </c>
      <c r="R2031" t="s">
        <v>38654</v>
      </c>
      <c r="S2031" t="s">
        <v>38655</v>
      </c>
      <c r="T2031" t="s">
        <v>38656</v>
      </c>
      <c r="U2031" t="s">
        <v>38657</v>
      </c>
      <c r="V2031" t="s">
        <v>38658</v>
      </c>
      <c r="W2031" t="s">
        <v>38659</v>
      </c>
      <c r="X2031" t="s">
        <v>38660</v>
      </c>
      <c r="Y2031" t="s">
        <v>38661</v>
      </c>
    </row>
    <row r="2032" spans="1:25" x14ac:dyDescent="0.3">
      <c r="A2032">
        <v>101550</v>
      </c>
      <c r="B2032" t="s">
        <v>38662</v>
      </c>
      <c r="C2032" t="s">
        <v>38663</v>
      </c>
      <c r="D2032" t="s">
        <v>38664</v>
      </c>
      <c r="E2032" t="s">
        <v>38665</v>
      </c>
      <c r="F2032" t="s">
        <v>38666</v>
      </c>
      <c r="G2032" t="s">
        <v>38667</v>
      </c>
      <c r="H2032" t="s">
        <v>38668</v>
      </c>
      <c r="I2032" t="s">
        <v>38669</v>
      </c>
      <c r="J2032" t="s">
        <v>38670</v>
      </c>
      <c r="K2032" t="s">
        <v>38671</v>
      </c>
      <c r="L2032" t="s">
        <v>38672</v>
      </c>
      <c r="M2032" t="s">
        <v>38673</v>
      </c>
      <c r="N2032" t="s">
        <v>38674</v>
      </c>
      <c r="O2032">
        <f>-619.331000522639 -89.3138115936858 -712.81683921916</f>
        <v>-1421.4616513354849</v>
      </c>
      <c r="P2032">
        <f>-646.160714755223 -43.9769681605533 -400.709644157424</f>
        <v>-1090.8473270732002</v>
      </c>
      <c r="Q2032" t="s">
        <v>38675</v>
      </c>
      <c r="R2032" t="s">
        <v>38676</v>
      </c>
      <c r="S2032" t="s">
        <v>38677</v>
      </c>
      <c r="T2032" t="s">
        <v>38678</v>
      </c>
      <c r="U2032" t="s">
        <v>38679</v>
      </c>
      <c r="V2032" t="s">
        <v>38680</v>
      </c>
      <c r="W2032" t="s">
        <v>38681</v>
      </c>
      <c r="X2032" t="s">
        <v>38682</v>
      </c>
      <c r="Y2032" t="s">
        <v>38683</v>
      </c>
    </row>
    <row r="2033" spans="1:25" x14ac:dyDescent="0.3">
      <c r="A2033">
        <v>101600</v>
      </c>
      <c r="B2033" t="s">
        <v>38684</v>
      </c>
      <c r="C2033" t="s">
        <v>38685</v>
      </c>
      <c r="D2033" t="s">
        <v>38686</v>
      </c>
      <c r="E2033" t="s">
        <v>38687</v>
      </c>
      <c r="F2033" t="s">
        <v>38688</v>
      </c>
      <c r="G2033" t="s">
        <v>38689</v>
      </c>
      <c r="H2033" t="s">
        <v>38690</v>
      </c>
      <c r="I2033" t="s">
        <v>38691</v>
      </c>
      <c r="J2033" t="s">
        <v>38692</v>
      </c>
      <c r="K2033" t="s">
        <v>38693</v>
      </c>
      <c r="L2033" t="s">
        <v>38694</v>
      </c>
      <c r="M2033" t="s">
        <v>38695</v>
      </c>
      <c r="N2033" t="s">
        <v>38696</v>
      </c>
      <c r="O2033">
        <f>-618.621559087882 -89.8081688378738 -712.634437199461</f>
        <v>-1421.0641651252167</v>
      </c>
      <c r="P2033">
        <f>-645.233761011886 -44.6077561696031 -400.488748575297</f>
        <v>-1090.330265756786</v>
      </c>
      <c r="Q2033" t="s">
        <v>38697</v>
      </c>
      <c r="R2033" t="s">
        <v>38698</v>
      </c>
      <c r="S2033" t="s">
        <v>38699</v>
      </c>
      <c r="T2033" t="s">
        <v>38700</v>
      </c>
      <c r="U2033" t="s">
        <v>38701</v>
      </c>
      <c r="V2033" t="s">
        <v>38702</v>
      </c>
      <c r="W2033" t="s">
        <v>38703</v>
      </c>
      <c r="X2033" t="s">
        <v>38704</v>
      </c>
      <c r="Y2033" t="s">
        <v>38705</v>
      </c>
    </row>
    <row r="2034" spans="1:25" x14ac:dyDescent="0.3">
      <c r="A2034">
        <v>101650</v>
      </c>
      <c r="B2034" t="s">
        <v>38706</v>
      </c>
      <c r="C2034" t="s">
        <v>38707</v>
      </c>
      <c r="D2034" t="s">
        <v>38708</v>
      </c>
      <c r="E2034" t="s">
        <v>38709</v>
      </c>
      <c r="F2034" t="s">
        <v>38710</v>
      </c>
      <c r="G2034" t="s">
        <v>38711</v>
      </c>
      <c r="H2034" t="s">
        <v>38712</v>
      </c>
      <c r="I2034" t="s">
        <v>38713</v>
      </c>
      <c r="J2034" t="s">
        <v>38714</v>
      </c>
      <c r="K2034" t="s">
        <v>38715</v>
      </c>
      <c r="L2034" t="s">
        <v>38716</v>
      </c>
      <c r="M2034" t="s">
        <v>38717</v>
      </c>
      <c r="N2034" t="s">
        <v>38718</v>
      </c>
      <c r="O2034">
        <f>-617.112354413449 -90.7758025265098 -712.613334021888</f>
        <v>-1420.5014909618467</v>
      </c>
      <c r="P2034">
        <f>-643.24604295093 -45.1666921243766 -400.486645641356</f>
        <v>-1088.8993807166626</v>
      </c>
      <c r="Q2034" t="s">
        <v>38719</v>
      </c>
      <c r="R2034" t="s">
        <v>38720</v>
      </c>
      <c r="S2034" t="s">
        <v>38721</v>
      </c>
      <c r="T2034" t="s">
        <v>38722</v>
      </c>
      <c r="U2034" t="s">
        <v>38723</v>
      </c>
      <c r="V2034" t="s">
        <v>38724</v>
      </c>
      <c r="W2034" t="s">
        <v>38725</v>
      </c>
      <c r="X2034" t="s">
        <v>38726</v>
      </c>
      <c r="Y2034" t="s">
        <v>38727</v>
      </c>
    </row>
    <row r="2035" spans="1:25" x14ac:dyDescent="0.3">
      <c r="A2035">
        <v>101700</v>
      </c>
      <c r="B2035" t="s">
        <v>38728</v>
      </c>
      <c r="C2035" t="s">
        <v>38729</v>
      </c>
      <c r="D2035" t="s">
        <v>38730</v>
      </c>
      <c r="E2035" t="s">
        <v>38731</v>
      </c>
      <c r="F2035" t="s">
        <v>38732</v>
      </c>
      <c r="G2035" t="s">
        <v>38733</v>
      </c>
      <c r="H2035" t="s">
        <v>38734</v>
      </c>
      <c r="I2035" t="s">
        <v>38735</v>
      </c>
      <c r="J2035" t="s">
        <v>38736</v>
      </c>
      <c r="K2035" t="s">
        <v>38737</v>
      </c>
      <c r="L2035" t="s">
        <v>38738</v>
      </c>
      <c r="M2035" t="s">
        <v>38739</v>
      </c>
      <c r="N2035" t="s">
        <v>38740</v>
      </c>
      <c r="O2035">
        <f>-616.184045857541 -91.3049139889592 -712.577262218162</f>
        <v>-1420.0662220646623</v>
      </c>
      <c r="P2035">
        <f>-642.307456968813 -45.8240702608346 -400.430940684019</f>
        <v>-1088.5624679136665</v>
      </c>
      <c r="Q2035" t="s">
        <v>38741</v>
      </c>
      <c r="R2035" t="s">
        <v>38742</v>
      </c>
      <c r="S2035" t="s">
        <v>38743</v>
      </c>
      <c r="T2035" t="s">
        <v>38744</v>
      </c>
      <c r="U2035" t="s">
        <v>38745</v>
      </c>
      <c r="V2035" t="s">
        <v>38746</v>
      </c>
      <c r="W2035" t="s">
        <v>38747</v>
      </c>
      <c r="X2035" t="s">
        <v>38748</v>
      </c>
      <c r="Y2035" t="s">
        <v>38749</v>
      </c>
    </row>
    <row r="2036" spans="1:25" x14ac:dyDescent="0.3">
      <c r="A2036">
        <v>101750</v>
      </c>
      <c r="B2036" t="s">
        <v>38750</v>
      </c>
      <c r="C2036" t="s">
        <v>38751</v>
      </c>
      <c r="D2036" t="s">
        <v>38752</v>
      </c>
      <c r="E2036" t="s">
        <v>38753</v>
      </c>
      <c r="F2036" t="s">
        <v>38754</v>
      </c>
      <c r="G2036" t="s">
        <v>38755</v>
      </c>
      <c r="H2036" t="s">
        <v>38756</v>
      </c>
      <c r="I2036" t="s">
        <v>38757</v>
      </c>
      <c r="J2036" t="s">
        <v>38758</v>
      </c>
      <c r="K2036" t="s">
        <v>38759</v>
      </c>
      <c r="L2036" t="s">
        <v>38760</v>
      </c>
      <c r="M2036" t="s">
        <v>38761</v>
      </c>
      <c r="N2036" t="s">
        <v>38762</v>
      </c>
      <c r="O2036">
        <f>-614.175316741013 -92.0294282588957 -712.674483504203</f>
        <v>-1418.8792285041118</v>
      </c>
      <c r="P2036">
        <f>-640.501743905865 -47.096922533015 -400.465895989645</f>
        <v>-1088.0645624285251</v>
      </c>
      <c r="Q2036" t="s">
        <v>38763</v>
      </c>
      <c r="R2036" t="s">
        <v>38764</v>
      </c>
      <c r="S2036" t="s">
        <v>38765</v>
      </c>
      <c r="T2036" t="s">
        <v>38766</v>
      </c>
      <c r="U2036" t="s">
        <v>38767</v>
      </c>
      <c r="V2036" t="s">
        <v>38768</v>
      </c>
      <c r="W2036" t="s">
        <v>38769</v>
      </c>
      <c r="X2036" t="s">
        <v>38770</v>
      </c>
      <c r="Y2036" t="s">
        <v>38771</v>
      </c>
    </row>
    <row r="2037" spans="1:25" x14ac:dyDescent="0.3">
      <c r="A2037">
        <v>101800</v>
      </c>
      <c r="B2037" t="s">
        <v>38772</v>
      </c>
      <c r="C2037" t="s">
        <v>38773</v>
      </c>
      <c r="D2037" t="s">
        <v>38774</v>
      </c>
      <c r="E2037" t="s">
        <v>38775</v>
      </c>
      <c r="F2037" t="s">
        <v>38776</v>
      </c>
      <c r="G2037" t="s">
        <v>38777</v>
      </c>
      <c r="H2037" t="s">
        <v>38778</v>
      </c>
      <c r="I2037" t="s">
        <v>38779</v>
      </c>
      <c r="J2037" t="s">
        <v>38780</v>
      </c>
      <c r="K2037" t="s">
        <v>38781</v>
      </c>
      <c r="L2037" t="s">
        <v>38782</v>
      </c>
      <c r="M2037" t="s">
        <v>38783</v>
      </c>
      <c r="N2037" t="s">
        <v>38784</v>
      </c>
      <c r="O2037">
        <f>-613.448550581726 -91.9537603698927 -712.808389886632</f>
        <v>-1418.2107008382507</v>
      </c>
      <c r="P2037">
        <f>-639.591338017962 -47.3908663247819 -400.531584880579</f>
        <v>-1087.5137892233229</v>
      </c>
      <c r="Q2037" t="s">
        <v>38785</v>
      </c>
      <c r="R2037" t="s">
        <v>38786</v>
      </c>
      <c r="S2037" t="s">
        <v>38787</v>
      </c>
      <c r="T2037" t="s">
        <v>38788</v>
      </c>
      <c r="U2037" t="s">
        <v>38789</v>
      </c>
      <c r="V2037" t="s">
        <v>38790</v>
      </c>
      <c r="W2037" t="s">
        <v>38791</v>
      </c>
      <c r="X2037" t="s">
        <v>38792</v>
      </c>
      <c r="Y2037" t="s">
        <v>38793</v>
      </c>
    </row>
    <row r="2038" spans="1:25" x14ac:dyDescent="0.3">
      <c r="A2038">
        <v>101850</v>
      </c>
      <c r="B2038" t="s">
        <v>38794</v>
      </c>
      <c r="C2038" t="s">
        <v>38795</v>
      </c>
      <c r="D2038" t="s">
        <v>38796</v>
      </c>
      <c r="E2038" t="s">
        <v>38797</v>
      </c>
      <c r="F2038" t="s">
        <v>38798</v>
      </c>
      <c r="G2038" t="s">
        <v>38799</v>
      </c>
      <c r="H2038" t="s">
        <v>38800</v>
      </c>
      <c r="I2038" t="s">
        <v>38801</v>
      </c>
      <c r="J2038" t="s">
        <v>38802</v>
      </c>
      <c r="K2038" t="s">
        <v>38803</v>
      </c>
      <c r="L2038" t="s">
        <v>38804</v>
      </c>
      <c r="M2038" t="s">
        <v>38805</v>
      </c>
      <c r="N2038" t="s">
        <v>38806</v>
      </c>
      <c r="O2038">
        <f>-612.325514327524 -91.6907031232975 -712.894128784085</f>
        <v>-1416.9103462349065</v>
      </c>
      <c r="P2038">
        <f>-637.577671376003 -47.2526545231842 -400.526148047071</f>
        <v>-1085.3564739462581</v>
      </c>
      <c r="Q2038" t="s">
        <v>38807</v>
      </c>
      <c r="R2038" t="s">
        <v>38808</v>
      </c>
      <c r="S2038" t="s">
        <v>38809</v>
      </c>
      <c r="T2038" t="s">
        <v>38810</v>
      </c>
      <c r="U2038" t="s">
        <v>38811</v>
      </c>
      <c r="V2038" t="s">
        <v>38812</v>
      </c>
      <c r="W2038" t="s">
        <v>38813</v>
      </c>
      <c r="X2038" t="s">
        <v>38814</v>
      </c>
      <c r="Y2038" t="s">
        <v>38815</v>
      </c>
    </row>
    <row r="2039" spans="1:25" x14ac:dyDescent="0.3">
      <c r="A2039">
        <v>101900</v>
      </c>
      <c r="B2039" t="s">
        <v>38816</v>
      </c>
      <c r="C2039" t="s">
        <v>38817</v>
      </c>
      <c r="D2039" t="s">
        <v>38818</v>
      </c>
      <c r="E2039" t="s">
        <v>38819</v>
      </c>
      <c r="F2039" t="s">
        <v>38820</v>
      </c>
      <c r="G2039" t="s">
        <v>38821</v>
      </c>
      <c r="H2039" t="s">
        <v>38822</v>
      </c>
      <c r="I2039" t="s">
        <v>38823</v>
      </c>
      <c r="J2039" t="s">
        <v>38824</v>
      </c>
      <c r="K2039" t="s">
        <v>38825</v>
      </c>
      <c r="L2039" t="s">
        <v>38826</v>
      </c>
      <c r="M2039" t="s">
        <v>38827</v>
      </c>
      <c r="N2039" t="s">
        <v>38828</v>
      </c>
      <c r="O2039">
        <f>-612.196573577389 -91.6703109128266 -712.899865199213</f>
        <v>-1416.7667496894287</v>
      </c>
      <c r="P2039">
        <f>-636.49105055766 -47.7185303407946 -400.387188744631</f>
        <v>-1084.5967696430855</v>
      </c>
      <c r="Q2039" t="s">
        <v>38829</v>
      </c>
      <c r="R2039" t="s">
        <v>38830</v>
      </c>
      <c r="S2039" t="s">
        <v>38831</v>
      </c>
      <c r="T2039" t="s">
        <v>38832</v>
      </c>
      <c r="U2039" t="s">
        <v>38833</v>
      </c>
      <c r="V2039" t="s">
        <v>38834</v>
      </c>
      <c r="W2039" t="s">
        <v>38835</v>
      </c>
      <c r="X2039" t="s">
        <v>38836</v>
      </c>
      <c r="Y2039" t="s">
        <v>38837</v>
      </c>
    </row>
    <row r="2040" spans="1:25" x14ac:dyDescent="0.3">
      <c r="A2040">
        <v>101950</v>
      </c>
      <c r="B2040" t="s">
        <v>38838</v>
      </c>
      <c r="C2040" t="s">
        <v>38839</v>
      </c>
      <c r="D2040" t="s">
        <v>38840</v>
      </c>
      <c r="E2040" t="s">
        <v>38841</v>
      </c>
      <c r="F2040" t="s">
        <v>38842</v>
      </c>
      <c r="G2040" t="s">
        <v>38843</v>
      </c>
      <c r="H2040" t="s">
        <v>38844</v>
      </c>
      <c r="I2040" t="s">
        <v>38845</v>
      </c>
      <c r="J2040" t="s">
        <v>38846</v>
      </c>
      <c r="K2040" t="s">
        <v>38847</v>
      </c>
      <c r="L2040" t="s">
        <v>38848</v>
      </c>
      <c r="M2040" t="s">
        <v>38849</v>
      </c>
      <c r="N2040" t="s">
        <v>38850</v>
      </c>
      <c r="O2040">
        <f>-611.903293261018 -91.7957592231778 -712.723412388424</f>
        <v>-1416.4224648726199</v>
      </c>
      <c r="P2040">
        <f>-634.990393004474 -47.5510845987583 -400.16037505065</f>
        <v>-1082.7018526538823</v>
      </c>
      <c r="Q2040" t="s">
        <v>38851</v>
      </c>
      <c r="R2040" t="s">
        <v>38852</v>
      </c>
      <c r="S2040" t="s">
        <v>38853</v>
      </c>
      <c r="T2040" t="s">
        <v>38854</v>
      </c>
      <c r="U2040" t="s">
        <v>38855</v>
      </c>
      <c r="V2040" t="s">
        <v>38856</v>
      </c>
      <c r="W2040" t="s">
        <v>38857</v>
      </c>
      <c r="X2040" t="s">
        <v>38858</v>
      </c>
      <c r="Y2040" t="s">
        <v>38859</v>
      </c>
    </row>
    <row r="2041" spans="1:25" x14ac:dyDescent="0.3">
      <c r="A2041">
        <v>102000</v>
      </c>
      <c r="B2041" t="s">
        <v>38860</v>
      </c>
      <c r="C2041" t="s">
        <v>38861</v>
      </c>
      <c r="D2041" t="s">
        <v>38862</v>
      </c>
      <c r="E2041" t="s">
        <v>38863</v>
      </c>
      <c r="F2041" t="s">
        <v>38864</v>
      </c>
      <c r="G2041" t="s">
        <v>38865</v>
      </c>
      <c r="H2041" t="s">
        <v>38866</v>
      </c>
      <c r="I2041" t="s">
        <v>38867</v>
      </c>
      <c r="J2041" t="s">
        <v>38868</v>
      </c>
      <c r="K2041" t="s">
        <v>38869</v>
      </c>
      <c r="L2041" t="s">
        <v>38870</v>
      </c>
      <c r="M2041" t="s">
        <v>38871</v>
      </c>
      <c r="N2041" t="s">
        <v>38872</v>
      </c>
      <c r="O2041">
        <f>-611.955378613925 -91.6179087157368 -712.609251113491</f>
        <v>-1416.1825384431527</v>
      </c>
      <c r="P2041">
        <f>-634.645594382623 -47.6299868808744 -399.980994012706</f>
        <v>-1082.2565752762034</v>
      </c>
      <c r="Q2041" t="s">
        <v>38873</v>
      </c>
      <c r="R2041" t="s">
        <v>38874</v>
      </c>
      <c r="S2041" t="s">
        <v>38875</v>
      </c>
      <c r="T2041" t="s">
        <v>38876</v>
      </c>
      <c r="U2041" t="s">
        <v>38877</v>
      </c>
      <c r="V2041" t="s">
        <v>38878</v>
      </c>
      <c r="W2041" t="s">
        <v>38879</v>
      </c>
      <c r="X2041" t="s">
        <v>38880</v>
      </c>
      <c r="Y2041" t="s">
        <v>38881</v>
      </c>
    </row>
    <row r="2042" spans="1:25" x14ac:dyDescent="0.3">
      <c r="A2042">
        <v>102050</v>
      </c>
      <c r="B2042" t="s">
        <v>38882</v>
      </c>
      <c r="C2042" t="s">
        <v>38883</v>
      </c>
      <c r="D2042" t="s">
        <v>38884</v>
      </c>
      <c r="E2042" t="s">
        <v>38885</v>
      </c>
      <c r="F2042" t="s">
        <v>38886</v>
      </c>
      <c r="G2042" t="s">
        <v>38887</v>
      </c>
      <c r="H2042" t="s">
        <v>38888</v>
      </c>
      <c r="I2042" t="s">
        <v>38889</v>
      </c>
      <c r="J2042" t="s">
        <v>38890</v>
      </c>
      <c r="K2042" t="s">
        <v>38891</v>
      </c>
      <c r="L2042" t="s">
        <v>38892</v>
      </c>
      <c r="M2042" t="s">
        <v>38893</v>
      </c>
      <c r="N2042" t="s">
        <v>38894</v>
      </c>
      <c r="O2042">
        <f>-612.272393258748 -91.2908404630825 -712.353732019272</f>
        <v>-1415.9169657411026</v>
      </c>
      <c r="P2042">
        <f>-635.298772294123 -47.4294984032313 -399.732386695696</f>
        <v>-1082.4606573930503</v>
      </c>
      <c r="Q2042" t="s">
        <v>38895</v>
      </c>
      <c r="R2042" t="s">
        <v>38896</v>
      </c>
      <c r="S2042" t="s">
        <v>38897</v>
      </c>
      <c r="T2042" t="s">
        <v>38898</v>
      </c>
      <c r="U2042" t="s">
        <v>38899</v>
      </c>
      <c r="V2042" t="s">
        <v>38900</v>
      </c>
      <c r="W2042" t="s">
        <v>38901</v>
      </c>
      <c r="X2042" t="s">
        <v>38902</v>
      </c>
      <c r="Y2042" t="s">
        <v>38903</v>
      </c>
    </row>
    <row r="2043" spans="1:25" x14ac:dyDescent="0.3">
      <c r="A2043">
        <v>102100</v>
      </c>
      <c r="B2043" t="s">
        <v>38904</v>
      </c>
      <c r="C2043" t="s">
        <v>38905</v>
      </c>
      <c r="D2043" t="s">
        <v>38906</v>
      </c>
      <c r="E2043" t="s">
        <v>38907</v>
      </c>
      <c r="F2043" t="s">
        <v>38908</v>
      </c>
      <c r="G2043" t="s">
        <v>38909</v>
      </c>
      <c r="H2043" t="s">
        <v>38910</v>
      </c>
      <c r="I2043" t="s">
        <v>38911</v>
      </c>
      <c r="J2043" t="s">
        <v>38912</v>
      </c>
      <c r="K2043" t="s">
        <v>38913</v>
      </c>
      <c r="L2043" t="s">
        <v>38914</v>
      </c>
      <c r="M2043" t="s">
        <v>38915</v>
      </c>
      <c r="N2043" t="s">
        <v>38916</v>
      </c>
      <c r="O2043">
        <f>-612.302050626555 -91.1849964125447 -712.110306380405</f>
        <v>-1415.5973534195045</v>
      </c>
      <c r="P2043">
        <f>-635.555504140645 -47.3522453638814 -399.501710244996</f>
        <v>-1082.4094597495223</v>
      </c>
      <c r="Q2043" t="s">
        <v>38917</v>
      </c>
      <c r="R2043" t="s">
        <v>38918</v>
      </c>
      <c r="S2043" t="s">
        <v>38919</v>
      </c>
      <c r="T2043" t="s">
        <v>38920</v>
      </c>
      <c r="U2043" t="s">
        <v>38921</v>
      </c>
      <c r="V2043" t="s">
        <v>38922</v>
      </c>
      <c r="W2043" t="s">
        <v>38923</v>
      </c>
      <c r="X2043" t="s">
        <v>38924</v>
      </c>
      <c r="Y2043" t="s">
        <v>38925</v>
      </c>
    </row>
    <row r="2044" spans="1:25" x14ac:dyDescent="0.3">
      <c r="A2044">
        <v>102150</v>
      </c>
      <c r="B2044" t="s">
        <v>38926</v>
      </c>
      <c r="C2044" t="s">
        <v>38927</v>
      </c>
      <c r="D2044" t="s">
        <v>38928</v>
      </c>
      <c r="E2044" t="s">
        <v>38929</v>
      </c>
      <c r="F2044" t="s">
        <v>38930</v>
      </c>
      <c r="G2044" t="s">
        <v>38931</v>
      </c>
      <c r="H2044" t="s">
        <v>38932</v>
      </c>
      <c r="I2044" t="s">
        <v>38933</v>
      </c>
      <c r="J2044" t="s">
        <v>38934</v>
      </c>
      <c r="K2044" t="s">
        <v>38935</v>
      </c>
      <c r="L2044" t="s">
        <v>38936</v>
      </c>
      <c r="M2044" t="s">
        <v>38937</v>
      </c>
      <c r="N2044" t="s">
        <v>38938</v>
      </c>
      <c r="O2044">
        <f>-613.846630206887 -90.8089340259262 -711.493218906073</f>
        <v>-1416.1487831388863</v>
      </c>
      <c r="P2044">
        <f>-636.087438572548 -44.9643995096378 -399.099486469824</f>
        <v>-1080.1513245520098</v>
      </c>
      <c r="Q2044" t="s">
        <v>38939</v>
      </c>
      <c r="R2044" t="s">
        <v>38940</v>
      </c>
      <c r="S2044" t="s">
        <v>38941</v>
      </c>
      <c r="T2044" t="s">
        <v>38942</v>
      </c>
      <c r="U2044" t="s">
        <v>38943</v>
      </c>
      <c r="V2044" t="s">
        <v>38944</v>
      </c>
      <c r="W2044" t="s">
        <v>38945</v>
      </c>
      <c r="X2044" t="s">
        <v>38946</v>
      </c>
      <c r="Y2044" t="s">
        <v>38947</v>
      </c>
    </row>
    <row r="2045" spans="1:25" x14ac:dyDescent="0.3">
      <c r="A2045">
        <v>102200</v>
      </c>
      <c r="B2045" t="s">
        <v>38948</v>
      </c>
      <c r="C2045" t="s">
        <v>38949</v>
      </c>
      <c r="D2045" t="s">
        <v>38950</v>
      </c>
      <c r="E2045" t="s">
        <v>38951</v>
      </c>
      <c r="F2045" t="s">
        <v>38952</v>
      </c>
      <c r="G2045" t="s">
        <v>38953</v>
      </c>
      <c r="H2045" t="s">
        <v>38954</v>
      </c>
      <c r="I2045" t="s">
        <v>38955</v>
      </c>
      <c r="J2045" t="s">
        <v>38956</v>
      </c>
      <c r="K2045" t="s">
        <v>38957</v>
      </c>
      <c r="L2045" t="s">
        <v>38958</v>
      </c>
      <c r="M2045" t="s">
        <v>38959</v>
      </c>
      <c r="N2045" t="s">
        <v>38960</v>
      </c>
      <c r="O2045">
        <f>-614.4225932949 -90.5408554774021 -711.203874841403</f>
        <v>-1416.1673236137053</v>
      </c>
      <c r="P2045">
        <f>-636.059178850345 -43.2731874178708 -398.979870116261</f>
        <v>-1078.3122363844768</v>
      </c>
      <c r="Q2045" t="s">
        <v>38961</v>
      </c>
      <c r="R2045" t="s">
        <v>38962</v>
      </c>
      <c r="S2045" t="s">
        <v>38963</v>
      </c>
      <c r="T2045" t="s">
        <v>38964</v>
      </c>
      <c r="U2045" t="s">
        <v>38965</v>
      </c>
      <c r="V2045" t="s">
        <v>38966</v>
      </c>
      <c r="W2045" t="s">
        <v>38967</v>
      </c>
      <c r="X2045" t="s">
        <v>38968</v>
      </c>
      <c r="Y2045" t="s">
        <v>38969</v>
      </c>
    </row>
    <row r="2046" spans="1:25" x14ac:dyDescent="0.3">
      <c r="A2046">
        <v>102250</v>
      </c>
      <c r="B2046" t="s">
        <v>38970</v>
      </c>
      <c r="C2046" t="s">
        <v>38971</v>
      </c>
      <c r="D2046" t="s">
        <v>38972</v>
      </c>
      <c r="E2046" t="s">
        <v>38973</v>
      </c>
      <c r="F2046" t="s">
        <v>38974</v>
      </c>
      <c r="G2046" t="s">
        <v>38975</v>
      </c>
      <c r="H2046" t="s">
        <v>38976</v>
      </c>
      <c r="I2046" t="s">
        <v>38977</v>
      </c>
      <c r="J2046" t="s">
        <v>38978</v>
      </c>
      <c r="K2046" t="s">
        <v>38979</v>
      </c>
      <c r="L2046" t="s">
        <v>38980</v>
      </c>
      <c r="M2046" t="s">
        <v>38981</v>
      </c>
      <c r="N2046" t="s">
        <v>38982</v>
      </c>
      <c r="O2046">
        <f>-615.356358197559 -89.9448988337786 -710.456984784793</f>
        <v>-1415.7582418161305</v>
      </c>
      <c r="P2046">
        <f>-636.220080128654 -40.9027006251854 -398.454321937221</f>
        <v>-1075.5771026910604</v>
      </c>
      <c r="Q2046" t="s">
        <v>38983</v>
      </c>
      <c r="R2046" t="s">
        <v>38984</v>
      </c>
      <c r="S2046" t="s">
        <v>38985</v>
      </c>
      <c r="T2046" t="s">
        <v>38986</v>
      </c>
      <c r="U2046" t="s">
        <v>38987</v>
      </c>
      <c r="V2046" t="s">
        <v>38988</v>
      </c>
      <c r="W2046" t="s">
        <v>38989</v>
      </c>
      <c r="X2046" t="s">
        <v>38990</v>
      </c>
      <c r="Y2046" t="s">
        <v>38991</v>
      </c>
    </row>
    <row r="2047" spans="1:25" x14ac:dyDescent="0.3">
      <c r="A2047">
        <v>102300</v>
      </c>
      <c r="B2047" t="s">
        <v>38992</v>
      </c>
      <c r="C2047" t="s">
        <v>38993</v>
      </c>
      <c r="D2047" t="s">
        <v>38994</v>
      </c>
      <c r="E2047" t="s">
        <v>38995</v>
      </c>
      <c r="F2047" t="s">
        <v>38996</v>
      </c>
      <c r="G2047" t="s">
        <v>38997</v>
      </c>
      <c r="H2047" t="s">
        <v>38998</v>
      </c>
      <c r="I2047" t="s">
        <v>38999</v>
      </c>
      <c r="J2047" t="s">
        <v>39000</v>
      </c>
      <c r="K2047" t="s">
        <v>39001</v>
      </c>
      <c r="L2047" t="s">
        <v>39002</v>
      </c>
      <c r="M2047" t="s">
        <v>39003</v>
      </c>
      <c r="N2047" t="s">
        <v>39004</v>
      </c>
      <c r="O2047">
        <f>-615.823494535692 -89.8163828283737 -710.047443563083</f>
        <v>-1415.6873209271487</v>
      </c>
      <c r="P2047">
        <f>-636.831250247915 -40.5982250194652 -398.081919539477</f>
        <v>-1075.5113948068572</v>
      </c>
      <c r="Q2047" t="s">
        <v>39005</v>
      </c>
      <c r="R2047" t="s">
        <v>39006</v>
      </c>
      <c r="S2047" t="s">
        <v>39007</v>
      </c>
      <c r="T2047" t="s">
        <v>39008</v>
      </c>
      <c r="U2047" t="s">
        <v>39009</v>
      </c>
      <c r="V2047" t="s">
        <v>39010</v>
      </c>
      <c r="W2047" t="s">
        <v>39011</v>
      </c>
      <c r="X2047" t="s">
        <v>39012</v>
      </c>
      <c r="Y2047" t="s">
        <v>39013</v>
      </c>
    </row>
    <row r="2048" spans="1:25" x14ac:dyDescent="0.3">
      <c r="A2048">
        <v>102350</v>
      </c>
      <c r="B2048" t="s">
        <v>39014</v>
      </c>
      <c r="C2048" t="s">
        <v>39015</v>
      </c>
      <c r="D2048" t="s">
        <v>39016</v>
      </c>
      <c r="E2048" t="s">
        <v>39017</v>
      </c>
      <c r="F2048" t="s">
        <v>39018</v>
      </c>
      <c r="G2048" t="s">
        <v>39019</v>
      </c>
      <c r="H2048" t="s">
        <v>39020</v>
      </c>
      <c r="I2048" t="s">
        <v>39021</v>
      </c>
      <c r="J2048" t="s">
        <v>39022</v>
      </c>
      <c r="K2048" t="s">
        <v>39023</v>
      </c>
      <c r="L2048" t="s">
        <v>39024</v>
      </c>
      <c r="M2048" t="s">
        <v>39025</v>
      </c>
      <c r="N2048" t="s">
        <v>39026</v>
      </c>
      <c r="O2048">
        <f>-616.007690274743 -89.0585186862252 -709.641526698042</f>
        <v>-1414.7077356590103</v>
      </c>
      <c r="P2048">
        <f>-638.498395982649 -40.9996763002885 -397.598815628018</f>
        <v>-1077.0968879109555</v>
      </c>
      <c r="Q2048" t="s">
        <v>39027</v>
      </c>
      <c r="R2048" t="s">
        <v>39028</v>
      </c>
      <c r="S2048" t="s">
        <v>39029</v>
      </c>
      <c r="T2048" t="s">
        <v>39030</v>
      </c>
      <c r="U2048" t="s">
        <v>39031</v>
      </c>
      <c r="V2048" t="s">
        <v>39032</v>
      </c>
      <c r="W2048" t="s">
        <v>39033</v>
      </c>
      <c r="X2048" t="s">
        <v>39034</v>
      </c>
      <c r="Y2048" t="s">
        <v>39035</v>
      </c>
    </row>
    <row r="2049" spans="1:25" x14ac:dyDescent="0.3">
      <c r="A2049">
        <v>102400</v>
      </c>
      <c r="B2049" t="s">
        <v>39036</v>
      </c>
      <c r="C2049" t="s">
        <v>39037</v>
      </c>
      <c r="D2049" t="s">
        <v>39038</v>
      </c>
      <c r="E2049" t="s">
        <v>39039</v>
      </c>
      <c r="F2049" t="s">
        <v>39040</v>
      </c>
      <c r="G2049" t="s">
        <v>39041</v>
      </c>
      <c r="H2049" t="s">
        <v>39042</v>
      </c>
      <c r="I2049" t="s">
        <v>39043</v>
      </c>
      <c r="J2049" t="s">
        <v>39044</v>
      </c>
      <c r="K2049" t="s">
        <v>39045</v>
      </c>
      <c r="L2049" t="s">
        <v>39046</v>
      </c>
      <c r="M2049" t="s">
        <v>39047</v>
      </c>
      <c r="N2049" t="s">
        <v>39048</v>
      </c>
      <c r="O2049">
        <f>-616.709487385747 -88.4178703286718 -709.574485575621</f>
        <v>-1414.70184329004</v>
      </c>
      <c r="P2049">
        <f>-638.946536588658 -41.1440488205324 -397.393427946836</f>
        <v>-1077.4840133560265</v>
      </c>
      <c r="Q2049" t="s">
        <v>39049</v>
      </c>
      <c r="R2049" t="s">
        <v>39050</v>
      </c>
      <c r="S2049" t="s">
        <v>39051</v>
      </c>
      <c r="T2049" t="s">
        <v>39052</v>
      </c>
      <c r="U2049" t="s">
        <v>39053</v>
      </c>
      <c r="V2049" t="s">
        <v>39054</v>
      </c>
      <c r="W2049" t="s">
        <v>39055</v>
      </c>
      <c r="X2049" t="s">
        <v>39056</v>
      </c>
      <c r="Y2049" t="s">
        <v>39057</v>
      </c>
    </row>
    <row r="2050" spans="1:25" x14ac:dyDescent="0.3">
      <c r="A2050">
        <v>102450</v>
      </c>
      <c r="B2050" t="s">
        <v>39058</v>
      </c>
      <c r="C2050" t="s">
        <v>39059</v>
      </c>
      <c r="D2050" t="s">
        <v>39060</v>
      </c>
      <c r="E2050" t="s">
        <v>39061</v>
      </c>
      <c r="F2050" t="s">
        <v>39062</v>
      </c>
      <c r="G2050" t="s">
        <v>39063</v>
      </c>
      <c r="H2050" t="s">
        <v>39064</v>
      </c>
      <c r="I2050" t="s">
        <v>39065</v>
      </c>
      <c r="J2050" t="s">
        <v>39066</v>
      </c>
      <c r="K2050" t="s">
        <v>39067</v>
      </c>
      <c r="L2050" t="s">
        <v>39068</v>
      </c>
      <c r="M2050" t="s">
        <v>39069</v>
      </c>
      <c r="N2050" t="s">
        <v>39070</v>
      </c>
      <c r="O2050">
        <f>-617.68788042481 -87.6724940034144 -709.386707668907</f>
        <v>-1414.7470820971314</v>
      </c>
      <c r="P2050">
        <f>-638.95926893836 -41.271593047187 -397.007686745951</f>
        <v>-1077.238548731498</v>
      </c>
      <c r="Q2050" t="s">
        <v>39071</v>
      </c>
      <c r="R2050" t="s">
        <v>39072</v>
      </c>
      <c r="S2050" t="s">
        <v>39073</v>
      </c>
      <c r="T2050" t="s">
        <v>39074</v>
      </c>
      <c r="U2050" t="s">
        <v>39075</v>
      </c>
      <c r="V2050" t="s">
        <v>39076</v>
      </c>
      <c r="W2050" t="s">
        <v>39077</v>
      </c>
      <c r="X2050" t="s">
        <v>39078</v>
      </c>
      <c r="Y2050" t="s">
        <v>39079</v>
      </c>
    </row>
    <row r="2051" spans="1:25" x14ac:dyDescent="0.3">
      <c r="A2051">
        <v>102500</v>
      </c>
      <c r="B2051" t="s">
        <v>39080</v>
      </c>
      <c r="C2051" t="s">
        <v>39081</v>
      </c>
      <c r="D2051" t="s">
        <v>39082</v>
      </c>
      <c r="E2051" t="s">
        <v>39083</v>
      </c>
      <c r="F2051" t="s">
        <v>39084</v>
      </c>
      <c r="G2051" t="s">
        <v>39085</v>
      </c>
      <c r="H2051" t="s">
        <v>39086</v>
      </c>
      <c r="I2051" t="s">
        <v>39087</v>
      </c>
      <c r="J2051" t="s">
        <v>39088</v>
      </c>
      <c r="K2051" t="s">
        <v>39089</v>
      </c>
      <c r="L2051" t="s">
        <v>39090</v>
      </c>
      <c r="M2051" t="s">
        <v>39091</v>
      </c>
      <c r="N2051" t="s">
        <v>39092</v>
      </c>
      <c r="O2051">
        <f>-618.309178602748 -87.2458482602715 -709.509079522399</f>
        <v>-1415.0641063854187</v>
      </c>
      <c r="P2051">
        <f>-638.028716483439 -41.2214638903531 -396.972638325543</f>
        <v>-1076.2228186993352</v>
      </c>
      <c r="Q2051" t="s">
        <v>39093</v>
      </c>
      <c r="R2051" t="s">
        <v>39094</v>
      </c>
      <c r="S2051" t="s">
        <v>39095</v>
      </c>
      <c r="T2051" t="s">
        <v>39096</v>
      </c>
      <c r="U2051" t="s">
        <v>39097</v>
      </c>
      <c r="V2051" t="s">
        <v>39098</v>
      </c>
      <c r="W2051" t="s">
        <v>39099</v>
      </c>
      <c r="X2051" t="s">
        <v>39100</v>
      </c>
      <c r="Y2051" t="s">
        <v>39101</v>
      </c>
    </row>
    <row r="2052" spans="1:25" x14ac:dyDescent="0.3">
      <c r="A2052">
        <v>102550</v>
      </c>
      <c r="B2052" t="s">
        <v>39102</v>
      </c>
      <c r="C2052" t="s">
        <v>39103</v>
      </c>
      <c r="D2052" t="s">
        <v>39104</v>
      </c>
      <c r="E2052" t="s">
        <v>39105</v>
      </c>
      <c r="F2052" t="s">
        <v>39106</v>
      </c>
      <c r="G2052" t="s">
        <v>39107</v>
      </c>
      <c r="H2052" t="s">
        <v>39108</v>
      </c>
      <c r="I2052" t="s">
        <v>39109</v>
      </c>
      <c r="J2052" t="s">
        <v>39110</v>
      </c>
      <c r="K2052" t="s">
        <v>39111</v>
      </c>
      <c r="L2052" t="s">
        <v>39112</v>
      </c>
      <c r="M2052" t="s">
        <v>39113</v>
      </c>
      <c r="N2052" t="s">
        <v>39114</v>
      </c>
      <c r="O2052">
        <f>-619.258558926187 -85.8550898289218 -710.027416691246</f>
        <v>-1415.1410654463548</v>
      </c>
      <c r="P2052">
        <f>-637.773729786522 -42.1986504087479 -397.077796993654</f>
        <v>-1077.050177188924</v>
      </c>
      <c r="Q2052" t="s">
        <v>39115</v>
      </c>
      <c r="R2052" t="s">
        <v>39116</v>
      </c>
      <c r="S2052" t="s">
        <v>39117</v>
      </c>
      <c r="T2052" t="s">
        <v>39118</v>
      </c>
      <c r="U2052" t="s">
        <v>39119</v>
      </c>
      <c r="V2052" t="s">
        <v>39120</v>
      </c>
      <c r="W2052" t="s">
        <v>39121</v>
      </c>
      <c r="X2052" t="s">
        <v>39122</v>
      </c>
      <c r="Y2052" t="s">
        <v>39123</v>
      </c>
    </row>
    <row r="2053" spans="1:25" x14ac:dyDescent="0.3">
      <c r="A2053">
        <v>102600</v>
      </c>
      <c r="B2053" t="s">
        <v>39124</v>
      </c>
      <c r="C2053" t="s">
        <v>39125</v>
      </c>
      <c r="D2053" t="s">
        <v>39126</v>
      </c>
      <c r="E2053" t="s">
        <v>39127</v>
      </c>
      <c r="F2053" t="s">
        <v>39128</v>
      </c>
      <c r="G2053" t="s">
        <v>39129</v>
      </c>
      <c r="H2053" t="s">
        <v>39130</v>
      </c>
      <c r="I2053" t="s">
        <v>39131</v>
      </c>
      <c r="J2053" t="s">
        <v>39132</v>
      </c>
      <c r="K2053" t="s">
        <v>39133</v>
      </c>
      <c r="L2053" t="s">
        <v>39134</v>
      </c>
      <c r="M2053" t="s">
        <v>39135</v>
      </c>
      <c r="N2053" t="s">
        <v>39136</v>
      </c>
      <c r="O2053">
        <f>-619.198302150225 -85.4549465800947 -710.164526279491</f>
        <v>-1414.8177750098107</v>
      </c>
      <c r="P2053">
        <f>-638.939338182469 -43.6871216519805 -397.032131439612</f>
        <v>-1079.6585912740616</v>
      </c>
      <c r="Q2053" t="s">
        <v>39137</v>
      </c>
      <c r="R2053" t="s">
        <v>39138</v>
      </c>
      <c r="S2053" t="s">
        <v>39139</v>
      </c>
      <c r="T2053" t="s">
        <v>39140</v>
      </c>
      <c r="U2053" t="s">
        <v>39141</v>
      </c>
      <c r="V2053" t="s">
        <v>39142</v>
      </c>
      <c r="W2053" t="s">
        <v>39143</v>
      </c>
      <c r="X2053" t="s">
        <v>39144</v>
      </c>
      <c r="Y2053" t="s">
        <v>39145</v>
      </c>
    </row>
    <row r="2054" spans="1:25" x14ac:dyDescent="0.3">
      <c r="A2054">
        <v>102650</v>
      </c>
      <c r="B2054" t="s">
        <v>39146</v>
      </c>
      <c r="C2054" t="s">
        <v>39147</v>
      </c>
      <c r="D2054" t="s">
        <v>39148</v>
      </c>
      <c r="E2054" t="s">
        <v>39149</v>
      </c>
      <c r="F2054" t="s">
        <v>39150</v>
      </c>
      <c r="G2054" t="s">
        <v>39151</v>
      </c>
      <c r="H2054" t="s">
        <v>39152</v>
      </c>
      <c r="I2054" t="s">
        <v>39153</v>
      </c>
      <c r="J2054" t="s">
        <v>39154</v>
      </c>
      <c r="K2054" t="s">
        <v>39155</v>
      </c>
      <c r="L2054" t="s">
        <v>39156</v>
      </c>
      <c r="M2054" t="s">
        <v>39157</v>
      </c>
      <c r="N2054" t="s">
        <v>39158</v>
      </c>
      <c r="O2054">
        <f>-620.649442674146 -83.8598368177322 -710.898675956272</f>
        <v>-1415.4079554481502</v>
      </c>
      <c r="P2054">
        <f>-639.955655078578 -42.8295444874543 -397.641655518616</f>
        <v>-1080.4268550846484</v>
      </c>
      <c r="Q2054" t="s">
        <v>39159</v>
      </c>
      <c r="R2054" t="s">
        <v>39160</v>
      </c>
      <c r="S2054" t="s">
        <v>39161</v>
      </c>
      <c r="T2054" t="s">
        <v>39162</v>
      </c>
      <c r="U2054" t="s">
        <v>39163</v>
      </c>
      <c r="V2054" t="s">
        <v>39164</v>
      </c>
      <c r="W2054" t="s">
        <v>39165</v>
      </c>
      <c r="X2054" t="s">
        <v>39166</v>
      </c>
      <c r="Y2054" t="s">
        <v>39167</v>
      </c>
    </row>
    <row r="2055" spans="1:25" x14ac:dyDescent="0.3">
      <c r="A2055">
        <v>102700</v>
      </c>
      <c r="B2055" t="s">
        <v>39168</v>
      </c>
      <c r="C2055" t="s">
        <v>39169</v>
      </c>
      <c r="D2055" t="s">
        <v>39170</v>
      </c>
      <c r="E2055" t="s">
        <v>39171</v>
      </c>
      <c r="F2055" t="s">
        <v>39172</v>
      </c>
      <c r="G2055" t="s">
        <v>39173</v>
      </c>
      <c r="H2055" t="s">
        <v>39174</v>
      </c>
      <c r="I2055" t="s">
        <v>39175</v>
      </c>
      <c r="J2055" t="s">
        <v>39176</v>
      </c>
      <c r="K2055" t="s">
        <v>39177</v>
      </c>
      <c r="L2055" t="s">
        <v>39178</v>
      </c>
      <c r="M2055" t="s">
        <v>39179</v>
      </c>
      <c r="N2055" t="s">
        <v>39180</v>
      </c>
      <c r="O2055">
        <f>-621.819437488454 -83.208364588186 -711.110117854632</f>
        <v>-1416.1379199312719</v>
      </c>
      <c r="P2055">
        <f>-639.76900183014 -41.5936477716 -397.849524414064</f>
        <v>-1079.2121740158041</v>
      </c>
      <c r="Q2055" t="s">
        <v>39181</v>
      </c>
      <c r="R2055" t="s">
        <v>39182</v>
      </c>
      <c r="S2055" t="s">
        <v>39183</v>
      </c>
      <c r="T2055" t="s">
        <v>39184</v>
      </c>
      <c r="U2055" t="s">
        <v>39185</v>
      </c>
      <c r="V2055" t="s">
        <v>39186</v>
      </c>
      <c r="W2055" t="s">
        <v>39187</v>
      </c>
      <c r="X2055" t="s">
        <v>39188</v>
      </c>
      <c r="Y2055" t="s">
        <v>39189</v>
      </c>
    </row>
    <row r="2056" spans="1:25" x14ac:dyDescent="0.3">
      <c r="A2056">
        <v>102750</v>
      </c>
      <c r="B2056" t="s">
        <v>39190</v>
      </c>
      <c r="C2056" t="s">
        <v>39191</v>
      </c>
      <c r="D2056" t="s">
        <v>39192</v>
      </c>
      <c r="E2056" t="s">
        <v>39193</v>
      </c>
      <c r="F2056" t="s">
        <v>39194</v>
      </c>
      <c r="G2056" t="s">
        <v>39195</v>
      </c>
      <c r="H2056" t="s">
        <v>39196</v>
      </c>
      <c r="I2056" t="s">
        <v>39197</v>
      </c>
      <c r="J2056" t="s">
        <v>39198</v>
      </c>
      <c r="K2056" t="s">
        <v>39199</v>
      </c>
      <c r="L2056" t="s">
        <v>39200</v>
      </c>
      <c r="M2056" t="s">
        <v>39201</v>
      </c>
      <c r="N2056" t="s">
        <v>39202</v>
      </c>
      <c r="O2056">
        <f>-624.177757600241 -83.1339336323811 -711.002405112254</f>
        <v>-1418.3140963448759</v>
      </c>
      <c r="P2056">
        <f>-640.209148711959 -40.0542171440302 -397.835804227544</f>
        <v>-1078.0991700835332</v>
      </c>
      <c r="Q2056" t="s">
        <v>39203</v>
      </c>
      <c r="R2056" t="s">
        <v>39204</v>
      </c>
      <c r="S2056" t="s">
        <v>39205</v>
      </c>
      <c r="T2056" t="s">
        <v>39206</v>
      </c>
      <c r="U2056" t="s">
        <v>39207</v>
      </c>
      <c r="V2056" t="s">
        <v>39208</v>
      </c>
      <c r="W2056" t="s">
        <v>39209</v>
      </c>
      <c r="X2056" t="s">
        <v>39210</v>
      </c>
      <c r="Y2056" t="s">
        <v>39211</v>
      </c>
    </row>
    <row r="2057" spans="1:25" x14ac:dyDescent="0.3">
      <c r="A2057">
        <v>102800</v>
      </c>
      <c r="B2057" t="s">
        <v>39212</v>
      </c>
      <c r="C2057" t="s">
        <v>39213</v>
      </c>
      <c r="D2057" t="s">
        <v>39214</v>
      </c>
      <c r="E2057" t="s">
        <v>39215</v>
      </c>
      <c r="F2057" t="s">
        <v>39216</v>
      </c>
      <c r="G2057" t="s">
        <v>39217</v>
      </c>
      <c r="H2057" t="s">
        <v>39218</v>
      </c>
      <c r="I2057" t="s">
        <v>39219</v>
      </c>
      <c r="J2057" t="s">
        <v>39220</v>
      </c>
      <c r="K2057" t="s">
        <v>39221</v>
      </c>
      <c r="L2057" t="s">
        <v>39222</v>
      </c>
      <c r="M2057" t="s">
        <v>39223</v>
      </c>
      <c r="N2057" t="s">
        <v>39224</v>
      </c>
      <c r="O2057">
        <f>-624.316755632171 -83.0195732130278 -711.069616683752</f>
        <v>-1418.4059455289507</v>
      </c>
      <c r="P2057">
        <f>-641.664965756736 -40.3780054100316 -397.913139797652</f>
        <v>-1079.9561109644196</v>
      </c>
      <c r="Q2057" t="s">
        <v>39225</v>
      </c>
      <c r="R2057" t="s">
        <v>39226</v>
      </c>
      <c r="S2057" t="s">
        <v>39227</v>
      </c>
      <c r="T2057" t="s">
        <v>39228</v>
      </c>
      <c r="U2057" t="s">
        <v>39229</v>
      </c>
      <c r="V2057" t="s">
        <v>39230</v>
      </c>
      <c r="W2057" t="s">
        <v>39231</v>
      </c>
      <c r="X2057" t="s">
        <v>39232</v>
      </c>
      <c r="Y2057" t="s">
        <v>39233</v>
      </c>
    </row>
    <row r="2058" spans="1:25" x14ac:dyDescent="0.3">
      <c r="A2058">
        <v>102850</v>
      </c>
      <c r="B2058" t="s">
        <v>39234</v>
      </c>
      <c r="C2058" t="s">
        <v>39235</v>
      </c>
      <c r="D2058" t="s">
        <v>39236</v>
      </c>
      <c r="E2058" t="s">
        <v>39237</v>
      </c>
      <c r="F2058" t="s">
        <v>39238</v>
      </c>
      <c r="G2058" t="s">
        <v>39239</v>
      </c>
      <c r="H2058" t="s">
        <v>39240</v>
      </c>
      <c r="I2058" t="s">
        <v>39241</v>
      </c>
      <c r="J2058" t="s">
        <v>39242</v>
      </c>
      <c r="K2058" t="s">
        <v>39243</v>
      </c>
      <c r="L2058" t="s">
        <v>39244</v>
      </c>
      <c r="M2058" t="s">
        <v>39245</v>
      </c>
      <c r="N2058" t="s">
        <v>39246</v>
      </c>
      <c r="O2058">
        <f>-624.631703415556 -83.2874422413465 -710.320207211907</f>
        <v>-1418.2393528688094</v>
      </c>
      <c r="P2058">
        <f>-644.326515462347 -38.5101470460049 -397.601092807481</f>
        <v>-1080.4377553158329</v>
      </c>
      <c r="Q2058" t="s">
        <v>39247</v>
      </c>
      <c r="R2058" t="s">
        <v>39248</v>
      </c>
      <c r="S2058" t="s">
        <v>39249</v>
      </c>
      <c r="T2058" t="s">
        <v>39250</v>
      </c>
      <c r="U2058" t="s">
        <v>39251</v>
      </c>
      <c r="V2058" t="s">
        <v>39252</v>
      </c>
      <c r="W2058" t="s">
        <v>39253</v>
      </c>
      <c r="X2058" t="s">
        <v>39254</v>
      </c>
      <c r="Y2058" t="s">
        <v>39255</v>
      </c>
    </row>
    <row r="2059" spans="1:25" x14ac:dyDescent="0.3">
      <c r="A2059">
        <v>102900</v>
      </c>
      <c r="B2059" t="s">
        <v>39256</v>
      </c>
      <c r="C2059" t="s">
        <v>39257</v>
      </c>
      <c r="D2059" t="s">
        <v>39258</v>
      </c>
      <c r="E2059" t="s">
        <v>39259</v>
      </c>
      <c r="F2059" t="s">
        <v>39260</v>
      </c>
      <c r="G2059" t="s">
        <v>39261</v>
      </c>
      <c r="H2059" t="s">
        <v>39262</v>
      </c>
      <c r="I2059" t="s">
        <v>39263</v>
      </c>
      <c r="J2059" t="s">
        <v>39264</v>
      </c>
      <c r="K2059" t="s">
        <v>39265</v>
      </c>
      <c r="L2059" t="s">
        <v>39266</v>
      </c>
      <c r="M2059" t="s">
        <v>39267</v>
      </c>
      <c r="N2059" t="s">
        <v>39268</v>
      </c>
      <c r="O2059">
        <f>-625.926668780779 -83.3832347009461 -709.719505301256</f>
        <v>-1419.0294087829811</v>
      </c>
      <c r="P2059">
        <f>-644.009845760161 -36.0014816929959 -397.286941080292</f>
        <v>-1077.2982685334489</v>
      </c>
      <c r="Q2059" t="s">
        <v>39269</v>
      </c>
      <c r="R2059" t="s">
        <v>39270</v>
      </c>
      <c r="S2059" t="s">
        <v>39271</v>
      </c>
      <c r="T2059" t="s">
        <v>39272</v>
      </c>
      <c r="U2059" t="s">
        <v>39273</v>
      </c>
      <c r="V2059" t="s">
        <v>39274</v>
      </c>
      <c r="W2059" t="s">
        <v>39275</v>
      </c>
      <c r="X2059" t="s">
        <v>39276</v>
      </c>
      <c r="Y2059" t="s">
        <v>39277</v>
      </c>
    </row>
    <row r="2060" spans="1:25" x14ac:dyDescent="0.3">
      <c r="A2060">
        <v>102950</v>
      </c>
      <c r="B2060" t="s">
        <v>39278</v>
      </c>
      <c r="C2060" t="s">
        <v>39279</v>
      </c>
      <c r="D2060" t="s">
        <v>39280</v>
      </c>
      <c r="E2060" t="s">
        <v>39281</v>
      </c>
      <c r="F2060" t="s">
        <v>39282</v>
      </c>
      <c r="G2060" t="s">
        <v>39283</v>
      </c>
      <c r="H2060" t="s">
        <v>39284</v>
      </c>
      <c r="I2060" t="s">
        <v>39285</v>
      </c>
      <c r="J2060" t="s">
        <v>39286</v>
      </c>
      <c r="K2060" t="s">
        <v>39287</v>
      </c>
      <c r="L2060" t="s">
        <v>39288</v>
      </c>
      <c r="M2060" t="s">
        <v>39289</v>
      </c>
      <c r="N2060" t="s">
        <v>39290</v>
      </c>
      <c r="O2060">
        <f>-629.055584348193 -84.419942089331 -707.929798944669</f>
        <v>-1421.405325382193</v>
      </c>
      <c r="P2060">
        <f>-642.978352471524 -32.2924766362712 -396.040334960706</f>
        <v>-1071.3111640685011</v>
      </c>
      <c r="Q2060" t="s">
        <v>39291</v>
      </c>
      <c r="R2060" t="s">
        <v>39292</v>
      </c>
      <c r="S2060" t="s">
        <v>39293</v>
      </c>
      <c r="T2060" t="s">
        <v>39294</v>
      </c>
      <c r="U2060" t="s">
        <v>39295</v>
      </c>
      <c r="V2060" t="s">
        <v>39296</v>
      </c>
      <c r="W2060" t="s">
        <v>39297</v>
      </c>
      <c r="X2060" t="s">
        <v>39298</v>
      </c>
      <c r="Y2060" t="s">
        <v>39299</v>
      </c>
    </row>
    <row r="2061" spans="1:25" x14ac:dyDescent="0.3">
      <c r="A2061">
        <v>103000</v>
      </c>
      <c r="B2061" t="s">
        <v>39300</v>
      </c>
      <c r="C2061" t="s">
        <v>39301</v>
      </c>
      <c r="D2061" t="s">
        <v>39302</v>
      </c>
      <c r="E2061" t="s">
        <v>39303</v>
      </c>
      <c r="F2061" t="s">
        <v>39304</v>
      </c>
      <c r="G2061" t="s">
        <v>39305</v>
      </c>
      <c r="H2061" t="s">
        <v>39306</v>
      </c>
      <c r="I2061" t="s">
        <v>39307</v>
      </c>
      <c r="J2061" t="s">
        <v>39308</v>
      </c>
      <c r="K2061" t="s">
        <v>39309</v>
      </c>
      <c r="L2061" t="s">
        <v>39310</v>
      </c>
      <c r="M2061" t="s">
        <v>39311</v>
      </c>
      <c r="N2061" t="s">
        <v>39312</v>
      </c>
      <c r="O2061">
        <f>-630.675564047246 -84.7458393993536 -707.234049100293</f>
        <v>-1422.6554525468925</v>
      </c>
      <c r="P2061">
        <f>-642.191828363258 -32.5833697439352 -395.252366172276</f>
        <v>-1070.0275642794693</v>
      </c>
      <c r="Q2061" t="s">
        <v>39313</v>
      </c>
      <c r="R2061" t="s">
        <v>39314</v>
      </c>
      <c r="S2061" t="s">
        <v>39315</v>
      </c>
      <c r="T2061" t="s">
        <v>39316</v>
      </c>
      <c r="U2061" t="s">
        <v>39317</v>
      </c>
      <c r="V2061" t="s">
        <v>39318</v>
      </c>
      <c r="W2061" t="s">
        <v>39319</v>
      </c>
      <c r="X2061" t="s">
        <v>39320</v>
      </c>
      <c r="Y2061" t="s">
        <v>39321</v>
      </c>
    </row>
    <row r="2062" spans="1:25" x14ac:dyDescent="0.3">
      <c r="A2062">
        <v>103050</v>
      </c>
      <c r="B2062" t="s">
        <v>39322</v>
      </c>
      <c r="C2062" t="s">
        <v>39323</v>
      </c>
      <c r="D2062" t="s">
        <v>39324</v>
      </c>
      <c r="E2062" t="s">
        <v>39325</v>
      </c>
      <c r="F2062" t="s">
        <v>39326</v>
      </c>
      <c r="G2062" t="s">
        <v>39327</v>
      </c>
      <c r="H2062" t="s">
        <v>39328</v>
      </c>
      <c r="I2062" t="s">
        <v>39329</v>
      </c>
      <c r="J2062" t="s">
        <v>39330</v>
      </c>
      <c r="K2062" t="s">
        <v>39331</v>
      </c>
      <c r="L2062" t="s">
        <v>39332</v>
      </c>
      <c r="M2062" t="s">
        <v>39333</v>
      </c>
      <c r="N2062" t="s">
        <v>39334</v>
      </c>
      <c r="O2062">
        <f>-633.128399166476 -85.436876376029 -706.080468896907</f>
        <v>-1424.6457444394118</v>
      </c>
      <c r="P2062">
        <f>-642.859039219355 -32.1951565496988 -394.220271533288</f>
        <v>-1069.2744673023419</v>
      </c>
      <c r="Q2062" t="s">
        <v>39335</v>
      </c>
      <c r="R2062" t="s">
        <v>39336</v>
      </c>
      <c r="S2062" t="s">
        <v>39337</v>
      </c>
      <c r="T2062" t="s">
        <v>39338</v>
      </c>
      <c r="U2062" t="s">
        <v>39339</v>
      </c>
      <c r="V2062" t="s">
        <v>39340</v>
      </c>
      <c r="W2062" t="s">
        <v>39341</v>
      </c>
      <c r="X2062" t="s">
        <v>39342</v>
      </c>
      <c r="Y2062" t="s">
        <v>39343</v>
      </c>
    </row>
    <row r="2063" spans="1:25" x14ac:dyDescent="0.3">
      <c r="A2063">
        <v>103100</v>
      </c>
      <c r="B2063" t="s">
        <v>39344</v>
      </c>
      <c r="C2063" t="s">
        <v>39345</v>
      </c>
      <c r="D2063" t="s">
        <v>39346</v>
      </c>
      <c r="E2063" t="s">
        <v>39347</v>
      </c>
      <c r="F2063" t="s">
        <v>39348</v>
      </c>
      <c r="G2063" t="s">
        <v>39349</v>
      </c>
      <c r="H2063" t="s">
        <v>39350</v>
      </c>
      <c r="I2063" t="s">
        <v>39351</v>
      </c>
      <c r="J2063" t="s">
        <v>39352</v>
      </c>
      <c r="K2063" t="s">
        <v>39353</v>
      </c>
      <c r="L2063" t="s">
        <v>39354</v>
      </c>
      <c r="M2063" t="s">
        <v>39355</v>
      </c>
      <c r="N2063" t="s">
        <v>39356</v>
      </c>
      <c r="O2063">
        <f>-634.705393163183 -85.5702690047058 -705.440770456201</f>
        <v>-1425.7164326240897</v>
      </c>
      <c r="P2063">
        <f>-642.213540069586 -31.2904602184967 -393.697991928586</f>
        <v>-1067.2019922166687</v>
      </c>
      <c r="Q2063" t="s">
        <v>39357</v>
      </c>
      <c r="R2063" t="s">
        <v>39358</v>
      </c>
      <c r="S2063" t="s">
        <v>39359</v>
      </c>
      <c r="T2063" t="s">
        <v>39360</v>
      </c>
      <c r="U2063" t="s">
        <v>39361</v>
      </c>
      <c r="V2063" t="s">
        <v>39362</v>
      </c>
      <c r="W2063" t="s">
        <v>39363</v>
      </c>
      <c r="X2063" t="s">
        <v>39364</v>
      </c>
      <c r="Y2063" t="s">
        <v>39365</v>
      </c>
    </row>
    <row r="2064" spans="1:25" x14ac:dyDescent="0.3">
      <c r="A2064">
        <v>103150</v>
      </c>
      <c r="B2064" t="s">
        <v>39366</v>
      </c>
      <c r="C2064" t="s">
        <v>39367</v>
      </c>
      <c r="D2064" t="s">
        <v>39368</v>
      </c>
      <c r="E2064" t="s">
        <v>39369</v>
      </c>
      <c r="F2064" t="s">
        <v>39370</v>
      </c>
      <c r="G2064" t="s">
        <v>39371</v>
      </c>
      <c r="H2064" t="s">
        <v>39372</v>
      </c>
      <c r="I2064" t="s">
        <v>39373</v>
      </c>
      <c r="J2064" t="s">
        <v>39374</v>
      </c>
      <c r="K2064" t="s">
        <v>39375</v>
      </c>
      <c r="L2064" t="s">
        <v>39376</v>
      </c>
      <c r="M2064" t="s">
        <v>39377</v>
      </c>
      <c r="N2064" t="s">
        <v>39378</v>
      </c>
      <c r="O2064">
        <f>-637.406802164983 -86.0961307852563 -704.024490148541</f>
        <v>-1427.5274230987802</v>
      </c>
      <c r="P2064">
        <f>-641.81967778898 -29.1888835164559 -392.691529811382</f>
        <v>-1063.7000911168179</v>
      </c>
      <c r="Q2064" t="s">
        <v>39379</v>
      </c>
      <c r="R2064" t="s">
        <v>39380</v>
      </c>
      <c r="S2064" t="s">
        <v>39381</v>
      </c>
      <c r="T2064" t="s">
        <v>39382</v>
      </c>
      <c r="U2064" t="s">
        <v>39383</v>
      </c>
      <c r="V2064" t="s">
        <v>39384</v>
      </c>
      <c r="W2064" t="s">
        <v>39385</v>
      </c>
      <c r="X2064" t="s">
        <v>39386</v>
      </c>
      <c r="Y2064" t="s">
        <v>39387</v>
      </c>
    </row>
    <row r="2065" spans="1:25" x14ac:dyDescent="0.3">
      <c r="A2065">
        <v>103200</v>
      </c>
      <c r="B2065" t="s">
        <v>39388</v>
      </c>
      <c r="C2065" t="s">
        <v>39389</v>
      </c>
      <c r="D2065" t="s">
        <v>39390</v>
      </c>
      <c r="E2065" t="s">
        <v>39391</v>
      </c>
      <c r="F2065" t="s">
        <v>39392</v>
      </c>
      <c r="G2065" t="s">
        <v>39393</v>
      </c>
      <c r="H2065" t="s">
        <v>39394</v>
      </c>
      <c r="I2065" t="s">
        <v>39395</v>
      </c>
      <c r="J2065" t="s">
        <v>39396</v>
      </c>
      <c r="K2065" t="s">
        <v>39397</v>
      </c>
      <c r="L2065" t="s">
        <v>39398</v>
      </c>
      <c r="M2065" t="s">
        <v>39399</v>
      </c>
      <c r="N2065" t="s">
        <v>39400</v>
      </c>
      <c r="O2065">
        <f>-638.11211688821 -86.2022141424736 -703.426424600988</f>
        <v>-1427.7407556316716</v>
      </c>
      <c r="P2065">
        <f>-642.438139143646 -28.5241490067203 -392.233954405336</f>
        <v>-1063.1962425557024</v>
      </c>
      <c r="Q2065" t="s">
        <v>39401</v>
      </c>
      <c r="R2065" t="s">
        <v>39402</v>
      </c>
      <c r="S2065" t="s">
        <v>39403</v>
      </c>
      <c r="T2065" t="s">
        <v>39404</v>
      </c>
      <c r="U2065" t="s">
        <v>39405</v>
      </c>
      <c r="V2065" t="s">
        <v>39406</v>
      </c>
      <c r="W2065" t="s">
        <v>39407</v>
      </c>
      <c r="X2065" t="s">
        <v>39408</v>
      </c>
      <c r="Y2065" t="s">
        <v>39409</v>
      </c>
    </row>
    <row r="2066" spans="1:25" x14ac:dyDescent="0.3">
      <c r="A2066">
        <v>103250</v>
      </c>
      <c r="B2066" t="s">
        <v>39410</v>
      </c>
      <c r="C2066" t="s">
        <v>39411</v>
      </c>
      <c r="D2066" t="s">
        <v>39412</v>
      </c>
      <c r="E2066" t="s">
        <v>39413</v>
      </c>
      <c r="F2066" t="s">
        <v>39414</v>
      </c>
      <c r="G2066" t="s">
        <v>39415</v>
      </c>
      <c r="H2066" t="s">
        <v>39416</v>
      </c>
      <c r="I2066" t="s">
        <v>39417</v>
      </c>
      <c r="J2066" t="s">
        <v>39418</v>
      </c>
      <c r="K2066" t="s">
        <v>39419</v>
      </c>
      <c r="L2066" t="s">
        <v>39420</v>
      </c>
      <c r="M2066" t="s">
        <v>39421</v>
      </c>
      <c r="N2066" t="s">
        <v>39422</v>
      </c>
      <c r="O2066">
        <f>-639.673914278528 -86.1500829776996 -702.265551960822</f>
        <v>-1428.0895492170496</v>
      </c>
      <c r="P2066">
        <f>-643.452136724025 -24.407319791693 -391.846831229085</f>
        <v>-1059.7062877448029</v>
      </c>
      <c r="Q2066" t="s">
        <v>39423</v>
      </c>
      <c r="R2066" t="s">
        <v>39424</v>
      </c>
      <c r="S2066" t="s">
        <v>39425</v>
      </c>
      <c r="T2066" t="s">
        <v>39426</v>
      </c>
      <c r="U2066" t="s">
        <v>39427</v>
      </c>
      <c r="V2066" t="s">
        <v>39428</v>
      </c>
      <c r="W2066" t="s">
        <v>39429</v>
      </c>
      <c r="X2066" t="s">
        <v>39430</v>
      </c>
      <c r="Y2066" t="s">
        <v>39431</v>
      </c>
    </row>
    <row r="2067" spans="1:25" x14ac:dyDescent="0.3">
      <c r="A2067">
        <v>103300</v>
      </c>
      <c r="B2067" t="s">
        <v>39432</v>
      </c>
      <c r="C2067" t="s">
        <v>39433</v>
      </c>
      <c r="D2067" t="s">
        <v>39434</v>
      </c>
      <c r="E2067" t="s">
        <v>39435</v>
      </c>
      <c r="F2067" t="s">
        <v>39436</v>
      </c>
      <c r="G2067" t="s">
        <v>39437</v>
      </c>
      <c r="H2067" t="s">
        <v>39438</v>
      </c>
      <c r="I2067" t="s">
        <v>39439</v>
      </c>
      <c r="J2067" t="s">
        <v>39440</v>
      </c>
      <c r="K2067" t="s">
        <v>39441</v>
      </c>
      <c r="L2067" t="s">
        <v>39442</v>
      </c>
      <c r="M2067" t="s">
        <v>39443</v>
      </c>
      <c r="N2067" t="s">
        <v>39444</v>
      </c>
      <c r="O2067">
        <f>-640.496285173668 -86.2691606396875 -701.530390222301</f>
        <v>-1428.2958360356565</v>
      </c>
      <c r="P2067">
        <f>-643.651137218454 -24.5553824629001 -391.099022009276</f>
        <v>-1059.30554169063</v>
      </c>
      <c r="Q2067" t="s">
        <v>39445</v>
      </c>
      <c r="R2067" t="s">
        <v>39446</v>
      </c>
      <c r="S2067" t="s">
        <v>39447</v>
      </c>
      <c r="T2067" t="s">
        <v>39448</v>
      </c>
      <c r="U2067" t="s">
        <v>39449</v>
      </c>
      <c r="V2067" t="s">
        <v>39450</v>
      </c>
      <c r="W2067" t="s">
        <v>39451</v>
      </c>
      <c r="X2067" t="s">
        <v>39452</v>
      </c>
      <c r="Y2067" t="s">
        <v>39453</v>
      </c>
    </row>
    <row r="2068" spans="1:25" x14ac:dyDescent="0.3">
      <c r="A2068">
        <v>103350</v>
      </c>
      <c r="B2068" t="s">
        <v>39454</v>
      </c>
      <c r="C2068" t="s">
        <v>39455</v>
      </c>
      <c r="D2068" t="s">
        <v>39456</v>
      </c>
      <c r="E2068" t="s">
        <v>39457</v>
      </c>
      <c r="F2068" t="s">
        <v>39458</v>
      </c>
      <c r="G2068" t="s">
        <v>39459</v>
      </c>
      <c r="H2068" t="s">
        <v>39460</v>
      </c>
      <c r="I2068" t="s">
        <v>39461</v>
      </c>
      <c r="J2068" t="s">
        <v>39462</v>
      </c>
      <c r="K2068" t="s">
        <v>39463</v>
      </c>
      <c r="L2068" t="s">
        <v>39464</v>
      </c>
      <c r="M2068" t="s">
        <v>39465</v>
      </c>
      <c r="N2068" t="s">
        <v>39466</v>
      </c>
      <c r="O2068">
        <f>-641.977170932515 -86.3134792762407 -700.397114499951</f>
        <v>-1428.6877647087067</v>
      </c>
      <c r="P2068">
        <f>-643.594151594193 -24.272659491887 -390.019158812229</f>
        <v>-1057.885969898309</v>
      </c>
      <c r="Q2068" t="s">
        <v>39467</v>
      </c>
      <c r="R2068" t="s">
        <v>39468</v>
      </c>
      <c r="S2068" t="s">
        <v>39469</v>
      </c>
      <c r="T2068" t="s">
        <v>39470</v>
      </c>
      <c r="U2068" t="s">
        <v>39471</v>
      </c>
      <c r="V2068" t="s">
        <v>39472</v>
      </c>
      <c r="W2068" t="s">
        <v>39473</v>
      </c>
      <c r="X2068" t="s">
        <v>39474</v>
      </c>
      <c r="Y2068" t="s">
        <v>39475</v>
      </c>
    </row>
    <row r="2069" spans="1:25" x14ac:dyDescent="0.3">
      <c r="A2069">
        <v>103400</v>
      </c>
      <c r="B2069" t="s">
        <v>39476</v>
      </c>
      <c r="C2069" t="s">
        <v>39477</v>
      </c>
      <c r="D2069" t="s">
        <v>39478</v>
      </c>
      <c r="E2069" t="s">
        <v>39479</v>
      </c>
      <c r="F2069" t="s">
        <v>39480</v>
      </c>
      <c r="G2069" t="s">
        <v>39481</v>
      </c>
      <c r="H2069" t="s">
        <v>39482</v>
      </c>
      <c r="I2069" t="s">
        <v>39483</v>
      </c>
      <c r="J2069" t="s">
        <v>39484</v>
      </c>
      <c r="K2069" t="s">
        <v>39485</v>
      </c>
      <c r="L2069" t="s">
        <v>39486</v>
      </c>
      <c r="M2069" t="s">
        <v>39487</v>
      </c>
      <c r="N2069" t="s">
        <v>39488</v>
      </c>
      <c r="O2069">
        <f>-642.493675288635 -86.2724446885441 -699.995442014255</f>
        <v>-1428.7615619914341</v>
      </c>
      <c r="P2069">
        <f>-642.734867786497 -24.3008398113473 -389.599480615032</f>
        <v>-1056.6351882128763</v>
      </c>
      <c r="Q2069" t="s">
        <v>39489</v>
      </c>
      <c r="R2069" t="s">
        <v>39490</v>
      </c>
      <c r="S2069" t="s">
        <v>39491</v>
      </c>
      <c r="T2069" t="s">
        <v>39492</v>
      </c>
      <c r="U2069" t="s">
        <v>39493</v>
      </c>
      <c r="V2069" t="s">
        <v>39494</v>
      </c>
      <c r="W2069" t="s">
        <v>39495</v>
      </c>
      <c r="X2069" t="s">
        <v>39496</v>
      </c>
      <c r="Y2069" t="s">
        <v>39497</v>
      </c>
    </row>
    <row r="2070" spans="1:25" x14ac:dyDescent="0.3">
      <c r="A2070">
        <v>103450</v>
      </c>
      <c r="B2070" t="s">
        <v>39498</v>
      </c>
      <c r="C2070" t="s">
        <v>39499</v>
      </c>
      <c r="D2070" t="s">
        <v>39500</v>
      </c>
      <c r="E2070" t="s">
        <v>39501</v>
      </c>
      <c r="F2070" t="s">
        <v>39502</v>
      </c>
      <c r="G2070" t="s">
        <v>39503</v>
      </c>
      <c r="H2070" t="s">
        <v>39504</v>
      </c>
      <c r="I2070" t="s">
        <v>39505</v>
      </c>
      <c r="J2070" t="s">
        <v>39506</v>
      </c>
      <c r="K2070" t="s">
        <v>39507</v>
      </c>
      <c r="L2070" t="s">
        <v>39508</v>
      </c>
      <c r="M2070" t="s">
        <v>39509</v>
      </c>
      <c r="N2070" t="s">
        <v>39510</v>
      </c>
      <c r="O2070">
        <f>-642.771083961612 -85.3320121163556 -699.629945108379</f>
        <v>-1427.7330411863468</v>
      </c>
      <c r="P2070">
        <f>-641.900953479067 -23.1167081574879 -389.28377474768</f>
        <v>-1054.3014363842349</v>
      </c>
      <c r="Q2070" t="s">
        <v>39511</v>
      </c>
      <c r="R2070" t="s">
        <v>39512</v>
      </c>
      <c r="S2070" t="s">
        <v>39513</v>
      </c>
      <c r="T2070" t="s">
        <v>39514</v>
      </c>
      <c r="U2070" t="s">
        <v>39515</v>
      </c>
      <c r="V2070" t="s">
        <v>39516</v>
      </c>
      <c r="W2070" t="s">
        <v>39517</v>
      </c>
      <c r="X2070" t="s">
        <v>39518</v>
      </c>
      <c r="Y2070" t="s">
        <v>39519</v>
      </c>
    </row>
    <row r="2071" spans="1:25" x14ac:dyDescent="0.3">
      <c r="A2071">
        <v>103500</v>
      </c>
      <c r="B2071" t="s">
        <v>39520</v>
      </c>
      <c r="C2071" t="s">
        <v>39521</v>
      </c>
      <c r="D2071" t="s">
        <v>39522</v>
      </c>
      <c r="E2071" t="s">
        <v>39523</v>
      </c>
      <c r="F2071" t="s">
        <v>39524</v>
      </c>
      <c r="G2071" t="s">
        <v>39525</v>
      </c>
      <c r="H2071" t="s">
        <v>39526</v>
      </c>
      <c r="I2071" t="s">
        <v>39527</v>
      </c>
      <c r="J2071" t="s">
        <v>39528</v>
      </c>
      <c r="K2071" t="s">
        <v>39529</v>
      </c>
      <c r="L2071" t="s">
        <v>39530</v>
      </c>
      <c r="M2071" t="s">
        <v>39531</v>
      </c>
      <c r="N2071" t="s">
        <v>39532</v>
      </c>
      <c r="O2071">
        <f>-642.478422078243 -84.8121877441226 -699.667156694881</f>
        <v>-1426.9577665172467</v>
      </c>
      <c r="P2071">
        <f>-642.417396528025 -23.2525483351008 -389.189226275197</f>
        <v>-1054.8591711383228</v>
      </c>
      <c r="Q2071" t="s">
        <v>39533</v>
      </c>
      <c r="R2071" t="s">
        <v>39534</v>
      </c>
      <c r="S2071" t="s">
        <v>39535</v>
      </c>
      <c r="T2071" t="s">
        <v>39536</v>
      </c>
      <c r="U2071" t="s">
        <v>39537</v>
      </c>
      <c r="V2071" t="s">
        <v>39538</v>
      </c>
      <c r="W2071" t="s">
        <v>39539</v>
      </c>
      <c r="X2071" t="s">
        <v>39540</v>
      </c>
      <c r="Y2071" t="s">
        <v>39541</v>
      </c>
    </row>
    <row r="2072" spans="1:25" x14ac:dyDescent="0.3">
      <c r="A2072">
        <v>103550</v>
      </c>
      <c r="B2072" t="s">
        <v>39542</v>
      </c>
      <c r="C2072" t="s">
        <v>39543</v>
      </c>
      <c r="D2072" t="s">
        <v>39544</v>
      </c>
      <c r="E2072" t="s">
        <v>39545</v>
      </c>
      <c r="F2072" t="s">
        <v>39546</v>
      </c>
      <c r="G2072" t="s">
        <v>39547</v>
      </c>
      <c r="H2072" t="s">
        <v>39548</v>
      </c>
      <c r="I2072" t="s">
        <v>39549</v>
      </c>
      <c r="J2072" t="s">
        <v>39550</v>
      </c>
      <c r="K2072" t="s">
        <v>39551</v>
      </c>
      <c r="L2072" t="s">
        <v>39552</v>
      </c>
      <c r="M2072" t="s">
        <v>39553</v>
      </c>
      <c r="N2072" t="s">
        <v>39554</v>
      </c>
      <c r="O2072">
        <f>-641.864822838596 -83.2583021694929 -700.070226747099</f>
        <v>-1425.1933517551879</v>
      </c>
      <c r="P2072">
        <f>-641.894074189169 -22.6024688921491 -389.414229297846</f>
        <v>-1053.9107723791642</v>
      </c>
      <c r="Q2072" t="s">
        <v>39555</v>
      </c>
      <c r="R2072" t="s">
        <v>39556</v>
      </c>
      <c r="S2072" t="s">
        <v>39557</v>
      </c>
      <c r="T2072" t="s">
        <v>39558</v>
      </c>
      <c r="U2072" t="s">
        <v>39559</v>
      </c>
      <c r="V2072" t="s">
        <v>39560</v>
      </c>
      <c r="W2072" t="s">
        <v>39561</v>
      </c>
      <c r="X2072" t="s">
        <v>39562</v>
      </c>
      <c r="Y2072" t="s">
        <v>39563</v>
      </c>
    </row>
    <row r="2073" spans="1:25" x14ac:dyDescent="0.3">
      <c r="A2073">
        <v>103600</v>
      </c>
      <c r="B2073" t="s">
        <v>39564</v>
      </c>
      <c r="C2073" t="s">
        <v>39565</v>
      </c>
      <c r="D2073" t="s">
        <v>39566</v>
      </c>
      <c r="E2073" t="s">
        <v>39567</v>
      </c>
      <c r="F2073" t="s">
        <v>39568</v>
      </c>
      <c r="G2073" t="s">
        <v>39569</v>
      </c>
      <c r="H2073" t="s">
        <v>39570</v>
      </c>
      <c r="I2073" t="s">
        <v>39571</v>
      </c>
      <c r="J2073" t="s">
        <v>39572</v>
      </c>
      <c r="K2073" t="s">
        <v>39573</v>
      </c>
      <c r="L2073" t="s">
        <v>39574</v>
      </c>
      <c r="M2073" t="s">
        <v>39575</v>
      </c>
      <c r="N2073" t="s">
        <v>39576</v>
      </c>
      <c r="O2073">
        <f>-641.244225697638 -82.3928109552144 -700.335288026688</f>
        <v>-1423.9723246795402</v>
      </c>
      <c r="P2073">
        <f>-642.147387733228 -22.556699500871 -389.521834240702</f>
        <v>-1054.225921474801</v>
      </c>
      <c r="Q2073" t="s">
        <v>39577</v>
      </c>
      <c r="R2073" t="s">
        <v>39578</v>
      </c>
      <c r="S2073" t="s">
        <v>39579</v>
      </c>
      <c r="T2073" t="s">
        <v>39580</v>
      </c>
      <c r="U2073" t="s">
        <v>39581</v>
      </c>
      <c r="V2073" t="s">
        <v>39582</v>
      </c>
      <c r="W2073" t="s">
        <v>39583</v>
      </c>
      <c r="X2073" t="s">
        <v>39584</v>
      </c>
      <c r="Y2073" t="s">
        <v>39585</v>
      </c>
    </row>
    <row r="2074" spans="1:25" x14ac:dyDescent="0.3">
      <c r="A2074">
        <v>103650</v>
      </c>
      <c r="B2074" t="s">
        <v>39586</v>
      </c>
      <c r="C2074" t="s">
        <v>39587</v>
      </c>
      <c r="D2074" t="s">
        <v>39588</v>
      </c>
      <c r="E2074" t="s">
        <v>39589</v>
      </c>
      <c r="F2074" t="s">
        <v>39590</v>
      </c>
      <c r="G2074" t="s">
        <v>39591</v>
      </c>
      <c r="H2074" t="s">
        <v>39592</v>
      </c>
      <c r="I2074" t="s">
        <v>39593</v>
      </c>
      <c r="J2074" t="s">
        <v>39594</v>
      </c>
      <c r="K2074" t="s">
        <v>39595</v>
      </c>
      <c r="L2074" t="s">
        <v>39596</v>
      </c>
      <c r="M2074" t="s">
        <v>39597</v>
      </c>
      <c r="N2074" t="s">
        <v>39598</v>
      </c>
      <c r="O2074">
        <f>-640.084550824298 -80.1783877260111 -701.245183769306</f>
        <v>-1421.5081223196153</v>
      </c>
      <c r="P2074">
        <f>-642.169214785934 -21.19701398044 -390.274033679158</f>
        <v>-1053.640262445532</v>
      </c>
      <c r="Q2074" t="s">
        <v>39599</v>
      </c>
      <c r="R2074" t="s">
        <v>39600</v>
      </c>
      <c r="S2074" t="s">
        <v>39601</v>
      </c>
      <c r="T2074" t="s">
        <v>39602</v>
      </c>
      <c r="U2074" t="s">
        <v>39603</v>
      </c>
      <c r="V2074" t="s">
        <v>39604</v>
      </c>
      <c r="W2074" t="s">
        <v>39605</v>
      </c>
      <c r="X2074" t="s">
        <v>39606</v>
      </c>
      <c r="Y2074" t="s">
        <v>39607</v>
      </c>
    </row>
    <row r="2075" spans="1:25" x14ac:dyDescent="0.3">
      <c r="A2075">
        <v>103700</v>
      </c>
      <c r="B2075" t="s">
        <v>39608</v>
      </c>
      <c r="C2075" t="s">
        <v>39609</v>
      </c>
      <c r="D2075" t="s">
        <v>39610</v>
      </c>
      <c r="E2075" t="s">
        <v>39611</v>
      </c>
      <c r="F2075" t="s">
        <v>39612</v>
      </c>
      <c r="G2075" t="s">
        <v>39613</v>
      </c>
      <c r="H2075" t="s">
        <v>39614</v>
      </c>
      <c r="I2075" t="s">
        <v>39615</v>
      </c>
      <c r="J2075" t="s">
        <v>39616</v>
      </c>
      <c r="K2075" t="s">
        <v>39617</v>
      </c>
      <c r="L2075" t="s">
        <v>39618</v>
      </c>
      <c r="M2075" t="s">
        <v>39619</v>
      </c>
      <c r="N2075" t="s">
        <v>39620</v>
      </c>
      <c r="O2075">
        <f>-639.118916462611 -79.1141713066861 -701.798272816671</f>
        <v>-1420.0313605859681</v>
      </c>
      <c r="P2075">
        <f>-642.141033342739 -20.653731711642 -390.7365637992</f>
        <v>-1053.5313288535808</v>
      </c>
      <c r="Q2075" t="s">
        <v>39621</v>
      </c>
      <c r="R2075" t="s">
        <v>39622</v>
      </c>
      <c r="S2075" t="s">
        <v>39623</v>
      </c>
      <c r="T2075" t="s">
        <v>39624</v>
      </c>
      <c r="U2075" t="s">
        <v>39625</v>
      </c>
      <c r="V2075" t="s">
        <v>39626</v>
      </c>
      <c r="W2075" t="s">
        <v>39627</v>
      </c>
      <c r="X2075" t="s">
        <v>39628</v>
      </c>
      <c r="Y2075" t="s">
        <v>39629</v>
      </c>
    </row>
    <row r="2076" spans="1:25" x14ac:dyDescent="0.3">
      <c r="A2076">
        <v>103750</v>
      </c>
      <c r="B2076" t="s">
        <v>39630</v>
      </c>
      <c r="C2076" t="s">
        <v>39631</v>
      </c>
      <c r="D2076" t="s">
        <v>39632</v>
      </c>
      <c r="E2076" t="s">
        <v>39633</v>
      </c>
      <c r="F2076" t="s">
        <v>39634</v>
      </c>
      <c r="G2076" t="s">
        <v>39635</v>
      </c>
      <c r="H2076" t="s">
        <v>39636</v>
      </c>
      <c r="I2076" t="s">
        <v>39637</v>
      </c>
      <c r="J2076" t="s">
        <v>39638</v>
      </c>
      <c r="K2076" t="s">
        <v>39639</v>
      </c>
      <c r="L2076" t="s">
        <v>39640</v>
      </c>
      <c r="M2076" t="s">
        <v>39641</v>
      </c>
      <c r="N2076" t="s">
        <v>39642</v>
      </c>
      <c r="O2076">
        <f>-637.485756425134 -77.5912859775231 -702.619372179807</f>
        <v>-1417.6964145824641</v>
      </c>
      <c r="P2076">
        <f>-643.531246442505 -19.5386213780346 -391.525269694864</f>
        <v>-1054.5951375154036</v>
      </c>
      <c r="Q2076" t="s">
        <v>39643</v>
      </c>
      <c r="R2076" t="s">
        <v>39644</v>
      </c>
      <c r="S2076" t="s">
        <v>39645</v>
      </c>
      <c r="T2076" t="s">
        <v>39646</v>
      </c>
      <c r="U2076" t="s">
        <v>39647</v>
      </c>
      <c r="V2076" t="s">
        <v>39648</v>
      </c>
      <c r="W2076" t="s">
        <v>39649</v>
      </c>
      <c r="X2076" t="s">
        <v>39650</v>
      </c>
      <c r="Y2076" t="s">
        <v>39651</v>
      </c>
    </row>
    <row r="2077" spans="1:25" x14ac:dyDescent="0.3">
      <c r="A2077">
        <v>103800</v>
      </c>
      <c r="B2077" t="s">
        <v>39652</v>
      </c>
      <c r="C2077" t="s">
        <v>39653</v>
      </c>
      <c r="D2077" t="s">
        <v>39654</v>
      </c>
      <c r="E2077" t="s">
        <v>39655</v>
      </c>
      <c r="F2077" t="s">
        <v>39656</v>
      </c>
      <c r="G2077" t="s">
        <v>39657</v>
      </c>
      <c r="H2077" t="s">
        <v>39658</v>
      </c>
      <c r="I2077" t="s">
        <v>39659</v>
      </c>
      <c r="J2077" t="s">
        <v>39660</v>
      </c>
      <c r="K2077" t="s">
        <v>39661</v>
      </c>
      <c r="L2077" t="s">
        <v>39662</v>
      </c>
      <c r="M2077" t="s">
        <v>39663</v>
      </c>
      <c r="N2077" t="s">
        <v>39664</v>
      </c>
      <c r="O2077">
        <f>-636.65057491242 -76.795753089956 -703.075939093636</f>
        <v>-1416.522267096012</v>
      </c>
      <c r="P2077">
        <f>-644.092217434409 -19.2330320470167 -391.921090977521</f>
        <v>-1055.2463404589466</v>
      </c>
      <c r="Q2077" t="s">
        <v>39665</v>
      </c>
      <c r="R2077" t="s">
        <v>39666</v>
      </c>
      <c r="S2077" t="s">
        <v>39667</v>
      </c>
      <c r="T2077" t="s">
        <v>39668</v>
      </c>
      <c r="U2077" t="s">
        <v>39669</v>
      </c>
      <c r="V2077" t="s">
        <v>39670</v>
      </c>
      <c r="W2077" t="s">
        <v>39671</v>
      </c>
      <c r="X2077" t="s">
        <v>39672</v>
      </c>
      <c r="Y2077" t="s">
        <v>39673</v>
      </c>
    </row>
    <row r="2078" spans="1:25" x14ac:dyDescent="0.3">
      <c r="A2078">
        <v>103850</v>
      </c>
      <c r="B2078" t="s">
        <v>39674</v>
      </c>
      <c r="C2078" t="s">
        <v>39675</v>
      </c>
      <c r="D2078" t="s">
        <v>39676</v>
      </c>
      <c r="E2078" t="s">
        <v>39677</v>
      </c>
      <c r="F2078" t="s">
        <v>39678</v>
      </c>
      <c r="G2078" t="s">
        <v>39679</v>
      </c>
      <c r="H2078" t="s">
        <v>39680</v>
      </c>
      <c r="I2078" t="s">
        <v>39681</v>
      </c>
      <c r="J2078" t="s">
        <v>39682</v>
      </c>
      <c r="K2078" t="s">
        <v>39683</v>
      </c>
      <c r="L2078" t="s">
        <v>39684</v>
      </c>
      <c r="M2078" t="s">
        <v>39685</v>
      </c>
      <c r="N2078" t="s">
        <v>39686</v>
      </c>
      <c r="O2078">
        <f>-635.200842285653 -75.3119205469884 -703.702494148354</f>
        <v>-1414.2152569809955</v>
      </c>
      <c r="P2078">
        <f>-645.569719325663 -18.1816515624746 -392.551731464697</f>
        <v>-1056.3031023528347</v>
      </c>
      <c r="Q2078" t="s">
        <v>39687</v>
      </c>
      <c r="R2078" t="s">
        <v>39688</v>
      </c>
      <c r="S2078" t="s">
        <v>39689</v>
      </c>
      <c r="T2078" t="s">
        <v>39690</v>
      </c>
      <c r="U2078" t="s">
        <v>39691</v>
      </c>
      <c r="V2078" t="s">
        <v>39692</v>
      </c>
      <c r="W2078" t="s">
        <v>39693</v>
      </c>
      <c r="X2078" t="s">
        <v>39694</v>
      </c>
      <c r="Y2078" t="s">
        <v>39695</v>
      </c>
    </row>
    <row r="2079" spans="1:25" x14ac:dyDescent="0.3">
      <c r="A2079">
        <v>103900</v>
      </c>
      <c r="B2079" t="s">
        <v>39696</v>
      </c>
      <c r="C2079" t="s">
        <v>39697</v>
      </c>
      <c r="D2079" t="s">
        <v>39698</v>
      </c>
      <c r="E2079" t="s">
        <v>39699</v>
      </c>
      <c r="F2079" t="s">
        <v>39700</v>
      </c>
      <c r="G2079" t="s">
        <v>39701</v>
      </c>
      <c r="H2079" t="s">
        <v>39702</v>
      </c>
      <c r="I2079" t="s">
        <v>39703</v>
      </c>
      <c r="J2079" t="s">
        <v>39704</v>
      </c>
      <c r="K2079" t="s">
        <v>39705</v>
      </c>
      <c r="L2079" t="s">
        <v>39706</v>
      </c>
      <c r="M2079" t="s">
        <v>39707</v>
      </c>
      <c r="N2079" t="s">
        <v>39708</v>
      </c>
      <c r="O2079">
        <f>-634.557698365365 -74.6794176956259 -703.890568624696</f>
        <v>-1413.127684685687</v>
      </c>
      <c r="P2079">
        <f>-645.842838995912 -17.7133570149772 -392.741412530657</f>
        <v>-1056.2976085415462</v>
      </c>
      <c r="Q2079" t="s">
        <v>39709</v>
      </c>
      <c r="R2079" t="s">
        <v>39710</v>
      </c>
      <c r="S2079" t="s">
        <v>39711</v>
      </c>
      <c r="T2079" t="s">
        <v>39712</v>
      </c>
      <c r="U2079" t="s">
        <v>39713</v>
      </c>
      <c r="V2079" t="s">
        <v>39714</v>
      </c>
      <c r="W2079" t="s">
        <v>39715</v>
      </c>
      <c r="X2079" t="s">
        <v>39716</v>
      </c>
      <c r="Y2079" t="s">
        <v>39717</v>
      </c>
    </row>
    <row r="2080" spans="1:25" x14ac:dyDescent="0.3">
      <c r="A2080">
        <v>103950</v>
      </c>
      <c r="B2080" t="s">
        <v>39718</v>
      </c>
      <c r="C2080" t="s">
        <v>39719</v>
      </c>
      <c r="D2080" t="s">
        <v>39720</v>
      </c>
      <c r="E2080" t="s">
        <v>39721</v>
      </c>
      <c r="F2080" t="s">
        <v>39722</v>
      </c>
      <c r="G2080" t="s">
        <v>39723</v>
      </c>
      <c r="H2080" t="s">
        <v>39724</v>
      </c>
      <c r="I2080" t="s">
        <v>39725</v>
      </c>
      <c r="J2080" t="s">
        <v>39726</v>
      </c>
      <c r="K2080" t="s">
        <v>39727</v>
      </c>
      <c r="L2080" t="s">
        <v>39728</v>
      </c>
      <c r="M2080" t="s">
        <v>39729</v>
      </c>
      <c r="N2080" t="s">
        <v>39730</v>
      </c>
      <c r="O2080">
        <f>-633.786740863978 -73.433021472475 -704.248378540998</f>
        <v>-1411.4681408774511</v>
      </c>
      <c r="P2080">
        <f>-645.863202380508 -16.5780616324628 -393.108690575469</f>
        <v>-1055.5499545884397</v>
      </c>
      <c r="Q2080" t="s">
        <v>39731</v>
      </c>
      <c r="R2080" t="s">
        <v>39732</v>
      </c>
      <c r="S2080" t="s">
        <v>39733</v>
      </c>
      <c r="T2080" t="s">
        <v>39734</v>
      </c>
      <c r="U2080" t="s">
        <v>39735</v>
      </c>
      <c r="V2080" t="s">
        <v>39736</v>
      </c>
      <c r="W2080" t="s">
        <v>39737</v>
      </c>
      <c r="X2080" t="s">
        <v>39738</v>
      </c>
      <c r="Y2080" t="s">
        <v>39739</v>
      </c>
    </row>
    <row r="2081" spans="1:25" x14ac:dyDescent="0.3">
      <c r="A2081">
        <v>104000</v>
      </c>
      <c r="B2081" t="s">
        <v>39740</v>
      </c>
      <c r="C2081" t="s">
        <v>39741</v>
      </c>
      <c r="D2081" t="s">
        <v>39742</v>
      </c>
      <c r="E2081" t="s">
        <v>39743</v>
      </c>
      <c r="F2081" t="s">
        <v>39744</v>
      </c>
      <c r="G2081" t="s">
        <v>39745</v>
      </c>
      <c r="H2081" t="s">
        <v>39746</v>
      </c>
      <c r="I2081" t="s">
        <v>39747</v>
      </c>
      <c r="J2081" t="s">
        <v>39748</v>
      </c>
      <c r="K2081" t="s">
        <v>39749</v>
      </c>
      <c r="L2081" t="s">
        <v>39750</v>
      </c>
      <c r="M2081" t="s">
        <v>39751</v>
      </c>
      <c r="N2081" t="s">
        <v>39752</v>
      </c>
      <c r="O2081">
        <f>-633.354273622678 -73.0509375328108 -704.369829369999</f>
        <v>-1410.7750405254878</v>
      </c>
      <c r="P2081">
        <f>-645.608355931484 -16.0904457522056 -393.256445545194</f>
        <v>-1054.9552472288835</v>
      </c>
      <c r="Q2081" t="s">
        <v>39753</v>
      </c>
      <c r="R2081" t="s">
        <v>39754</v>
      </c>
      <c r="S2081" t="s">
        <v>39755</v>
      </c>
      <c r="T2081" t="s">
        <v>39756</v>
      </c>
      <c r="U2081" t="s">
        <v>39757</v>
      </c>
      <c r="V2081" t="s">
        <v>39758</v>
      </c>
      <c r="W2081" t="s">
        <v>39759</v>
      </c>
      <c r="X2081" t="s">
        <v>39760</v>
      </c>
      <c r="Y2081" t="s">
        <v>39761</v>
      </c>
    </row>
    <row r="2082" spans="1:25" x14ac:dyDescent="0.3">
      <c r="A2082">
        <v>104050</v>
      </c>
      <c r="B2082" t="s">
        <v>39762</v>
      </c>
      <c r="C2082" t="s">
        <v>39763</v>
      </c>
      <c r="D2082" t="s">
        <v>39764</v>
      </c>
      <c r="E2082" t="s">
        <v>39765</v>
      </c>
      <c r="F2082" t="s">
        <v>39766</v>
      </c>
      <c r="G2082" t="s">
        <v>39767</v>
      </c>
      <c r="H2082" t="s">
        <v>39768</v>
      </c>
      <c r="I2082" t="s">
        <v>39769</v>
      </c>
      <c r="J2082" t="s">
        <v>39770</v>
      </c>
      <c r="K2082" t="s">
        <v>39771</v>
      </c>
      <c r="L2082" t="s">
        <v>39772</v>
      </c>
      <c r="M2082" t="s">
        <v>39773</v>
      </c>
      <c r="N2082" t="s">
        <v>39774</v>
      </c>
      <c r="O2082">
        <f>-632.649963919241 -72.958344785445 -704.371652952001</f>
        <v>-1409.979961656687</v>
      </c>
      <c r="P2082">
        <f>-646.290488166615 -16.0215592059101 -393.311632500635</f>
        <v>-1055.6236798731602</v>
      </c>
      <c r="Q2082" t="s">
        <v>39775</v>
      </c>
      <c r="R2082" t="s">
        <v>39776</v>
      </c>
      <c r="S2082" t="s">
        <v>39777</v>
      </c>
      <c r="T2082" t="s">
        <v>39778</v>
      </c>
      <c r="U2082" t="s">
        <v>39779</v>
      </c>
      <c r="V2082" t="s">
        <v>39780</v>
      </c>
      <c r="W2082" t="s">
        <v>39781</v>
      </c>
      <c r="X2082" t="s">
        <v>39782</v>
      </c>
      <c r="Y2082" t="s">
        <v>39783</v>
      </c>
    </row>
    <row r="2083" spans="1:25" x14ac:dyDescent="0.3">
      <c r="A2083">
        <v>104100</v>
      </c>
      <c r="B2083" t="s">
        <v>39784</v>
      </c>
      <c r="C2083" t="s">
        <v>39785</v>
      </c>
      <c r="D2083" t="s">
        <v>39786</v>
      </c>
      <c r="E2083" t="s">
        <v>39787</v>
      </c>
      <c r="F2083" t="s">
        <v>39788</v>
      </c>
      <c r="G2083" t="s">
        <v>39789</v>
      </c>
      <c r="H2083" t="s">
        <v>39790</v>
      </c>
      <c r="I2083" t="s">
        <v>39791</v>
      </c>
      <c r="J2083" t="s">
        <v>39792</v>
      </c>
      <c r="K2083" t="s">
        <v>39793</v>
      </c>
      <c r="L2083" t="s">
        <v>39794</v>
      </c>
      <c r="M2083" t="s">
        <v>39795</v>
      </c>
      <c r="N2083" t="s">
        <v>39796</v>
      </c>
      <c r="O2083">
        <f>-632.059976216419 -72.7474731980303 -704.482332330402</f>
        <v>-1409.2897817448513</v>
      </c>
      <c r="P2083">
        <f>-646.494808683326 -15.8474935752299 -393.451327773894</f>
        <v>-1055.79363003245</v>
      </c>
      <c r="Q2083" t="s">
        <v>39797</v>
      </c>
      <c r="R2083" t="s">
        <v>39798</v>
      </c>
      <c r="S2083" t="s">
        <v>39799</v>
      </c>
      <c r="T2083" t="s">
        <v>39800</v>
      </c>
      <c r="U2083" t="s">
        <v>39801</v>
      </c>
      <c r="V2083" t="s">
        <v>39802</v>
      </c>
      <c r="W2083" t="s">
        <v>39803</v>
      </c>
      <c r="X2083" t="s">
        <v>39804</v>
      </c>
      <c r="Y2083" t="s">
        <v>39805</v>
      </c>
    </row>
    <row r="2084" spans="1:25" x14ac:dyDescent="0.3">
      <c r="A2084">
        <v>104150</v>
      </c>
      <c r="B2084" t="s">
        <v>39806</v>
      </c>
      <c r="C2084" t="s">
        <v>39807</v>
      </c>
      <c r="D2084" t="s">
        <v>39808</v>
      </c>
      <c r="E2084" t="s">
        <v>39809</v>
      </c>
      <c r="F2084" t="s">
        <v>39810</v>
      </c>
      <c r="G2084" t="s">
        <v>39811</v>
      </c>
      <c r="H2084" t="s">
        <v>39812</v>
      </c>
      <c r="I2084" t="s">
        <v>39813</v>
      </c>
      <c r="J2084" t="s">
        <v>39814</v>
      </c>
      <c r="K2084" t="s">
        <v>39815</v>
      </c>
      <c r="L2084" t="s">
        <v>39816</v>
      </c>
      <c r="M2084" t="s">
        <v>39817</v>
      </c>
      <c r="N2084" t="s">
        <v>39818</v>
      </c>
      <c r="O2084">
        <f>-631.377092725168 -72.2645282714848 -704.571499070305</f>
        <v>-1408.2131200669578</v>
      </c>
      <c r="P2084">
        <f>-646.961354885212 -15.1921573645811 -393.62757547042</f>
        <v>-1055.7810877202132</v>
      </c>
      <c r="Q2084" t="s">
        <v>39819</v>
      </c>
      <c r="R2084" t="s">
        <v>39820</v>
      </c>
      <c r="S2084" t="s">
        <v>39821</v>
      </c>
      <c r="T2084" t="s">
        <v>39822</v>
      </c>
      <c r="U2084" t="s">
        <v>39823</v>
      </c>
      <c r="V2084" t="s">
        <v>39824</v>
      </c>
      <c r="W2084" t="s">
        <v>39825</v>
      </c>
      <c r="X2084" t="s">
        <v>39826</v>
      </c>
      <c r="Y2084" t="s">
        <v>39827</v>
      </c>
    </row>
    <row r="2085" spans="1:25" x14ac:dyDescent="0.3">
      <c r="A2085">
        <v>104200</v>
      </c>
      <c r="B2085" t="s">
        <v>39828</v>
      </c>
      <c r="C2085" t="s">
        <v>39829</v>
      </c>
      <c r="D2085" t="s">
        <v>39830</v>
      </c>
      <c r="E2085" t="s">
        <v>39831</v>
      </c>
      <c r="F2085" t="s">
        <v>39832</v>
      </c>
      <c r="G2085" t="s">
        <v>39833</v>
      </c>
      <c r="H2085" t="s">
        <v>39834</v>
      </c>
      <c r="I2085" t="s">
        <v>39835</v>
      </c>
      <c r="J2085" t="s">
        <v>39836</v>
      </c>
      <c r="K2085" t="s">
        <v>39837</v>
      </c>
      <c r="L2085" t="s">
        <v>39838</v>
      </c>
      <c r="M2085" t="s">
        <v>39839</v>
      </c>
      <c r="N2085" t="s">
        <v>39840</v>
      </c>
      <c r="O2085">
        <f>-630.828186157863 -72.3152748247969 -704.541423195264</f>
        <v>-1407.6848841779238</v>
      </c>
      <c r="P2085">
        <f>-647.378063859146 -15.246937604853 -393.646743312345</f>
        <v>-1056.2717447763439</v>
      </c>
      <c r="Q2085" t="s">
        <v>39841</v>
      </c>
      <c r="R2085" t="s">
        <v>39842</v>
      </c>
      <c r="S2085" t="s">
        <v>39843</v>
      </c>
      <c r="T2085" t="s">
        <v>39844</v>
      </c>
      <c r="U2085" t="s">
        <v>39845</v>
      </c>
      <c r="V2085" t="s">
        <v>39846</v>
      </c>
      <c r="W2085" t="s">
        <v>39847</v>
      </c>
      <c r="X2085" t="s">
        <v>39848</v>
      </c>
      <c r="Y2085" t="s">
        <v>39849</v>
      </c>
    </row>
    <row r="2086" spans="1:25" x14ac:dyDescent="0.3">
      <c r="A2086">
        <v>104250</v>
      </c>
      <c r="B2086" t="s">
        <v>39850</v>
      </c>
      <c r="C2086" t="s">
        <v>39851</v>
      </c>
      <c r="D2086" t="s">
        <v>39852</v>
      </c>
      <c r="E2086" t="s">
        <v>39853</v>
      </c>
      <c r="F2086" t="s">
        <v>39854</v>
      </c>
      <c r="G2086" t="s">
        <v>39855</v>
      </c>
      <c r="H2086" t="s">
        <v>39856</v>
      </c>
      <c r="I2086" t="s">
        <v>39857</v>
      </c>
      <c r="J2086" t="s">
        <v>39858</v>
      </c>
      <c r="K2086" t="s">
        <v>39859</v>
      </c>
      <c r="L2086" t="s">
        <v>39860</v>
      </c>
      <c r="M2086" t="s">
        <v>39861</v>
      </c>
      <c r="N2086" t="s">
        <v>39862</v>
      </c>
      <c r="O2086">
        <f>-630.282169726151 -72.6314730182642 -704.570866078692</f>
        <v>-1407.4845088231073</v>
      </c>
      <c r="P2086">
        <f>-648.616393884615 -15.442591766842 -393.798462837762</f>
        <v>-1057.857448489219</v>
      </c>
      <c r="Q2086" t="s">
        <v>39863</v>
      </c>
      <c r="R2086" t="s">
        <v>39864</v>
      </c>
      <c r="S2086" t="s">
        <v>39865</v>
      </c>
      <c r="T2086" t="s">
        <v>39866</v>
      </c>
      <c r="U2086" t="s">
        <v>39867</v>
      </c>
      <c r="V2086" t="s">
        <v>39868</v>
      </c>
      <c r="W2086" t="s">
        <v>39869</v>
      </c>
      <c r="X2086" t="s">
        <v>39870</v>
      </c>
      <c r="Y2086" t="s">
        <v>39871</v>
      </c>
    </row>
    <row r="2087" spans="1:25" x14ac:dyDescent="0.3">
      <c r="A2087">
        <v>104300</v>
      </c>
      <c r="B2087" t="s">
        <v>39872</v>
      </c>
      <c r="C2087" t="s">
        <v>39873</v>
      </c>
      <c r="D2087" t="s">
        <v>39874</v>
      </c>
      <c r="E2087" t="s">
        <v>39875</v>
      </c>
      <c r="F2087" t="s">
        <v>39876</v>
      </c>
      <c r="G2087" t="s">
        <v>39877</v>
      </c>
      <c r="H2087" t="s">
        <v>39878</v>
      </c>
      <c r="I2087" t="s">
        <v>39879</v>
      </c>
      <c r="J2087" t="s">
        <v>39880</v>
      </c>
      <c r="K2087" t="s">
        <v>39881</v>
      </c>
      <c r="L2087" t="s">
        <v>39882</v>
      </c>
      <c r="M2087" t="s">
        <v>39883</v>
      </c>
      <c r="N2087" t="s">
        <v>39884</v>
      </c>
      <c r="O2087">
        <f>-630.038378989743 -72.8249826532231 -704.584557408042</f>
        <v>-1407.4479190510081</v>
      </c>
      <c r="P2087">
        <f>-649.182886848339 -15.8234851144966 -393.826672686601</f>
        <v>-1058.8330446494365</v>
      </c>
      <c r="Q2087" t="s">
        <v>39885</v>
      </c>
      <c r="R2087" t="s">
        <v>39886</v>
      </c>
      <c r="S2087" t="s">
        <v>39887</v>
      </c>
      <c r="T2087" t="s">
        <v>39888</v>
      </c>
      <c r="U2087" t="s">
        <v>39889</v>
      </c>
      <c r="V2087" t="s">
        <v>39890</v>
      </c>
      <c r="W2087" t="s">
        <v>39891</v>
      </c>
      <c r="X2087" t="s">
        <v>39892</v>
      </c>
      <c r="Y2087" t="s">
        <v>39893</v>
      </c>
    </row>
    <row r="2088" spans="1:25" x14ac:dyDescent="0.3">
      <c r="A2088">
        <v>104350</v>
      </c>
      <c r="B2088" t="s">
        <v>39894</v>
      </c>
      <c r="C2088" t="s">
        <v>39895</v>
      </c>
      <c r="D2088" t="s">
        <v>39896</v>
      </c>
      <c r="E2088" t="s">
        <v>39897</v>
      </c>
      <c r="F2088" t="s">
        <v>39898</v>
      </c>
      <c r="G2088" t="s">
        <v>39899</v>
      </c>
      <c r="H2088" t="s">
        <v>39900</v>
      </c>
      <c r="I2088" t="s">
        <v>39901</v>
      </c>
      <c r="J2088" t="s">
        <v>39902</v>
      </c>
      <c r="K2088" t="s">
        <v>39903</v>
      </c>
      <c r="L2088" t="s">
        <v>39904</v>
      </c>
      <c r="M2088" t="s">
        <v>39905</v>
      </c>
      <c r="N2088" t="s">
        <v>39906</v>
      </c>
      <c r="O2088">
        <f>-629.802265015427 -73.3340670550128 -704.58331229015</f>
        <v>-1407.7196443605899</v>
      </c>
      <c r="P2088">
        <f>-650.720881498271 -16.4493131386107 -393.91832172381</f>
        <v>-1061.0885163606918</v>
      </c>
      <c r="Q2088" t="s">
        <v>39907</v>
      </c>
      <c r="R2088" t="s">
        <v>39908</v>
      </c>
      <c r="S2088" t="s">
        <v>39909</v>
      </c>
      <c r="T2088" t="s">
        <v>39910</v>
      </c>
      <c r="U2088" t="s">
        <v>39911</v>
      </c>
      <c r="V2088" t="s">
        <v>39912</v>
      </c>
      <c r="W2088" t="s">
        <v>39913</v>
      </c>
      <c r="X2088" t="s">
        <v>39914</v>
      </c>
      <c r="Y2088" t="s">
        <v>39915</v>
      </c>
    </row>
    <row r="2089" spans="1:25" x14ac:dyDescent="0.3">
      <c r="A2089">
        <v>104400</v>
      </c>
      <c r="B2089" t="s">
        <v>39916</v>
      </c>
      <c r="C2089" t="s">
        <v>39917</v>
      </c>
      <c r="D2089" t="s">
        <v>39918</v>
      </c>
      <c r="E2089" t="s">
        <v>39919</v>
      </c>
      <c r="F2089" t="s">
        <v>39920</v>
      </c>
      <c r="G2089" t="s">
        <v>39921</v>
      </c>
      <c r="H2089" t="s">
        <v>39922</v>
      </c>
      <c r="I2089" t="s">
        <v>39923</v>
      </c>
      <c r="J2089" t="s">
        <v>39924</v>
      </c>
      <c r="K2089" t="s">
        <v>39925</v>
      </c>
      <c r="L2089" t="s">
        <v>39926</v>
      </c>
      <c r="M2089" t="s">
        <v>39927</v>
      </c>
      <c r="N2089" t="s">
        <v>39928</v>
      </c>
      <c r="O2089">
        <f>-629.830488676732 -73.6920037051448 -704.554039076957</f>
        <v>-1408.0765314588339</v>
      </c>
      <c r="P2089">
        <f>-651.007106224841 -16.82996670891 -393.902448801795</f>
        <v>-1061.7395217355461</v>
      </c>
      <c r="Q2089" t="s">
        <v>39929</v>
      </c>
      <c r="R2089" t="s">
        <v>39930</v>
      </c>
      <c r="S2089" t="s">
        <v>39931</v>
      </c>
      <c r="T2089" t="s">
        <v>39932</v>
      </c>
      <c r="U2089" t="s">
        <v>39933</v>
      </c>
      <c r="V2089" t="s">
        <v>39934</v>
      </c>
      <c r="W2089" t="s">
        <v>39935</v>
      </c>
      <c r="X2089" t="s">
        <v>39936</v>
      </c>
      <c r="Y2089" t="s">
        <v>39937</v>
      </c>
    </row>
    <row r="2090" spans="1:25" x14ac:dyDescent="0.3">
      <c r="A2090">
        <v>104450</v>
      </c>
      <c r="B2090" t="s">
        <v>39938</v>
      </c>
      <c r="C2090" t="s">
        <v>39939</v>
      </c>
      <c r="D2090" t="s">
        <v>39940</v>
      </c>
      <c r="E2090" t="s">
        <v>39941</v>
      </c>
      <c r="F2090" t="s">
        <v>39942</v>
      </c>
      <c r="G2090" t="s">
        <v>39943</v>
      </c>
      <c r="H2090" t="s">
        <v>39944</v>
      </c>
      <c r="I2090" t="s">
        <v>39945</v>
      </c>
      <c r="J2090" t="s">
        <v>39946</v>
      </c>
      <c r="K2090" t="s">
        <v>39947</v>
      </c>
      <c r="L2090" t="s">
        <v>39948</v>
      </c>
      <c r="M2090" t="s">
        <v>39949</v>
      </c>
      <c r="N2090" t="s">
        <v>39950</v>
      </c>
      <c r="O2090">
        <f>-630.036882569328 -74.3355891628762 -704.540035046968</f>
        <v>-1408.9125067791722</v>
      </c>
      <c r="P2090">
        <f>-652.330352293866 -17.7997867175791 -393.906944185332</f>
        <v>-1064.0370831967771</v>
      </c>
      <c r="Q2090" t="s">
        <v>39951</v>
      </c>
      <c r="R2090" t="s">
        <v>39952</v>
      </c>
      <c r="S2090" t="s">
        <v>39953</v>
      </c>
      <c r="T2090" t="s">
        <v>39954</v>
      </c>
      <c r="U2090" t="s">
        <v>39955</v>
      </c>
      <c r="V2090" t="s">
        <v>39956</v>
      </c>
      <c r="W2090" t="s">
        <v>39957</v>
      </c>
      <c r="X2090" t="s">
        <v>39958</v>
      </c>
      <c r="Y2090" t="s">
        <v>39959</v>
      </c>
    </row>
    <row r="2091" spans="1:25" x14ac:dyDescent="0.3">
      <c r="A2091">
        <v>104500</v>
      </c>
      <c r="B2091" t="s">
        <v>39960</v>
      </c>
      <c r="C2091" t="s">
        <v>39961</v>
      </c>
      <c r="D2091" t="s">
        <v>39962</v>
      </c>
      <c r="E2091" t="s">
        <v>39963</v>
      </c>
      <c r="F2091" t="s">
        <v>39964</v>
      </c>
      <c r="G2091" t="s">
        <v>39965</v>
      </c>
      <c r="H2091" t="s">
        <v>39966</v>
      </c>
      <c r="I2091" t="s">
        <v>39967</v>
      </c>
      <c r="J2091" t="s">
        <v>39968</v>
      </c>
      <c r="K2091" t="s">
        <v>39969</v>
      </c>
      <c r="L2091" t="s">
        <v>39970</v>
      </c>
      <c r="M2091" t="s">
        <v>39971</v>
      </c>
      <c r="N2091" t="s">
        <v>39972</v>
      </c>
      <c r="O2091">
        <f>-630.067269891302 -74.5446022391091 -704.61695395652</f>
        <v>-1409.2288260869309</v>
      </c>
      <c r="P2091">
        <f>-652.604015766859 -18.3116424587865 -393.946465481927</f>
        <v>-1064.8621237075727</v>
      </c>
      <c r="Q2091" t="s">
        <v>39973</v>
      </c>
      <c r="R2091" t="s">
        <v>39974</v>
      </c>
      <c r="S2091" t="s">
        <v>39975</v>
      </c>
      <c r="T2091" t="s">
        <v>39976</v>
      </c>
      <c r="U2091" t="s">
        <v>39977</v>
      </c>
      <c r="V2091" t="s">
        <v>39978</v>
      </c>
      <c r="W2091" t="s">
        <v>39979</v>
      </c>
      <c r="X2091" t="s">
        <v>39980</v>
      </c>
      <c r="Y2091" t="s">
        <v>39981</v>
      </c>
    </row>
    <row r="2092" spans="1:25" x14ac:dyDescent="0.3">
      <c r="A2092">
        <v>104550</v>
      </c>
      <c r="B2092" t="s">
        <v>39982</v>
      </c>
      <c r="C2092" t="s">
        <v>39983</v>
      </c>
      <c r="D2092" t="s">
        <v>39984</v>
      </c>
      <c r="E2092" t="s">
        <v>39985</v>
      </c>
      <c r="F2092" t="s">
        <v>39986</v>
      </c>
      <c r="G2092" t="s">
        <v>39987</v>
      </c>
      <c r="H2092" t="s">
        <v>39988</v>
      </c>
      <c r="I2092" t="s">
        <v>39989</v>
      </c>
      <c r="J2092" t="s">
        <v>39990</v>
      </c>
      <c r="K2092" t="s">
        <v>39991</v>
      </c>
      <c r="L2092" t="s">
        <v>39992</v>
      </c>
      <c r="M2092" t="s">
        <v>39993</v>
      </c>
      <c r="N2092" t="s">
        <v>39994</v>
      </c>
      <c r="O2092">
        <f>-630.703640062283 -74.9851378269027 -705.036399991942</f>
        <v>-1410.7251778811276</v>
      </c>
      <c r="P2092">
        <f>-652.294552845273 -19.1697313633176 -394.223578945185</f>
        <v>-1065.6878631537757</v>
      </c>
      <c r="Q2092" t="s">
        <v>39995</v>
      </c>
      <c r="R2092" t="s">
        <v>39996</v>
      </c>
      <c r="S2092" t="s">
        <v>39997</v>
      </c>
      <c r="T2092" t="s">
        <v>39998</v>
      </c>
      <c r="U2092" t="s">
        <v>39999</v>
      </c>
      <c r="V2092" t="s">
        <v>40000</v>
      </c>
      <c r="W2092" t="s">
        <v>40001</v>
      </c>
      <c r="X2092" t="s">
        <v>40002</v>
      </c>
      <c r="Y2092" t="s">
        <v>40003</v>
      </c>
    </row>
    <row r="2093" spans="1:25" x14ac:dyDescent="0.3">
      <c r="A2093">
        <v>104600</v>
      </c>
      <c r="B2093" t="s">
        <v>40004</v>
      </c>
      <c r="C2093" t="s">
        <v>40005</v>
      </c>
      <c r="D2093" t="s">
        <v>40006</v>
      </c>
      <c r="E2093" t="s">
        <v>40007</v>
      </c>
      <c r="F2093" t="s">
        <v>40008</v>
      </c>
      <c r="G2093" t="s">
        <v>40009</v>
      </c>
      <c r="H2093" t="s">
        <v>40010</v>
      </c>
      <c r="I2093" t="s">
        <v>40011</v>
      </c>
      <c r="J2093" t="s">
        <v>40012</v>
      </c>
      <c r="K2093" t="s">
        <v>40013</v>
      </c>
      <c r="L2093" t="s">
        <v>40014</v>
      </c>
      <c r="M2093" t="s">
        <v>40015</v>
      </c>
      <c r="N2093" t="s">
        <v>40016</v>
      </c>
      <c r="O2093">
        <f>-631.187521904131 -75.3464099440305 -705.20139730117</f>
        <v>-1411.7353291493314</v>
      </c>
      <c r="P2093">
        <f>-651.821770116045 -19.6299277643404 -394.305838866324</f>
        <v>-1065.7575367467093</v>
      </c>
      <c r="Q2093" t="s">
        <v>40017</v>
      </c>
      <c r="R2093" t="s">
        <v>40018</v>
      </c>
      <c r="S2093" t="s">
        <v>40019</v>
      </c>
      <c r="T2093" t="s">
        <v>40020</v>
      </c>
      <c r="U2093" t="s">
        <v>40021</v>
      </c>
      <c r="V2093" t="s">
        <v>40022</v>
      </c>
      <c r="W2093" t="s">
        <v>40023</v>
      </c>
      <c r="X2093" t="s">
        <v>40024</v>
      </c>
      <c r="Y2093" t="s">
        <v>40025</v>
      </c>
    </row>
    <row r="2094" spans="1:25" x14ac:dyDescent="0.3">
      <c r="A2094">
        <v>104650</v>
      </c>
      <c r="B2094" t="s">
        <v>40026</v>
      </c>
      <c r="C2094" t="s">
        <v>40027</v>
      </c>
      <c r="D2094" t="s">
        <v>40028</v>
      </c>
      <c r="E2094" t="s">
        <v>40029</v>
      </c>
      <c r="F2094" t="s">
        <v>40030</v>
      </c>
      <c r="G2094" t="s">
        <v>40031</v>
      </c>
      <c r="H2094" t="s">
        <v>40032</v>
      </c>
      <c r="I2094" t="s">
        <v>40033</v>
      </c>
      <c r="J2094" t="s">
        <v>40034</v>
      </c>
      <c r="K2094" t="s">
        <v>40035</v>
      </c>
      <c r="L2094" t="s">
        <v>40036</v>
      </c>
      <c r="M2094" t="s">
        <v>40037</v>
      </c>
      <c r="N2094" t="s">
        <v>40038</v>
      </c>
      <c r="O2094">
        <f>-631.953862620082 -76.3974475541625 -705.499254693908</f>
        <v>-1413.8505648681526</v>
      </c>
      <c r="P2094">
        <f>-651.07988537965 -20.5924489664776 -394.523059369413</f>
        <v>-1066.1953937155406</v>
      </c>
      <c r="Q2094" t="s">
        <v>40039</v>
      </c>
      <c r="R2094" t="s">
        <v>40040</v>
      </c>
      <c r="S2094" t="s">
        <v>40041</v>
      </c>
      <c r="T2094" t="s">
        <v>40042</v>
      </c>
      <c r="U2094" t="s">
        <v>40043</v>
      </c>
      <c r="V2094" t="s">
        <v>40044</v>
      </c>
      <c r="W2094" t="s">
        <v>40045</v>
      </c>
      <c r="X2094" t="s">
        <v>40046</v>
      </c>
      <c r="Y2094" t="s">
        <v>40047</v>
      </c>
    </row>
    <row r="2095" spans="1:25" x14ac:dyDescent="0.3">
      <c r="A2095">
        <v>104700</v>
      </c>
      <c r="B2095" t="s">
        <v>40048</v>
      </c>
      <c r="C2095" t="s">
        <v>40049</v>
      </c>
      <c r="D2095" t="s">
        <v>40050</v>
      </c>
      <c r="E2095" t="s">
        <v>40051</v>
      </c>
      <c r="F2095" t="s">
        <v>40052</v>
      </c>
      <c r="G2095" t="s">
        <v>40053</v>
      </c>
      <c r="H2095" t="s">
        <v>40054</v>
      </c>
      <c r="I2095" t="s">
        <v>40055</v>
      </c>
      <c r="J2095" t="s">
        <v>40056</v>
      </c>
      <c r="K2095" t="s">
        <v>40057</v>
      </c>
      <c r="L2095" t="s">
        <v>40058</v>
      </c>
      <c r="M2095" t="s">
        <v>40059</v>
      </c>
      <c r="N2095" t="s">
        <v>40060</v>
      </c>
      <c r="O2095">
        <f>-632.153523730051 -76.7430455853496 -705.696680808615</f>
        <v>-1414.5932501240156</v>
      </c>
      <c r="P2095">
        <f>-650.910781572559 -21.3838386554182 -394.618512120304</f>
        <v>-1066.9131323482811</v>
      </c>
      <c r="Q2095" t="s">
        <v>40061</v>
      </c>
      <c r="R2095" t="s">
        <v>40062</v>
      </c>
      <c r="S2095" t="s">
        <v>40063</v>
      </c>
      <c r="T2095" t="s">
        <v>40064</v>
      </c>
      <c r="U2095" t="s">
        <v>40065</v>
      </c>
      <c r="V2095" t="s">
        <v>40066</v>
      </c>
      <c r="W2095" t="s">
        <v>40067</v>
      </c>
      <c r="X2095" t="s">
        <v>40068</v>
      </c>
      <c r="Y2095" t="s">
        <v>40069</v>
      </c>
    </row>
    <row r="2096" spans="1:25" x14ac:dyDescent="0.3">
      <c r="A2096">
        <v>104750</v>
      </c>
      <c r="B2096" t="s">
        <v>40070</v>
      </c>
      <c r="C2096" t="s">
        <v>40071</v>
      </c>
      <c r="D2096" t="s">
        <v>40072</v>
      </c>
      <c r="E2096" t="s">
        <v>40073</v>
      </c>
      <c r="F2096" t="s">
        <v>40074</v>
      </c>
      <c r="G2096" t="s">
        <v>40075</v>
      </c>
      <c r="H2096" t="s">
        <v>40076</v>
      </c>
      <c r="I2096" t="s">
        <v>40077</v>
      </c>
      <c r="J2096" t="s">
        <v>40078</v>
      </c>
      <c r="K2096" t="s">
        <v>40079</v>
      </c>
      <c r="L2096" t="s">
        <v>40080</v>
      </c>
      <c r="M2096" t="s">
        <v>40081</v>
      </c>
      <c r="N2096" t="s">
        <v>40082</v>
      </c>
      <c r="O2096">
        <f>-633.080905357831 -76.9499838210841 -706.131331975752</f>
        <v>-1416.1622211546671</v>
      </c>
      <c r="P2096">
        <f>-650.465624353622 -23.1287095196508 -394.703633174299</f>
        <v>-1068.2979670475718</v>
      </c>
      <c r="Q2096" t="s">
        <v>40083</v>
      </c>
      <c r="R2096" t="s">
        <v>40084</v>
      </c>
      <c r="S2096" t="s">
        <v>40085</v>
      </c>
      <c r="T2096" t="s">
        <v>40086</v>
      </c>
      <c r="U2096" t="s">
        <v>40087</v>
      </c>
      <c r="V2096" t="s">
        <v>40088</v>
      </c>
      <c r="W2096" t="s">
        <v>40089</v>
      </c>
      <c r="X2096" t="s">
        <v>40090</v>
      </c>
      <c r="Y2096" t="s">
        <v>40091</v>
      </c>
    </row>
    <row r="2097" spans="1:25" x14ac:dyDescent="0.3">
      <c r="A2097">
        <v>104800</v>
      </c>
      <c r="B2097" t="s">
        <v>40092</v>
      </c>
      <c r="C2097" t="s">
        <v>40093</v>
      </c>
      <c r="D2097" t="s">
        <v>40094</v>
      </c>
      <c r="E2097" t="s">
        <v>40095</v>
      </c>
      <c r="F2097" t="s">
        <v>40096</v>
      </c>
      <c r="G2097" t="s">
        <v>40097</v>
      </c>
      <c r="H2097" t="s">
        <v>40098</v>
      </c>
      <c r="I2097" t="s">
        <v>40099</v>
      </c>
      <c r="J2097" t="s">
        <v>40100</v>
      </c>
      <c r="K2097" t="s">
        <v>40101</v>
      </c>
      <c r="L2097" t="s">
        <v>40102</v>
      </c>
      <c r="M2097" t="s">
        <v>40103</v>
      </c>
      <c r="N2097" t="s">
        <v>40104</v>
      </c>
      <c r="O2097">
        <f>-633.506968012246 -77.0981381267013 -706.44516026971</f>
        <v>-1417.0502664086573</v>
      </c>
      <c r="P2097">
        <f>-650.796618727624 -23.8114479017609 -394.920251303379</f>
        <v>-1069.5283179327639</v>
      </c>
      <c r="Q2097" t="s">
        <v>40105</v>
      </c>
      <c r="R2097" t="s">
        <v>40106</v>
      </c>
      <c r="S2097" t="s">
        <v>40107</v>
      </c>
      <c r="T2097" t="s">
        <v>40108</v>
      </c>
      <c r="U2097" t="s">
        <v>40109</v>
      </c>
      <c r="V2097" t="s">
        <v>40110</v>
      </c>
      <c r="W2097" t="s">
        <v>40111</v>
      </c>
      <c r="X2097" t="s">
        <v>40112</v>
      </c>
      <c r="Y2097" t="s">
        <v>40113</v>
      </c>
    </row>
    <row r="2098" spans="1:25" x14ac:dyDescent="0.3">
      <c r="A2098">
        <v>104850</v>
      </c>
      <c r="B2098" t="s">
        <v>40114</v>
      </c>
      <c r="C2098" t="s">
        <v>40115</v>
      </c>
      <c r="D2098" t="s">
        <v>40116</v>
      </c>
      <c r="E2098" t="s">
        <v>40117</v>
      </c>
      <c r="F2098" t="s">
        <v>40118</v>
      </c>
      <c r="G2098" t="s">
        <v>40119</v>
      </c>
      <c r="H2098" t="s">
        <v>40120</v>
      </c>
      <c r="I2098" t="s">
        <v>40121</v>
      </c>
      <c r="J2098" t="s">
        <v>40122</v>
      </c>
      <c r="K2098" t="s">
        <v>40123</v>
      </c>
      <c r="L2098" t="s">
        <v>40124</v>
      </c>
      <c r="M2098" t="s">
        <v>40125</v>
      </c>
      <c r="N2098" t="s">
        <v>40126</v>
      </c>
      <c r="O2098">
        <f>-634.470368556247 -77.2936414642029 -706.859038649994</f>
        <v>-1418.6230486704439</v>
      </c>
      <c r="P2098">
        <f>-650.741232821834 -24.712880533775 -395.159449084691</f>
        <v>-1070.6135624403</v>
      </c>
      <c r="Q2098" t="s">
        <v>40127</v>
      </c>
      <c r="R2098" t="s">
        <v>40128</v>
      </c>
      <c r="S2098" t="s">
        <v>40129</v>
      </c>
      <c r="T2098" t="s">
        <v>40130</v>
      </c>
      <c r="U2098" t="s">
        <v>40131</v>
      </c>
      <c r="V2098" t="s">
        <v>40132</v>
      </c>
      <c r="W2098" t="s">
        <v>40133</v>
      </c>
      <c r="X2098" t="s">
        <v>40134</v>
      </c>
      <c r="Y2098" t="s">
        <v>40135</v>
      </c>
    </row>
    <row r="2099" spans="1:25" x14ac:dyDescent="0.3">
      <c r="A2099">
        <v>104900</v>
      </c>
      <c r="B2099" t="s">
        <v>40136</v>
      </c>
      <c r="C2099" t="s">
        <v>40137</v>
      </c>
      <c r="D2099" t="s">
        <v>40138</v>
      </c>
      <c r="E2099" t="s">
        <v>40139</v>
      </c>
      <c r="F2099" t="s">
        <v>40140</v>
      </c>
      <c r="G2099" t="s">
        <v>40141</v>
      </c>
      <c r="H2099" t="s">
        <v>40142</v>
      </c>
      <c r="I2099" t="s">
        <v>40143</v>
      </c>
      <c r="J2099" t="s">
        <v>40144</v>
      </c>
      <c r="K2099" t="s">
        <v>40145</v>
      </c>
      <c r="L2099" t="s">
        <v>40146</v>
      </c>
      <c r="M2099" t="s">
        <v>40147</v>
      </c>
      <c r="N2099" t="s">
        <v>40148</v>
      </c>
      <c r="O2099">
        <f>-634.933326792032 -77.3418219177631 -706.851826587026</f>
        <v>-1419.126975296821</v>
      </c>
      <c r="P2099">
        <f>-650.820296732762 -25.1361620230728 -395.06937903084</f>
        <v>-1071.0258377866749</v>
      </c>
      <c r="Q2099" t="s">
        <v>40149</v>
      </c>
      <c r="R2099" t="s">
        <v>40150</v>
      </c>
      <c r="S2099" t="s">
        <v>40151</v>
      </c>
      <c r="T2099" t="s">
        <v>40152</v>
      </c>
      <c r="U2099" t="s">
        <v>40153</v>
      </c>
      <c r="V2099" t="s">
        <v>40154</v>
      </c>
      <c r="W2099" t="s">
        <v>40155</v>
      </c>
      <c r="X2099" t="s">
        <v>40156</v>
      </c>
      <c r="Y2099" t="s">
        <v>40157</v>
      </c>
    </row>
    <row r="2100" spans="1:25" x14ac:dyDescent="0.3">
      <c r="A2100">
        <v>104950</v>
      </c>
      <c r="B2100" t="s">
        <v>40158</v>
      </c>
      <c r="C2100" t="s">
        <v>40159</v>
      </c>
      <c r="D2100" t="s">
        <v>40160</v>
      </c>
      <c r="E2100" t="s">
        <v>40161</v>
      </c>
      <c r="F2100" t="s">
        <v>40162</v>
      </c>
      <c r="G2100" t="s">
        <v>40163</v>
      </c>
      <c r="H2100" t="s">
        <v>40164</v>
      </c>
      <c r="I2100" t="s">
        <v>40165</v>
      </c>
      <c r="J2100" t="s">
        <v>40166</v>
      </c>
      <c r="K2100" t="s">
        <v>40167</v>
      </c>
      <c r="L2100" t="s">
        <v>40168</v>
      </c>
      <c r="M2100" t="s">
        <v>40169</v>
      </c>
      <c r="N2100" t="s">
        <v>40170</v>
      </c>
      <c r="O2100">
        <f>-635.637411508418 -77.4851482573922 -706.767644058211</f>
        <v>-1419.8902038240212</v>
      </c>
      <c r="P2100">
        <f>-650.286874829702 -25.8734698484534 -394.825534304758</f>
        <v>-1070.9858789829134</v>
      </c>
      <c r="Q2100" t="s">
        <v>40171</v>
      </c>
      <c r="R2100" t="s">
        <v>40172</v>
      </c>
      <c r="S2100" t="s">
        <v>40173</v>
      </c>
      <c r="T2100" t="s">
        <v>40174</v>
      </c>
      <c r="U2100" t="s">
        <v>40175</v>
      </c>
      <c r="V2100" t="s">
        <v>40176</v>
      </c>
      <c r="W2100" t="s">
        <v>40177</v>
      </c>
      <c r="X2100" t="s">
        <v>40178</v>
      </c>
      <c r="Y2100" t="s">
        <v>40179</v>
      </c>
    </row>
    <row r="2101" spans="1:25" x14ac:dyDescent="0.3">
      <c r="A2101">
        <v>105000</v>
      </c>
      <c r="B2101" t="s">
        <v>40180</v>
      </c>
      <c r="C2101" t="s">
        <v>40181</v>
      </c>
      <c r="D2101" t="s">
        <v>40182</v>
      </c>
      <c r="E2101" t="s">
        <v>40183</v>
      </c>
      <c r="F2101" t="s">
        <v>40184</v>
      </c>
      <c r="G2101" t="s">
        <v>40185</v>
      </c>
      <c r="H2101" t="s">
        <v>40186</v>
      </c>
      <c r="I2101" t="s">
        <v>40187</v>
      </c>
      <c r="J2101" t="s">
        <v>40188</v>
      </c>
      <c r="K2101" t="s">
        <v>40189</v>
      </c>
      <c r="L2101" t="s">
        <v>40190</v>
      </c>
      <c r="M2101" t="s">
        <v>40191</v>
      </c>
      <c r="N2101" t="s">
        <v>40192</v>
      </c>
      <c r="O2101">
        <f>-635.64259434934 -77.5702353193446 -706.666296874159</f>
        <v>-1419.8791265428436</v>
      </c>
      <c r="P2101">
        <f>-649.878546987941 -26.164816154451 -394.671044212237</f>
        <v>-1070.7144073546292</v>
      </c>
      <c r="Q2101" t="s">
        <v>40193</v>
      </c>
      <c r="R2101" t="s">
        <v>40194</v>
      </c>
      <c r="S2101" t="s">
        <v>40195</v>
      </c>
      <c r="T2101" t="s">
        <v>40196</v>
      </c>
      <c r="U2101" t="s">
        <v>40197</v>
      </c>
      <c r="V2101" t="s">
        <v>40198</v>
      </c>
      <c r="W2101" t="s">
        <v>40199</v>
      </c>
      <c r="X2101" t="s">
        <v>40200</v>
      </c>
      <c r="Y2101" t="s">
        <v>40201</v>
      </c>
    </row>
    <row r="2102" spans="1:25" x14ac:dyDescent="0.3">
      <c r="A2102">
        <v>105050</v>
      </c>
      <c r="B2102" t="s">
        <v>40202</v>
      </c>
      <c r="C2102" t="s">
        <v>40203</v>
      </c>
      <c r="D2102" t="s">
        <v>40204</v>
      </c>
      <c r="E2102" t="s">
        <v>40205</v>
      </c>
      <c r="F2102" t="s">
        <v>40206</v>
      </c>
      <c r="G2102" t="s">
        <v>40207</v>
      </c>
      <c r="H2102" t="s">
        <v>40208</v>
      </c>
      <c r="I2102" t="s">
        <v>40209</v>
      </c>
      <c r="J2102" t="s">
        <v>40210</v>
      </c>
      <c r="K2102" t="s">
        <v>40211</v>
      </c>
      <c r="L2102" t="s">
        <v>40212</v>
      </c>
      <c r="M2102" t="s">
        <v>40213</v>
      </c>
      <c r="N2102" t="s">
        <v>40214</v>
      </c>
      <c r="O2102">
        <f>-634.737332961158 -77.4860477466559 -706.610669727554</f>
        <v>-1418.8340504353678</v>
      </c>
      <c r="P2102">
        <f>-649.342294983322 -26.5185393650602 -394.560798580876</f>
        <v>-1070.4216329292581</v>
      </c>
      <c r="Q2102" t="s">
        <v>40215</v>
      </c>
      <c r="R2102" t="s">
        <v>40216</v>
      </c>
      <c r="S2102" t="s">
        <v>40217</v>
      </c>
      <c r="T2102" t="s">
        <v>40218</v>
      </c>
      <c r="U2102" t="s">
        <v>40219</v>
      </c>
      <c r="V2102" t="s">
        <v>40220</v>
      </c>
      <c r="W2102" t="s">
        <v>40221</v>
      </c>
      <c r="X2102" t="s">
        <v>40222</v>
      </c>
      <c r="Y2102" t="s">
        <v>40223</v>
      </c>
    </row>
    <row r="2103" spans="1:25" x14ac:dyDescent="0.3">
      <c r="A2103">
        <v>105100</v>
      </c>
      <c r="B2103" t="s">
        <v>40224</v>
      </c>
      <c r="C2103" t="s">
        <v>40225</v>
      </c>
      <c r="D2103" t="s">
        <v>40226</v>
      </c>
      <c r="E2103" t="s">
        <v>40227</v>
      </c>
      <c r="F2103" t="s">
        <v>40228</v>
      </c>
      <c r="G2103" t="s">
        <v>40229</v>
      </c>
      <c r="H2103" t="s">
        <v>40230</v>
      </c>
      <c r="I2103" t="s">
        <v>40231</v>
      </c>
      <c r="J2103" t="s">
        <v>40232</v>
      </c>
      <c r="K2103" t="s">
        <v>40233</v>
      </c>
      <c r="L2103" t="s">
        <v>40234</v>
      </c>
      <c r="M2103" t="s">
        <v>40235</v>
      </c>
      <c r="N2103" t="s">
        <v>40236</v>
      </c>
      <c r="O2103">
        <f>-634.269977106886 -77.3705055191799 -706.587546258884</f>
        <v>-1418.2280288849499</v>
      </c>
      <c r="P2103">
        <f>-649.146248816124 -26.6943696227042 -394.502876841709</f>
        <v>-1070.3434952805371</v>
      </c>
      <c r="Q2103" t="s">
        <v>40237</v>
      </c>
      <c r="R2103" t="s">
        <v>40238</v>
      </c>
      <c r="S2103" t="s">
        <v>40239</v>
      </c>
      <c r="T2103" t="s">
        <v>40240</v>
      </c>
      <c r="U2103" t="s">
        <v>40241</v>
      </c>
      <c r="V2103" t="s">
        <v>40242</v>
      </c>
      <c r="W2103" t="s">
        <v>40243</v>
      </c>
      <c r="X2103" t="s">
        <v>40244</v>
      </c>
      <c r="Y2103" t="s">
        <v>40245</v>
      </c>
    </row>
    <row r="2104" spans="1:25" x14ac:dyDescent="0.3">
      <c r="A2104">
        <v>105150</v>
      </c>
      <c r="B2104" t="s">
        <v>40246</v>
      </c>
      <c r="C2104" t="s">
        <v>40247</v>
      </c>
      <c r="D2104" t="s">
        <v>40248</v>
      </c>
      <c r="E2104" t="s">
        <v>40249</v>
      </c>
      <c r="F2104" t="s">
        <v>40250</v>
      </c>
      <c r="G2104" t="s">
        <v>40251</v>
      </c>
      <c r="H2104" t="s">
        <v>40252</v>
      </c>
      <c r="I2104" t="s">
        <v>40253</v>
      </c>
      <c r="J2104" t="s">
        <v>40254</v>
      </c>
      <c r="K2104" t="s">
        <v>40255</v>
      </c>
      <c r="L2104" t="s">
        <v>40256</v>
      </c>
      <c r="M2104" t="s">
        <v>40257</v>
      </c>
      <c r="N2104" t="s">
        <v>40258</v>
      </c>
      <c r="O2104">
        <f>-632.682631928679 -77.2391086997106 -706.610542820796</f>
        <v>-1416.5322834491858</v>
      </c>
      <c r="P2104">
        <f>-648.305914883213 -26.5344531921617 -394.566933756601</f>
        <v>-1069.4073018319755</v>
      </c>
      <c r="Q2104" t="s">
        <v>40259</v>
      </c>
      <c r="R2104" t="s">
        <v>40260</v>
      </c>
      <c r="S2104" t="s">
        <v>40261</v>
      </c>
      <c r="T2104" t="s">
        <v>40262</v>
      </c>
      <c r="U2104" t="s">
        <v>40263</v>
      </c>
      <c r="V2104" t="s">
        <v>40264</v>
      </c>
      <c r="W2104" t="s">
        <v>40265</v>
      </c>
      <c r="X2104" t="s">
        <v>40266</v>
      </c>
      <c r="Y2104" t="s">
        <v>40267</v>
      </c>
    </row>
    <row r="2105" spans="1:25" x14ac:dyDescent="0.3">
      <c r="A2105">
        <v>105200</v>
      </c>
      <c r="B2105" t="s">
        <v>40268</v>
      </c>
      <c r="C2105" t="s">
        <v>40269</v>
      </c>
      <c r="D2105" t="s">
        <v>40270</v>
      </c>
      <c r="E2105" t="s">
        <v>40271</v>
      </c>
      <c r="F2105" t="s">
        <v>40272</v>
      </c>
      <c r="G2105" t="s">
        <v>40273</v>
      </c>
      <c r="H2105" t="s">
        <v>40274</v>
      </c>
      <c r="I2105" t="s">
        <v>40275</v>
      </c>
      <c r="J2105" t="s">
        <v>40276</v>
      </c>
      <c r="K2105" t="s">
        <v>40277</v>
      </c>
      <c r="L2105" t="s">
        <v>40278</v>
      </c>
      <c r="M2105" t="s">
        <v>40279</v>
      </c>
      <c r="N2105" t="s">
        <v>40280</v>
      </c>
      <c r="O2105">
        <f>-632.0771542479 -77.125812867667 -706.569342954838</f>
        <v>-1415.7723100704052</v>
      </c>
      <c r="P2105">
        <f>-647.349233484808 -25.7756915782836 -394.61399837359</f>
        <v>-1067.7389234366815</v>
      </c>
      <c r="Q2105" t="s">
        <v>40281</v>
      </c>
      <c r="R2105" t="s">
        <v>40282</v>
      </c>
      <c r="S2105" t="s">
        <v>40283</v>
      </c>
      <c r="T2105" t="s">
        <v>40284</v>
      </c>
      <c r="U2105" t="s">
        <v>40285</v>
      </c>
      <c r="V2105" t="s">
        <v>40286</v>
      </c>
      <c r="W2105" t="s">
        <v>40287</v>
      </c>
      <c r="X2105" t="s">
        <v>40288</v>
      </c>
      <c r="Y2105" t="s">
        <v>40289</v>
      </c>
    </row>
    <row r="2106" spans="1:25" x14ac:dyDescent="0.3">
      <c r="A2106">
        <v>105250</v>
      </c>
      <c r="B2106" t="s">
        <v>40290</v>
      </c>
      <c r="C2106" t="s">
        <v>40291</v>
      </c>
      <c r="D2106" t="s">
        <v>40292</v>
      </c>
      <c r="E2106" t="s">
        <v>40293</v>
      </c>
      <c r="F2106" t="s">
        <v>40294</v>
      </c>
      <c r="G2106" t="s">
        <v>40295</v>
      </c>
      <c r="H2106" t="s">
        <v>40296</v>
      </c>
      <c r="I2106" t="s">
        <v>40297</v>
      </c>
      <c r="J2106" t="s">
        <v>40298</v>
      </c>
      <c r="K2106" t="s">
        <v>40299</v>
      </c>
      <c r="L2106" t="s">
        <v>40300</v>
      </c>
      <c r="M2106" t="s">
        <v>40301</v>
      </c>
      <c r="N2106" t="s">
        <v>40302</v>
      </c>
      <c r="O2106">
        <f>-631.438953278313 -76.6286449618115 -706.462661004816</f>
        <v>-1414.5302592449405</v>
      </c>
      <c r="P2106">
        <f>-644.624761945119 -25.4297201383463 -394.387388414059</f>
        <v>-1064.4418704975242</v>
      </c>
      <c r="Q2106" t="s">
        <v>40303</v>
      </c>
      <c r="R2106" t="s">
        <v>40304</v>
      </c>
      <c r="S2106" t="s">
        <v>40305</v>
      </c>
      <c r="T2106" t="s">
        <v>40306</v>
      </c>
      <c r="U2106" t="s">
        <v>40307</v>
      </c>
      <c r="V2106" t="s">
        <v>40308</v>
      </c>
      <c r="W2106" t="s">
        <v>40309</v>
      </c>
      <c r="X2106" t="s">
        <v>40310</v>
      </c>
      <c r="Y2106" t="s">
        <v>40311</v>
      </c>
    </row>
    <row r="2107" spans="1:25" x14ac:dyDescent="0.3">
      <c r="A2107">
        <v>105300</v>
      </c>
      <c r="B2107" t="s">
        <v>40312</v>
      </c>
      <c r="C2107" t="s">
        <v>40313</v>
      </c>
      <c r="D2107" t="s">
        <v>40314</v>
      </c>
      <c r="E2107" t="s">
        <v>40315</v>
      </c>
      <c r="F2107" t="s">
        <v>40316</v>
      </c>
      <c r="G2107" t="s">
        <v>40317</v>
      </c>
      <c r="H2107" t="s">
        <v>40318</v>
      </c>
      <c r="I2107" t="s">
        <v>40319</v>
      </c>
      <c r="J2107" t="s">
        <v>40320</v>
      </c>
      <c r="K2107" t="s">
        <v>40321</v>
      </c>
      <c r="L2107" t="s">
        <v>40322</v>
      </c>
      <c r="M2107" t="s">
        <v>40323</v>
      </c>
      <c r="N2107" t="s">
        <v>40324</v>
      </c>
      <c r="O2107">
        <f>-631.268887019633 -76.318092323683 -706.544728446353</f>
        <v>-1414.131707789669</v>
      </c>
      <c r="P2107">
        <f>-643.388751346234 -25.27869169273 -394.400053900323</f>
        <v>-1063.0674969392871</v>
      </c>
      <c r="Q2107" t="s">
        <v>40325</v>
      </c>
      <c r="R2107" t="s">
        <v>40326</v>
      </c>
      <c r="S2107" t="s">
        <v>40327</v>
      </c>
      <c r="T2107" t="s">
        <v>40328</v>
      </c>
      <c r="U2107" t="s">
        <v>40329</v>
      </c>
      <c r="V2107" t="s">
        <v>40330</v>
      </c>
      <c r="W2107" t="s">
        <v>40331</v>
      </c>
      <c r="X2107" t="s">
        <v>40332</v>
      </c>
      <c r="Y2107" t="s">
        <v>40333</v>
      </c>
    </row>
    <row r="2108" spans="1:25" x14ac:dyDescent="0.3">
      <c r="A2108">
        <v>105350</v>
      </c>
      <c r="B2108" t="s">
        <v>40334</v>
      </c>
      <c r="C2108" t="s">
        <v>40335</v>
      </c>
      <c r="D2108" t="s">
        <v>40336</v>
      </c>
      <c r="E2108" t="s">
        <v>40337</v>
      </c>
      <c r="F2108" t="s">
        <v>40338</v>
      </c>
      <c r="G2108" t="s">
        <v>40339</v>
      </c>
      <c r="H2108" t="s">
        <v>40340</v>
      </c>
      <c r="I2108" t="s">
        <v>40341</v>
      </c>
      <c r="J2108" t="s">
        <v>40342</v>
      </c>
      <c r="K2108" t="s">
        <v>40343</v>
      </c>
      <c r="L2108" t="s">
        <v>40344</v>
      </c>
      <c r="M2108" t="s">
        <v>40345</v>
      </c>
      <c r="N2108" t="s">
        <v>40346</v>
      </c>
      <c r="O2108">
        <f>-630.3693048102 -76.0309860958005 -706.508273923855</f>
        <v>-1412.9085648298555</v>
      </c>
      <c r="P2108">
        <f>-641.299256374758 -26.8521809163103 -394.021192648355</f>
        <v>-1062.1726299394234</v>
      </c>
      <c r="Q2108" t="s">
        <v>40347</v>
      </c>
      <c r="R2108" t="s">
        <v>40348</v>
      </c>
      <c r="S2108" t="s">
        <v>40349</v>
      </c>
      <c r="T2108" t="s">
        <v>40350</v>
      </c>
      <c r="U2108" t="s">
        <v>40351</v>
      </c>
      <c r="V2108" t="s">
        <v>40352</v>
      </c>
      <c r="W2108" t="s">
        <v>40353</v>
      </c>
      <c r="X2108" t="s">
        <v>40354</v>
      </c>
      <c r="Y2108" t="s">
        <v>40355</v>
      </c>
    </row>
    <row r="2109" spans="1:25" x14ac:dyDescent="0.3">
      <c r="A2109">
        <v>105400</v>
      </c>
      <c r="B2109" t="s">
        <v>40356</v>
      </c>
      <c r="C2109" t="s">
        <v>40357</v>
      </c>
      <c r="D2109" t="s">
        <v>40358</v>
      </c>
      <c r="E2109" t="s">
        <v>40359</v>
      </c>
      <c r="F2109" t="s">
        <v>40360</v>
      </c>
      <c r="G2109" t="s">
        <v>40361</v>
      </c>
      <c r="H2109" t="s">
        <v>40362</v>
      </c>
      <c r="I2109" t="s">
        <v>40363</v>
      </c>
      <c r="J2109" t="s">
        <v>40364</v>
      </c>
      <c r="K2109" t="s">
        <v>40365</v>
      </c>
      <c r="L2109" t="s">
        <v>40366</v>
      </c>
      <c r="M2109" t="s">
        <v>40367</v>
      </c>
      <c r="N2109" t="s">
        <v>40368</v>
      </c>
      <c r="O2109">
        <f>-629.683049520483 -75.8698979033861 -706.483770185186</f>
        <v>-1412.0367176090551</v>
      </c>
      <c r="P2109">
        <f>-640.267461078849 -27.8777137754014 -393.800432955391</f>
        <v>-1061.9456078096414</v>
      </c>
      <c r="Q2109" t="s">
        <v>40369</v>
      </c>
      <c r="R2109" t="s">
        <v>40370</v>
      </c>
      <c r="S2109" t="s">
        <v>40371</v>
      </c>
      <c r="T2109" t="s">
        <v>40372</v>
      </c>
      <c r="U2109" t="s">
        <v>40373</v>
      </c>
      <c r="V2109" t="s">
        <v>40374</v>
      </c>
      <c r="W2109" t="s">
        <v>40375</v>
      </c>
      <c r="X2109" t="s">
        <v>40376</v>
      </c>
      <c r="Y2109" t="s">
        <v>40377</v>
      </c>
    </row>
    <row r="2110" spans="1:25" x14ac:dyDescent="0.3">
      <c r="A2110">
        <v>105450</v>
      </c>
      <c r="B2110" t="s">
        <v>40378</v>
      </c>
      <c r="C2110" t="s">
        <v>40379</v>
      </c>
      <c r="D2110" t="s">
        <v>40380</v>
      </c>
      <c r="E2110" t="s">
        <v>40381</v>
      </c>
      <c r="F2110" t="s">
        <v>40382</v>
      </c>
      <c r="G2110" t="s">
        <v>40383</v>
      </c>
      <c r="H2110" t="s">
        <v>40384</v>
      </c>
      <c r="I2110" t="s">
        <v>40385</v>
      </c>
      <c r="J2110" t="s">
        <v>40386</v>
      </c>
      <c r="K2110" t="s">
        <v>40387</v>
      </c>
      <c r="L2110" t="s">
        <v>40388</v>
      </c>
      <c r="M2110" t="s">
        <v>40389</v>
      </c>
      <c r="N2110" t="s">
        <v>40390</v>
      </c>
      <c r="O2110">
        <f>-628.882086696279 -74.9914577919776 -706.838044463294</f>
        <v>-1410.7115889515505</v>
      </c>
      <c r="P2110">
        <f>-638.684528193494 -30.2703499037716 -393.644730760485</f>
        <v>-1062.5996088577506</v>
      </c>
      <c r="Q2110" t="s">
        <v>40391</v>
      </c>
      <c r="R2110" t="s">
        <v>40392</v>
      </c>
      <c r="S2110" t="s">
        <v>40393</v>
      </c>
      <c r="T2110" t="s">
        <v>40394</v>
      </c>
      <c r="U2110" t="s">
        <v>40395</v>
      </c>
      <c r="V2110" t="s">
        <v>40396</v>
      </c>
      <c r="W2110" t="s">
        <v>40397</v>
      </c>
      <c r="X2110" t="s">
        <v>40398</v>
      </c>
      <c r="Y2110" t="s">
        <v>40399</v>
      </c>
    </row>
    <row r="2111" spans="1:25" x14ac:dyDescent="0.3">
      <c r="A2111">
        <v>105500</v>
      </c>
      <c r="B2111" t="s">
        <v>40400</v>
      </c>
      <c r="C2111" t="s">
        <v>40401</v>
      </c>
      <c r="D2111" t="s">
        <v>40402</v>
      </c>
      <c r="E2111" t="s">
        <v>40403</v>
      </c>
      <c r="F2111" t="s">
        <v>40404</v>
      </c>
      <c r="G2111" t="s">
        <v>40405</v>
      </c>
      <c r="H2111" t="s">
        <v>40406</v>
      </c>
      <c r="I2111" t="s">
        <v>40407</v>
      </c>
      <c r="J2111" t="s">
        <v>40408</v>
      </c>
      <c r="K2111" t="s">
        <v>40409</v>
      </c>
      <c r="L2111" t="s">
        <v>40410</v>
      </c>
      <c r="M2111" t="s">
        <v>40411</v>
      </c>
      <c r="N2111" t="s">
        <v>40412</v>
      </c>
      <c r="O2111">
        <f>-628.734012252198 -74.3339228137907 -707.37731854428</f>
        <v>-1410.4452536102685</v>
      </c>
      <c r="P2111">
        <f>-637.261799747517 -30.5047362560827 -394.020444376756</f>
        <v>-1061.7869803803555</v>
      </c>
      <c r="Q2111" t="s">
        <v>40413</v>
      </c>
      <c r="R2111" t="s">
        <v>40414</v>
      </c>
      <c r="S2111" t="s">
        <v>40415</v>
      </c>
      <c r="T2111" t="s">
        <v>40416</v>
      </c>
      <c r="U2111" t="s">
        <v>40417</v>
      </c>
      <c r="V2111" t="s">
        <v>40418</v>
      </c>
      <c r="W2111" t="s">
        <v>40419</v>
      </c>
      <c r="X2111" t="s">
        <v>40420</v>
      </c>
      <c r="Y2111" t="s">
        <v>40421</v>
      </c>
    </row>
    <row r="2112" spans="1:25" x14ac:dyDescent="0.3">
      <c r="A2112">
        <v>105550</v>
      </c>
      <c r="B2112" t="s">
        <v>40422</v>
      </c>
      <c r="C2112" t="s">
        <v>40423</v>
      </c>
      <c r="D2112" t="s">
        <v>40424</v>
      </c>
      <c r="E2112" t="s">
        <v>40425</v>
      </c>
      <c r="F2112" t="s">
        <v>40426</v>
      </c>
      <c r="G2112" t="s">
        <v>40427</v>
      </c>
      <c r="H2112" t="s">
        <v>40428</v>
      </c>
      <c r="I2112" t="s">
        <v>40429</v>
      </c>
      <c r="J2112" t="s">
        <v>40430</v>
      </c>
      <c r="K2112" t="s">
        <v>40431</v>
      </c>
      <c r="L2112" t="s">
        <v>40432</v>
      </c>
      <c r="M2112" t="s">
        <v>40433</v>
      </c>
      <c r="N2112" t="s">
        <v>40434</v>
      </c>
      <c r="O2112">
        <f>-627.92902169054 -73.7980790198383 -708.109584673169</f>
        <v>-1409.8366853835473</v>
      </c>
      <c r="P2112">
        <f>-635.18216219724 -29.4482156715269 -394.794077148351</f>
        <v>-1059.4244550171179</v>
      </c>
      <c r="Q2112" t="s">
        <v>40435</v>
      </c>
      <c r="R2112" t="s">
        <v>40436</v>
      </c>
      <c r="S2112" t="s">
        <v>40437</v>
      </c>
      <c r="T2112" t="s">
        <v>40438</v>
      </c>
      <c r="U2112" t="s">
        <v>40439</v>
      </c>
      <c r="V2112" t="s">
        <v>40440</v>
      </c>
      <c r="W2112" t="s">
        <v>40441</v>
      </c>
      <c r="X2112" t="s">
        <v>40442</v>
      </c>
      <c r="Y2112" t="s">
        <v>40443</v>
      </c>
    </row>
    <row r="2113" spans="1:25" x14ac:dyDescent="0.3">
      <c r="A2113">
        <v>105600</v>
      </c>
      <c r="B2113" t="s">
        <v>40444</v>
      </c>
      <c r="C2113" t="s">
        <v>40445</v>
      </c>
      <c r="D2113" t="s">
        <v>40446</v>
      </c>
      <c r="E2113" t="s">
        <v>40447</v>
      </c>
      <c r="F2113" t="s">
        <v>40448</v>
      </c>
      <c r="G2113" t="s">
        <v>40449</v>
      </c>
      <c r="H2113" t="s">
        <v>40450</v>
      </c>
      <c r="I2113" t="s">
        <v>40451</v>
      </c>
      <c r="J2113" t="s">
        <v>40452</v>
      </c>
      <c r="K2113" t="s">
        <v>40453</v>
      </c>
      <c r="L2113" t="s">
        <v>40454</v>
      </c>
      <c r="M2113" t="s">
        <v>40455</v>
      </c>
      <c r="N2113" t="s">
        <v>40456</v>
      </c>
      <c r="O2113">
        <f>-627.146419958269 -73.6519418744617 -708.362501412895</f>
        <v>-1409.1608632456257</v>
      </c>
      <c r="P2113">
        <f>-634.889160228221 -29.8957400148465 -394.975073690296</f>
        <v>-1059.7599739333637</v>
      </c>
      <c r="Q2113" t="s">
        <v>40457</v>
      </c>
      <c r="R2113" t="s">
        <v>40458</v>
      </c>
      <c r="S2113" t="s">
        <v>40459</v>
      </c>
      <c r="T2113" t="s">
        <v>40460</v>
      </c>
      <c r="U2113" t="s">
        <v>40461</v>
      </c>
      <c r="V2113" t="s">
        <v>40462</v>
      </c>
      <c r="W2113" t="s">
        <v>40463</v>
      </c>
      <c r="X2113" t="s">
        <v>40464</v>
      </c>
      <c r="Y2113" t="s">
        <v>40465</v>
      </c>
    </row>
    <row r="2114" spans="1:25" x14ac:dyDescent="0.3">
      <c r="A2114">
        <v>105650</v>
      </c>
      <c r="B2114" t="s">
        <v>40466</v>
      </c>
      <c r="C2114" t="s">
        <v>40467</v>
      </c>
      <c r="D2114" t="s">
        <v>40468</v>
      </c>
      <c r="E2114" t="s">
        <v>40469</v>
      </c>
      <c r="F2114" t="s">
        <v>40470</v>
      </c>
      <c r="G2114" t="s">
        <v>40471</v>
      </c>
      <c r="H2114" t="s">
        <v>40472</v>
      </c>
      <c r="I2114" t="s">
        <v>40473</v>
      </c>
      <c r="J2114" t="s">
        <v>40474</v>
      </c>
      <c r="K2114" t="s">
        <v>40475</v>
      </c>
      <c r="L2114" t="s">
        <v>40476</v>
      </c>
      <c r="M2114" t="s">
        <v>40477</v>
      </c>
      <c r="N2114" t="s">
        <v>40478</v>
      </c>
      <c r="O2114">
        <f>-625.857071253812 -72.7655695066546 -709.125869724515</f>
        <v>-1407.7485104849816</v>
      </c>
      <c r="P2114">
        <f>-635.401805176519 -29.1601839288523 -395.767217605192</f>
        <v>-1060.3292067105633</v>
      </c>
      <c r="Q2114" t="s">
        <v>40479</v>
      </c>
      <c r="R2114" t="s">
        <v>40480</v>
      </c>
      <c r="S2114" t="s">
        <v>40481</v>
      </c>
      <c r="T2114" t="s">
        <v>40482</v>
      </c>
      <c r="U2114" t="s">
        <v>40483</v>
      </c>
      <c r="V2114" t="s">
        <v>40484</v>
      </c>
      <c r="W2114" t="s">
        <v>40485</v>
      </c>
      <c r="X2114" t="s">
        <v>40486</v>
      </c>
      <c r="Y2114" t="s">
        <v>40487</v>
      </c>
    </row>
    <row r="2115" spans="1:25" x14ac:dyDescent="0.3">
      <c r="A2115">
        <v>105700</v>
      </c>
      <c r="B2115" t="s">
        <v>40488</v>
      </c>
      <c r="C2115" t="s">
        <v>40489</v>
      </c>
      <c r="D2115" t="s">
        <v>40490</v>
      </c>
      <c r="E2115" t="s">
        <v>40491</v>
      </c>
      <c r="F2115" t="s">
        <v>40492</v>
      </c>
      <c r="G2115" t="s">
        <v>40493</v>
      </c>
      <c r="H2115" t="s">
        <v>40494</v>
      </c>
      <c r="I2115" t="s">
        <v>40495</v>
      </c>
      <c r="J2115" t="s">
        <v>40496</v>
      </c>
      <c r="K2115" t="s">
        <v>40497</v>
      </c>
      <c r="L2115" t="s">
        <v>40498</v>
      </c>
      <c r="M2115" t="s">
        <v>40499</v>
      </c>
      <c r="N2115" t="s">
        <v>40500</v>
      </c>
      <c r="O2115">
        <f>-625.333014016068 -72.6908265087839 -709.229700318377</f>
        <v>-1407.2535408432288</v>
      </c>
      <c r="P2115">
        <f>-635.497373690425 -28.5406224737105 -395.966795507397</f>
        <v>-1060.0047916715325</v>
      </c>
      <c r="Q2115" t="s">
        <v>40501</v>
      </c>
      <c r="R2115" t="s">
        <v>40502</v>
      </c>
      <c r="S2115" t="s">
        <v>40503</v>
      </c>
      <c r="T2115" t="s">
        <v>40504</v>
      </c>
      <c r="U2115" t="s">
        <v>40505</v>
      </c>
      <c r="V2115" t="s">
        <v>40506</v>
      </c>
      <c r="W2115" t="s">
        <v>40507</v>
      </c>
      <c r="X2115" t="s">
        <v>40508</v>
      </c>
      <c r="Y2115" t="s">
        <v>40509</v>
      </c>
    </row>
    <row r="2116" spans="1:25" x14ac:dyDescent="0.3">
      <c r="A2116">
        <v>105750</v>
      </c>
      <c r="B2116" t="s">
        <v>40510</v>
      </c>
      <c r="C2116" t="s">
        <v>40511</v>
      </c>
      <c r="D2116" t="s">
        <v>40512</v>
      </c>
      <c r="E2116" t="s">
        <v>40513</v>
      </c>
      <c r="F2116" t="s">
        <v>40514</v>
      </c>
      <c r="G2116" t="s">
        <v>40515</v>
      </c>
      <c r="H2116" t="s">
        <v>40516</v>
      </c>
      <c r="I2116" t="s">
        <v>40517</v>
      </c>
      <c r="J2116" t="s">
        <v>40518</v>
      </c>
      <c r="K2116" t="s">
        <v>40519</v>
      </c>
      <c r="L2116" t="s">
        <v>40520</v>
      </c>
      <c r="M2116" t="s">
        <v>40521</v>
      </c>
      <c r="N2116" t="s">
        <v>40522</v>
      </c>
      <c r="O2116">
        <f>-624.936211480099 -72.8872435526894 -709.105226602329</f>
        <v>-1406.9286816351173</v>
      </c>
      <c r="P2116">
        <f>-635.859621482211 -27.7671671066255 -396.006130517378</f>
        <v>-1059.6329191062146</v>
      </c>
      <c r="Q2116" t="s">
        <v>40523</v>
      </c>
      <c r="R2116" t="s">
        <v>40524</v>
      </c>
      <c r="S2116" t="s">
        <v>40525</v>
      </c>
      <c r="T2116" t="s">
        <v>40526</v>
      </c>
      <c r="U2116" t="s">
        <v>40527</v>
      </c>
      <c r="V2116" t="s">
        <v>40528</v>
      </c>
      <c r="W2116" t="s">
        <v>40529</v>
      </c>
      <c r="X2116" t="s">
        <v>40530</v>
      </c>
      <c r="Y2116" t="s">
        <v>40531</v>
      </c>
    </row>
    <row r="2117" spans="1:25" x14ac:dyDescent="0.3">
      <c r="A2117">
        <v>105800</v>
      </c>
      <c r="B2117" t="s">
        <v>40532</v>
      </c>
      <c r="C2117" t="s">
        <v>40533</v>
      </c>
      <c r="D2117" t="s">
        <v>40534</v>
      </c>
      <c r="E2117" t="s">
        <v>40535</v>
      </c>
      <c r="F2117" t="s">
        <v>40536</v>
      </c>
      <c r="G2117" t="s">
        <v>40537</v>
      </c>
      <c r="H2117" t="s">
        <v>40538</v>
      </c>
      <c r="I2117" t="s">
        <v>40539</v>
      </c>
      <c r="J2117" t="s">
        <v>40540</v>
      </c>
      <c r="K2117" t="s">
        <v>40541</v>
      </c>
      <c r="L2117" t="s">
        <v>40542</v>
      </c>
      <c r="M2117" t="s">
        <v>40543</v>
      </c>
      <c r="N2117" t="s">
        <v>40544</v>
      </c>
      <c r="O2117">
        <f>-624.770518134786 -72.8202604490034 -709.178262826069</f>
        <v>-1406.7690414098583</v>
      </c>
      <c r="P2117">
        <f>-635.851246953842 -27.7574333980408 -396.076426207199</f>
        <v>-1059.6851065590818</v>
      </c>
      <c r="Q2117" t="s">
        <v>40545</v>
      </c>
      <c r="R2117" t="s">
        <v>40546</v>
      </c>
      <c r="S2117" t="s">
        <v>40547</v>
      </c>
      <c r="T2117" t="s">
        <v>40548</v>
      </c>
      <c r="U2117" t="s">
        <v>40549</v>
      </c>
      <c r="V2117" t="s">
        <v>40550</v>
      </c>
      <c r="W2117" t="s">
        <v>40551</v>
      </c>
      <c r="X2117" t="s">
        <v>40552</v>
      </c>
      <c r="Y2117" t="s">
        <v>40553</v>
      </c>
    </row>
    <row r="2118" spans="1:25" x14ac:dyDescent="0.3">
      <c r="A2118">
        <v>105850</v>
      </c>
      <c r="B2118" t="s">
        <v>40554</v>
      </c>
      <c r="C2118" t="s">
        <v>40555</v>
      </c>
      <c r="D2118" t="s">
        <v>40556</v>
      </c>
      <c r="E2118" t="s">
        <v>40557</v>
      </c>
      <c r="F2118" t="s">
        <v>40558</v>
      </c>
      <c r="G2118" t="s">
        <v>40559</v>
      </c>
      <c r="H2118" t="s">
        <v>40560</v>
      </c>
      <c r="I2118" t="s">
        <v>40561</v>
      </c>
      <c r="J2118" t="s">
        <v>40562</v>
      </c>
      <c r="K2118" t="s">
        <v>40563</v>
      </c>
      <c r="L2118" t="s">
        <v>40564</v>
      </c>
      <c r="M2118" t="s">
        <v>40565</v>
      </c>
      <c r="N2118" t="s">
        <v>40566</v>
      </c>
      <c r="O2118">
        <f>-624.216043863485 -71.9561132455081 -709.677523522163</f>
        <v>-1405.8496806311562</v>
      </c>
      <c r="P2118">
        <f>-635.82085249956 -26.9249101878979 -396.590079881878</f>
        <v>-1059.3358425693359</v>
      </c>
      <c r="Q2118" t="s">
        <v>40567</v>
      </c>
      <c r="R2118" t="s">
        <v>40568</v>
      </c>
      <c r="S2118" t="s">
        <v>40569</v>
      </c>
      <c r="T2118" t="s">
        <v>40570</v>
      </c>
      <c r="U2118" t="s">
        <v>40571</v>
      </c>
      <c r="V2118" t="s">
        <v>40572</v>
      </c>
      <c r="W2118" t="s">
        <v>40573</v>
      </c>
      <c r="X2118" t="s">
        <v>40574</v>
      </c>
      <c r="Y2118" t="s">
        <v>40575</v>
      </c>
    </row>
    <row r="2119" spans="1:25" x14ac:dyDescent="0.3">
      <c r="A2119">
        <v>105900</v>
      </c>
      <c r="B2119" t="s">
        <v>40576</v>
      </c>
      <c r="C2119" t="s">
        <v>40577</v>
      </c>
      <c r="D2119" t="s">
        <v>40578</v>
      </c>
      <c r="E2119" t="s">
        <v>40579</v>
      </c>
      <c r="F2119" t="s">
        <v>40580</v>
      </c>
      <c r="G2119" t="s">
        <v>40581</v>
      </c>
      <c r="H2119" t="s">
        <v>40582</v>
      </c>
      <c r="I2119" t="s">
        <v>40583</v>
      </c>
      <c r="J2119" t="s">
        <v>40584</v>
      </c>
      <c r="K2119" t="s">
        <v>40585</v>
      </c>
      <c r="L2119" t="s">
        <v>40586</v>
      </c>
      <c r="M2119" t="s">
        <v>40587</v>
      </c>
      <c r="N2119" t="s">
        <v>40588</v>
      </c>
      <c r="O2119">
        <f>-623.756004040277 -71.5985708007117 -709.9308056205</f>
        <v>-1405.2853804614888</v>
      </c>
      <c r="P2119">
        <f>-635.967316753076 -26.1673547428038 -396.924303380551</f>
        <v>-1059.058974876431</v>
      </c>
      <c r="Q2119" t="s">
        <v>40589</v>
      </c>
      <c r="R2119" t="s">
        <v>40590</v>
      </c>
      <c r="S2119" t="s">
        <v>40591</v>
      </c>
      <c r="T2119" t="s">
        <v>40592</v>
      </c>
      <c r="U2119" t="s">
        <v>40593</v>
      </c>
      <c r="V2119" t="s">
        <v>40594</v>
      </c>
      <c r="W2119" t="s">
        <v>40595</v>
      </c>
      <c r="X2119" t="s">
        <v>40596</v>
      </c>
      <c r="Y2119" t="s">
        <v>40597</v>
      </c>
    </row>
    <row r="2120" spans="1:25" x14ac:dyDescent="0.3">
      <c r="A2120">
        <v>105950</v>
      </c>
      <c r="B2120" t="s">
        <v>40598</v>
      </c>
      <c r="C2120" t="s">
        <v>40599</v>
      </c>
      <c r="D2120" t="s">
        <v>40600</v>
      </c>
      <c r="E2120" t="s">
        <v>40601</v>
      </c>
      <c r="F2120" t="s">
        <v>40602</v>
      </c>
      <c r="G2120" t="s">
        <v>40603</v>
      </c>
      <c r="H2120" t="s">
        <v>40604</v>
      </c>
      <c r="I2120" t="s">
        <v>40605</v>
      </c>
      <c r="J2120" t="s">
        <v>40606</v>
      </c>
      <c r="K2120" t="s">
        <v>40607</v>
      </c>
      <c r="L2120" t="s">
        <v>40608</v>
      </c>
      <c r="M2120" t="s">
        <v>40609</v>
      </c>
      <c r="N2120" t="s">
        <v>40610</v>
      </c>
      <c r="O2120">
        <f>-622.574481726478 -70.9947907078142 -710.401879938761</f>
        <v>-1403.9711523730532</v>
      </c>
      <c r="P2120">
        <f>-637.16448937118 -25.6876025155595 -397.479308582696</f>
        <v>-1060.3314004694355</v>
      </c>
      <c r="Q2120" t="s">
        <v>40611</v>
      </c>
      <c r="R2120" t="s">
        <v>40612</v>
      </c>
      <c r="S2120" t="s">
        <v>40613</v>
      </c>
      <c r="T2120" t="s">
        <v>40614</v>
      </c>
      <c r="U2120" t="s">
        <v>40615</v>
      </c>
      <c r="V2120" t="s">
        <v>40616</v>
      </c>
      <c r="W2120" t="s">
        <v>40617</v>
      </c>
      <c r="X2120" t="s">
        <v>40618</v>
      </c>
      <c r="Y2120" t="s">
        <v>40619</v>
      </c>
    </row>
    <row r="2121" spans="1:25" x14ac:dyDescent="0.3">
      <c r="A2121">
        <v>106000</v>
      </c>
      <c r="B2121" t="s">
        <v>40620</v>
      </c>
      <c r="C2121" t="s">
        <v>40621</v>
      </c>
      <c r="D2121" t="s">
        <v>40622</v>
      </c>
      <c r="E2121" t="s">
        <v>40623</v>
      </c>
      <c r="F2121" t="s">
        <v>40624</v>
      </c>
      <c r="G2121" t="s">
        <v>40625</v>
      </c>
      <c r="H2121" t="s">
        <v>40626</v>
      </c>
      <c r="I2121" t="s">
        <v>40627</v>
      </c>
      <c r="J2121" t="s">
        <v>40628</v>
      </c>
      <c r="K2121" t="s">
        <v>40629</v>
      </c>
      <c r="L2121" t="s">
        <v>40630</v>
      </c>
      <c r="M2121" t="s">
        <v>40631</v>
      </c>
      <c r="N2121" t="s">
        <v>40632</v>
      </c>
      <c r="O2121">
        <f>-622.567887816227 -70.1503813842139 -710.901307839896</f>
        <v>-1403.6195770403369</v>
      </c>
      <c r="P2121">
        <f>-637.64990680137 -24.8243953512956 -398.004644509556</f>
        <v>-1060.4789466622215</v>
      </c>
      <c r="Q2121" t="s">
        <v>40633</v>
      </c>
      <c r="R2121" t="s">
        <v>40634</v>
      </c>
      <c r="S2121" t="s">
        <v>40635</v>
      </c>
      <c r="T2121" t="s">
        <v>40636</v>
      </c>
      <c r="U2121" t="s">
        <v>40637</v>
      </c>
      <c r="V2121" t="s">
        <v>40638</v>
      </c>
      <c r="W2121" t="s">
        <v>40639</v>
      </c>
      <c r="X2121" t="s">
        <v>40640</v>
      </c>
      <c r="Y2121" t="s">
        <v>40641</v>
      </c>
    </row>
    <row r="2122" spans="1:25" x14ac:dyDescent="0.3">
      <c r="A2122">
        <v>106050</v>
      </c>
      <c r="B2122" t="s">
        <v>40642</v>
      </c>
      <c r="C2122" t="s">
        <v>40643</v>
      </c>
      <c r="D2122" t="s">
        <v>40644</v>
      </c>
      <c r="E2122" t="s">
        <v>40645</v>
      </c>
      <c r="F2122" t="s">
        <v>40646</v>
      </c>
      <c r="G2122" t="s">
        <v>40647</v>
      </c>
      <c r="H2122" t="s">
        <v>40648</v>
      </c>
      <c r="I2122" t="s">
        <v>40649</v>
      </c>
      <c r="J2122" t="s">
        <v>40650</v>
      </c>
      <c r="K2122" t="s">
        <v>40651</v>
      </c>
      <c r="L2122" t="s">
        <v>40652</v>
      </c>
      <c r="M2122" t="s">
        <v>40653</v>
      </c>
      <c r="N2122" t="s">
        <v>40654</v>
      </c>
      <c r="O2122">
        <f>-622.424363417186 -68.2359394246942 -712.108403727691</f>
        <v>-1402.7687065695711</v>
      </c>
      <c r="P2122">
        <f>-639.121420890423 -23.5379290942551 -399.203633062171</f>
        <v>-1061.862983046849</v>
      </c>
      <c r="Q2122" t="s">
        <v>40655</v>
      </c>
      <c r="R2122" t="s">
        <v>40656</v>
      </c>
      <c r="S2122" t="s">
        <v>40657</v>
      </c>
      <c r="T2122" t="s">
        <v>40658</v>
      </c>
      <c r="U2122" t="s">
        <v>40659</v>
      </c>
      <c r="V2122" t="s">
        <v>40660</v>
      </c>
      <c r="W2122" t="s">
        <v>40661</v>
      </c>
      <c r="X2122" t="s">
        <v>40662</v>
      </c>
      <c r="Y2122" t="s">
        <v>40663</v>
      </c>
    </row>
    <row r="2123" spans="1:25" x14ac:dyDescent="0.3">
      <c r="A2123">
        <v>106100</v>
      </c>
      <c r="B2123" t="s">
        <v>40664</v>
      </c>
      <c r="C2123" t="s">
        <v>40665</v>
      </c>
      <c r="D2123" t="s">
        <v>40666</v>
      </c>
      <c r="E2123" t="s">
        <v>40667</v>
      </c>
      <c r="F2123" t="s">
        <v>40668</v>
      </c>
      <c r="G2123" t="s">
        <v>40669</v>
      </c>
      <c r="H2123" t="s">
        <v>40670</v>
      </c>
      <c r="I2123" t="s">
        <v>40671</v>
      </c>
      <c r="J2123" t="s">
        <v>40672</v>
      </c>
      <c r="K2123" t="s">
        <v>40673</v>
      </c>
      <c r="L2123" t="s">
        <v>40674</v>
      </c>
      <c r="M2123" t="s">
        <v>40675</v>
      </c>
      <c r="N2123" t="s">
        <v>40676</v>
      </c>
      <c r="O2123">
        <f>-622.245061912714 -67.6013522364524 -712.539467521932</f>
        <v>-1402.3858816710986</v>
      </c>
      <c r="P2123">
        <f>-640.143883967152 -23.7839955848242 -399.576459314999</f>
        <v>-1063.5043388669751</v>
      </c>
      <c r="Q2123" t="s">
        <v>40677</v>
      </c>
      <c r="R2123" t="s">
        <v>40678</v>
      </c>
      <c r="S2123" t="s">
        <v>40679</v>
      </c>
      <c r="T2123" t="s">
        <v>40680</v>
      </c>
      <c r="U2123" t="s">
        <v>40681</v>
      </c>
      <c r="V2123" t="s">
        <v>40682</v>
      </c>
      <c r="W2123" t="s">
        <v>40683</v>
      </c>
      <c r="X2123" t="s">
        <v>40684</v>
      </c>
      <c r="Y2123" t="s">
        <v>40685</v>
      </c>
    </row>
    <row r="2124" spans="1:25" x14ac:dyDescent="0.3">
      <c r="A2124">
        <v>106150</v>
      </c>
      <c r="B2124" t="s">
        <v>40686</v>
      </c>
      <c r="C2124" t="s">
        <v>40687</v>
      </c>
      <c r="D2124" t="s">
        <v>40688</v>
      </c>
      <c r="E2124" t="s">
        <v>40689</v>
      </c>
      <c r="F2124" t="s">
        <v>40690</v>
      </c>
      <c r="G2124" t="s">
        <v>40691</v>
      </c>
      <c r="H2124" t="s">
        <v>40692</v>
      </c>
      <c r="I2124" t="s">
        <v>40693</v>
      </c>
      <c r="J2124" t="s">
        <v>40694</v>
      </c>
      <c r="K2124" t="s">
        <v>40695</v>
      </c>
      <c r="L2124" t="s">
        <v>40696</v>
      </c>
      <c r="M2124" t="s">
        <v>40697</v>
      </c>
      <c r="N2124" t="s">
        <v>40698</v>
      </c>
      <c r="O2124">
        <f>-623.588660398912 -66.3801910491638 -713.359271037921</f>
        <v>-1403.3281224859968</v>
      </c>
      <c r="P2124">
        <f>-642.281767381947 -25.1614989816712 -400.08966402993</f>
        <v>-1067.5329303935482</v>
      </c>
      <c r="Q2124" t="s">
        <v>40699</v>
      </c>
      <c r="R2124" t="s">
        <v>40700</v>
      </c>
      <c r="S2124" t="s">
        <v>40701</v>
      </c>
      <c r="T2124" t="s">
        <v>40702</v>
      </c>
      <c r="U2124" t="s">
        <v>40703</v>
      </c>
      <c r="V2124" t="s">
        <v>40704</v>
      </c>
      <c r="W2124" t="s">
        <v>40705</v>
      </c>
      <c r="X2124" t="s">
        <v>40706</v>
      </c>
      <c r="Y2124" t="s">
        <v>40707</v>
      </c>
    </row>
    <row r="2125" spans="1:25" x14ac:dyDescent="0.3">
      <c r="A2125">
        <v>106200</v>
      </c>
      <c r="B2125" t="s">
        <v>40708</v>
      </c>
      <c r="C2125" t="s">
        <v>40709</v>
      </c>
      <c r="D2125" t="s">
        <v>40710</v>
      </c>
      <c r="E2125" t="s">
        <v>40711</v>
      </c>
      <c r="F2125" t="s">
        <v>40712</v>
      </c>
      <c r="G2125" t="s">
        <v>40713</v>
      </c>
      <c r="H2125" t="s">
        <v>40714</v>
      </c>
      <c r="I2125" t="s">
        <v>40715</v>
      </c>
      <c r="J2125" t="s">
        <v>40716</v>
      </c>
      <c r="K2125" t="s">
        <v>40717</v>
      </c>
      <c r="L2125" t="s">
        <v>40718</v>
      </c>
      <c r="M2125" t="s">
        <v>40719</v>
      </c>
      <c r="N2125" t="s">
        <v>40720</v>
      </c>
      <c r="O2125">
        <f>-624.931546870608 -65.1748108603747 -714.048835612531</f>
        <v>-1404.1551933435137</v>
      </c>
      <c r="P2125">
        <f>-642.885320499524 -25.1630087332469 -400.579621319789</f>
        <v>-1068.6279505525599</v>
      </c>
      <c r="Q2125" t="s">
        <v>40721</v>
      </c>
      <c r="R2125" t="s">
        <v>40722</v>
      </c>
      <c r="S2125" t="s">
        <v>40723</v>
      </c>
      <c r="T2125" t="s">
        <v>40724</v>
      </c>
      <c r="U2125" t="s">
        <v>40725</v>
      </c>
      <c r="V2125" t="s">
        <v>40726</v>
      </c>
      <c r="W2125" t="s">
        <v>40727</v>
      </c>
      <c r="X2125" t="s">
        <v>40728</v>
      </c>
      <c r="Y2125" t="s">
        <v>40729</v>
      </c>
    </row>
    <row r="2126" spans="1:25" x14ac:dyDescent="0.3">
      <c r="A2126">
        <v>106250</v>
      </c>
      <c r="B2126" t="s">
        <v>40730</v>
      </c>
      <c r="C2126" t="s">
        <v>40731</v>
      </c>
      <c r="D2126" t="s">
        <v>40732</v>
      </c>
      <c r="E2126" t="s">
        <v>40733</v>
      </c>
      <c r="F2126" t="s">
        <v>40734</v>
      </c>
      <c r="G2126" t="s">
        <v>40735</v>
      </c>
      <c r="H2126" t="s">
        <v>40736</v>
      </c>
      <c r="I2126" t="s">
        <v>40737</v>
      </c>
      <c r="J2126" t="s">
        <v>40738</v>
      </c>
      <c r="K2126" t="s">
        <v>40739</v>
      </c>
      <c r="L2126" t="s">
        <v>40740</v>
      </c>
      <c r="M2126" t="s">
        <v>40741</v>
      </c>
      <c r="N2126" t="s">
        <v>40742</v>
      </c>
      <c r="O2126">
        <f>-627.671657054012 -63.3253112266682 -715.270267783415</f>
        <v>-1406.2672360640952</v>
      </c>
      <c r="P2126">
        <f>-644.947057126129 -24.2926961360172 -401.639696479941</f>
        <v>-1070.8794497420872</v>
      </c>
      <c r="Q2126" t="s">
        <v>40743</v>
      </c>
      <c r="R2126" t="s">
        <v>40744</v>
      </c>
      <c r="S2126" t="s">
        <v>40745</v>
      </c>
      <c r="T2126" t="s">
        <v>40746</v>
      </c>
      <c r="U2126" t="s">
        <v>40747</v>
      </c>
      <c r="V2126" t="s">
        <v>40748</v>
      </c>
      <c r="W2126" t="s">
        <v>40749</v>
      </c>
      <c r="X2126" t="s">
        <v>40750</v>
      </c>
      <c r="Y2126" t="s">
        <v>40751</v>
      </c>
    </row>
    <row r="2127" spans="1:25" x14ac:dyDescent="0.3">
      <c r="A2127">
        <v>106300</v>
      </c>
      <c r="B2127" t="s">
        <v>40752</v>
      </c>
      <c r="C2127" t="s">
        <v>40753</v>
      </c>
      <c r="D2127" t="s">
        <v>40754</v>
      </c>
      <c r="E2127" t="s">
        <v>40755</v>
      </c>
      <c r="F2127" t="s">
        <v>40756</v>
      </c>
      <c r="G2127" t="s">
        <v>40757</v>
      </c>
      <c r="H2127" t="s">
        <v>40758</v>
      </c>
      <c r="I2127" t="s">
        <v>40759</v>
      </c>
      <c r="J2127" t="s">
        <v>40760</v>
      </c>
      <c r="K2127" t="s">
        <v>40761</v>
      </c>
      <c r="L2127" t="s">
        <v>40762</v>
      </c>
      <c r="M2127" t="s">
        <v>40763</v>
      </c>
      <c r="N2127" t="s">
        <v>40764</v>
      </c>
      <c r="O2127">
        <f>-628.884623878969 -62.5387204212198 -715.848339616271</f>
        <v>-1407.2716839164598</v>
      </c>
      <c r="P2127">
        <f>-646.340294354766 -23.9248198587452 -402.175833791952</f>
        <v>-1072.4409480054633</v>
      </c>
      <c r="Q2127" t="s">
        <v>40765</v>
      </c>
      <c r="R2127" t="s">
        <v>40766</v>
      </c>
      <c r="S2127" t="s">
        <v>40767</v>
      </c>
      <c r="T2127" t="s">
        <v>40768</v>
      </c>
      <c r="U2127" t="s">
        <v>40769</v>
      </c>
      <c r="V2127" t="s">
        <v>40770</v>
      </c>
      <c r="W2127" t="s">
        <v>40771</v>
      </c>
      <c r="X2127" t="s">
        <v>40772</v>
      </c>
      <c r="Y2127" t="s">
        <v>40773</v>
      </c>
    </row>
    <row r="2128" spans="1:25" x14ac:dyDescent="0.3">
      <c r="A2128">
        <v>106350</v>
      </c>
      <c r="B2128" t="s">
        <v>40774</v>
      </c>
      <c r="C2128" t="s">
        <v>40775</v>
      </c>
      <c r="D2128" t="s">
        <v>40776</v>
      </c>
      <c r="E2128" t="s">
        <v>40777</v>
      </c>
      <c r="F2128" t="s">
        <v>40778</v>
      </c>
      <c r="G2128" t="s">
        <v>40779</v>
      </c>
      <c r="H2128" t="s">
        <v>40780</v>
      </c>
      <c r="I2128" t="s">
        <v>40781</v>
      </c>
      <c r="J2128" t="s">
        <v>40782</v>
      </c>
      <c r="K2128" t="s">
        <v>40783</v>
      </c>
      <c r="L2128" t="s">
        <v>40784</v>
      </c>
      <c r="M2128" t="s">
        <v>40785</v>
      </c>
      <c r="N2128" t="s">
        <v>40786</v>
      </c>
      <c r="O2128">
        <f>-631.075332019754 -60.7049825606655 -717.001958034672</f>
        <v>-1408.7822726150916</v>
      </c>
      <c r="P2128">
        <f>-649.292984919216 -23.2918984216149 -403.227205419535</f>
        <v>-1075.8120887603659</v>
      </c>
      <c r="Q2128" t="s">
        <v>40787</v>
      </c>
      <c r="R2128" t="s">
        <v>40788</v>
      </c>
      <c r="S2128" t="s">
        <v>40789</v>
      </c>
      <c r="T2128" t="s">
        <v>40790</v>
      </c>
      <c r="U2128" t="s">
        <v>40791</v>
      </c>
      <c r="V2128" t="s">
        <v>40792</v>
      </c>
      <c r="W2128" t="s">
        <v>40793</v>
      </c>
      <c r="X2128" t="s">
        <v>40794</v>
      </c>
      <c r="Y2128" t="s">
        <v>40795</v>
      </c>
    </row>
    <row r="2129" spans="1:25" x14ac:dyDescent="0.3">
      <c r="A2129">
        <v>106400</v>
      </c>
      <c r="B2129" t="s">
        <v>40796</v>
      </c>
      <c r="C2129" t="s">
        <v>40797</v>
      </c>
      <c r="D2129" t="s">
        <v>40798</v>
      </c>
      <c r="E2129" t="s">
        <v>40799</v>
      </c>
      <c r="F2129" t="s">
        <v>40800</v>
      </c>
      <c r="G2129" t="s">
        <v>40801</v>
      </c>
      <c r="H2129" t="s">
        <v>40802</v>
      </c>
      <c r="I2129" t="s">
        <v>40803</v>
      </c>
      <c r="J2129" t="s">
        <v>40804</v>
      </c>
      <c r="K2129" t="s">
        <v>40805</v>
      </c>
      <c r="L2129" t="s">
        <v>40806</v>
      </c>
      <c r="M2129" t="s">
        <v>40807</v>
      </c>
      <c r="N2129" t="s">
        <v>40808</v>
      </c>
      <c r="O2129">
        <f>-632.078924165469 -60.0222329243556 -717.439659728888</f>
        <v>-1409.5408168187128</v>
      </c>
      <c r="P2129">
        <f>-650.817805344601 -22.7853635619008 -403.674648140599</f>
        <v>-1077.2778170471008</v>
      </c>
      <c r="Q2129" t="s">
        <v>40809</v>
      </c>
      <c r="R2129" t="s">
        <v>40810</v>
      </c>
      <c r="S2129" t="s">
        <v>40811</v>
      </c>
      <c r="T2129" t="s">
        <v>40812</v>
      </c>
      <c r="U2129" t="s">
        <v>40813</v>
      </c>
      <c r="V2129" t="s">
        <v>40814</v>
      </c>
      <c r="W2129" t="s">
        <v>40815</v>
      </c>
      <c r="X2129" t="s">
        <v>40816</v>
      </c>
      <c r="Y2129" t="s">
        <v>40817</v>
      </c>
    </row>
    <row r="2130" spans="1:25" x14ac:dyDescent="0.3">
      <c r="A2130">
        <v>106450</v>
      </c>
      <c r="B2130" t="s">
        <v>40818</v>
      </c>
      <c r="C2130" t="s">
        <v>40819</v>
      </c>
      <c r="D2130" t="s">
        <v>40820</v>
      </c>
      <c r="E2130" t="s">
        <v>40821</v>
      </c>
      <c r="F2130" t="s">
        <v>40822</v>
      </c>
      <c r="G2130" t="s">
        <v>40823</v>
      </c>
      <c r="H2130" t="s">
        <v>40824</v>
      </c>
      <c r="I2130" t="s">
        <v>40825</v>
      </c>
      <c r="J2130" t="s">
        <v>40826</v>
      </c>
      <c r="K2130" t="s">
        <v>40827</v>
      </c>
      <c r="L2130" t="s">
        <v>40828</v>
      </c>
      <c r="M2130" t="s">
        <v>40829</v>
      </c>
      <c r="N2130" t="s">
        <v>40830</v>
      </c>
      <c r="O2130">
        <f>-633.835787288282 -58.8161184409314 -718.207756721129</f>
        <v>-1410.8596624503425</v>
      </c>
      <c r="P2130">
        <f>-653.75444057686 -21.9904101206503 -404.466991580052</f>
        <v>-1080.2118422775623</v>
      </c>
      <c r="Q2130" t="s">
        <v>40831</v>
      </c>
      <c r="R2130" t="s">
        <v>40832</v>
      </c>
      <c r="S2130" t="s">
        <v>40833</v>
      </c>
      <c r="T2130" t="s">
        <v>40834</v>
      </c>
      <c r="U2130" t="s">
        <v>40835</v>
      </c>
      <c r="V2130" t="s">
        <v>40836</v>
      </c>
      <c r="W2130" t="s">
        <v>40837</v>
      </c>
      <c r="X2130" t="s">
        <v>40838</v>
      </c>
      <c r="Y2130" t="s">
        <v>40839</v>
      </c>
    </row>
    <row r="2131" spans="1:25" x14ac:dyDescent="0.3">
      <c r="A2131">
        <v>106500</v>
      </c>
      <c r="B2131" t="s">
        <v>40840</v>
      </c>
      <c r="C2131" t="s">
        <v>40841</v>
      </c>
      <c r="D2131" t="s">
        <v>40842</v>
      </c>
      <c r="E2131" t="s">
        <v>40843</v>
      </c>
      <c r="F2131" t="s">
        <v>40844</v>
      </c>
      <c r="G2131" t="s">
        <v>40845</v>
      </c>
      <c r="H2131" t="s">
        <v>40846</v>
      </c>
      <c r="I2131" t="s">
        <v>40847</v>
      </c>
      <c r="J2131" t="s">
        <v>40848</v>
      </c>
      <c r="K2131" t="s">
        <v>40849</v>
      </c>
      <c r="L2131" t="s">
        <v>40850</v>
      </c>
      <c r="M2131" t="s">
        <v>40851</v>
      </c>
      <c r="N2131" t="s">
        <v>40852</v>
      </c>
      <c r="O2131">
        <f>-634.541376239117 -58.2273807258259 -718.597739557477</f>
        <v>-1411.3664965224198</v>
      </c>
      <c r="P2131">
        <f>-654.91321259946 -21.6874773400064 -404.85261130301</f>
        <v>-1081.4533012424763</v>
      </c>
      <c r="Q2131" t="s">
        <v>40853</v>
      </c>
      <c r="R2131" t="s">
        <v>40854</v>
      </c>
      <c r="S2131" t="s">
        <v>40855</v>
      </c>
      <c r="T2131" t="s">
        <v>40856</v>
      </c>
      <c r="U2131" t="s">
        <v>40857</v>
      </c>
      <c r="V2131" t="s">
        <v>40858</v>
      </c>
      <c r="W2131" t="s">
        <v>40859</v>
      </c>
      <c r="X2131" t="s">
        <v>40860</v>
      </c>
      <c r="Y2131" t="s">
        <v>40861</v>
      </c>
    </row>
    <row r="2132" spans="1:25" x14ac:dyDescent="0.3">
      <c r="A2132">
        <v>106550</v>
      </c>
      <c r="B2132" t="s">
        <v>40862</v>
      </c>
      <c r="C2132" t="s">
        <v>40863</v>
      </c>
      <c r="D2132" t="s">
        <v>40864</v>
      </c>
      <c r="E2132" t="s">
        <v>40865</v>
      </c>
      <c r="F2132" t="s">
        <v>40866</v>
      </c>
      <c r="G2132" t="s">
        <v>40867</v>
      </c>
      <c r="H2132" t="s">
        <v>40868</v>
      </c>
      <c r="I2132" t="s">
        <v>40869</v>
      </c>
      <c r="J2132" t="s">
        <v>40870</v>
      </c>
      <c r="K2132" t="s">
        <v>40871</v>
      </c>
      <c r="L2132" t="s">
        <v>40872</v>
      </c>
      <c r="M2132" t="s">
        <v>40873</v>
      </c>
      <c r="N2132" t="s">
        <v>40874</v>
      </c>
      <c r="O2132">
        <f>-635.829528292232 -56.9853049622748 -719.376250225277</f>
        <v>-1412.1910834797836</v>
      </c>
      <c r="P2132">
        <f>-656.673639928917 -21.280305523431 -405.566013807776</f>
        <v>-1083.5199592601241</v>
      </c>
      <c r="Q2132" t="s">
        <v>40875</v>
      </c>
      <c r="R2132" t="s">
        <v>40876</v>
      </c>
      <c r="S2132" t="s">
        <v>40877</v>
      </c>
      <c r="T2132" t="s">
        <v>40878</v>
      </c>
      <c r="U2132" t="s">
        <v>40879</v>
      </c>
      <c r="V2132" t="s">
        <v>40880</v>
      </c>
      <c r="W2132" t="s">
        <v>40881</v>
      </c>
      <c r="X2132" t="s">
        <v>40882</v>
      </c>
      <c r="Y2132" t="s">
        <v>40883</v>
      </c>
    </row>
    <row r="2133" spans="1:25" x14ac:dyDescent="0.3">
      <c r="A2133">
        <v>106600</v>
      </c>
      <c r="B2133" t="s">
        <v>40884</v>
      </c>
      <c r="C2133" t="s">
        <v>40885</v>
      </c>
      <c r="D2133" t="s">
        <v>40886</v>
      </c>
      <c r="E2133" t="s">
        <v>40887</v>
      </c>
      <c r="F2133" t="s">
        <v>40888</v>
      </c>
      <c r="G2133" t="s">
        <v>40889</v>
      </c>
      <c r="H2133" t="s">
        <v>40890</v>
      </c>
      <c r="I2133" t="s">
        <v>40891</v>
      </c>
      <c r="J2133" t="s">
        <v>40892</v>
      </c>
      <c r="K2133" t="s">
        <v>40893</v>
      </c>
      <c r="L2133" t="s">
        <v>40894</v>
      </c>
      <c r="M2133" t="s">
        <v>40895</v>
      </c>
      <c r="N2133" t="s">
        <v>40896</v>
      </c>
      <c r="O2133">
        <f>-635.986229586881 -56.3694139265647 -719.7336597118</f>
        <v>-1412.0893032252457</v>
      </c>
      <c r="P2133">
        <f>-656.949190756647 -21.0890366455853 -405.883368571452</f>
        <v>-1083.9215959736844</v>
      </c>
      <c r="Q2133" t="s">
        <v>40897</v>
      </c>
      <c r="R2133" t="s">
        <v>40898</v>
      </c>
      <c r="S2133" t="s">
        <v>40899</v>
      </c>
      <c r="T2133" t="s">
        <v>40900</v>
      </c>
      <c r="U2133" t="s">
        <v>40901</v>
      </c>
      <c r="V2133" t="s">
        <v>40902</v>
      </c>
      <c r="W2133" t="s">
        <v>40903</v>
      </c>
      <c r="X2133" t="s">
        <v>40904</v>
      </c>
      <c r="Y2133" t="s">
        <v>40905</v>
      </c>
    </row>
    <row r="2134" spans="1:25" x14ac:dyDescent="0.3">
      <c r="A2134">
        <v>106650</v>
      </c>
      <c r="B2134" t="s">
        <v>40906</v>
      </c>
      <c r="C2134" t="s">
        <v>40907</v>
      </c>
      <c r="D2134" t="s">
        <v>40908</v>
      </c>
      <c r="E2134" t="s">
        <v>40909</v>
      </c>
      <c r="F2134" t="s">
        <v>40910</v>
      </c>
      <c r="G2134" t="s">
        <v>40911</v>
      </c>
      <c r="H2134" t="s">
        <v>40912</v>
      </c>
      <c r="I2134" t="s">
        <v>40913</v>
      </c>
      <c r="J2134" t="s">
        <v>40914</v>
      </c>
      <c r="K2134" t="s">
        <v>40915</v>
      </c>
      <c r="L2134" t="s">
        <v>40916</v>
      </c>
      <c r="M2134" t="s">
        <v>40917</v>
      </c>
      <c r="N2134" t="s">
        <v>40918</v>
      </c>
      <c r="O2134">
        <f>-635.631399618581 -54.8833473364443 -720.341926221262</f>
        <v>-1410.8566731762874</v>
      </c>
      <c r="P2134">
        <f>-656.568637458294 -20.4309902784853 -406.397911792093</f>
        <v>-1083.3975395288724</v>
      </c>
      <c r="Q2134" t="s">
        <v>40919</v>
      </c>
      <c r="R2134" t="s">
        <v>40920</v>
      </c>
      <c r="S2134" t="s">
        <v>40921</v>
      </c>
      <c r="T2134" t="s">
        <v>40922</v>
      </c>
      <c r="U2134" t="s">
        <v>40923</v>
      </c>
      <c r="V2134" t="s">
        <v>40924</v>
      </c>
      <c r="W2134" t="s">
        <v>40925</v>
      </c>
      <c r="X2134" t="s">
        <v>40926</v>
      </c>
      <c r="Y2134" t="s">
        <v>40927</v>
      </c>
    </row>
    <row r="2135" spans="1:25" x14ac:dyDescent="0.3">
      <c r="A2135">
        <v>106700</v>
      </c>
      <c r="B2135" t="s">
        <v>40928</v>
      </c>
      <c r="C2135" t="s">
        <v>40929</v>
      </c>
      <c r="D2135" t="s">
        <v>40930</v>
      </c>
      <c r="E2135" t="s">
        <v>40931</v>
      </c>
      <c r="F2135" t="s">
        <v>40932</v>
      </c>
      <c r="G2135" t="s">
        <v>40933</v>
      </c>
      <c r="H2135" t="s">
        <v>40934</v>
      </c>
      <c r="I2135" t="s">
        <v>40935</v>
      </c>
      <c r="J2135" t="s">
        <v>40936</v>
      </c>
      <c r="K2135" t="s">
        <v>40937</v>
      </c>
      <c r="L2135" t="s">
        <v>40938</v>
      </c>
      <c r="M2135" t="s">
        <v>40939</v>
      </c>
      <c r="N2135" t="s">
        <v>40940</v>
      </c>
      <c r="O2135">
        <f>-635.079761695959 -54.2701667963722 -720.638860398427</f>
        <v>-1409.9887888907583</v>
      </c>
      <c r="P2135">
        <f>-656.109329006788 -20.1897674378206 -406.660424651133</f>
        <v>-1082.9595210957416</v>
      </c>
      <c r="Q2135" t="s">
        <v>40941</v>
      </c>
      <c r="R2135" t="s">
        <v>40942</v>
      </c>
      <c r="S2135" t="s">
        <v>40943</v>
      </c>
      <c r="T2135" t="s">
        <v>40944</v>
      </c>
      <c r="U2135" t="s">
        <v>40945</v>
      </c>
      <c r="V2135" t="s">
        <v>40946</v>
      </c>
      <c r="W2135" t="s">
        <v>40947</v>
      </c>
      <c r="X2135" t="s">
        <v>40948</v>
      </c>
      <c r="Y2135" t="s">
        <v>40949</v>
      </c>
    </row>
    <row r="2136" spans="1:25" x14ac:dyDescent="0.3">
      <c r="A2136">
        <v>106750</v>
      </c>
      <c r="B2136" t="s">
        <v>40950</v>
      </c>
      <c r="C2136" t="s">
        <v>40951</v>
      </c>
      <c r="D2136" t="s">
        <v>40952</v>
      </c>
      <c r="E2136" t="s">
        <v>40953</v>
      </c>
      <c r="F2136" t="s">
        <v>40954</v>
      </c>
      <c r="G2136" t="s">
        <v>40955</v>
      </c>
      <c r="H2136" t="s">
        <v>40956</v>
      </c>
      <c r="I2136" t="s">
        <v>40957</v>
      </c>
      <c r="J2136" t="s">
        <v>40958</v>
      </c>
      <c r="K2136" t="s">
        <v>40959</v>
      </c>
      <c r="L2136" t="s">
        <v>40960</v>
      </c>
      <c r="M2136" t="s">
        <v>40961</v>
      </c>
      <c r="N2136" t="s">
        <v>40962</v>
      </c>
      <c r="O2136">
        <f>-634.11491106636 -53.6102899047885 -721.059503538153</f>
        <v>-1408.7847045093015</v>
      </c>
      <c r="P2136">
        <f>-655.303562720775 -20.1156830450968 -407.028586133307</f>
        <v>-1082.4478318991787</v>
      </c>
      <c r="Q2136" t="s">
        <v>40963</v>
      </c>
      <c r="R2136" t="s">
        <v>40964</v>
      </c>
      <c r="S2136" t="s">
        <v>40965</v>
      </c>
      <c r="T2136" t="s">
        <v>40966</v>
      </c>
      <c r="U2136" t="s">
        <v>40967</v>
      </c>
      <c r="V2136" t="s">
        <v>40968</v>
      </c>
      <c r="W2136" t="s">
        <v>40969</v>
      </c>
      <c r="X2136" t="s">
        <v>40970</v>
      </c>
      <c r="Y2136" t="s">
        <v>40971</v>
      </c>
    </row>
    <row r="2137" spans="1:25" x14ac:dyDescent="0.3">
      <c r="A2137">
        <v>106800</v>
      </c>
      <c r="B2137" t="s">
        <v>40972</v>
      </c>
      <c r="C2137" t="s">
        <v>40973</v>
      </c>
      <c r="D2137" t="s">
        <v>40974</v>
      </c>
      <c r="E2137" t="s">
        <v>40975</v>
      </c>
      <c r="F2137" t="s">
        <v>40976</v>
      </c>
      <c r="G2137" t="s">
        <v>40977</v>
      </c>
      <c r="H2137" t="s">
        <v>40978</v>
      </c>
      <c r="I2137" t="s">
        <v>40979</v>
      </c>
      <c r="J2137" t="s">
        <v>40980</v>
      </c>
      <c r="K2137" t="s">
        <v>40981</v>
      </c>
      <c r="L2137" t="s">
        <v>40982</v>
      </c>
      <c r="M2137" t="s">
        <v>40983</v>
      </c>
      <c r="N2137" t="s">
        <v>40984</v>
      </c>
      <c r="O2137">
        <f>-633.965821827034 -53.5496205926372 -721.181166627915</f>
        <v>-1408.6966090475862</v>
      </c>
      <c r="P2137">
        <f>-655.238215097558 -20.1466478737193 -407.146307903585</f>
        <v>-1082.5311708748623</v>
      </c>
      <c r="Q2137" t="s">
        <v>40985</v>
      </c>
      <c r="R2137" t="s">
        <v>40986</v>
      </c>
      <c r="S2137" t="s">
        <v>40987</v>
      </c>
      <c r="T2137" t="s">
        <v>40988</v>
      </c>
      <c r="U2137" t="s">
        <v>40989</v>
      </c>
      <c r="V2137" t="s">
        <v>40990</v>
      </c>
      <c r="W2137" t="s">
        <v>40991</v>
      </c>
      <c r="X2137" t="s">
        <v>40992</v>
      </c>
      <c r="Y2137" t="s">
        <v>40993</v>
      </c>
    </row>
    <row r="2138" spans="1:25" x14ac:dyDescent="0.3">
      <c r="A2138">
        <v>106850</v>
      </c>
      <c r="B2138" t="s">
        <v>40994</v>
      </c>
      <c r="C2138" t="s">
        <v>40995</v>
      </c>
      <c r="D2138" t="s">
        <v>40996</v>
      </c>
      <c r="E2138" t="s">
        <v>40997</v>
      </c>
      <c r="F2138" t="s">
        <v>40998</v>
      </c>
      <c r="G2138" t="s">
        <v>40999</v>
      </c>
      <c r="H2138" t="s">
        <v>41000</v>
      </c>
      <c r="I2138" t="s">
        <v>41001</v>
      </c>
      <c r="J2138" t="s">
        <v>41002</v>
      </c>
      <c r="K2138" t="s">
        <v>41003</v>
      </c>
      <c r="L2138" t="s">
        <v>41004</v>
      </c>
      <c r="M2138" t="s">
        <v>41005</v>
      </c>
      <c r="N2138" t="s">
        <v>41006</v>
      </c>
      <c r="O2138">
        <f>-633.816867921343 -53.4843452498731 -721.306358504602</f>
        <v>-1408.6075716758182</v>
      </c>
      <c r="P2138">
        <f>-655.40928844713 -19.9440077259842 -407.308022373464</f>
        <v>-1082.6613185465783</v>
      </c>
      <c r="Q2138" t="s">
        <v>41007</v>
      </c>
      <c r="R2138" t="s">
        <v>41008</v>
      </c>
      <c r="S2138" t="s">
        <v>41009</v>
      </c>
      <c r="T2138" t="s">
        <v>41010</v>
      </c>
      <c r="U2138" t="s">
        <v>41011</v>
      </c>
      <c r="V2138" t="s">
        <v>41012</v>
      </c>
      <c r="W2138" t="s">
        <v>41013</v>
      </c>
      <c r="X2138" t="s">
        <v>41014</v>
      </c>
      <c r="Y2138" t="s">
        <v>41015</v>
      </c>
    </row>
    <row r="2139" spans="1:25" x14ac:dyDescent="0.3">
      <c r="A2139">
        <v>106900</v>
      </c>
      <c r="B2139" t="s">
        <v>41016</v>
      </c>
      <c r="C2139" t="s">
        <v>41017</v>
      </c>
      <c r="D2139" t="s">
        <v>41018</v>
      </c>
      <c r="E2139" t="s">
        <v>41019</v>
      </c>
      <c r="F2139" t="s">
        <v>41020</v>
      </c>
      <c r="G2139" t="s">
        <v>41021</v>
      </c>
      <c r="H2139" t="s">
        <v>41022</v>
      </c>
      <c r="I2139" t="s">
        <v>41023</v>
      </c>
      <c r="J2139" t="s">
        <v>41024</v>
      </c>
      <c r="K2139" t="s">
        <v>41025</v>
      </c>
      <c r="L2139" t="s">
        <v>41026</v>
      </c>
      <c r="M2139" t="s">
        <v>41027</v>
      </c>
      <c r="N2139" t="s">
        <v>41028</v>
      </c>
      <c r="O2139">
        <f>-633.831406685575 -53.5416678729712 -721.340128010899</f>
        <v>-1408.713202569445</v>
      </c>
      <c r="P2139">
        <f>-655.627584461732 -20.118361882304 -407.343300127589</f>
        <v>-1083.0892464716251</v>
      </c>
      <c r="Q2139" t="s">
        <v>41029</v>
      </c>
      <c r="R2139" t="s">
        <v>41030</v>
      </c>
      <c r="S2139" t="s">
        <v>41031</v>
      </c>
      <c r="T2139" t="s">
        <v>41032</v>
      </c>
      <c r="U2139" t="s">
        <v>41033</v>
      </c>
      <c r="V2139" t="s">
        <v>41034</v>
      </c>
      <c r="W2139" t="s">
        <v>41035</v>
      </c>
      <c r="X2139" t="s">
        <v>41036</v>
      </c>
      <c r="Y2139" t="s">
        <v>41037</v>
      </c>
    </row>
    <row r="2140" spans="1:25" x14ac:dyDescent="0.3">
      <c r="A2140">
        <v>106950</v>
      </c>
      <c r="B2140" t="s">
        <v>41038</v>
      </c>
      <c r="C2140" t="s">
        <v>41039</v>
      </c>
      <c r="D2140" t="s">
        <v>41040</v>
      </c>
      <c r="E2140" t="s">
        <v>41041</v>
      </c>
      <c r="F2140" t="s">
        <v>41042</v>
      </c>
      <c r="G2140" t="s">
        <v>41043</v>
      </c>
      <c r="H2140" t="s">
        <v>41044</v>
      </c>
      <c r="I2140" t="s">
        <v>41045</v>
      </c>
      <c r="J2140" t="s">
        <v>41046</v>
      </c>
      <c r="K2140" t="s">
        <v>41047</v>
      </c>
      <c r="L2140" t="s">
        <v>41048</v>
      </c>
      <c r="M2140" t="s">
        <v>41049</v>
      </c>
      <c r="N2140" t="s">
        <v>41050</v>
      </c>
      <c r="O2140">
        <f>-634.023340588739 -53.9232193483249 -721.373345858675</f>
        <v>-1409.3199057957388</v>
      </c>
      <c r="P2140">
        <f>-656.019390275487 -21.003517783111 -407.337079969503</f>
        <v>-1084.359988028101</v>
      </c>
      <c r="Q2140" t="s">
        <v>41051</v>
      </c>
      <c r="R2140" t="s">
        <v>41052</v>
      </c>
      <c r="S2140" t="s">
        <v>41053</v>
      </c>
      <c r="T2140" t="s">
        <v>41054</v>
      </c>
      <c r="U2140" t="s">
        <v>41055</v>
      </c>
      <c r="V2140" t="s">
        <v>41056</v>
      </c>
      <c r="W2140" t="s">
        <v>41057</v>
      </c>
      <c r="X2140" t="s">
        <v>41058</v>
      </c>
      <c r="Y2140" t="s">
        <v>41059</v>
      </c>
    </row>
    <row r="2141" spans="1:25" x14ac:dyDescent="0.3">
      <c r="A2141">
        <v>107000</v>
      </c>
      <c r="B2141" t="s">
        <v>41060</v>
      </c>
      <c r="C2141" t="s">
        <v>41061</v>
      </c>
      <c r="D2141" t="s">
        <v>41062</v>
      </c>
      <c r="E2141" t="s">
        <v>41063</v>
      </c>
      <c r="F2141" t="s">
        <v>41064</v>
      </c>
      <c r="G2141" t="s">
        <v>41065</v>
      </c>
      <c r="H2141" t="s">
        <v>41066</v>
      </c>
      <c r="I2141" t="s">
        <v>41067</v>
      </c>
      <c r="J2141" t="s">
        <v>41068</v>
      </c>
      <c r="K2141" t="s">
        <v>41069</v>
      </c>
      <c r="L2141" t="s">
        <v>41070</v>
      </c>
      <c r="M2141" t="s">
        <v>41071</v>
      </c>
      <c r="N2141" t="s">
        <v>41072</v>
      </c>
      <c r="O2141">
        <f>-634.253087253135 -54.1481599678048 -721.323783202346</f>
        <v>-1409.7250304232857</v>
      </c>
      <c r="P2141">
        <f>-655.929987395074 -20.9674483633164 -407.293067266325</f>
        <v>-1084.1905030247153</v>
      </c>
      <c r="Q2141" t="s">
        <v>41073</v>
      </c>
      <c r="R2141" t="s">
        <v>41074</v>
      </c>
      <c r="S2141" t="s">
        <v>41075</v>
      </c>
      <c r="T2141" t="s">
        <v>41076</v>
      </c>
      <c r="U2141" t="s">
        <v>41077</v>
      </c>
      <c r="V2141" t="s">
        <v>41078</v>
      </c>
      <c r="W2141" t="s">
        <v>41079</v>
      </c>
      <c r="X2141" t="s">
        <v>41080</v>
      </c>
      <c r="Y2141" t="s">
        <v>41081</v>
      </c>
    </row>
    <row r="2142" spans="1:25" x14ac:dyDescent="0.3">
      <c r="A2142">
        <v>107050</v>
      </c>
      <c r="B2142" t="s">
        <v>41082</v>
      </c>
      <c r="C2142" t="s">
        <v>41083</v>
      </c>
      <c r="D2142" t="s">
        <v>41084</v>
      </c>
      <c r="E2142" t="s">
        <v>41085</v>
      </c>
      <c r="F2142" t="s">
        <v>41086</v>
      </c>
      <c r="G2142" t="s">
        <v>41087</v>
      </c>
      <c r="H2142" t="s">
        <v>41088</v>
      </c>
      <c r="I2142" t="s">
        <v>41089</v>
      </c>
      <c r="J2142" t="s">
        <v>41090</v>
      </c>
      <c r="K2142" t="s">
        <v>41091</v>
      </c>
      <c r="L2142" t="s">
        <v>41092</v>
      </c>
      <c r="M2142" t="s">
        <v>41093</v>
      </c>
      <c r="N2142" t="s">
        <v>41094</v>
      </c>
      <c r="O2142">
        <f>-634.31790020502 -54.3144078633031 -721.250871267767</f>
        <v>-1409.8831793360901</v>
      </c>
      <c r="P2142">
        <f>-655.281512613474 -20.9478752113114 -407.191213080408</f>
        <v>-1083.4206009051934</v>
      </c>
      <c r="Q2142" t="s">
        <v>41095</v>
      </c>
      <c r="R2142" t="s">
        <v>41096</v>
      </c>
      <c r="S2142" t="s">
        <v>41097</v>
      </c>
      <c r="T2142" t="s">
        <v>41098</v>
      </c>
      <c r="U2142" t="s">
        <v>41099</v>
      </c>
      <c r="V2142" t="s">
        <v>41100</v>
      </c>
      <c r="W2142" t="s">
        <v>41101</v>
      </c>
      <c r="X2142" t="s">
        <v>41102</v>
      </c>
      <c r="Y2142" t="s">
        <v>41103</v>
      </c>
    </row>
    <row r="2143" spans="1:25" x14ac:dyDescent="0.3">
      <c r="A2143">
        <v>107100</v>
      </c>
      <c r="B2143" t="s">
        <v>41104</v>
      </c>
      <c r="C2143" t="s">
        <v>41105</v>
      </c>
      <c r="D2143" t="s">
        <v>41106</v>
      </c>
      <c r="E2143" t="s">
        <v>41107</v>
      </c>
      <c r="F2143" t="s">
        <v>41108</v>
      </c>
      <c r="G2143" t="s">
        <v>41109</v>
      </c>
      <c r="H2143" t="s">
        <v>41110</v>
      </c>
      <c r="I2143" t="s">
        <v>41111</v>
      </c>
      <c r="J2143" t="s">
        <v>41112</v>
      </c>
      <c r="K2143" t="s">
        <v>41113</v>
      </c>
      <c r="L2143" t="s">
        <v>41114</v>
      </c>
      <c r="M2143" t="s">
        <v>41115</v>
      </c>
      <c r="N2143" t="s">
        <v>41116</v>
      </c>
      <c r="O2143">
        <f>-634.311394845545 -54.1614664614333 -721.350988790178</f>
        <v>-1409.8238500971563</v>
      </c>
      <c r="P2143">
        <f>-654.668991764745 -20.7227735802783 -407.25916417346</f>
        <v>-1082.6509295184833</v>
      </c>
      <c r="Q2143" t="s">
        <v>41117</v>
      </c>
      <c r="R2143" t="s">
        <v>41118</v>
      </c>
      <c r="S2143" t="s">
        <v>41119</v>
      </c>
      <c r="T2143" t="s">
        <v>41120</v>
      </c>
      <c r="U2143" t="s">
        <v>41121</v>
      </c>
      <c r="V2143" t="s">
        <v>41122</v>
      </c>
      <c r="W2143" t="s">
        <v>41123</v>
      </c>
      <c r="X2143" t="s">
        <v>41124</v>
      </c>
      <c r="Y2143" t="s">
        <v>41125</v>
      </c>
    </row>
    <row r="2144" spans="1:25" x14ac:dyDescent="0.3">
      <c r="A2144">
        <v>107150</v>
      </c>
      <c r="B2144" t="s">
        <v>41126</v>
      </c>
      <c r="C2144" t="s">
        <v>41127</v>
      </c>
      <c r="D2144" t="s">
        <v>41128</v>
      </c>
      <c r="E2144" t="s">
        <v>41129</v>
      </c>
      <c r="F2144" t="s">
        <v>41130</v>
      </c>
      <c r="G2144" t="s">
        <v>41131</v>
      </c>
      <c r="H2144" t="s">
        <v>41132</v>
      </c>
      <c r="I2144" t="s">
        <v>41133</v>
      </c>
      <c r="J2144" t="s">
        <v>41134</v>
      </c>
      <c r="K2144" t="s">
        <v>41135</v>
      </c>
      <c r="L2144" t="s">
        <v>41136</v>
      </c>
      <c r="M2144" t="s">
        <v>41137</v>
      </c>
      <c r="N2144" t="s">
        <v>41138</v>
      </c>
      <c r="O2144">
        <f>-633.907932673689 -54.2203910148623 -721.436590431859</f>
        <v>-1409.5649141204103</v>
      </c>
      <c r="P2144">
        <f>-653.833714799752 -21.5873711555641 -407.232300275301</f>
        <v>-1082.6533862306171</v>
      </c>
      <c r="Q2144" t="s">
        <v>41139</v>
      </c>
      <c r="R2144" t="s">
        <v>41140</v>
      </c>
      <c r="S2144" t="s">
        <v>41141</v>
      </c>
      <c r="T2144" t="s">
        <v>41142</v>
      </c>
      <c r="U2144" t="s">
        <v>41143</v>
      </c>
      <c r="V2144" t="s">
        <v>41144</v>
      </c>
      <c r="W2144" t="s">
        <v>41145</v>
      </c>
      <c r="X2144" t="s">
        <v>41146</v>
      </c>
      <c r="Y2144" t="s">
        <v>41147</v>
      </c>
    </row>
    <row r="2145" spans="1:25" x14ac:dyDescent="0.3">
      <c r="A2145">
        <v>107200</v>
      </c>
      <c r="B2145" t="s">
        <v>41148</v>
      </c>
      <c r="C2145" t="s">
        <v>41149</v>
      </c>
      <c r="D2145" t="s">
        <v>41150</v>
      </c>
      <c r="E2145" t="s">
        <v>41151</v>
      </c>
      <c r="F2145" t="s">
        <v>41152</v>
      </c>
      <c r="G2145" t="s">
        <v>41153</v>
      </c>
      <c r="H2145" t="s">
        <v>41154</v>
      </c>
      <c r="I2145" t="s">
        <v>41155</v>
      </c>
      <c r="J2145" t="s">
        <v>41156</v>
      </c>
      <c r="K2145" t="s">
        <v>41157</v>
      </c>
      <c r="L2145" t="s">
        <v>41158</v>
      </c>
      <c r="M2145" t="s">
        <v>41159</v>
      </c>
      <c r="N2145" t="s">
        <v>41160</v>
      </c>
      <c r="O2145">
        <f>-633.636607621841 -54.4249663549217 -721.473332892241</f>
        <v>-1409.5349068690039</v>
      </c>
      <c r="P2145">
        <f>-653.447361745923 -22.2287889550855 -407.216946420064</f>
        <v>-1082.8930971210725</v>
      </c>
      <c r="Q2145" t="s">
        <v>41161</v>
      </c>
      <c r="R2145" t="s">
        <v>41162</v>
      </c>
      <c r="S2145" t="s">
        <v>41163</v>
      </c>
      <c r="T2145" t="s">
        <v>41164</v>
      </c>
      <c r="U2145" t="s">
        <v>41165</v>
      </c>
      <c r="V2145" t="s">
        <v>41166</v>
      </c>
      <c r="W2145" t="s">
        <v>41167</v>
      </c>
      <c r="X2145" t="s">
        <v>41168</v>
      </c>
      <c r="Y2145" t="s">
        <v>41169</v>
      </c>
    </row>
    <row r="2146" spans="1:25" x14ac:dyDescent="0.3">
      <c r="A2146">
        <v>107250</v>
      </c>
      <c r="B2146" t="s">
        <v>41170</v>
      </c>
      <c r="C2146" t="s">
        <v>41171</v>
      </c>
      <c r="D2146" t="s">
        <v>41172</v>
      </c>
      <c r="E2146" t="s">
        <v>41173</v>
      </c>
      <c r="F2146" t="s">
        <v>41174</v>
      </c>
      <c r="G2146" t="s">
        <v>41175</v>
      </c>
      <c r="H2146" t="s">
        <v>41176</v>
      </c>
      <c r="I2146" t="s">
        <v>41177</v>
      </c>
      <c r="J2146" t="s">
        <v>41178</v>
      </c>
      <c r="K2146" t="s">
        <v>41179</v>
      </c>
      <c r="L2146" t="s">
        <v>41180</v>
      </c>
      <c r="M2146" t="s">
        <v>41181</v>
      </c>
      <c r="N2146" t="s">
        <v>41182</v>
      </c>
      <c r="O2146">
        <f>-633.122821054851 -54.6459605865864 -721.566408295231</f>
        <v>-1409.3351899366685</v>
      </c>
      <c r="P2146">
        <f>-652.480913636516 -22.9479609709645 -407.231082857158</f>
        <v>-1082.6599574646384</v>
      </c>
      <c r="Q2146" t="s">
        <v>41183</v>
      </c>
      <c r="R2146" t="s">
        <v>41184</v>
      </c>
      <c r="S2146" t="s">
        <v>41185</v>
      </c>
      <c r="T2146" t="s">
        <v>41186</v>
      </c>
      <c r="U2146" t="s">
        <v>41187</v>
      </c>
      <c r="V2146" t="s">
        <v>41188</v>
      </c>
      <c r="W2146" t="s">
        <v>41189</v>
      </c>
      <c r="X2146" t="s">
        <v>41190</v>
      </c>
      <c r="Y2146" t="s">
        <v>41191</v>
      </c>
    </row>
    <row r="2147" spans="1:25" x14ac:dyDescent="0.3">
      <c r="A2147">
        <v>107300</v>
      </c>
      <c r="B2147" t="s">
        <v>41192</v>
      </c>
      <c r="C2147" t="s">
        <v>41193</v>
      </c>
      <c r="D2147" t="s">
        <v>41194</v>
      </c>
      <c r="E2147" t="s">
        <v>41195</v>
      </c>
      <c r="F2147" t="s">
        <v>41196</v>
      </c>
      <c r="G2147" t="s">
        <v>41197</v>
      </c>
      <c r="H2147" t="s">
        <v>41198</v>
      </c>
      <c r="I2147" t="s">
        <v>41199</v>
      </c>
      <c r="J2147" t="s">
        <v>41200</v>
      </c>
      <c r="K2147" t="s">
        <v>41201</v>
      </c>
      <c r="L2147" t="s">
        <v>41202</v>
      </c>
      <c r="M2147" t="s">
        <v>41203</v>
      </c>
      <c r="N2147" t="s">
        <v>41204</v>
      </c>
      <c r="O2147">
        <f>-633.137091092932 -54.6822627155311 -721.498068174605</f>
        <v>-1409.317421983068</v>
      </c>
      <c r="P2147">
        <f>-652.221765362357 -22.9549002084775 -407.148943774556</f>
        <v>-1082.3256093453906</v>
      </c>
      <c r="Q2147" t="s">
        <v>41205</v>
      </c>
      <c r="R2147" t="s">
        <v>41206</v>
      </c>
      <c r="S2147" t="s">
        <v>41207</v>
      </c>
      <c r="T2147" t="s">
        <v>41208</v>
      </c>
      <c r="U2147" t="s">
        <v>41209</v>
      </c>
      <c r="V2147" t="s">
        <v>41210</v>
      </c>
      <c r="W2147" t="s">
        <v>41211</v>
      </c>
      <c r="X2147" t="s">
        <v>41212</v>
      </c>
      <c r="Y2147" t="s">
        <v>41213</v>
      </c>
    </row>
    <row r="2148" spans="1:25" x14ac:dyDescent="0.3">
      <c r="A2148">
        <v>107350</v>
      </c>
      <c r="B2148" t="s">
        <v>41214</v>
      </c>
      <c r="C2148" t="s">
        <v>41215</v>
      </c>
      <c r="D2148" t="s">
        <v>41216</v>
      </c>
      <c r="E2148" t="s">
        <v>41217</v>
      </c>
      <c r="F2148" t="s">
        <v>41218</v>
      </c>
      <c r="G2148" t="s">
        <v>41219</v>
      </c>
      <c r="H2148" t="s">
        <v>41220</v>
      </c>
      <c r="I2148" t="s">
        <v>41221</v>
      </c>
      <c r="J2148" t="s">
        <v>41222</v>
      </c>
      <c r="K2148" t="s">
        <v>41223</v>
      </c>
      <c r="L2148" t="s">
        <v>41224</v>
      </c>
      <c r="M2148" t="s">
        <v>41225</v>
      </c>
      <c r="N2148" t="s">
        <v>41226</v>
      </c>
      <c r="O2148">
        <f>-632.735324201654 -54.9793495380175 -721.208320688082</f>
        <v>-1408.9229944277536</v>
      </c>
      <c r="P2148">
        <f>-651.349082201988 -22.8373372782773 -406.873066943945</f>
        <v>-1081.0594864242103</v>
      </c>
      <c r="Q2148" t="s">
        <v>41227</v>
      </c>
      <c r="R2148" t="s">
        <v>41228</v>
      </c>
      <c r="S2148" t="s">
        <v>41229</v>
      </c>
      <c r="T2148" t="s">
        <v>41230</v>
      </c>
      <c r="U2148" t="s">
        <v>41231</v>
      </c>
      <c r="V2148" t="s">
        <v>41232</v>
      </c>
      <c r="W2148" t="s">
        <v>41233</v>
      </c>
      <c r="X2148" t="s">
        <v>41234</v>
      </c>
      <c r="Y2148" t="s">
        <v>41235</v>
      </c>
    </row>
    <row r="2149" spans="1:25" x14ac:dyDescent="0.3">
      <c r="A2149">
        <v>107400</v>
      </c>
      <c r="B2149" t="s">
        <v>41236</v>
      </c>
      <c r="C2149" t="s">
        <v>41237</v>
      </c>
      <c r="D2149" t="s">
        <v>41238</v>
      </c>
      <c r="E2149" t="s">
        <v>41239</v>
      </c>
      <c r="F2149" t="s">
        <v>41240</v>
      </c>
      <c r="G2149" t="s">
        <v>41241</v>
      </c>
      <c r="H2149" t="s">
        <v>41242</v>
      </c>
      <c r="I2149" t="s">
        <v>41243</v>
      </c>
      <c r="J2149" t="s">
        <v>41244</v>
      </c>
      <c r="K2149" t="s">
        <v>41245</v>
      </c>
      <c r="L2149" t="s">
        <v>41246</v>
      </c>
      <c r="M2149" t="s">
        <v>41247</v>
      </c>
      <c r="N2149" t="s">
        <v>41248</v>
      </c>
      <c r="O2149">
        <f>-632.532466599791 -55.1945589979566 -721.038368588349</f>
        <v>-1408.7653941860967</v>
      </c>
      <c r="P2149">
        <f>-651.152922380363 -22.7603941726989 -406.733716040502</f>
        <v>-1080.6470325935638</v>
      </c>
      <c r="Q2149" t="s">
        <v>41249</v>
      </c>
      <c r="R2149" t="s">
        <v>41250</v>
      </c>
      <c r="S2149" t="s">
        <v>41251</v>
      </c>
      <c r="T2149" t="s">
        <v>41252</v>
      </c>
      <c r="U2149" t="s">
        <v>41253</v>
      </c>
      <c r="V2149" t="s">
        <v>41254</v>
      </c>
      <c r="W2149" t="s">
        <v>41255</v>
      </c>
      <c r="X2149" t="s">
        <v>41256</v>
      </c>
      <c r="Y2149" t="s">
        <v>41257</v>
      </c>
    </row>
    <row r="2150" spans="1:25" x14ac:dyDescent="0.3">
      <c r="A2150">
        <v>107450</v>
      </c>
      <c r="B2150" t="s">
        <v>41258</v>
      </c>
      <c r="C2150" t="s">
        <v>41259</v>
      </c>
      <c r="D2150" t="s">
        <v>41260</v>
      </c>
      <c r="E2150" t="s">
        <v>41261</v>
      </c>
      <c r="F2150" t="s">
        <v>41262</v>
      </c>
      <c r="G2150" t="s">
        <v>41263</v>
      </c>
      <c r="H2150" t="s">
        <v>41264</v>
      </c>
      <c r="I2150" t="s">
        <v>41265</v>
      </c>
      <c r="J2150" t="s">
        <v>41266</v>
      </c>
      <c r="K2150" t="s">
        <v>41267</v>
      </c>
      <c r="L2150" t="s">
        <v>41268</v>
      </c>
      <c r="M2150" t="s">
        <v>41269</v>
      </c>
      <c r="N2150" t="s">
        <v>41270</v>
      </c>
      <c r="O2150">
        <f>-631.958669102901 -55.3371356421185 -720.786261515975</f>
        <v>-1408.0820662609945</v>
      </c>
      <c r="P2150">
        <f>-650.836233842931 -22.3791342281318 -406.551390776272</f>
        <v>-1079.7667588473348</v>
      </c>
      <c r="Q2150" t="s">
        <v>41271</v>
      </c>
      <c r="R2150" t="s">
        <v>41272</v>
      </c>
      <c r="S2150" t="s">
        <v>41273</v>
      </c>
      <c r="T2150" t="s">
        <v>41274</v>
      </c>
      <c r="U2150" t="s">
        <v>41275</v>
      </c>
      <c r="V2150" t="s">
        <v>41276</v>
      </c>
      <c r="W2150" t="s">
        <v>41277</v>
      </c>
      <c r="X2150" t="s">
        <v>41278</v>
      </c>
      <c r="Y2150" t="s">
        <v>41279</v>
      </c>
    </row>
    <row r="2151" spans="1:25" x14ac:dyDescent="0.3">
      <c r="A2151">
        <v>107500</v>
      </c>
      <c r="B2151" t="s">
        <v>41280</v>
      </c>
      <c r="C2151" t="s">
        <v>41281</v>
      </c>
      <c r="D2151" t="s">
        <v>41282</v>
      </c>
      <c r="E2151" t="s">
        <v>41283</v>
      </c>
      <c r="F2151" t="s">
        <v>41284</v>
      </c>
      <c r="G2151" t="s">
        <v>41285</v>
      </c>
      <c r="H2151" t="s">
        <v>41286</v>
      </c>
      <c r="I2151" t="s">
        <v>41287</v>
      </c>
      <c r="J2151" t="s">
        <v>41288</v>
      </c>
      <c r="K2151" t="s">
        <v>41289</v>
      </c>
      <c r="L2151" t="s">
        <v>41290</v>
      </c>
      <c r="M2151" t="s">
        <v>41291</v>
      </c>
      <c r="N2151" t="s">
        <v>41292</v>
      </c>
      <c r="O2151">
        <f>-631.766162491223 -55.4387641239441 -720.684453952691</f>
        <v>-1407.8893805678581</v>
      </c>
      <c r="P2151">
        <f>-650.805171302151 -22.3286154474808 -406.475269149247</f>
        <v>-1079.609055898879</v>
      </c>
      <c r="Q2151" t="s">
        <v>41293</v>
      </c>
      <c r="R2151" t="s">
        <v>41294</v>
      </c>
      <c r="S2151" t="s">
        <v>41295</v>
      </c>
      <c r="T2151" t="s">
        <v>41296</v>
      </c>
      <c r="U2151" t="s">
        <v>41297</v>
      </c>
      <c r="V2151" t="s">
        <v>41298</v>
      </c>
      <c r="W2151" t="s">
        <v>41299</v>
      </c>
      <c r="X2151" t="s">
        <v>41300</v>
      </c>
      <c r="Y2151" t="s">
        <v>41301</v>
      </c>
    </row>
    <row r="2152" spans="1:25" x14ac:dyDescent="0.3">
      <c r="A2152">
        <v>107550</v>
      </c>
      <c r="B2152" t="s">
        <v>41302</v>
      </c>
      <c r="C2152" t="s">
        <v>41303</v>
      </c>
      <c r="D2152" t="s">
        <v>41304</v>
      </c>
      <c r="E2152" t="s">
        <v>41305</v>
      </c>
      <c r="F2152" t="s">
        <v>41306</v>
      </c>
      <c r="G2152" t="s">
        <v>41307</v>
      </c>
      <c r="H2152" t="s">
        <v>41308</v>
      </c>
      <c r="I2152" t="s">
        <v>41309</v>
      </c>
      <c r="J2152" t="s">
        <v>41310</v>
      </c>
      <c r="K2152" t="s">
        <v>41311</v>
      </c>
      <c r="L2152" t="s">
        <v>41312</v>
      </c>
      <c r="M2152" t="s">
        <v>41313</v>
      </c>
      <c r="N2152" t="s">
        <v>41314</v>
      </c>
      <c r="O2152">
        <f>-631.839530171827 -55.788760820242 -720.364838686495</f>
        <v>-1407.9931296785639</v>
      </c>
      <c r="P2152">
        <f>-650.930903863882 -22.5127520656274 -406.176200308508</f>
        <v>-1079.6198562380173</v>
      </c>
      <c r="Q2152" t="s">
        <v>41315</v>
      </c>
      <c r="R2152" t="s">
        <v>41316</v>
      </c>
      <c r="S2152" t="s">
        <v>41317</v>
      </c>
      <c r="T2152" t="s">
        <v>41318</v>
      </c>
      <c r="U2152" t="s">
        <v>41319</v>
      </c>
      <c r="V2152" t="s">
        <v>41320</v>
      </c>
      <c r="W2152" t="s">
        <v>41321</v>
      </c>
      <c r="X2152" t="s">
        <v>41322</v>
      </c>
      <c r="Y2152" t="s">
        <v>41323</v>
      </c>
    </row>
    <row r="2153" spans="1:25" x14ac:dyDescent="0.3">
      <c r="A2153">
        <v>107600</v>
      </c>
      <c r="B2153" t="s">
        <v>41324</v>
      </c>
      <c r="C2153" t="s">
        <v>41325</v>
      </c>
      <c r="D2153" t="s">
        <v>41326</v>
      </c>
      <c r="E2153" t="s">
        <v>41327</v>
      </c>
      <c r="F2153" t="s">
        <v>41328</v>
      </c>
      <c r="G2153" t="s">
        <v>41329</v>
      </c>
      <c r="H2153" t="s">
        <v>41330</v>
      </c>
      <c r="I2153" t="s">
        <v>41331</v>
      </c>
      <c r="J2153" t="s">
        <v>41332</v>
      </c>
      <c r="K2153" t="s">
        <v>41333</v>
      </c>
      <c r="L2153" t="s">
        <v>41334</v>
      </c>
      <c r="M2153" t="s">
        <v>41335</v>
      </c>
      <c r="N2153" t="s">
        <v>41336</v>
      </c>
      <c r="O2153">
        <f>-631.896474832862 -55.9073246216205 -720.193543756557</f>
        <v>-1407.9973432110396</v>
      </c>
      <c r="P2153">
        <f>-650.965793970654 -22.5546531344253 -406.01194604746</f>
        <v>-1079.5323931525393</v>
      </c>
      <c r="Q2153" t="s">
        <v>41337</v>
      </c>
      <c r="R2153" t="s">
        <v>41338</v>
      </c>
      <c r="S2153" t="s">
        <v>41339</v>
      </c>
      <c r="T2153" t="s">
        <v>41340</v>
      </c>
      <c r="U2153" t="s">
        <v>41341</v>
      </c>
      <c r="V2153" t="s">
        <v>41342</v>
      </c>
      <c r="W2153" t="s">
        <v>41343</v>
      </c>
      <c r="X2153" t="s">
        <v>41344</v>
      </c>
      <c r="Y2153" t="s">
        <v>41345</v>
      </c>
    </row>
    <row r="2154" spans="1:25" x14ac:dyDescent="0.3">
      <c r="A2154">
        <v>107650</v>
      </c>
      <c r="B2154" t="s">
        <v>41346</v>
      </c>
      <c r="C2154" t="s">
        <v>41347</v>
      </c>
      <c r="D2154" t="s">
        <v>41348</v>
      </c>
      <c r="E2154" t="s">
        <v>41349</v>
      </c>
      <c r="F2154" t="s">
        <v>41350</v>
      </c>
      <c r="G2154" t="s">
        <v>41351</v>
      </c>
      <c r="H2154" t="s">
        <v>41352</v>
      </c>
      <c r="I2154" t="s">
        <v>41353</v>
      </c>
      <c r="J2154" t="s">
        <v>41354</v>
      </c>
      <c r="K2154" t="s">
        <v>41355</v>
      </c>
      <c r="L2154" t="s">
        <v>41356</v>
      </c>
      <c r="M2154" t="s">
        <v>41357</v>
      </c>
      <c r="N2154" t="s">
        <v>41358</v>
      </c>
      <c r="O2154">
        <f>-632.365471368458 -55.9818410524404 -719.885156492475</f>
        <v>-1408.2324689133734</v>
      </c>
      <c r="P2154">
        <f>-651.13788229331 -22.1535894205115 -405.736539756689</f>
        <v>-1079.0280114705106</v>
      </c>
      <c r="Q2154" t="s">
        <v>41359</v>
      </c>
      <c r="R2154" t="s">
        <v>41360</v>
      </c>
      <c r="S2154" t="s">
        <v>41361</v>
      </c>
      <c r="T2154" t="s">
        <v>41362</v>
      </c>
      <c r="U2154" t="s">
        <v>41363</v>
      </c>
      <c r="V2154" t="s">
        <v>41364</v>
      </c>
      <c r="W2154" t="s">
        <v>41365</v>
      </c>
      <c r="X2154" t="s">
        <v>41366</v>
      </c>
      <c r="Y2154" t="s">
        <v>41367</v>
      </c>
    </row>
    <row r="2155" spans="1:25" x14ac:dyDescent="0.3">
      <c r="A2155">
        <v>107700</v>
      </c>
      <c r="B2155" t="s">
        <v>41368</v>
      </c>
      <c r="C2155" t="s">
        <v>41369</v>
      </c>
      <c r="D2155" t="s">
        <v>41370</v>
      </c>
      <c r="E2155" t="s">
        <v>41371</v>
      </c>
      <c r="F2155" t="s">
        <v>41372</v>
      </c>
      <c r="G2155" t="s">
        <v>41373</v>
      </c>
      <c r="H2155" t="s">
        <v>41374</v>
      </c>
      <c r="I2155" t="s">
        <v>41375</v>
      </c>
      <c r="J2155" t="s">
        <v>41376</v>
      </c>
      <c r="K2155" t="s">
        <v>41377</v>
      </c>
      <c r="L2155" t="s">
        <v>41378</v>
      </c>
      <c r="M2155" t="s">
        <v>41379</v>
      </c>
      <c r="N2155" t="s">
        <v>41380</v>
      </c>
      <c r="O2155">
        <f>-632.647374020044 -55.7987375525679 -719.794615807749</f>
        <v>-1408.240727380361</v>
      </c>
      <c r="P2155">
        <f>-651.246346555867 -21.6959823814657 -405.665236277337</f>
        <v>-1078.6075652146696</v>
      </c>
      <c r="Q2155" t="s">
        <v>41381</v>
      </c>
      <c r="R2155" t="s">
        <v>41382</v>
      </c>
      <c r="S2155" t="s">
        <v>41383</v>
      </c>
      <c r="T2155" t="s">
        <v>41384</v>
      </c>
      <c r="U2155" t="s">
        <v>41385</v>
      </c>
      <c r="V2155" t="s">
        <v>41386</v>
      </c>
      <c r="W2155" t="s">
        <v>41387</v>
      </c>
      <c r="X2155" t="s">
        <v>41388</v>
      </c>
      <c r="Y2155" t="s">
        <v>41389</v>
      </c>
    </row>
    <row r="2156" spans="1:25" x14ac:dyDescent="0.3">
      <c r="A2156">
        <v>107750</v>
      </c>
      <c r="B2156" t="s">
        <v>41390</v>
      </c>
      <c r="C2156" t="s">
        <v>41391</v>
      </c>
      <c r="D2156" t="s">
        <v>41392</v>
      </c>
      <c r="E2156" t="s">
        <v>41393</v>
      </c>
      <c r="F2156" t="s">
        <v>41394</v>
      </c>
      <c r="G2156" t="s">
        <v>41395</v>
      </c>
      <c r="H2156" t="s">
        <v>41396</v>
      </c>
      <c r="I2156" t="s">
        <v>41397</v>
      </c>
      <c r="J2156" t="s">
        <v>41398</v>
      </c>
      <c r="K2156" t="s">
        <v>41399</v>
      </c>
      <c r="L2156" t="s">
        <v>41400</v>
      </c>
      <c r="M2156" t="s">
        <v>41401</v>
      </c>
      <c r="N2156" t="s">
        <v>41402</v>
      </c>
      <c r="O2156">
        <f>-633.349977246711 -55.2346786544229 -719.731785857966</f>
        <v>-1408.3164417590997</v>
      </c>
      <c r="P2156">
        <f>-651.960267504792 -20.8413403407476 -405.634762677088</f>
        <v>-1078.4363705226276</v>
      </c>
      <c r="Q2156" t="s">
        <v>41403</v>
      </c>
      <c r="R2156" t="s">
        <v>41404</v>
      </c>
      <c r="S2156" t="s">
        <v>41405</v>
      </c>
      <c r="T2156" t="s">
        <v>41406</v>
      </c>
      <c r="U2156" t="s">
        <v>41407</v>
      </c>
      <c r="V2156" t="s">
        <v>41408</v>
      </c>
      <c r="W2156" t="s">
        <v>41409</v>
      </c>
      <c r="X2156" t="s">
        <v>41410</v>
      </c>
      <c r="Y2156" t="s">
        <v>41411</v>
      </c>
    </row>
    <row r="2157" spans="1:25" x14ac:dyDescent="0.3">
      <c r="A2157">
        <v>107800</v>
      </c>
      <c r="B2157" t="s">
        <v>41412</v>
      </c>
      <c r="C2157" t="s">
        <v>41413</v>
      </c>
      <c r="D2157" t="s">
        <v>41414</v>
      </c>
      <c r="E2157" t="s">
        <v>41415</v>
      </c>
      <c r="F2157" t="s">
        <v>41416</v>
      </c>
      <c r="G2157" t="s">
        <v>41417</v>
      </c>
      <c r="H2157" t="s">
        <v>41418</v>
      </c>
      <c r="I2157" t="s">
        <v>41419</v>
      </c>
      <c r="J2157" t="s">
        <v>41420</v>
      </c>
      <c r="K2157" t="s">
        <v>41421</v>
      </c>
      <c r="L2157" t="s">
        <v>41422</v>
      </c>
      <c r="M2157" t="s">
        <v>41423</v>
      </c>
      <c r="N2157" t="s">
        <v>41424</v>
      </c>
      <c r="O2157">
        <f>-633.685907983677 -54.9649910272585 -719.718322956537</f>
        <v>-1408.3692219674726</v>
      </c>
      <c r="P2157">
        <f>-652.339364526939 -20.6094578716493 -405.619723799505</f>
        <v>-1078.5685461980934</v>
      </c>
      <c r="Q2157" t="s">
        <v>41425</v>
      </c>
      <c r="R2157" t="s">
        <v>41426</v>
      </c>
      <c r="S2157" t="s">
        <v>41427</v>
      </c>
      <c r="T2157" t="s">
        <v>41428</v>
      </c>
      <c r="U2157" t="s">
        <v>41429</v>
      </c>
      <c r="V2157" t="s">
        <v>41430</v>
      </c>
      <c r="W2157" t="s">
        <v>41431</v>
      </c>
      <c r="X2157" t="s">
        <v>41432</v>
      </c>
      <c r="Y2157" t="s">
        <v>41433</v>
      </c>
    </row>
    <row r="2158" spans="1:25" x14ac:dyDescent="0.3">
      <c r="A2158">
        <v>107850</v>
      </c>
      <c r="B2158" t="s">
        <v>41434</v>
      </c>
      <c r="C2158" t="s">
        <v>41435</v>
      </c>
      <c r="D2158" t="s">
        <v>41436</v>
      </c>
      <c r="E2158" t="s">
        <v>41437</v>
      </c>
      <c r="F2158" t="s">
        <v>41438</v>
      </c>
      <c r="G2158" t="s">
        <v>41439</v>
      </c>
      <c r="H2158" t="s">
        <v>41440</v>
      </c>
      <c r="I2158" t="s">
        <v>41441</v>
      </c>
      <c r="J2158" t="s">
        <v>41442</v>
      </c>
      <c r="K2158" t="s">
        <v>41443</v>
      </c>
      <c r="L2158" t="s">
        <v>41444</v>
      </c>
      <c r="M2158" t="s">
        <v>41445</v>
      </c>
      <c r="N2158" t="s">
        <v>41446</v>
      </c>
      <c r="O2158">
        <f>-634.399543025657 -54.5045922637246 -719.722708940499</f>
        <v>-1408.6268442298806</v>
      </c>
      <c r="P2158">
        <f>-653.188393748149 -20.3527800607376 -405.61000697582</f>
        <v>-1079.1511807847066</v>
      </c>
      <c r="Q2158" t="s">
        <v>41447</v>
      </c>
      <c r="R2158" t="s">
        <v>41448</v>
      </c>
      <c r="S2158" t="s">
        <v>41449</v>
      </c>
      <c r="T2158" t="s">
        <v>41450</v>
      </c>
      <c r="U2158" t="s">
        <v>41451</v>
      </c>
      <c r="V2158" t="s">
        <v>41452</v>
      </c>
      <c r="W2158" t="s">
        <v>41453</v>
      </c>
      <c r="X2158" t="s">
        <v>41454</v>
      </c>
      <c r="Y2158" t="s">
        <v>41455</v>
      </c>
    </row>
    <row r="2159" spans="1:25" x14ac:dyDescent="0.3">
      <c r="A2159">
        <v>107900</v>
      </c>
      <c r="B2159" t="s">
        <v>41456</v>
      </c>
      <c r="C2159" t="s">
        <v>41457</v>
      </c>
      <c r="D2159" t="s">
        <v>41458</v>
      </c>
      <c r="E2159" t="s">
        <v>41459</v>
      </c>
      <c r="F2159" t="s">
        <v>41460</v>
      </c>
      <c r="G2159" t="s">
        <v>41461</v>
      </c>
      <c r="H2159" t="s">
        <v>41462</v>
      </c>
      <c r="I2159" t="s">
        <v>41463</v>
      </c>
      <c r="J2159" t="s">
        <v>41464</v>
      </c>
      <c r="K2159" t="s">
        <v>41465</v>
      </c>
      <c r="L2159" t="s">
        <v>41466</v>
      </c>
      <c r="M2159" t="s">
        <v>41467</v>
      </c>
      <c r="N2159" t="s">
        <v>41468</v>
      </c>
      <c r="O2159">
        <f>-634.895292727248 -54.2421002594804 -719.756634711507</f>
        <v>-1408.8940276982353</v>
      </c>
      <c r="P2159">
        <f>-653.660545959658 -20.2849944765724 -405.621310371133</f>
        <v>-1079.5668508073634</v>
      </c>
      <c r="Q2159" t="s">
        <v>41469</v>
      </c>
      <c r="R2159" t="s">
        <v>41470</v>
      </c>
      <c r="S2159" t="s">
        <v>41471</v>
      </c>
      <c r="T2159" t="s">
        <v>41472</v>
      </c>
      <c r="U2159" t="s">
        <v>41473</v>
      </c>
      <c r="V2159" t="s">
        <v>41474</v>
      </c>
      <c r="W2159" t="s">
        <v>41475</v>
      </c>
      <c r="X2159" t="s">
        <v>41476</v>
      </c>
      <c r="Y2159" t="s">
        <v>41477</v>
      </c>
    </row>
    <row r="2160" spans="1:25" x14ac:dyDescent="0.3">
      <c r="A2160">
        <v>107950</v>
      </c>
      <c r="B2160" t="s">
        <v>41478</v>
      </c>
      <c r="C2160" t="s">
        <v>41479</v>
      </c>
      <c r="D2160" t="s">
        <v>41480</v>
      </c>
      <c r="E2160" t="s">
        <v>41481</v>
      </c>
      <c r="F2160" t="s">
        <v>41482</v>
      </c>
      <c r="G2160" t="s">
        <v>41483</v>
      </c>
      <c r="H2160" t="s">
        <v>41484</v>
      </c>
      <c r="I2160" t="s">
        <v>41485</v>
      </c>
      <c r="J2160" t="s">
        <v>41486</v>
      </c>
      <c r="K2160" t="s">
        <v>41487</v>
      </c>
      <c r="L2160" t="s">
        <v>41488</v>
      </c>
      <c r="M2160" t="s">
        <v>41489</v>
      </c>
      <c r="N2160" t="s">
        <v>41490</v>
      </c>
      <c r="O2160">
        <f>-635.923517368298 -53.7252345251804 -719.78451773266</f>
        <v>-1409.4332696261386</v>
      </c>
      <c r="P2160">
        <f>-654.225012975727 -19.827630632514 -405.615439740471</f>
        <v>-1079.6680833487121</v>
      </c>
      <c r="Q2160" t="s">
        <v>41491</v>
      </c>
      <c r="R2160" t="s">
        <v>41492</v>
      </c>
      <c r="S2160" t="s">
        <v>41493</v>
      </c>
      <c r="T2160" t="s">
        <v>41494</v>
      </c>
      <c r="U2160" t="s">
        <v>41495</v>
      </c>
      <c r="V2160" t="s">
        <v>41496</v>
      </c>
      <c r="W2160" t="s">
        <v>41497</v>
      </c>
      <c r="X2160" t="s">
        <v>41498</v>
      </c>
      <c r="Y2160" t="s">
        <v>41499</v>
      </c>
    </row>
    <row r="2161" spans="1:25" x14ac:dyDescent="0.3">
      <c r="A2161">
        <v>108000</v>
      </c>
      <c r="B2161" t="s">
        <v>41500</v>
      </c>
      <c r="C2161" t="s">
        <v>41501</v>
      </c>
      <c r="D2161" t="s">
        <v>41502</v>
      </c>
      <c r="E2161" t="s">
        <v>41503</v>
      </c>
      <c r="F2161" t="s">
        <v>41504</v>
      </c>
      <c r="G2161" t="s">
        <v>41505</v>
      </c>
      <c r="H2161" t="s">
        <v>41506</v>
      </c>
      <c r="I2161" t="s">
        <v>41507</v>
      </c>
      <c r="J2161" t="s">
        <v>41508</v>
      </c>
      <c r="K2161" t="s">
        <v>41509</v>
      </c>
      <c r="L2161" t="s">
        <v>41510</v>
      </c>
      <c r="M2161" t="s">
        <v>41511</v>
      </c>
      <c r="N2161" t="s">
        <v>41512</v>
      </c>
      <c r="O2161">
        <f>-636.61275934626 -53.5037435872684 -719.788811050126</f>
        <v>-1409.9053139836544</v>
      </c>
      <c r="P2161">
        <f>-654.565069932429 -19.4716739528817 -405.614079712737</f>
        <v>-1079.6508235980477</v>
      </c>
      <c r="Q2161" t="s">
        <v>41513</v>
      </c>
      <c r="R2161" t="s">
        <v>41514</v>
      </c>
      <c r="S2161" t="s">
        <v>41515</v>
      </c>
      <c r="T2161" t="s">
        <v>41516</v>
      </c>
      <c r="U2161" t="s">
        <v>41517</v>
      </c>
      <c r="V2161" t="s">
        <v>41518</v>
      </c>
      <c r="W2161" t="s">
        <v>41519</v>
      </c>
      <c r="X2161" t="s">
        <v>41520</v>
      </c>
      <c r="Y2161" t="s">
        <v>41521</v>
      </c>
    </row>
    <row r="2162" spans="1:25" x14ac:dyDescent="0.3">
      <c r="A2162">
        <v>108050</v>
      </c>
      <c r="B2162" t="s">
        <v>41522</v>
      </c>
      <c r="C2162" t="s">
        <v>41523</v>
      </c>
      <c r="D2162" t="s">
        <v>41524</v>
      </c>
      <c r="E2162" t="s">
        <v>41525</v>
      </c>
      <c r="F2162" t="s">
        <v>41526</v>
      </c>
      <c r="G2162" t="s">
        <v>41527</v>
      </c>
      <c r="H2162" t="s">
        <v>41528</v>
      </c>
      <c r="I2162" t="s">
        <v>41529</v>
      </c>
      <c r="J2162" t="s">
        <v>41530</v>
      </c>
      <c r="K2162" t="s">
        <v>41531</v>
      </c>
      <c r="L2162" t="s">
        <v>41532</v>
      </c>
      <c r="M2162" t="s">
        <v>41533</v>
      </c>
      <c r="N2162" t="s">
        <v>41534</v>
      </c>
      <c r="O2162">
        <f>-637.340119482692 -53.0061159496872 -719.730702987351</f>
        <v>-1410.0769384197301</v>
      </c>
      <c r="P2162">
        <f>-654.654490091925 -18.8406324250541 -405.534724397091</f>
        <v>-1079.02984691407</v>
      </c>
      <c r="Q2162" t="s">
        <v>41535</v>
      </c>
      <c r="R2162" t="s">
        <v>41536</v>
      </c>
      <c r="S2162" t="s">
        <v>41537</v>
      </c>
      <c r="T2162" t="s">
        <v>41538</v>
      </c>
      <c r="U2162" t="s">
        <v>41539</v>
      </c>
      <c r="V2162" t="s">
        <v>41540</v>
      </c>
      <c r="W2162" t="s">
        <v>41541</v>
      </c>
      <c r="X2162" t="s">
        <v>41542</v>
      </c>
      <c r="Y2162" t="s">
        <v>41543</v>
      </c>
    </row>
    <row r="2163" spans="1:25" x14ac:dyDescent="0.3">
      <c r="A2163">
        <v>108100</v>
      </c>
      <c r="B2163" t="s">
        <v>41544</v>
      </c>
      <c r="C2163" t="s">
        <v>41545</v>
      </c>
      <c r="D2163" t="s">
        <v>41546</v>
      </c>
      <c r="E2163" t="s">
        <v>41547</v>
      </c>
      <c r="F2163" t="s">
        <v>41548</v>
      </c>
      <c r="G2163" t="s">
        <v>41549</v>
      </c>
      <c r="H2163" t="s">
        <v>41550</v>
      </c>
      <c r="I2163" t="s">
        <v>41551</v>
      </c>
      <c r="J2163" t="s">
        <v>41552</v>
      </c>
      <c r="K2163" t="s">
        <v>41553</v>
      </c>
      <c r="L2163" t="s">
        <v>41554</v>
      </c>
      <c r="M2163" t="s">
        <v>41555</v>
      </c>
      <c r="N2163" t="s">
        <v>41556</v>
      </c>
      <c r="O2163">
        <f>-637.538243268989 -52.7877339850932 -719.772852091603</f>
        <v>-1410.0988293456853</v>
      </c>
      <c r="P2163">
        <f>-654.907924789005 -18.6148078268357 -405.580742825466</f>
        <v>-1079.1034754413067</v>
      </c>
      <c r="Q2163" t="s">
        <v>41557</v>
      </c>
      <c r="R2163" t="s">
        <v>41558</v>
      </c>
      <c r="S2163" t="s">
        <v>41559</v>
      </c>
      <c r="T2163" t="s">
        <v>41560</v>
      </c>
      <c r="U2163" t="s">
        <v>41561</v>
      </c>
      <c r="V2163" t="s">
        <v>41562</v>
      </c>
      <c r="W2163" t="s">
        <v>41563</v>
      </c>
      <c r="X2163" t="s">
        <v>41564</v>
      </c>
      <c r="Y2163" t="s">
        <v>41565</v>
      </c>
    </row>
    <row r="2164" spans="1:25" x14ac:dyDescent="0.3">
      <c r="A2164">
        <v>108150</v>
      </c>
      <c r="B2164" t="s">
        <v>41566</v>
      </c>
      <c r="C2164" t="s">
        <v>41567</v>
      </c>
      <c r="D2164" t="s">
        <v>41568</v>
      </c>
      <c r="E2164" t="s">
        <v>41569</v>
      </c>
      <c r="F2164" t="s">
        <v>41570</v>
      </c>
      <c r="G2164" t="s">
        <v>41571</v>
      </c>
      <c r="H2164" t="s">
        <v>41572</v>
      </c>
      <c r="I2164" t="s">
        <v>41573</v>
      </c>
      <c r="J2164" t="s">
        <v>41574</v>
      </c>
      <c r="K2164" t="s">
        <v>41575</v>
      </c>
      <c r="L2164" t="s">
        <v>41576</v>
      </c>
      <c r="M2164" t="s">
        <v>41577</v>
      </c>
      <c r="N2164" t="s">
        <v>41578</v>
      </c>
      <c r="O2164">
        <f>-638.089586563367 -52.5785027517559 -719.9208289844</f>
        <v>-1410.5889182995229</v>
      </c>
      <c r="P2164">
        <f>-655.587104040824 -19.0275175300833 -405.668872261812</f>
        <v>-1080.2834938327192</v>
      </c>
      <c r="Q2164" t="s">
        <v>41579</v>
      </c>
      <c r="R2164" t="s">
        <v>41580</v>
      </c>
      <c r="S2164" t="s">
        <v>41581</v>
      </c>
      <c r="T2164" t="s">
        <v>41582</v>
      </c>
      <c r="U2164" t="s">
        <v>41583</v>
      </c>
      <c r="V2164" t="s">
        <v>41584</v>
      </c>
      <c r="W2164" t="s">
        <v>41585</v>
      </c>
      <c r="X2164" t="s">
        <v>41586</v>
      </c>
      <c r="Y2164" t="s">
        <v>41587</v>
      </c>
    </row>
    <row r="2165" spans="1:25" x14ac:dyDescent="0.3">
      <c r="A2165">
        <v>108200</v>
      </c>
      <c r="B2165" t="s">
        <v>41588</v>
      </c>
      <c r="C2165" t="s">
        <v>41589</v>
      </c>
      <c r="D2165" t="s">
        <v>41590</v>
      </c>
      <c r="E2165" t="s">
        <v>41591</v>
      </c>
      <c r="F2165" t="s">
        <v>41592</v>
      </c>
      <c r="G2165" t="s">
        <v>41593</v>
      </c>
      <c r="H2165" t="s">
        <v>41594</v>
      </c>
      <c r="I2165" t="s">
        <v>41595</v>
      </c>
      <c r="J2165" t="s">
        <v>41596</v>
      </c>
      <c r="K2165" t="s">
        <v>41597</v>
      </c>
      <c r="L2165" t="s">
        <v>41598</v>
      </c>
      <c r="M2165" t="s">
        <v>41599</v>
      </c>
      <c r="N2165" t="s">
        <v>41600</v>
      </c>
      <c r="O2165">
        <f>-638.318733297192 -52.3475953360228 -720.062999299997</f>
        <v>-1410.7293279332118</v>
      </c>
      <c r="P2165">
        <f>-655.909470822327 -19.0477393489909 -405.78955868469</f>
        <v>-1080.746768856008</v>
      </c>
      <c r="Q2165" t="s">
        <v>41601</v>
      </c>
      <c r="R2165" t="s">
        <v>41602</v>
      </c>
      <c r="S2165" t="s">
        <v>41603</v>
      </c>
      <c r="T2165" t="s">
        <v>41604</v>
      </c>
      <c r="U2165" t="s">
        <v>41605</v>
      </c>
      <c r="V2165" t="s">
        <v>41606</v>
      </c>
      <c r="W2165" t="s">
        <v>41607</v>
      </c>
      <c r="X2165" t="s">
        <v>41608</v>
      </c>
      <c r="Y2165" t="s">
        <v>41609</v>
      </c>
    </row>
    <row r="2166" spans="1:25" x14ac:dyDescent="0.3">
      <c r="A2166">
        <v>108250</v>
      </c>
      <c r="B2166" t="s">
        <v>41610</v>
      </c>
      <c r="C2166" t="s">
        <v>41611</v>
      </c>
      <c r="D2166" t="s">
        <v>41612</v>
      </c>
      <c r="E2166" t="s">
        <v>41613</v>
      </c>
      <c r="F2166" t="s">
        <v>41614</v>
      </c>
      <c r="G2166" t="s">
        <v>41615</v>
      </c>
      <c r="H2166" t="s">
        <v>41616</v>
      </c>
      <c r="I2166" t="s">
        <v>41617</v>
      </c>
      <c r="J2166" t="s">
        <v>41618</v>
      </c>
      <c r="K2166" t="s">
        <v>41619</v>
      </c>
      <c r="L2166" t="s">
        <v>41620</v>
      </c>
      <c r="M2166" t="s">
        <v>41621</v>
      </c>
      <c r="N2166" t="s">
        <v>41622</v>
      </c>
      <c r="O2166">
        <f>-639.210797987345 -52.1514520549592 -720.148656761934</f>
        <v>-1411.5109068042384</v>
      </c>
      <c r="P2166">
        <f>-656.971032074556 -18.9293085526217 -405.876437789324</f>
        <v>-1081.7767784165017</v>
      </c>
      <c r="Q2166" t="s">
        <v>41623</v>
      </c>
      <c r="R2166" t="s">
        <v>41624</v>
      </c>
      <c r="S2166" t="s">
        <v>41625</v>
      </c>
      <c r="T2166" t="s">
        <v>41626</v>
      </c>
      <c r="U2166" t="s">
        <v>41627</v>
      </c>
      <c r="V2166" t="s">
        <v>41628</v>
      </c>
      <c r="W2166" t="s">
        <v>41629</v>
      </c>
      <c r="X2166" t="s">
        <v>41630</v>
      </c>
      <c r="Y2166" t="s">
        <v>41631</v>
      </c>
    </row>
    <row r="2167" spans="1:25" x14ac:dyDescent="0.3">
      <c r="A2167">
        <v>108300</v>
      </c>
      <c r="B2167" t="s">
        <v>41632</v>
      </c>
      <c r="C2167" t="s">
        <v>41633</v>
      </c>
      <c r="D2167" t="s">
        <v>41634</v>
      </c>
      <c r="E2167" t="s">
        <v>41635</v>
      </c>
      <c r="F2167" t="s">
        <v>41636</v>
      </c>
      <c r="G2167" t="s">
        <v>41637</v>
      </c>
      <c r="H2167" t="s">
        <v>41638</v>
      </c>
      <c r="I2167" t="s">
        <v>41639</v>
      </c>
      <c r="J2167" t="s">
        <v>41640</v>
      </c>
      <c r="K2167" t="s">
        <v>41641</v>
      </c>
      <c r="L2167" t="s">
        <v>41642</v>
      </c>
      <c r="M2167" t="s">
        <v>41643</v>
      </c>
      <c r="N2167" t="s">
        <v>41644</v>
      </c>
      <c r="O2167">
        <f>-639.531517059883 -52.0924780796311 -720.204134466444</f>
        <v>-1411.8281296059581</v>
      </c>
      <c r="P2167">
        <f>-657.317410486712 -18.9945062356007 -405.920290175854</f>
        <v>-1082.2322068981666</v>
      </c>
      <c r="Q2167" t="s">
        <v>41645</v>
      </c>
      <c r="R2167" t="s">
        <v>41646</v>
      </c>
      <c r="S2167" t="s">
        <v>41647</v>
      </c>
      <c r="T2167" t="s">
        <v>41648</v>
      </c>
      <c r="U2167" t="s">
        <v>41649</v>
      </c>
      <c r="V2167" t="s">
        <v>41650</v>
      </c>
      <c r="W2167" t="s">
        <v>41651</v>
      </c>
      <c r="X2167" t="s">
        <v>41652</v>
      </c>
      <c r="Y2167" t="s">
        <v>41653</v>
      </c>
    </row>
    <row r="2168" spans="1:25" x14ac:dyDescent="0.3">
      <c r="A2168">
        <v>108350</v>
      </c>
      <c r="B2168" t="s">
        <v>41654</v>
      </c>
      <c r="C2168" t="s">
        <v>41655</v>
      </c>
      <c r="D2168" t="s">
        <v>41656</v>
      </c>
      <c r="E2168" t="s">
        <v>41657</v>
      </c>
      <c r="F2168" t="s">
        <v>41658</v>
      </c>
      <c r="G2168" t="s">
        <v>41659</v>
      </c>
      <c r="H2168" t="s">
        <v>41660</v>
      </c>
      <c r="I2168" t="s">
        <v>41661</v>
      </c>
      <c r="J2168" t="s">
        <v>41662</v>
      </c>
      <c r="K2168" t="s">
        <v>41663</v>
      </c>
      <c r="L2168" t="s">
        <v>41664</v>
      </c>
      <c r="M2168" t="s">
        <v>41665</v>
      </c>
      <c r="N2168" t="s">
        <v>41666</v>
      </c>
      <c r="O2168">
        <f>-640.044510867997 -51.6937305371484 -720.347570316761</f>
        <v>-1412.0858117219063</v>
      </c>
      <c r="P2168">
        <f>-657.756838663333 -18.8218541213821 -406.035852147136</f>
        <v>-1082.614544931851</v>
      </c>
      <c r="Q2168" t="s">
        <v>41667</v>
      </c>
      <c r="R2168" t="s">
        <v>41668</v>
      </c>
      <c r="S2168" t="s">
        <v>41669</v>
      </c>
      <c r="T2168" t="s">
        <v>41670</v>
      </c>
      <c r="U2168" t="s">
        <v>41671</v>
      </c>
      <c r="V2168" t="s">
        <v>41672</v>
      </c>
      <c r="W2168" t="s">
        <v>41673</v>
      </c>
      <c r="X2168" t="s">
        <v>41674</v>
      </c>
      <c r="Y2168" t="s">
        <v>41675</v>
      </c>
    </row>
    <row r="2169" spans="1:25" x14ac:dyDescent="0.3">
      <c r="A2169">
        <v>108400</v>
      </c>
      <c r="B2169" t="s">
        <v>41676</v>
      </c>
      <c r="C2169" t="s">
        <v>41677</v>
      </c>
      <c r="D2169" t="s">
        <v>41678</v>
      </c>
      <c r="E2169" t="s">
        <v>41679</v>
      </c>
      <c r="F2169" t="s">
        <v>41680</v>
      </c>
      <c r="G2169" t="s">
        <v>41681</v>
      </c>
      <c r="H2169" t="s">
        <v>41682</v>
      </c>
      <c r="I2169" t="s">
        <v>41683</v>
      </c>
      <c r="J2169" t="s">
        <v>41684</v>
      </c>
      <c r="K2169" t="s">
        <v>41685</v>
      </c>
      <c r="L2169" t="s">
        <v>41686</v>
      </c>
      <c r="M2169" t="s">
        <v>41687</v>
      </c>
      <c r="N2169" t="s">
        <v>41688</v>
      </c>
      <c r="O2169">
        <f>-640.322005278573 -51.6707256466452 -720.356396204873</f>
        <v>-1412.3491271300913</v>
      </c>
      <c r="P2169">
        <f>-658.086591090595 -18.9747088051579 -406.029150941322</f>
        <v>-1083.090450837075</v>
      </c>
      <c r="Q2169" t="s">
        <v>41689</v>
      </c>
      <c r="R2169" t="s">
        <v>41690</v>
      </c>
      <c r="S2169" t="s">
        <v>41691</v>
      </c>
      <c r="T2169" t="s">
        <v>41692</v>
      </c>
      <c r="U2169" t="s">
        <v>41693</v>
      </c>
      <c r="V2169" t="s">
        <v>41694</v>
      </c>
      <c r="W2169" t="s">
        <v>41695</v>
      </c>
      <c r="X2169" t="s">
        <v>41696</v>
      </c>
      <c r="Y2169" t="s">
        <v>41697</v>
      </c>
    </row>
    <row r="2170" spans="1:25" x14ac:dyDescent="0.3">
      <c r="A2170">
        <v>108450</v>
      </c>
      <c r="B2170" t="s">
        <v>41698</v>
      </c>
      <c r="C2170" t="s">
        <v>41699</v>
      </c>
      <c r="D2170" t="s">
        <v>41700</v>
      </c>
      <c r="E2170" t="s">
        <v>41701</v>
      </c>
      <c r="F2170" t="s">
        <v>41702</v>
      </c>
      <c r="G2170" t="s">
        <v>41703</v>
      </c>
      <c r="H2170" t="s">
        <v>41704</v>
      </c>
      <c r="I2170" t="s">
        <v>41705</v>
      </c>
      <c r="J2170" t="s">
        <v>41706</v>
      </c>
      <c r="K2170" t="s">
        <v>41707</v>
      </c>
      <c r="L2170" t="s">
        <v>41708</v>
      </c>
      <c r="M2170" t="s">
        <v>41709</v>
      </c>
      <c r="N2170" t="s">
        <v>41710</v>
      </c>
      <c r="O2170">
        <f>-640.645198267804 -51.526781150661 -720.467254948878</f>
        <v>-1412.6392343673429</v>
      </c>
      <c r="P2170">
        <f>-658.419214978696 -19.131885230272 -406.109359062633</f>
        <v>-1083.660459271601</v>
      </c>
      <c r="Q2170" t="s">
        <v>41711</v>
      </c>
      <c r="R2170" t="s">
        <v>41712</v>
      </c>
      <c r="S2170" t="s">
        <v>41713</v>
      </c>
      <c r="T2170" t="s">
        <v>41714</v>
      </c>
      <c r="U2170" t="s">
        <v>41715</v>
      </c>
      <c r="V2170" t="s">
        <v>41716</v>
      </c>
      <c r="W2170" t="s">
        <v>41717</v>
      </c>
      <c r="X2170" t="s">
        <v>41718</v>
      </c>
      <c r="Y2170" t="s">
        <v>41719</v>
      </c>
    </row>
    <row r="2171" spans="1:25" x14ac:dyDescent="0.3">
      <c r="A2171">
        <v>108500</v>
      </c>
      <c r="B2171" t="s">
        <v>41720</v>
      </c>
      <c r="C2171" t="s">
        <v>41721</v>
      </c>
      <c r="D2171" t="s">
        <v>41722</v>
      </c>
      <c r="E2171" t="s">
        <v>41723</v>
      </c>
      <c r="F2171" t="s">
        <v>41724</v>
      </c>
      <c r="G2171" t="s">
        <v>41725</v>
      </c>
      <c r="H2171" t="s">
        <v>41726</v>
      </c>
      <c r="I2171" t="s">
        <v>41727</v>
      </c>
      <c r="J2171" t="s">
        <v>41728</v>
      </c>
      <c r="K2171" t="s">
        <v>41729</v>
      </c>
      <c r="L2171" t="s">
        <v>41730</v>
      </c>
      <c r="M2171" t="s">
        <v>41731</v>
      </c>
      <c r="N2171" t="s">
        <v>41732</v>
      </c>
      <c r="O2171">
        <f>-640.788508351728 -51.4451677835482 -720.530095346371</f>
        <v>-1412.7637714816472</v>
      </c>
      <c r="P2171">
        <f>-658.592510486454 -19.1569790389726 -406.162926404283</f>
        <v>-1083.9124159297096</v>
      </c>
      <c r="Q2171" t="s">
        <v>41733</v>
      </c>
      <c r="R2171" t="s">
        <v>41734</v>
      </c>
      <c r="S2171" t="s">
        <v>41735</v>
      </c>
      <c r="T2171" t="s">
        <v>41736</v>
      </c>
      <c r="U2171" t="s">
        <v>41737</v>
      </c>
      <c r="V2171" t="s">
        <v>41738</v>
      </c>
      <c r="W2171" t="s">
        <v>41739</v>
      </c>
      <c r="X2171" t="s">
        <v>41740</v>
      </c>
      <c r="Y2171" t="s">
        <v>41741</v>
      </c>
    </row>
    <row r="2172" spans="1:25" x14ac:dyDescent="0.3">
      <c r="A2172">
        <v>108550</v>
      </c>
      <c r="B2172" t="s">
        <v>41742</v>
      </c>
      <c r="C2172" t="s">
        <v>41743</v>
      </c>
      <c r="D2172" t="s">
        <v>41744</v>
      </c>
      <c r="E2172" t="s">
        <v>41745</v>
      </c>
      <c r="F2172" t="s">
        <v>41746</v>
      </c>
      <c r="G2172" t="s">
        <v>41747</v>
      </c>
      <c r="H2172" t="s">
        <v>41748</v>
      </c>
      <c r="I2172" t="s">
        <v>41749</v>
      </c>
      <c r="J2172" t="s">
        <v>41750</v>
      </c>
      <c r="K2172" t="s">
        <v>41751</v>
      </c>
      <c r="L2172" t="s">
        <v>41752</v>
      </c>
      <c r="M2172" t="s">
        <v>41753</v>
      </c>
      <c r="N2172" t="s">
        <v>41754</v>
      </c>
      <c r="O2172">
        <f>-640.913964011843 -51.4640055419914 -720.606624395332</f>
        <v>-1412.9845939491663</v>
      </c>
      <c r="P2172">
        <f>-658.819504958242 -19.2482885776562 -406.237925855467</f>
        <v>-1084.3057193913651</v>
      </c>
      <c r="Q2172" t="s">
        <v>41755</v>
      </c>
      <c r="R2172" t="s">
        <v>41756</v>
      </c>
      <c r="S2172" t="s">
        <v>41757</v>
      </c>
      <c r="T2172" t="s">
        <v>41758</v>
      </c>
      <c r="U2172" t="s">
        <v>41759</v>
      </c>
      <c r="V2172" t="s">
        <v>41760</v>
      </c>
      <c r="W2172" t="s">
        <v>41761</v>
      </c>
      <c r="X2172" t="s">
        <v>41762</v>
      </c>
      <c r="Y2172" t="s">
        <v>41763</v>
      </c>
    </row>
    <row r="2173" spans="1:25" x14ac:dyDescent="0.3">
      <c r="A2173">
        <v>108600</v>
      </c>
      <c r="B2173" t="s">
        <v>41764</v>
      </c>
      <c r="C2173" t="s">
        <v>41765</v>
      </c>
      <c r="D2173" t="s">
        <v>41766</v>
      </c>
      <c r="E2173" t="s">
        <v>41767</v>
      </c>
      <c r="F2173" t="s">
        <v>41768</v>
      </c>
      <c r="G2173" t="s">
        <v>41769</v>
      </c>
      <c r="H2173" t="s">
        <v>41770</v>
      </c>
      <c r="I2173" t="s">
        <v>41771</v>
      </c>
      <c r="J2173" t="s">
        <v>41772</v>
      </c>
      <c r="K2173" t="s">
        <v>41773</v>
      </c>
      <c r="L2173" t="s">
        <v>41774</v>
      </c>
      <c r="M2173" t="s">
        <v>41775</v>
      </c>
      <c r="N2173" t="s">
        <v>41776</v>
      </c>
      <c r="O2173">
        <f>-641.052100356039 -51.4365311985698 -720.687750727406</f>
        <v>-1413.1763822820149</v>
      </c>
      <c r="P2173">
        <f>-659.044742462778 -19.3733847345363 -406.308374277643</f>
        <v>-1084.7265014749573</v>
      </c>
      <c r="Q2173" t="s">
        <v>41777</v>
      </c>
      <c r="R2173" t="s">
        <v>41778</v>
      </c>
      <c r="S2173" t="s">
        <v>41779</v>
      </c>
      <c r="T2173" t="s">
        <v>41780</v>
      </c>
      <c r="U2173" t="s">
        <v>41781</v>
      </c>
      <c r="V2173" t="s">
        <v>41782</v>
      </c>
      <c r="W2173" t="s">
        <v>41783</v>
      </c>
      <c r="X2173" t="s">
        <v>41784</v>
      </c>
      <c r="Y2173" t="s">
        <v>41785</v>
      </c>
    </row>
    <row r="2174" spans="1:25" x14ac:dyDescent="0.3">
      <c r="A2174">
        <v>108650</v>
      </c>
      <c r="B2174" t="s">
        <v>41786</v>
      </c>
      <c r="C2174" t="s">
        <v>41787</v>
      </c>
      <c r="D2174" t="s">
        <v>41788</v>
      </c>
      <c r="E2174" t="s">
        <v>41789</v>
      </c>
      <c r="F2174" t="s">
        <v>41790</v>
      </c>
      <c r="G2174" t="s">
        <v>41791</v>
      </c>
      <c r="H2174" t="s">
        <v>41792</v>
      </c>
      <c r="I2174" t="s">
        <v>41793</v>
      </c>
      <c r="J2174" t="s">
        <v>41794</v>
      </c>
      <c r="K2174" t="s">
        <v>41795</v>
      </c>
      <c r="L2174" t="s">
        <v>41796</v>
      </c>
      <c r="M2174" t="s">
        <v>41797</v>
      </c>
      <c r="N2174" t="s">
        <v>41798</v>
      </c>
      <c r="O2174">
        <f>-641.078714901992 -51.4739021843466 -720.73612489735</f>
        <v>-1413.2887419836886</v>
      </c>
      <c r="P2174">
        <f>-659.155867344156 -19.4853608837602 -406.353929068996</f>
        <v>-1084.9951572969123</v>
      </c>
      <c r="Q2174" t="s">
        <v>41799</v>
      </c>
      <c r="R2174" t="s">
        <v>41800</v>
      </c>
      <c r="S2174" t="s">
        <v>41801</v>
      </c>
      <c r="T2174" t="s">
        <v>41802</v>
      </c>
      <c r="U2174" t="s">
        <v>41803</v>
      </c>
      <c r="V2174" t="s">
        <v>41804</v>
      </c>
      <c r="W2174" t="s">
        <v>41805</v>
      </c>
      <c r="X2174" t="s">
        <v>41806</v>
      </c>
      <c r="Y2174" t="s">
        <v>41807</v>
      </c>
    </row>
    <row r="2175" spans="1:25" x14ac:dyDescent="0.3">
      <c r="A2175">
        <v>108700</v>
      </c>
      <c r="B2175" t="s">
        <v>41808</v>
      </c>
      <c r="C2175" t="s">
        <v>41809</v>
      </c>
      <c r="D2175" t="s">
        <v>41810</v>
      </c>
      <c r="E2175" t="s">
        <v>41811</v>
      </c>
      <c r="F2175" t="s">
        <v>41812</v>
      </c>
      <c r="G2175" t="s">
        <v>41813</v>
      </c>
      <c r="H2175" t="s">
        <v>41814</v>
      </c>
      <c r="I2175" t="s">
        <v>41815</v>
      </c>
      <c r="J2175" t="s">
        <v>41816</v>
      </c>
      <c r="K2175" t="s">
        <v>41817</v>
      </c>
      <c r="L2175" t="s">
        <v>41818</v>
      </c>
      <c r="M2175" t="s">
        <v>41819</v>
      </c>
      <c r="N2175" t="s">
        <v>41820</v>
      </c>
      <c r="O2175">
        <f>-641.07332820554 -51.6496563468124 -720.758902430089</f>
        <v>-1413.4818869824414</v>
      </c>
      <c r="P2175">
        <f>-659.203147697369 -19.7685675134651 -406.368944241491</f>
        <v>-1085.3406594523251</v>
      </c>
      <c r="Q2175" t="s">
        <v>41821</v>
      </c>
      <c r="R2175" t="s">
        <v>41822</v>
      </c>
      <c r="S2175" t="s">
        <v>41823</v>
      </c>
      <c r="T2175" t="s">
        <v>41824</v>
      </c>
      <c r="U2175" t="s">
        <v>41825</v>
      </c>
      <c r="V2175" t="s">
        <v>41826</v>
      </c>
      <c r="W2175" t="s">
        <v>41827</v>
      </c>
      <c r="X2175" t="s">
        <v>41828</v>
      </c>
      <c r="Y2175" t="s">
        <v>41829</v>
      </c>
    </row>
    <row r="2176" spans="1:25" x14ac:dyDescent="0.3">
      <c r="A2176">
        <v>108750</v>
      </c>
      <c r="B2176" t="s">
        <v>41830</v>
      </c>
      <c r="C2176" t="s">
        <v>41831</v>
      </c>
      <c r="D2176" t="s">
        <v>41832</v>
      </c>
      <c r="E2176" t="s">
        <v>41833</v>
      </c>
      <c r="F2176" t="s">
        <v>41834</v>
      </c>
      <c r="G2176" t="s">
        <v>41835</v>
      </c>
      <c r="H2176" t="s">
        <v>41836</v>
      </c>
      <c r="I2176" t="s">
        <v>41837</v>
      </c>
      <c r="J2176" t="s">
        <v>41838</v>
      </c>
      <c r="K2176" t="s">
        <v>41839</v>
      </c>
      <c r="L2176" t="s">
        <v>41840</v>
      </c>
      <c r="M2176" t="s">
        <v>41841</v>
      </c>
      <c r="N2176" t="s">
        <v>41842</v>
      </c>
      <c r="O2176">
        <f>-641.350301096747 -51.8254118722919 -720.850620433355</f>
        <v>-1414.0263334023939</v>
      </c>
      <c r="P2176">
        <f>-659.317834151746 -20.0945849364514 -406.43602921804</f>
        <v>-1085.8484483062373</v>
      </c>
      <c r="Q2176" t="s">
        <v>41843</v>
      </c>
      <c r="R2176" t="s">
        <v>41844</v>
      </c>
      <c r="S2176" t="s">
        <v>41845</v>
      </c>
      <c r="T2176" t="s">
        <v>41846</v>
      </c>
      <c r="U2176" t="s">
        <v>41847</v>
      </c>
      <c r="V2176" t="s">
        <v>41848</v>
      </c>
      <c r="W2176" t="s">
        <v>41849</v>
      </c>
      <c r="X2176" t="s">
        <v>41850</v>
      </c>
      <c r="Y2176" t="s">
        <v>41851</v>
      </c>
    </row>
    <row r="2177" spans="1:25" x14ac:dyDescent="0.3">
      <c r="A2177">
        <v>108800</v>
      </c>
      <c r="B2177" t="s">
        <v>41852</v>
      </c>
      <c r="C2177" t="s">
        <v>41853</v>
      </c>
      <c r="D2177" t="s">
        <v>41854</v>
      </c>
      <c r="E2177" t="s">
        <v>41855</v>
      </c>
      <c r="F2177" t="s">
        <v>41856</v>
      </c>
      <c r="G2177" t="s">
        <v>41857</v>
      </c>
      <c r="H2177" t="s">
        <v>41858</v>
      </c>
      <c r="I2177" t="s">
        <v>41859</v>
      </c>
      <c r="J2177" t="s">
        <v>41860</v>
      </c>
      <c r="K2177" t="s">
        <v>41861</v>
      </c>
      <c r="L2177" t="s">
        <v>41862</v>
      </c>
      <c r="M2177" t="s">
        <v>41863</v>
      </c>
      <c r="N2177" t="s">
        <v>41864</v>
      </c>
      <c r="O2177">
        <f>-641.38420628726 -51.9920502652994 -720.854286915869</f>
        <v>-1414.2305434684286</v>
      </c>
      <c r="P2177">
        <f>-659.249626672701 -20.4057562023049 -406.419453331683</f>
        <v>-1086.0748362066888</v>
      </c>
      <c r="Q2177" t="s">
        <v>41865</v>
      </c>
      <c r="R2177" t="s">
        <v>41866</v>
      </c>
      <c r="S2177" t="s">
        <v>41867</v>
      </c>
      <c r="T2177" t="s">
        <v>41868</v>
      </c>
      <c r="U2177" t="s">
        <v>41869</v>
      </c>
      <c r="V2177" t="s">
        <v>41870</v>
      </c>
      <c r="W2177" t="s">
        <v>41871</v>
      </c>
      <c r="X2177" t="s">
        <v>41872</v>
      </c>
      <c r="Y2177" t="s">
        <v>41873</v>
      </c>
    </row>
    <row r="2178" spans="1:25" x14ac:dyDescent="0.3">
      <c r="A2178">
        <v>108850</v>
      </c>
      <c r="B2178" t="s">
        <v>41874</v>
      </c>
      <c r="C2178" t="s">
        <v>41875</v>
      </c>
      <c r="D2178" t="s">
        <v>41876</v>
      </c>
      <c r="E2178" t="s">
        <v>41877</v>
      </c>
      <c r="F2178" t="s">
        <v>41878</v>
      </c>
      <c r="G2178" t="s">
        <v>41879</v>
      </c>
      <c r="H2178" t="s">
        <v>41880</v>
      </c>
      <c r="I2178" t="s">
        <v>41881</v>
      </c>
      <c r="J2178" t="s">
        <v>41882</v>
      </c>
      <c r="K2178" t="s">
        <v>41883</v>
      </c>
      <c r="L2178" t="s">
        <v>41884</v>
      </c>
      <c r="M2178" t="s">
        <v>41885</v>
      </c>
      <c r="N2178" t="s">
        <v>41886</v>
      </c>
      <c r="O2178">
        <f>-641.560555523884 -52.1672989392496 -720.887587484767</f>
        <v>-1414.6154419479005</v>
      </c>
      <c r="P2178">
        <f>-659.150416007225 -20.8567691773792 -406.409588334693</f>
        <v>-1086.4167735192973</v>
      </c>
      <c r="Q2178" t="s">
        <v>41887</v>
      </c>
      <c r="R2178" t="s">
        <v>41888</v>
      </c>
      <c r="S2178" t="s">
        <v>41889</v>
      </c>
      <c r="T2178" t="s">
        <v>41890</v>
      </c>
      <c r="U2178" t="s">
        <v>41891</v>
      </c>
      <c r="V2178" t="s">
        <v>41892</v>
      </c>
      <c r="W2178" t="s">
        <v>41893</v>
      </c>
      <c r="X2178" t="s">
        <v>41894</v>
      </c>
      <c r="Y2178" t="s">
        <v>41895</v>
      </c>
    </row>
    <row r="2179" spans="1:25" x14ac:dyDescent="0.3">
      <c r="A2179">
        <v>108900</v>
      </c>
      <c r="B2179" t="s">
        <v>41896</v>
      </c>
      <c r="C2179" t="s">
        <v>41897</v>
      </c>
      <c r="D2179" t="s">
        <v>41898</v>
      </c>
      <c r="E2179" t="s">
        <v>41899</v>
      </c>
      <c r="F2179" t="s">
        <v>41900</v>
      </c>
      <c r="G2179" t="s">
        <v>41901</v>
      </c>
      <c r="H2179" t="s">
        <v>41902</v>
      </c>
      <c r="I2179" t="s">
        <v>41903</v>
      </c>
      <c r="J2179" t="s">
        <v>41904</v>
      </c>
      <c r="K2179" t="s">
        <v>41905</v>
      </c>
      <c r="L2179" t="s">
        <v>41906</v>
      </c>
      <c r="M2179" t="s">
        <v>41907</v>
      </c>
      <c r="N2179" t="s">
        <v>41908</v>
      </c>
      <c r="O2179">
        <f>-641.636050251799 -52.2196652878281 -720.895278343919</f>
        <v>-1414.750993883546</v>
      </c>
      <c r="P2179">
        <f>-659.14690849018 -21.1493983726191 -406.389127244468</f>
        <v>-1086.6854341072672</v>
      </c>
      <c r="Q2179" t="s">
        <v>41909</v>
      </c>
      <c r="R2179" t="s">
        <v>41910</v>
      </c>
      <c r="S2179" t="s">
        <v>41911</v>
      </c>
      <c r="T2179" t="s">
        <v>41912</v>
      </c>
      <c r="U2179" t="s">
        <v>41913</v>
      </c>
      <c r="V2179" t="s">
        <v>41914</v>
      </c>
      <c r="W2179" t="s">
        <v>41915</v>
      </c>
      <c r="X2179" t="s">
        <v>41916</v>
      </c>
      <c r="Y2179" t="s">
        <v>41917</v>
      </c>
    </row>
    <row r="2180" spans="1:25" x14ac:dyDescent="0.3">
      <c r="A2180">
        <v>108950</v>
      </c>
      <c r="B2180" t="s">
        <v>41918</v>
      </c>
      <c r="C2180" t="s">
        <v>41919</v>
      </c>
      <c r="D2180" t="s">
        <v>41920</v>
      </c>
      <c r="E2180" t="s">
        <v>41921</v>
      </c>
      <c r="F2180" t="s">
        <v>41922</v>
      </c>
      <c r="G2180" t="s">
        <v>41923</v>
      </c>
      <c r="H2180" t="s">
        <v>41924</v>
      </c>
      <c r="I2180" t="s">
        <v>41925</v>
      </c>
      <c r="J2180" t="s">
        <v>41926</v>
      </c>
      <c r="K2180" t="s">
        <v>41927</v>
      </c>
      <c r="L2180" t="s">
        <v>41928</v>
      </c>
      <c r="M2180" t="s">
        <v>41929</v>
      </c>
      <c r="N2180" t="s">
        <v>41930</v>
      </c>
      <c r="O2180">
        <f>-641.869663032906 -52.4468979217697 -720.910891562793</f>
        <v>-1415.2274525174689</v>
      </c>
      <c r="P2180">
        <f>-659.392602552227 -21.4445529973182 -406.3986282096</f>
        <v>-1087.2357837591453</v>
      </c>
      <c r="Q2180" t="s">
        <v>41931</v>
      </c>
      <c r="R2180" t="s">
        <v>41932</v>
      </c>
      <c r="S2180" t="s">
        <v>41933</v>
      </c>
      <c r="T2180" t="s">
        <v>41934</v>
      </c>
      <c r="U2180" t="s">
        <v>41935</v>
      </c>
      <c r="V2180" t="s">
        <v>41936</v>
      </c>
      <c r="W2180" t="s">
        <v>41937</v>
      </c>
      <c r="X2180" t="s">
        <v>41938</v>
      </c>
      <c r="Y2180" t="s">
        <v>41939</v>
      </c>
    </row>
    <row r="2181" spans="1:25" x14ac:dyDescent="0.3">
      <c r="A2181">
        <v>109000</v>
      </c>
      <c r="B2181" t="s">
        <v>41940</v>
      </c>
      <c r="C2181" t="s">
        <v>41941</v>
      </c>
      <c r="D2181" t="s">
        <v>41942</v>
      </c>
      <c r="E2181" t="s">
        <v>41943</v>
      </c>
      <c r="F2181" t="s">
        <v>41944</v>
      </c>
      <c r="G2181" t="s">
        <v>41945</v>
      </c>
      <c r="H2181" t="s">
        <v>41946</v>
      </c>
      <c r="I2181" t="s">
        <v>41947</v>
      </c>
      <c r="J2181" t="s">
        <v>41948</v>
      </c>
      <c r="K2181" t="s">
        <v>41949</v>
      </c>
      <c r="L2181" t="s">
        <v>41950</v>
      </c>
      <c r="M2181" t="s">
        <v>41951</v>
      </c>
      <c r="N2181" t="s">
        <v>41952</v>
      </c>
      <c r="O2181">
        <f>-642.102382052732 -52.7079660940385 -720.867185236653</f>
        <v>-1415.6775333834235</v>
      </c>
      <c r="P2181">
        <f>-659.659224597565 -21.7958594651179 -406.347868877141</f>
        <v>-1087.8029529398239</v>
      </c>
      <c r="Q2181" t="s">
        <v>41953</v>
      </c>
      <c r="R2181" t="s">
        <v>41954</v>
      </c>
      <c r="S2181" t="s">
        <v>41955</v>
      </c>
      <c r="T2181" t="s">
        <v>41956</v>
      </c>
      <c r="U2181" t="s">
        <v>41957</v>
      </c>
      <c r="V2181" t="s">
        <v>41958</v>
      </c>
      <c r="W2181" t="s">
        <v>41959</v>
      </c>
      <c r="X2181" t="s">
        <v>41960</v>
      </c>
      <c r="Y2181" t="s">
        <v>41961</v>
      </c>
    </row>
    <row r="2182" spans="1:25" x14ac:dyDescent="0.3">
      <c r="A2182">
        <v>109050</v>
      </c>
      <c r="B2182" t="s">
        <v>41962</v>
      </c>
      <c r="C2182" t="s">
        <v>41963</v>
      </c>
      <c r="D2182" t="s">
        <v>41964</v>
      </c>
      <c r="E2182" t="s">
        <v>41965</v>
      </c>
      <c r="F2182" t="s">
        <v>41966</v>
      </c>
      <c r="G2182" t="s">
        <v>41967</v>
      </c>
      <c r="H2182" t="s">
        <v>41968</v>
      </c>
      <c r="I2182" t="s">
        <v>41969</v>
      </c>
      <c r="J2182" t="s">
        <v>41970</v>
      </c>
      <c r="K2182" t="s">
        <v>41971</v>
      </c>
      <c r="L2182" t="s">
        <v>41972</v>
      </c>
      <c r="M2182" t="s">
        <v>41973</v>
      </c>
      <c r="N2182" t="s">
        <v>41974</v>
      </c>
      <c r="O2182">
        <f>-642.528979522272 -52.949472000277 -720.905152309521</f>
        <v>-1416.3836038320701</v>
      </c>
      <c r="P2182">
        <f>-660.115947735073 -22.0502043857791 -406.38618039208</f>
        <v>-1088.552332512932</v>
      </c>
      <c r="Q2182" t="s">
        <v>41975</v>
      </c>
      <c r="R2182" t="s">
        <v>41976</v>
      </c>
      <c r="S2182" t="s">
        <v>41977</v>
      </c>
      <c r="T2182" t="s">
        <v>41978</v>
      </c>
      <c r="U2182" t="s">
        <v>41979</v>
      </c>
      <c r="V2182" t="s">
        <v>41980</v>
      </c>
      <c r="W2182" t="s">
        <v>41981</v>
      </c>
      <c r="X2182" t="s">
        <v>41982</v>
      </c>
      <c r="Y2182" t="s">
        <v>41983</v>
      </c>
    </row>
    <row r="2183" spans="1:25" x14ac:dyDescent="0.3">
      <c r="A2183">
        <v>109100</v>
      </c>
      <c r="B2183" t="s">
        <v>41984</v>
      </c>
      <c r="C2183" t="s">
        <v>41985</v>
      </c>
      <c r="D2183" t="s">
        <v>41986</v>
      </c>
      <c r="E2183" t="s">
        <v>41987</v>
      </c>
      <c r="F2183" t="s">
        <v>41988</v>
      </c>
      <c r="G2183" t="s">
        <v>41989</v>
      </c>
      <c r="H2183" t="s">
        <v>41990</v>
      </c>
      <c r="I2183" t="s">
        <v>41991</v>
      </c>
      <c r="J2183" t="s">
        <v>41992</v>
      </c>
      <c r="K2183" t="s">
        <v>41993</v>
      </c>
      <c r="L2183" t="s">
        <v>41994</v>
      </c>
      <c r="M2183" t="s">
        <v>41995</v>
      </c>
      <c r="N2183" t="s">
        <v>41996</v>
      </c>
      <c r="O2183">
        <f>-642.887016731775 -53.089754224465 -720.889339184824</f>
        <v>-1416.8661101410639</v>
      </c>
      <c r="P2183">
        <f>-660.405795104037 -22.1616781257887 -406.369543470947</f>
        <v>-1088.9370167007728</v>
      </c>
      <c r="Q2183" t="s">
        <v>41997</v>
      </c>
      <c r="R2183" t="s">
        <v>41998</v>
      </c>
      <c r="S2183" t="s">
        <v>41999</v>
      </c>
      <c r="T2183" t="s">
        <v>42000</v>
      </c>
      <c r="U2183" t="s">
        <v>42001</v>
      </c>
      <c r="V2183" t="s">
        <v>42002</v>
      </c>
      <c r="W2183" t="s">
        <v>42003</v>
      </c>
      <c r="X2183" t="s">
        <v>42004</v>
      </c>
      <c r="Y2183" t="s">
        <v>42005</v>
      </c>
    </row>
    <row r="2184" spans="1:25" x14ac:dyDescent="0.3">
      <c r="A2184">
        <v>109150</v>
      </c>
      <c r="B2184" t="s">
        <v>42006</v>
      </c>
      <c r="C2184" t="s">
        <v>42007</v>
      </c>
      <c r="D2184" t="s">
        <v>42008</v>
      </c>
      <c r="E2184" t="s">
        <v>42009</v>
      </c>
      <c r="F2184" t="s">
        <v>42010</v>
      </c>
      <c r="G2184" t="s">
        <v>42011</v>
      </c>
      <c r="H2184" t="s">
        <v>42012</v>
      </c>
      <c r="I2184" t="s">
        <v>42013</v>
      </c>
      <c r="J2184" t="s">
        <v>42014</v>
      </c>
      <c r="K2184" t="s">
        <v>42015</v>
      </c>
      <c r="L2184" t="s">
        <v>42016</v>
      </c>
      <c r="M2184" t="s">
        <v>42017</v>
      </c>
      <c r="N2184" t="s">
        <v>42018</v>
      </c>
      <c r="O2184">
        <f>-643.674979067376 -53.3511425243028 -720.882426799365</f>
        <v>-1417.9085483910437</v>
      </c>
      <c r="P2184">
        <f>-661.101272001074 -22.6002157698751 -406.340156446873</f>
        <v>-1090.0416442178221</v>
      </c>
      <c r="Q2184" t="s">
        <v>42019</v>
      </c>
      <c r="R2184" t="s">
        <v>42020</v>
      </c>
      <c r="S2184" t="s">
        <v>42021</v>
      </c>
      <c r="T2184" t="s">
        <v>42022</v>
      </c>
      <c r="U2184" t="s">
        <v>42023</v>
      </c>
      <c r="V2184" t="s">
        <v>42024</v>
      </c>
      <c r="W2184" t="s">
        <v>42025</v>
      </c>
      <c r="X2184" t="s">
        <v>42026</v>
      </c>
      <c r="Y2184" t="s">
        <v>42027</v>
      </c>
    </row>
    <row r="2185" spans="1:25" x14ac:dyDescent="0.3">
      <c r="A2185">
        <v>109200</v>
      </c>
      <c r="B2185" t="s">
        <v>42028</v>
      </c>
      <c r="C2185" t="s">
        <v>42029</v>
      </c>
      <c r="D2185" t="s">
        <v>42030</v>
      </c>
      <c r="E2185" t="s">
        <v>42031</v>
      </c>
      <c r="F2185" t="s">
        <v>42032</v>
      </c>
      <c r="G2185" t="s">
        <v>42033</v>
      </c>
      <c r="H2185" t="s">
        <v>42034</v>
      </c>
      <c r="I2185" t="s">
        <v>42035</v>
      </c>
      <c r="J2185" t="s">
        <v>42036</v>
      </c>
      <c r="K2185" t="s">
        <v>42037</v>
      </c>
      <c r="L2185" t="s">
        <v>42038</v>
      </c>
      <c r="M2185" t="s">
        <v>42039</v>
      </c>
      <c r="N2185" t="s">
        <v>42040</v>
      </c>
      <c r="O2185">
        <f>-644.299483456998 -53.2491481945096 -720.926140452959</f>
        <v>-1418.4747721044666</v>
      </c>
      <c r="P2185">
        <f>-661.670531644626 -22.5837014774434 -406.372350884769</f>
        <v>-1090.6265840068384</v>
      </c>
      <c r="Q2185" t="s">
        <v>42041</v>
      </c>
      <c r="R2185" t="s">
        <v>42042</v>
      </c>
      <c r="S2185" t="s">
        <v>42043</v>
      </c>
      <c r="T2185" t="s">
        <v>42044</v>
      </c>
      <c r="U2185" t="s">
        <v>42045</v>
      </c>
      <c r="V2185" t="s">
        <v>42046</v>
      </c>
      <c r="W2185" t="s">
        <v>42047</v>
      </c>
      <c r="X2185" t="s">
        <v>42048</v>
      </c>
      <c r="Y2185" t="s">
        <v>42049</v>
      </c>
    </row>
    <row r="2186" spans="1:25" x14ac:dyDescent="0.3">
      <c r="A2186">
        <v>109250</v>
      </c>
      <c r="B2186" t="s">
        <v>42050</v>
      </c>
      <c r="C2186" t="s">
        <v>42051</v>
      </c>
      <c r="D2186" t="s">
        <v>42052</v>
      </c>
      <c r="E2186" t="s">
        <v>42053</v>
      </c>
      <c r="F2186" t="s">
        <v>42054</v>
      </c>
      <c r="G2186" t="s">
        <v>42055</v>
      </c>
      <c r="H2186" t="s">
        <v>42056</v>
      </c>
      <c r="I2186" t="s">
        <v>42057</v>
      </c>
      <c r="J2186" t="s">
        <v>42058</v>
      </c>
      <c r="K2186" t="s">
        <v>42059</v>
      </c>
      <c r="L2186" t="s">
        <v>42060</v>
      </c>
      <c r="M2186" t="s">
        <v>42061</v>
      </c>
      <c r="N2186" t="s">
        <v>42062</v>
      </c>
      <c r="O2186">
        <f>-645.564152915768 -53.4580370943472 -720.943805604401</f>
        <v>-1419.965995614516</v>
      </c>
      <c r="P2186">
        <f>-662.837511409474 -22.9283520201986 -406.371421597745</f>
        <v>-1092.1372850274176</v>
      </c>
      <c r="Q2186" t="s">
        <v>42063</v>
      </c>
      <c r="R2186" t="s">
        <v>42064</v>
      </c>
      <c r="S2186" t="s">
        <v>42065</v>
      </c>
      <c r="T2186" t="s">
        <v>42066</v>
      </c>
      <c r="U2186" t="s">
        <v>42067</v>
      </c>
      <c r="V2186" t="s">
        <v>42068</v>
      </c>
      <c r="W2186" t="s">
        <v>42069</v>
      </c>
      <c r="X2186" t="s">
        <v>42070</v>
      </c>
      <c r="Y2186" t="s">
        <v>42071</v>
      </c>
    </row>
    <row r="2187" spans="1:25" x14ac:dyDescent="0.3">
      <c r="A2187">
        <v>109300</v>
      </c>
      <c r="B2187" t="s">
        <v>42072</v>
      </c>
      <c r="C2187" t="s">
        <v>42073</v>
      </c>
      <c r="D2187" t="s">
        <v>42074</v>
      </c>
      <c r="E2187" t="s">
        <v>42075</v>
      </c>
      <c r="F2187" t="s">
        <v>42076</v>
      </c>
      <c r="G2187" t="s">
        <v>42077</v>
      </c>
      <c r="H2187" t="s">
        <v>42078</v>
      </c>
      <c r="I2187" t="s">
        <v>42079</v>
      </c>
      <c r="J2187" t="s">
        <v>42080</v>
      </c>
      <c r="K2187" t="s">
        <v>42081</v>
      </c>
      <c r="L2187" t="s">
        <v>42082</v>
      </c>
      <c r="M2187" t="s">
        <v>42083</v>
      </c>
      <c r="N2187" t="s">
        <v>42084</v>
      </c>
      <c r="O2187">
        <f>-646.251495431155 -53.5342484145083 -720.929657058441</f>
        <v>-1420.7154009041042</v>
      </c>
      <c r="P2187">
        <f>-663.403937673745 -23.0976829484148 -406.34163082334</f>
        <v>-1092.8432514454998</v>
      </c>
      <c r="Q2187" t="s">
        <v>42085</v>
      </c>
      <c r="R2187" t="s">
        <v>42086</v>
      </c>
      <c r="S2187" t="s">
        <v>42087</v>
      </c>
      <c r="T2187" t="s">
        <v>42088</v>
      </c>
      <c r="U2187" t="s">
        <v>42089</v>
      </c>
      <c r="V2187" t="s">
        <v>42090</v>
      </c>
      <c r="W2187" t="s">
        <v>42091</v>
      </c>
      <c r="X2187" t="s">
        <v>42092</v>
      </c>
      <c r="Y2187" t="s">
        <v>42093</v>
      </c>
    </row>
    <row r="2188" spans="1:25" x14ac:dyDescent="0.3">
      <c r="A2188">
        <v>109350</v>
      </c>
      <c r="B2188" t="s">
        <v>42094</v>
      </c>
      <c r="C2188" t="s">
        <v>42095</v>
      </c>
      <c r="D2188" t="s">
        <v>42096</v>
      </c>
      <c r="E2188" t="s">
        <v>42097</v>
      </c>
      <c r="F2188" t="s">
        <v>42098</v>
      </c>
      <c r="G2188" t="s">
        <v>42099</v>
      </c>
      <c r="H2188" t="s">
        <v>42100</v>
      </c>
      <c r="I2188" t="s">
        <v>42101</v>
      </c>
      <c r="J2188" t="s">
        <v>42102</v>
      </c>
      <c r="K2188" t="s">
        <v>42103</v>
      </c>
      <c r="L2188" t="s">
        <v>42104</v>
      </c>
      <c r="M2188" t="s">
        <v>42105</v>
      </c>
      <c r="N2188" t="s">
        <v>42106</v>
      </c>
      <c r="O2188">
        <f>-647.863302344253 -53.7553635205556 -720.859752485577</f>
        <v>-1422.4784183503857</v>
      </c>
      <c r="P2188">
        <f>-664.716889270084 -23.2859886252429 -406.258900258063</f>
        <v>-1094.26177815339</v>
      </c>
      <c r="Q2188" t="s">
        <v>42107</v>
      </c>
      <c r="R2188" t="s">
        <v>42108</v>
      </c>
      <c r="S2188" t="s">
        <v>42109</v>
      </c>
      <c r="T2188" t="s">
        <v>42110</v>
      </c>
      <c r="U2188" t="s">
        <v>42111</v>
      </c>
      <c r="V2188" t="s">
        <v>42112</v>
      </c>
      <c r="W2188" t="s">
        <v>42113</v>
      </c>
      <c r="X2188" t="s">
        <v>42114</v>
      </c>
      <c r="Y2188" t="s">
        <v>42115</v>
      </c>
    </row>
    <row r="2189" spans="1:25" x14ac:dyDescent="0.3">
      <c r="A2189">
        <v>109400</v>
      </c>
      <c r="B2189" t="s">
        <v>42116</v>
      </c>
      <c r="C2189" t="s">
        <v>42117</v>
      </c>
      <c r="D2189" t="s">
        <v>42118</v>
      </c>
      <c r="E2189" t="s">
        <v>42119</v>
      </c>
      <c r="F2189" t="s">
        <v>42120</v>
      </c>
      <c r="G2189" t="s">
        <v>42121</v>
      </c>
      <c r="H2189" t="s">
        <v>42122</v>
      </c>
      <c r="I2189" t="s">
        <v>42123</v>
      </c>
      <c r="J2189" t="s">
        <v>42124</v>
      </c>
      <c r="K2189" t="s">
        <v>42125</v>
      </c>
      <c r="L2189" t="s">
        <v>42126</v>
      </c>
      <c r="M2189" t="s">
        <v>42127</v>
      </c>
      <c r="N2189" t="s">
        <v>42128</v>
      </c>
      <c r="O2189">
        <f>-648.716015261906 -53.8847247930682 -720.761920393739</f>
        <v>-1423.3626604487133</v>
      </c>
      <c r="P2189">
        <f>-665.457560447577 -23.4149701186711 -406.15497359849</f>
        <v>-1095.027504164738</v>
      </c>
      <c r="Q2189" t="s">
        <v>42129</v>
      </c>
      <c r="R2189" t="s">
        <v>42130</v>
      </c>
      <c r="S2189" t="s">
        <v>42131</v>
      </c>
      <c r="T2189" t="s">
        <v>42132</v>
      </c>
      <c r="U2189" t="s">
        <v>42133</v>
      </c>
      <c r="V2189" t="s">
        <v>42134</v>
      </c>
      <c r="W2189" t="s">
        <v>42135</v>
      </c>
      <c r="X2189" t="s">
        <v>42136</v>
      </c>
      <c r="Y2189" t="s">
        <v>42137</v>
      </c>
    </row>
    <row r="2190" spans="1:25" x14ac:dyDescent="0.3">
      <c r="A2190">
        <v>109450</v>
      </c>
      <c r="B2190" t="s">
        <v>42138</v>
      </c>
      <c r="C2190" t="s">
        <v>42139</v>
      </c>
      <c r="D2190" t="s">
        <v>42140</v>
      </c>
      <c r="E2190" t="s">
        <v>42141</v>
      </c>
      <c r="F2190" t="s">
        <v>42142</v>
      </c>
      <c r="G2190" t="s">
        <v>42143</v>
      </c>
      <c r="H2190" t="s">
        <v>42144</v>
      </c>
      <c r="I2190" t="s">
        <v>42145</v>
      </c>
      <c r="J2190" t="s">
        <v>42146</v>
      </c>
      <c r="K2190" t="s">
        <v>42147</v>
      </c>
      <c r="L2190" t="s">
        <v>42148</v>
      </c>
      <c r="M2190" t="s">
        <v>42149</v>
      </c>
      <c r="N2190" t="s">
        <v>42150</v>
      </c>
      <c r="O2190">
        <f>-650.296294155572 -54.1031289301161 -720.653963516719</f>
        <v>-1425.053386602407</v>
      </c>
      <c r="P2190">
        <f>-666.929401838783 -23.5876831353248 -406.045812159605</f>
        <v>-1096.5628971337128</v>
      </c>
      <c r="Q2190" t="s">
        <v>42151</v>
      </c>
      <c r="R2190" t="s">
        <v>42152</v>
      </c>
      <c r="S2190" t="s">
        <v>42153</v>
      </c>
      <c r="T2190" t="s">
        <v>42154</v>
      </c>
      <c r="U2190" t="s">
        <v>42155</v>
      </c>
      <c r="V2190" t="s">
        <v>42156</v>
      </c>
      <c r="W2190" t="s">
        <v>42157</v>
      </c>
      <c r="X2190" t="s">
        <v>42158</v>
      </c>
      <c r="Y2190" t="s">
        <v>42159</v>
      </c>
    </row>
    <row r="2191" spans="1:25" x14ac:dyDescent="0.3">
      <c r="A2191">
        <v>109500</v>
      </c>
      <c r="B2191" t="s">
        <v>42160</v>
      </c>
      <c r="C2191" t="s">
        <v>42161</v>
      </c>
      <c r="D2191" t="s">
        <v>42162</v>
      </c>
      <c r="E2191" t="s">
        <v>42163</v>
      </c>
      <c r="F2191" t="s">
        <v>42164</v>
      </c>
      <c r="G2191" t="s">
        <v>42165</v>
      </c>
      <c r="H2191" t="s">
        <v>42166</v>
      </c>
      <c r="I2191" t="s">
        <v>42167</v>
      </c>
      <c r="J2191" t="s">
        <v>42168</v>
      </c>
      <c r="K2191" t="s">
        <v>42169</v>
      </c>
      <c r="L2191" t="s">
        <v>42170</v>
      </c>
      <c r="M2191" t="s">
        <v>42171</v>
      </c>
      <c r="N2191" t="s">
        <v>42172</v>
      </c>
      <c r="O2191">
        <f>-651.131637068476 -54.2333329486423 -720.6257501574</f>
        <v>-1425.9907201745184</v>
      </c>
      <c r="P2191">
        <f>-667.777997377888 -23.8342469899233 -406.006964250907</f>
        <v>-1097.6192086187184</v>
      </c>
      <c r="Q2191" t="s">
        <v>42173</v>
      </c>
      <c r="R2191" t="s">
        <v>42174</v>
      </c>
      <c r="S2191" t="s">
        <v>42175</v>
      </c>
      <c r="T2191" t="s">
        <v>42176</v>
      </c>
      <c r="U2191" t="s">
        <v>42177</v>
      </c>
      <c r="V2191" t="s">
        <v>42178</v>
      </c>
      <c r="W2191" t="s">
        <v>42179</v>
      </c>
      <c r="X2191" t="s">
        <v>42180</v>
      </c>
      <c r="Y2191" t="s">
        <v>42181</v>
      </c>
    </row>
    <row r="2192" spans="1:25" x14ac:dyDescent="0.3">
      <c r="A2192">
        <v>109550</v>
      </c>
      <c r="B2192" t="s">
        <v>42182</v>
      </c>
      <c r="C2192" t="s">
        <v>42183</v>
      </c>
      <c r="D2192" t="s">
        <v>42184</v>
      </c>
      <c r="E2192" t="s">
        <v>42185</v>
      </c>
      <c r="F2192" t="s">
        <v>42186</v>
      </c>
      <c r="G2192" t="s">
        <v>42187</v>
      </c>
      <c r="H2192" t="s">
        <v>42188</v>
      </c>
      <c r="I2192" t="s">
        <v>42189</v>
      </c>
      <c r="J2192" t="s">
        <v>42190</v>
      </c>
      <c r="K2192" t="s">
        <v>42191</v>
      </c>
      <c r="L2192" t="s">
        <v>42192</v>
      </c>
      <c r="M2192" t="s">
        <v>42193</v>
      </c>
      <c r="N2192" t="s">
        <v>42194</v>
      </c>
      <c r="O2192">
        <f>-652.524708276729 -54.627647293054 -720.593471301201</f>
        <v>-1427.745826870984</v>
      </c>
      <c r="P2192">
        <f>-669.306325784872 -24.436042236219 -405.961961758751</f>
        <v>-1099.7043297798421</v>
      </c>
      <c r="Q2192" t="s">
        <v>42195</v>
      </c>
      <c r="R2192" t="s">
        <v>42196</v>
      </c>
      <c r="S2192" t="s">
        <v>42197</v>
      </c>
      <c r="T2192" t="s">
        <v>42198</v>
      </c>
      <c r="U2192" t="s">
        <v>42199</v>
      </c>
      <c r="V2192" t="s">
        <v>42200</v>
      </c>
      <c r="W2192" t="s">
        <v>42201</v>
      </c>
      <c r="X2192" t="s">
        <v>42202</v>
      </c>
      <c r="Y2192" t="s">
        <v>42203</v>
      </c>
    </row>
    <row r="2193" spans="1:25" x14ac:dyDescent="0.3">
      <c r="A2193">
        <v>109600</v>
      </c>
      <c r="B2193" t="s">
        <v>42204</v>
      </c>
      <c r="C2193" t="s">
        <v>42205</v>
      </c>
      <c r="D2193" t="s">
        <v>42206</v>
      </c>
      <c r="E2193" t="s">
        <v>42207</v>
      </c>
      <c r="F2193" t="s">
        <v>42208</v>
      </c>
      <c r="G2193" t="s">
        <v>42209</v>
      </c>
      <c r="H2193" t="s">
        <v>42210</v>
      </c>
      <c r="I2193" t="s">
        <v>42211</v>
      </c>
      <c r="J2193" t="s">
        <v>42212</v>
      </c>
      <c r="K2193" t="s">
        <v>42213</v>
      </c>
      <c r="L2193" t="s">
        <v>42214</v>
      </c>
      <c r="M2193" t="s">
        <v>42215</v>
      </c>
      <c r="N2193" t="s">
        <v>42216</v>
      </c>
      <c r="O2193">
        <f>-653.070290890396 -54.8139805979022 -720.614454608727</f>
        <v>-1428.4987260970252</v>
      </c>
      <c r="P2193">
        <f>-669.902167124275 -24.8107050332951 -405.967549957807</f>
        <v>-1100.680422115377</v>
      </c>
      <c r="Q2193" t="s">
        <v>42217</v>
      </c>
      <c r="R2193" t="s">
        <v>42218</v>
      </c>
      <c r="S2193" t="s">
        <v>42219</v>
      </c>
      <c r="T2193" t="s">
        <v>42220</v>
      </c>
      <c r="U2193" t="s">
        <v>42221</v>
      </c>
      <c r="V2193" t="s">
        <v>42222</v>
      </c>
      <c r="W2193" t="s">
        <v>42223</v>
      </c>
      <c r="X2193" t="s">
        <v>42224</v>
      </c>
      <c r="Y2193" t="s">
        <v>42225</v>
      </c>
    </row>
    <row r="2194" spans="1:25" x14ac:dyDescent="0.3">
      <c r="A2194">
        <v>109650</v>
      </c>
      <c r="B2194" t="s">
        <v>42226</v>
      </c>
      <c r="C2194" t="s">
        <v>42227</v>
      </c>
      <c r="D2194" t="s">
        <v>42228</v>
      </c>
      <c r="E2194" t="s">
        <v>42229</v>
      </c>
      <c r="F2194" t="s">
        <v>42230</v>
      </c>
      <c r="G2194" t="s">
        <v>42231</v>
      </c>
      <c r="H2194" t="s">
        <v>42232</v>
      </c>
      <c r="I2194" t="s">
        <v>42233</v>
      </c>
      <c r="J2194" t="s">
        <v>42234</v>
      </c>
      <c r="K2194" t="s">
        <v>42235</v>
      </c>
      <c r="L2194" t="s">
        <v>42236</v>
      </c>
      <c r="M2194" t="s">
        <v>42237</v>
      </c>
      <c r="N2194" t="s">
        <v>42238</v>
      </c>
      <c r="O2194">
        <f>-654.379574381016 -55.3145464054037 -720.617453481909</f>
        <v>-1430.3115742683287</v>
      </c>
      <c r="P2194">
        <f>-671.481488676794 -25.4990142712516 -405.967281742683</f>
        <v>-1102.9477846907284</v>
      </c>
      <c r="Q2194" t="s">
        <v>42239</v>
      </c>
      <c r="R2194" t="s">
        <v>42240</v>
      </c>
      <c r="S2194" t="s">
        <v>42241</v>
      </c>
      <c r="T2194" t="s">
        <v>42242</v>
      </c>
      <c r="U2194" t="s">
        <v>42243</v>
      </c>
      <c r="V2194" t="s">
        <v>42244</v>
      </c>
      <c r="W2194" t="s">
        <v>42245</v>
      </c>
      <c r="X2194" t="s">
        <v>42246</v>
      </c>
      <c r="Y2194" t="s">
        <v>42247</v>
      </c>
    </row>
    <row r="2195" spans="1:25" x14ac:dyDescent="0.3">
      <c r="A2195">
        <v>109700</v>
      </c>
      <c r="B2195" t="s">
        <v>42248</v>
      </c>
      <c r="C2195" t="s">
        <v>42249</v>
      </c>
      <c r="D2195" t="s">
        <v>42250</v>
      </c>
      <c r="E2195" t="s">
        <v>42251</v>
      </c>
      <c r="F2195" t="s">
        <v>42252</v>
      </c>
      <c r="G2195" t="s">
        <v>42253</v>
      </c>
      <c r="H2195" t="s">
        <v>42254</v>
      </c>
      <c r="I2195" t="s">
        <v>42255</v>
      </c>
      <c r="J2195" t="s">
        <v>42256</v>
      </c>
      <c r="K2195" t="s">
        <v>42257</v>
      </c>
      <c r="L2195" t="s">
        <v>42258</v>
      </c>
      <c r="M2195" t="s">
        <v>42259</v>
      </c>
      <c r="N2195" t="s">
        <v>42260</v>
      </c>
      <c r="O2195">
        <f>-655.189999553632 -55.5615748836719 -720.605830403613</f>
        <v>-1431.3574048409168</v>
      </c>
      <c r="P2195">
        <f>-672.360263733325 -25.8504775886238 -405.949499053711</f>
        <v>-1104.1602403756599</v>
      </c>
      <c r="Q2195" t="s">
        <v>42261</v>
      </c>
      <c r="R2195" t="s">
        <v>42262</v>
      </c>
      <c r="S2195" t="s">
        <v>42263</v>
      </c>
      <c r="T2195" t="s">
        <v>42264</v>
      </c>
      <c r="U2195" t="s">
        <v>42265</v>
      </c>
      <c r="V2195" t="s">
        <v>42266</v>
      </c>
      <c r="W2195" t="s">
        <v>42267</v>
      </c>
      <c r="X2195" t="s">
        <v>42268</v>
      </c>
      <c r="Y2195" t="s">
        <v>42269</v>
      </c>
    </row>
    <row r="2196" spans="1:25" x14ac:dyDescent="0.3">
      <c r="A2196">
        <v>109750</v>
      </c>
      <c r="B2196" t="s">
        <v>42270</v>
      </c>
      <c r="C2196" t="s">
        <v>42271</v>
      </c>
      <c r="D2196" t="s">
        <v>42272</v>
      </c>
      <c r="E2196" t="s">
        <v>42273</v>
      </c>
      <c r="F2196" t="s">
        <v>42274</v>
      </c>
      <c r="G2196" t="s">
        <v>42275</v>
      </c>
      <c r="H2196" t="s">
        <v>42276</v>
      </c>
      <c r="I2196" t="s">
        <v>42277</v>
      </c>
      <c r="J2196" t="s">
        <v>42278</v>
      </c>
      <c r="K2196" t="s">
        <v>42279</v>
      </c>
      <c r="L2196" t="s">
        <v>42280</v>
      </c>
      <c r="M2196" t="s">
        <v>42281</v>
      </c>
      <c r="N2196" t="s">
        <v>42282</v>
      </c>
      <c r="O2196">
        <f>-657.008837489513 -56.1382644772946 -720.65086731749</f>
        <v>-1433.7979692842976</v>
      </c>
      <c r="P2196">
        <f>-674.175724845111 -26.7195146141037 -405.966868500715</f>
        <v>-1106.8621079599297</v>
      </c>
      <c r="Q2196" t="s">
        <v>42283</v>
      </c>
      <c r="R2196" t="s">
        <v>42284</v>
      </c>
      <c r="S2196" t="s">
        <v>42285</v>
      </c>
      <c r="T2196" t="s">
        <v>42286</v>
      </c>
      <c r="U2196" t="s">
        <v>42287</v>
      </c>
      <c r="V2196" t="s">
        <v>42288</v>
      </c>
      <c r="W2196" t="s">
        <v>42289</v>
      </c>
      <c r="X2196" t="s">
        <v>42290</v>
      </c>
      <c r="Y2196" t="s">
        <v>42291</v>
      </c>
    </row>
    <row r="2197" spans="1:25" x14ac:dyDescent="0.3">
      <c r="A2197">
        <v>109800</v>
      </c>
      <c r="B2197" t="s">
        <v>42292</v>
      </c>
      <c r="C2197" t="s">
        <v>42293</v>
      </c>
      <c r="D2197" t="s">
        <v>42294</v>
      </c>
      <c r="E2197" t="s">
        <v>42295</v>
      </c>
      <c r="F2197" t="s">
        <v>42296</v>
      </c>
      <c r="G2197" t="s">
        <v>42297</v>
      </c>
      <c r="H2197" t="s">
        <v>42298</v>
      </c>
      <c r="I2197" t="s">
        <v>42299</v>
      </c>
      <c r="J2197" t="s">
        <v>42300</v>
      </c>
      <c r="K2197" t="s">
        <v>42301</v>
      </c>
      <c r="L2197" t="s">
        <v>42302</v>
      </c>
      <c r="M2197" t="s">
        <v>42303</v>
      </c>
      <c r="N2197" t="s">
        <v>42304</v>
      </c>
      <c r="O2197">
        <f>-657.84364879111 -56.3796103547679 -720.733709975045</f>
        <v>-1434.9569691209231</v>
      </c>
      <c r="P2197">
        <f>-674.872456589515 -27.1559645779557 -406.02399285457</f>
        <v>-1108.0524140220407</v>
      </c>
      <c r="Q2197" t="s">
        <v>42305</v>
      </c>
      <c r="R2197" t="s">
        <v>42306</v>
      </c>
      <c r="S2197" t="s">
        <v>42307</v>
      </c>
      <c r="T2197" t="s">
        <v>42308</v>
      </c>
      <c r="U2197" t="s">
        <v>42309</v>
      </c>
      <c r="V2197" t="s">
        <v>42310</v>
      </c>
      <c r="W2197" t="s">
        <v>42311</v>
      </c>
      <c r="X2197" t="s">
        <v>42312</v>
      </c>
      <c r="Y2197" t="s">
        <v>42313</v>
      </c>
    </row>
    <row r="2198" spans="1:25" x14ac:dyDescent="0.3">
      <c r="A2198">
        <v>109850</v>
      </c>
      <c r="B2198" t="s">
        <v>42314</v>
      </c>
      <c r="C2198" t="s">
        <v>42315</v>
      </c>
      <c r="D2198" t="s">
        <v>42316</v>
      </c>
      <c r="E2198" t="s">
        <v>42317</v>
      </c>
      <c r="F2198" t="s">
        <v>42318</v>
      </c>
      <c r="G2198" t="s">
        <v>42319</v>
      </c>
      <c r="H2198" t="s">
        <v>42320</v>
      </c>
      <c r="I2198" t="s">
        <v>42321</v>
      </c>
      <c r="J2198" t="s">
        <v>42322</v>
      </c>
      <c r="K2198" t="s">
        <v>42323</v>
      </c>
      <c r="L2198" t="s">
        <v>42324</v>
      </c>
      <c r="M2198" t="s">
        <v>42325</v>
      </c>
      <c r="N2198" t="s">
        <v>42326</v>
      </c>
      <c r="O2198">
        <f>-659.262163423148 -57.2722530537226 -720.935304890526</f>
        <v>-1437.4697213673967</v>
      </c>
      <c r="P2198">
        <f>-676.391661488846 -28.5427587712188 -406.185569842925</f>
        <v>-1111.11999010299</v>
      </c>
      <c r="Q2198" t="s">
        <v>42327</v>
      </c>
      <c r="R2198" t="s">
        <v>42328</v>
      </c>
      <c r="S2198" t="s">
        <v>42329</v>
      </c>
      <c r="T2198" t="s">
        <v>42330</v>
      </c>
      <c r="U2198" t="s">
        <v>42331</v>
      </c>
      <c r="V2198" t="s">
        <v>42332</v>
      </c>
      <c r="W2198" t="s">
        <v>42333</v>
      </c>
      <c r="X2198" t="s">
        <v>42334</v>
      </c>
      <c r="Y2198" t="s">
        <v>42335</v>
      </c>
    </row>
    <row r="2199" spans="1:25" x14ac:dyDescent="0.3">
      <c r="A2199">
        <v>109900</v>
      </c>
      <c r="B2199" t="s">
        <v>42336</v>
      </c>
      <c r="C2199" t="s">
        <v>42337</v>
      </c>
      <c r="D2199" t="s">
        <v>42338</v>
      </c>
      <c r="E2199" t="s">
        <v>42339</v>
      </c>
      <c r="F2199" t="s">
        <v>42340</v>
      </c>
      <c r="G2199" t="s">
        <v>42341</v>
      </c>
      <c r="H2199" t="s">
        <v>42342</v>
      </c>
      <c r="I2199" t="s">
        <v>42343</v>
      </c>
      <c r="J2199" t="s">
        <v>42344</v>
      </c>
      <c r="K2199" t="s">
        <v>42345</v>
      </c>
      <c r="L2199" t="s">
        <v>42346</v>
      </c>
      <c r="M2199" t="s">
        <v>42347</v>
      </c>
      <c r="N2199" t="s">
        <v>42348</v>
      </c>
      <c r="O2199">
        <f>-659.864923515683 -57.8118951163153 -721.052329380963</f>
        <v>-1438.7291480129613</v>
      </c>
      <c r="P2199">
        <f>-677.033869665711 -29.2939372080771 -406.28542208925</f>
        <v>-1112.6132289630382</v>
      </c>
      <c r="Q2199" t="s">
        <v>42349</v>
      </c>
      <c r="R2199" t="s">
        <v>42350</v>
      </c>
      <c r="S2199" t="s">
        <v>42351</v>
      </c>
      <c r="T2199" t="s">
        <v>42352</v>
      </c>
      <c r="U2199" t="s">
        <v>42353</v>
      </c>
      <c r="V2199" t="s">
        <v>42354</v>
      </c>
      <c r="W2199" t="s">
        <v>42355</v>
      </c>
      <c r="X2199" t="s">
        <v>42356</v>
      </c>
      <c r="Y2199" t="s">
        <v>42357</v>
      </c>
    </row>
    <row r="2200" spans="1:25" x14ac:dyDescent="0.3">
      <c r="A2200">
        <v>109950</v>
      </c>
      <c r="B2200" t="s">
        <v>42358</v>
      </c>
      <c r="C2200" t="s">
        <v>42359</v>
      </c>
      <c r="D2200" t="s">
        <v>42360</v>
      </c>
      <c r="E2200" t="s">
        <v>42361</v>
      </c>
      <c r="F2200" t="s">
        <v>42362</v>
      </c>
      <c r="G2200" t="s">
        <v>42363</v>
      </c>
      <c r="H2200" t="s">
        <v>42364</v>
      </c>
      <c r="I2200" t="s">
        <v>42365</v>
      </c>
      <c r="J2200" t="s">
        <v>42366</v>
      </c>
      <c r="K2200" t="s">
        <v>42367</v>
      </c>
      <c r="L2200" t="s">
        <v>42368</v>
      </c>
      <c r="M2200" t="s">
        <v>42369</v>
      </c>
      <c r="N2200" t="s">
        <v>42370</v>
      </c>
      <c r="O2200">
        <f>-660.834027966268 -59.405628157702 -721.034785815066</f>
        <v>-1441.274441939036</v>
      </c>
      <c r="P2200">
        <f>-678.253521441813 -31.1372708746585 -406.259261716239</f>
        <v>-1115.6500540327104</v>
      </c>
      <c r="Q2200" t="s">
        <v>42371</v>
      </c>
      <c r="R2200" t="s">
        <v>42372</v>
      </c>
      <c r="S2200" t="s">
        <v>42373</v>
      </c>
      <c r="T2200" t="s">
        <v>42374</v>
      </c>
      <c r="U2200" t="s">
        <v>42375</v>
      </c>
      <c r="V2200" t="s">
        <v>42376</v>
      </c>
      <c r="W2200" t="s">
        <v>42377</v>
      </c>
      <c r="X2200" t="s">
        <v>42378</v>
      </c>
      <c r="Y2200" t="s">
        <v>42379</v>
      </c>
    </row>
    <row r="2201" spans="1:25" x14ac:dyDescent="0.3">
      <c r="A2201">
        <v>110000</v>
      </c>
      <c r="B2201" t="s">
        <v>42380</v>
      </c>
      <c r="C2201" t="s">
        <v>42381</v>
      </c>
      <c r="D2201" t="s">
        <v>42382</v>
      </c>
      <c r="E2201" t="s">
        <v>42383</v>
      </c>
      <c r="F2201" t="s">
        <v>42384</v>
      </c>
      <c r="G2201" t="s">
        <v>42385</v>
      </c>
      <c r="H2201" t="s">
        <v>42386</v>
      </c>
      <c r="I2201" t="s">
        <v>42387</v>
      </c>
      <c r="J2201" t="s">
        <v>42388</v>
      </c>
      <c r="K2201" t="s">
        <v>42389</v>
      </c>
      <c r="L2201" t="s">
        <v>42390</v>
      </c>
      <c r="M2201" t="s">
        <v>42391</v>
      </c>
      <c r="N2201" t="s">
        <v>42392</v>
      </c>
      <c r="O2201">
        <f>-661.321191515895 -60.0227551114776 -721.010639458648</f>
        <v>-1442.3545860860206</v>
      </c>
      <c r="P2201">
        <f>-678.798598046164 -31.7974057042293 -406.234485440246</f>
        <v>-1116.8304891906391</v>
      </c>
      <c r="Q2201" t="s">
        <v>42393</v>
      </c>
      <c r="R2201" t="s">
        <v>42394</v>
      </c>
      <c r="S2201" t="s">
        <v>42395</v>
      </c>
      <c r="T2201" t="s">
        <v>42396</v>
      </c>
      <c r="U2201" t="s">
        <v>42397</v>
      </c>
      <c r="V2201" t="s">
        <v>42398</v>
      </c>
      <c r="W2201" t="s">
        <v>42399</v>
      </c>
      <c r="X2201" t="s">
        <v>42400</v>
      </c>
      <c r="Y2201" t="s">
        <v>42401</v>
      </c>
    </row>
    <row r="2202" spans="1:25" x14ac:dyDescent="0.3">
      <c r="A2202">
        <v>110050</v>
      </c>
      <c r="B2202" t="s">
        <v>42402</v>
      </c>
      <c r="C2202" t="s">
        <v>42403</v>
      </c>
      <c r="D2202" t="s">
        <v>42404</v>
      </c>
      <c r="E2202" t="s">
        <v>42405</v>
      </c>
      <c r="F2202" t="s">
        <v>42406</v>
      </c>
      <c r="G2202" t="s">
        <v>42407</v>
      </c>
      <c r="H2202" t="s">
        <v>42408</v>
      </c>
      <c r="I2202" t="s">
        <v>42409</v>
      </c>
      <c r="J2202" t="s">
        <v>42410</v>
      </c>
      <c r="K2202" t="s">
        <v>42411</v>
      </c>
      <c r="L2202" t="s">
        <v>42412</v>
      </c>
      <c r="M2202" t="s">
        <v>42413</v>
      </c>
      <c r="N2202" t="s">
        <v>42414</v>
      </c>
      <c r="O2202">
        <f>-662.127159754365 -60.9370701834403 -720.80889620883</f>
        <v>-1443.8731261466353</v>
      </c>
      <c r="P2202">
        <f>-679.74069357272 -32.6375324744624 -406.04690202797</f>
        <v>-1118.4251280751525</v>
      </c>
      <c r="Q2202" t="s">
        <v>42415</v>
      </c>
      <c r="R2202" t="s">
        <v>42416</v>
      </c>
      <c r="S2202" t="s">
        <v>42417</v>
      </c>
      <c r="T2202" t="s">
        <v>42418</v>
      </c>
      <c r="U2202" t="s">
        <v>42419</v>
      </c>
      <c r="V2202" t="s">
        <v>42420</v>
      </c>
      <c r="W2202" t="s">
        <v>42421</v>
      </c>
      <c r="X2202" t="s">
        <v>42422</v>
      </c>
      <c r="Y2202" t="s">
        <v>42423</v>
      </c>
    </row>
    <row r="2203" spans="1:25" x14ac:dyDescent="0.3">
      <c r="A2203">
        <v>110100</v>
      </c>
      <c r="B2203" t="s">
        <v>42424</v>
      </c>
      <c r="C2203" t="s">
        <v>42425</v>
      </c>
      <c r="D2203" t="s">
        <v>42426</v>
      </c>
      <c r="E2203" t="s">
        <v>42427</v>
      </c>
      <c r="F2203" t="s">
        <v>42428</v>
      </c>
      <c r="G2203" t="s">
        <v>42429</v>
      </c>
      <c r="H2203" t="s">
        <v>42430</v>
      </c>
      <c r="I2203" t="s">
        <v>42431</v>
      </c>
      <c r="J2203" t="s">
        <v>42432</v>
      </c>
      <c r="K2203" t="s">
        <v>42433</v>
      </c>
      <c r="L2203" t="s">
        <v>42434</v>
      </c>
      <c r="M2203" t="s">
        <v>42435</v>
      </c>
      <c r="N2203" t="s">
        <v>42436</v>
      </c>
      <c r="O2203">
        <f>-662.495074362398 -61.431308514409 -720.687696159698</f>
        <v>-1444.614079036505</v>
      </c>
      <c r="P2203">
        <f>-680.141625663602 -33.1395309016973 -405.926924629438</f>
        <v>-1119.2080811947374</v>
      </c>
      <c r="Q2203" t="s">
        <v>42437</v>
      </c>
      <c r="R2203" t="s">
        <v>42438</v>
      </c>
      <c r="S2203" t="s">
        <v>42439</v>
      </c>
      <c r="T2203" t="s">
        <v>42440</v>
      </c>
      <c r="U2203" t="s">
        <v>42441</v>
      </c>
      <c r="V2203" t="s">
        <v>42442</v>
      </c>
      <c r="W2203" t="s">
        <v>42443</v>
      </c>
      <c r="X2203" t="s">
        <v>42444</v>
      </c>
      <c r="Y2203" t="s">
        <v>42445</v>
      </c>
    </row>
    <row r="2204" spans="1:25" x14ac:dyDescent="0.3">
      <c r="A2204">
        <v>110150</v>
      </c>
      <c r="B2204" t="s">
        <v>42446</v>
      </c>
      <c r="C2204" t="s">
        <v>42447</v>
      </c>
      <c r="D2204" t="s">
        <v>42448</v>
      </c>
      <c r="E2204" t="s">
        <v>42449</v>
      </c>
      <c r="F2204" t="s">
        <v>42450</v>
      </c>
      <c r="G2204" t="s">
        <v>42451</v>
      </c>
      <c r="H2204" t="s">
        <v>42452</v>
      </c>
      <c r="I2204" t="s">
        <v>42453</v>
      </c>
      <c r="J2204" t="s">
        <v>42454</v>
      </c>
      <c r="K2204" t="s">
        <v>42455</v>
      </c>
      <c r="L2204" t="s">
        <v>42456</v>
      </c>
      <c r="M2204" t="s">
        <v>42457</v>
      </c>
      <c r="N2204" t="s">
        <v>42458</v>
      </c>
      <c r="O2204">
        <f>-663.166006775206 -62.436538215446 -720.499203911633</f>
        <v>-1446.1017489022852</v>
      </c>
      <c r="P2204">
        <f>-680.79402436637 -34.1802849336236 -405.734180789616</f>
        <v>-1120.7084900896095</v>
      </c>
      <c r="Q2204" t="s">
        <v>42459</v>
      </c>
      <c r="R2204" t="s">
        <v>42460</v>
      </c>
      <c r="S2204" t="s">
        <v>42461</v>
      </c>
      <c r="T2204" t="s">
        <v>42462</v>
      </c>
      <c r="U2204" t="s">
        <v>42463</v>
      </c>
      <c r="V2204" t="s">
        <v>42464</v>
      </c>
      <c r="W2204" t="s">
        <v>42465</v>
      </c>
      <c r="X2204" t="s">
        <v>42466</v>
      </c>
      <c r="Y2204" t="s">
        <v>42467</v>
      </c>
    </row>
    <row r="2205" spans="1:25" x14ac:dyDescent="0.3">
      <c r="A2205">
        <v>110200</v>
      </c>
      <c r="B2205" t="s">
        <v>42468</v>
      </c>
      <c r="C2205" t="s">
        <v>42469</v>
      </c>
      <c r="D2205" t="s">
        <v>42470</v>
      </c>
      <c r="E2205" t="s">
        <v>42471</v>
      </c>
      <c r="F2205" t="s">
        <v>42472</v>
      </c>
      <c r="G2205" t="s">
        <v>42473</v>
      </c>
      <c r="H2205" t="s">
        <v>42474</v>
      </c>
      <c r="I2205" t="s">
        <v>42475</v>
      </c>
      <c r="J2205" t="s">
        <v>42476</v>
      </c>
      <c r="K2205" t="s">
        <v>42477</v>
      </c>
      <c r="L2205" t="s">
        <v>42478</v>
      </c>
      <c r="M2205" t="s">
        <v>42479</v>
      </c>
      <c r="N2205" t="s">
        <v>42480</v>
      </c>
      <c r="O2205">
        <f>-663.44613664394 -62.7573208606395 -720.417317178337</f>
        <v>-1446.6207746829166</v>
      </c>
      <c r="P2205">
        <f>-681.064308831346 -34.4325122833743 -405.657977099861</f>
        <v>-1121.1547982145812</v>
      </c>
      <c r="Q2205" t="s">
        <v>42481</v>
      </c>
      <c r="R2205" t="s">
        <v>42482</v>
      </c>
      <c r="S2205" t="s">
        <v>42483</v>
      </c>
      <c r="T2205" t="s">
        <v>42484</v>
      </c>
      <c r="U2205" t="s">
        <v>42485</v>
      </c>
      <c r="V2205" t="s">
        <v>42486</v>
      </c>
      <c r="W2205" t="s">
        <v>42487</v>
      </c>
      <c r="X2205" t="s">
        <v>42488</v>
      </c>
      <c r="Y2205" t="s">
        <v>42489</v>
      </c>
    </row>
    <row r="2206" spans="1:25" x14ac:dyDescent="0.3">
      <c r="A2206">
        <v>110250</v>
      </c>
      <c r="B2206" t="s">
        <v>42490</v>
      </c>
      <c r="C2206" t="s">
        <v>42491</v>
      </c>
      <c r="D2206" t="s">
        <v>42492</v>
      </c>
      <c r="E2206" t="s">
        <v>42493</v>
      </c>
      <c r="F2206" t="s">
        <v>42494</v>
      </c>
      <c r="G2206" t="s">
        <v>42495</v>
      </c>
      <c r="H2206" t="s">
        <v>42496</v>
      </c>
      <c r="I2206" t="s">
        <v>42497</v>
      </c>
      <c r="J2206" t="s">
        <v>42498</v>
      </c>
      <c r="K2206" t="s">
        <v>42499</v>
      </c>
      <c r="L2206" t="s">
        <v>42500</v>
      </c>
      <c r="M2206" t="s">
        <v>42501</v>
      </c>
      <c r="N2206" t="s">
        <v>42502</v>
      </c>
      <c r="O2206">
        <f>-664.124527623545 -63.3671755513849 -720.256176915869</f>
        <v>-1447.7478800907988</v>
      </c>
      <c r="P2206">
        <f>-681.840095109081 -35.0696277980289 -405.499732433541</f>
        <v>-1122.4094553406508</v>
      </c>
      <c r="Q2206" t="s">
        <v>42503</v>
      </c>
      <c r="R2206" t="s">
        <v>42504</v>
      </c>
      <c r="S2206" t="s">
        <v>42505</v>
      </c>
      <c r="T2206" t="s">
        <v>42506</v>
      </c>
      <c r="U2206" t="s">
        <v>42507</v>
      </c>
      <c r="V2206" t="s">
        <v>42508</v>
      </c>
      <c r="W2206" t="s">
        <v>42509</v>
      </c>
      <c r="X2206" t="s">
        <v>42510</v>
      </c>
      <c r="Y2206" t="s">
        <v>42511</v>
      </c>
    </row>
    <row r="2207" spans="1:25" x14ac:dyDescent="0.3">
      <c r="A2207">
        <v>110300</v>
      </c>
      <c r="B2207" t="s">
        <v>42512</v>
      </c>
      <c r="C2207" t="s">
        <v>42513</v>
      </c>
      <c r="D2207" t="s">
        <v>42514</v>
      </c>
      <c r="E2207" t="s">
        <v>42515</v>
      </c>
      <c r="F2207" t="s">
        <v>42516</v>
      </c>
      <c r="G2207" t="s">
        <v>42517</v>
      </c>
      <c r="H2207" t="s">
        <v>42518</v>
      </c>
      <c r="I2207" t="s">
        <v>42519</v>
      </c>
      <c r="J2207" t="s">
        <v>42520</v>
      </c>
      <c r="K2207" t="s">
        <v>42521</v>
      </c>
      <c r="L2207" t="s">
        <v>42522</v>
      </c>
      <c r="M2207" t="s">
        <v>42523</v>
      </c>
      <c r="N2207" t="s">
        <v>42524</v>
      </c>
      <c r="O2207">
        <f>-664.473475509215 -63.6418456710733 -720.216629892717</f>
        <v>-1448.3319510730053</v>
      </c>
      <c r="P2207">
        <f>-681.988402541765 -35.337610443047 -405.449521091828</f>
        <v>-1122.77553407664</v>
      </c>
      <c r="Q2207" t="s">
        <v>42525</v>
      </c>
      <c r="R2207" t="s">
        <v>42526</v>
      </c>
      <c r="S2207" t="s">
        <v>42527</v>
      </c>
      <c r="T2207" t="s">
        <v>42528</v>
      </c>
      <c r="U2207" t="s">
        <v>42529</v>
      </c>
      <c r="V2207" t="s">
        <v>42530</v>
      </c>
      <c r="W2207" t="s">
        <v>42531</v>
      </c>
      <c r="X2207" t="s">
        <v>42532</v>
      </c>
      <c r="Y2207" t="s">
        <v>42533</v>
      </c>
    </row>
    <row r="2208" spans="1:25" x14ac:dyDescent="0.3">
      <c r="A2208">
        <v>110350</v>
      </c>
      <c r="B2208" t="s">
        <v>42534</v>
      </c>
      <c r="C2208" t="s">
        <v>42535</v>
      </c>
      <c r="D2208" t="s">
        <v>42536</v>
      </c>
      <c r="E2208" t="s">
        <v>42537</v>
      </c>
      <c r="F2208" t="s">
        <v>42538</v>
      </c>
      <c r="G2208" t="s">
        <v>42539</v>
      </c>
      <c r="H2208" t="s">
        <v>42540</v>
      </c>
      <c r="I2208" t="s">
        <v>42541</v>
      </c>
      <c r="J2208" t="s">
        <v>42542</v>
      </c>
      <c r="K2208" t="s">
        <v>42543</v>
      </c>
      <c r="L2208" t="s">
        <v>42544</v>
      </c>
      <c r="M2208" t="s">
        <v>42545</v>
      </c>
      <c r="N2208" t="s">
        <v>42546</v>
      </c>
      <c r="O2208">
        <f>-665.041228956471 -64.2304320758819 -720.124630799806</f>
        <v>-1449.396291832159</v>
      </c>
      <c r="P2208">
        <f>-682.622476899106 -35.8548409098048 -405.367698479786</f>
        <v>-1123.8450162886968</v>
      </c>
      <c r="Q2208" t="s">
        <v>42547</v>
      </c>
      <c r="R2208" t="s">
        <v>42548</v>
      </c>
      <c r="S2208" t="s">
        <v>42549</v>
      </c>
      <c r="T2208" t="s">
        <v>42550</v>
      </c>
      <c r="U2208" t="s">
        <v>42551</v>
      </c>
      <c r="V2208" t="s">
        <v>42552</v>
      </c>
      <c r="W2208" t="s">
        <v>42553</v>
      </c>
      <c r="X2208" t="s">
        <v>42554</v>
      </c>
      <c r="Y2208" t="s">
        <v>42555</v>
      </c>
    </row>
    <row r="2209" spans="1:25" x14ac:dyDescent="0.3">
      <c r="A2209">
        <v>110400</v>
      </c>
      <c r="B2209" t="s">
        <v>42556</v>
      </c>
      <c r="C2209" t="s">
        <v>42557</v>
      </c>
      <c r="D2209" t="s">
        <v>42558</v>
      </c>
      <c r="E2209" t="s">
        <v>42559</v>
      </c>
      <c r="F2209" t="s">
        <v>42560</v>
      </c>
      <c r="G2209" t="s">
        <v>42561</v>
      </c>
      <c r="H2209" t="s">
        <v>42562</v>
      </c>
      <c r="I2209" t="s">
        <v>42563</v>
      </c>
      <c r="J2209" t="s">
        <v>42564</v>
      </c>
      <c r="K2209" t="s">
        <v>42565</v>
      </c>
      <c r="L2209" t="s">
        <v>42566</v>
      </c>
      <c r="M2209" t="s">
        <v>42567</v>
      </c>
      <c r="N2209" t="s">
        <v>42568</v>
      </c>
      <c r="O2209">
        <f>-665.383465861466 -64.5416917206287 -720.070496391822</f>
        <v>-1449.9956539739167</v>
      </c>
      <c r="P2209">
        <f>-682.924514443679 -36.1009354201394 -405.317292648686</f>
        <v>-1124.3427425125044</v>
      </c>
      <c r="Q2209" t="s">
        <v>42569</v>
      </c>
      <c r="R2209" t="s">
        <v>42570</v>
      </c>
      <c r="S2209" t="s">
        <v>42571</v>
      </c>
      <c r="T2209" t="s">
        <v>42572</v>
      </c>
      <c r="U2209" t="s">
        <v>42573</v>
      </c>
      <c r="V2209" t="s">
        <v>42574</v>
      </c>
      <c r="W2209" t="s">
        <v>42575</v>
      </c>
      <c r="X2209" t="s">
        <v>42576</v>
      </c>
      <c r="Y2209" t="s">
        <v>42577</v>
      </c>
    </row>
    <row r="2210" spans="1:25" x14ac:dyDescent="0.3">
      <c r="A2210">
        <v>110450</v>
      </c>
      <c r="B2210" t="s">
        <v>42578</v>
      </c>
      <c r="C2210" t="s">
        <v>42579</v>
      </c>
      <c r="D2210" t="s">
        <v>42580</v>
      </c>
      <c r="E2210" t="s">
        <v>42581</v>
      </c>
      <c r="F2210" t="s">
        <v>42582</v>
      </c>
      <c r="G2210" t="s">
        <v>42583</v>
      </c>
      <c r="H2210" t="s">
        <v>42584</v>
      </c>
      <c r="I2210" t="s">
        <v>42585</v>
      </c>
      <c r="J2210" t="s">
        <v>42586</v>
      </c>
      <c r="K2210" t="s">
        <v>42587</v>
      </c>
      <c r="L2210" t="s">
        <v>42588</v>
      </c>
      <c r="M2210" t="s">
        <v>42589</v>
      </c>
      <c r="N2210" t="s">
        <v>42590</v>
      </c>
      <c r="O2210">
        <f>-666.215762668105 -64.747639431449 -720.053613784422</f>
        <v>-1451.017015883976</v>
      </c>
      <c r="P2210">
        <f>-683.928947194145 -36.2844830446941 -405.31192520144</f>
        <v>-1125.5253554402791</v>
      </c>
      <c r="Q2210" t="s">
        <v>42591</v>
      </c>
      <c r="R2210" t="s">
        <v>42592</v>
      </c>
      <c r="S2210" t="s">
        <v>42593</v>
      </c>
      <c r="T2210" t="s">
        <v>42594</v>
      </c>
      <c r="U2210" t="s">
        <v>42595</v>
      </c>
      <c r="V2210" t="s">
        <v>42596</v>
      </c>
      <c r="W2210" t="s">
        <v>42597</v>
      </c>
      <c r="X2210" t="s">
        <v>42598</v>
      </c>
      <c r="Y2210" t="s">
        <v>42599</v>
      </c>
    </row>
    <row r="2211" spans="1:25" x14ac:dyDescent="0.3">
      <c r="A2211">
        <v>110500</v>
      </c>
      <c r="B2211" t="s">
        <v>42600</v>
      </c>
      <c r="C2211" t="s">
        <v>42601</v>
      </c>
      <c r="D2211" t="s">
        <v>42602</v>
      </c>
      <c r="E2211" t="s">
        <v>42603</v>
      </c>
      <c r="F2211" t="s">
        <v>42604</v>
      </c>
      <c r="G2211" t="s">
        <v>42605</v>
      </c>
      <c r="H2211" t="s">
        <v>42606</v>
      </c>
      <c r="I2211" t="s">
        <v>42607</v>
      </c>
      <c r="J2211" t="s">
        <v>42608</v>
      </c>
      <c r="K2211" t="s">
        <v>42609</v>
      </c>
      <c r="L2211" t="s">
        <v>42610</v>
      </c>
      <c r="M2211" t="s">
        <v>42611</v>
      </c>
      <c r="N2211" t="s">
        <v>42612</v>
      </c>
      <c r="O2211">
        <f>-666.72677348141 -64.9083379492022 -720.041975831199</f>
        <v>-1451.6770872618113</v>
      </c>
      <c r="P2211">
        <f>-684.507149995356 -36.4588652088223 -405.302859135495</f>
        <v>-1126.2688743396734</v>
      </c>
      <c r="Q2211" t="s">
        <v>42613</v>
      </c>
      <c r="R2211" t="s">
        <v>42614</v>
      </c>
      <c r="S2211" t="s">
        <v>42615</v>
      </c>
      <c r="T2211" t="s">
        <v>42616</v>
      </c>
      <c r="U2211" t="s">
        <v>42617</v>
      </c>
      <c r="V2211" t="s">
        <v>42618</v>
      </c>
      <c r="W2211" t="s">
        <v>42619</v>
      </c>
      <c r="X2211" t="s">
        <v>42620</v>
      </c>
      <c r="Y2211" t="s">
        <v>42621</v>
      </c>
    </row>
    <row r="2212" spans="1:25" x14ac:dyDescent="0.3">
      <c r="A2212">
        <v>110550</v>
      </c>
      <c r="B2212" t="s">
        <v>42622</v>
      </c>
      <c r="C2212" t="s">
        <v>42623</v>
      </c>
      <c r="D2212" t="s">
        <v>42624</v>
      </c>
      <c r="E2212" t="s">
        <v>42625</v>
      </c>
      <c r="F2212" t="s">
        <v>42626</v>
      </c>
      <c r="G2212" t="s">
        <v>42627</v>
      </c>
      <c r="H2212" t="s">
        <v>42628</v>
      </c>
      <c r="I2212" t="s">
        <v>42629</v>
      </c>
      <c r="J2212" t="s">
        <v>42630</v>
      </c>
      <c r="K2212" t="s">
        <v>42631</v>
      </c>
      <c r="L2212" t="s">
        <v>42632</v>
      </c>
      <c r="M2212" t="s">
        <v>42633</v>
      </c>
      <c r="N2212" t="s">
        <v>42634</v>
      </c>
      <c r="O2212">
        <f>-667.64668239257 -65.2260055286588 -720.024680482344</f>
        <v>-1452.8973684035727</v>
      </c>
      <c r="P2212">
        <f>-685.765702003479 -36.8835141755399 -405.295310975484</f>
        <v>-1127.9445271545028</v>
      </c>
      <c r="Q2212" t="s">
        <v>42635</v>
      </c>
      <c r="R2212" t="s">
        <v>42636</v>
      </c>
      <c r="S2212" t="s">
        <v>42637</v>
      </c>
      <c r="T2212" t="s">
        <v>42638</v>
      </c>
      <c r="U2212" t="s">
        <v>42639</v>
      </c>
      <c r="V2212" t="s">
        <v>42640</v>
      </c>
      <c r="W2212" t="s">
        <v>42641</v>
      </c>
      <c r="X2212" t="s">
        <v>42642</v>
      </c>
      <c r="Y2212" t="s">
        <v>42643</v>
      </c>
    </row>
    <row r="2213" spans="1:25" x14ac:dyDescent="0.3">
      <c r="A2213">
        <v>110600</v>
      </c>
      <c r="B2213" t="s">
        <v>42644</v>
      </c>
      <c r="C2213" t="s">
        <v>42645</v>
      </c>
      <c r="D2213" t="s">
        <v>42646</v>
      </c>
      <c r="E2213" t="s">
        <v>42647</v>
      </c>
      <c r="F2213" t="s">
        <v>42648</v>
      </c>
      <c r="G2213" t="s">
        <v>42649</v>
      </c>
      <c r="H2213" t="s">
        <v>42650</v>
      </c>
      <c r="I2213" t="s">
        <v>42651</v>
      </c>
      <c r="J2213" t="s">
        <v>42652</v>
      </c>
      <c r="K2213" t="s">
        <v>42653</v>
      </c>
      <c r="L2213" t="s">
        <v>42654</v>
      </c>
      <c r="M2213" t="s">
        <v>42655</v>
      </c>
      <c r="N2213" t="s">
        <v>42656</v>
      </c>
      <c r="O2213">
        <f>-668.036827546216 -65.4059675326544 -720.087782863943</f>
        <v>-1453.5305779428134</v>
      </c>
      <c r="P2213">
        <f>-686.165234716657 -37.1334206439521 -405.352590217916</f>
        <v>-1128.651245578525</v>
      </c>
      <c r="Q2213" t="s">
        <v>42657</v>
      </c>
      <c r="R2213" t="s">
        <v>42658</v>
      </c>
      <c r="S2213" t="s">
        <v>42659</v>
      </c>
      <c r="T2213" t="s">
        <v>42660</v>
      </c>
      <c r="U2213" t="s">
        <v>42661</v>
      </c>
      <c r="V2213" t="s">
        <v>42662</v>
      </c>
      <c r="W2213" t="s">
        <v>42663</v>
      </c>
      <c r="X2213" t="s">
        <v>42664</v>
      </c>
      <c r="Y2213" t="s">
        <v>42665</v>
      </c>
    </row>
    <row r="2214" spans="1:25" x14ac:dyDescent="0.3">
      <c r="A2214">
        <v>110650</v>
      </c>
      <c r="B2214" t="s">
        <v>42666</v>
      </c>
      <c r="C2214" t="s">
        <v>42667</v>
      </c>
      <c r="D2214" t="s">
        <v>42668</v>
      </c>
      <c r="E2214" t="s">
        <v>42669</v>
      </c>
      <c r="F2214" t="s">
        <v>42670</v>
      </c>
      <c r="G2214" t="s">
        <v>42671</v>
      </c>
      <c r="H2214" t="s">
        <v>42672</v>
      </c>
      <c r="I2214" t="s">
        <v>42673</v>
      </c>
      <c r="J2214" t="s">
        <v>42674</v>
      </c>
      <c r="K2214" t="s">
        <v>42675</v>
      </c>
      <c r="L2214" t="s">
        <v>42676</v>
      </c>
      <c r="M2214" t="s">
        <v>42677</v>
      </c>
      <c r="N2214" t="s">
        <v>42678</v>
      </c>
      <c r="O2214">
        <f>-668.70369054109 -65.9298849767422 -720.130009160853</f>
        <v>-1454.7635846786852</v>
      </c>
      <c r="P2214">
        <f>-686.761193917349 -37.5688668607461 -405.39872075994</f>
        <v>-1129.728781538035</v>
      </c>
      <c r="Q2214" t="s">
        <v>42679</v>
      </c>
      <c r="R2214" t="s">
        <v>42680</v>
      </c>
      <c r="S2214" t="s">
        <v>42681</v>
      </c>
      <c r="T2214" t="s">
        <v>42682</v>
      </c>
      <c r="U2214" t="s">
        <v>42683</v>
      </c>
      <c r="V2214" t="s">
        <v>42684</v>
      </c>
      <c r="W2214" t="s">
        <v>42685</v>
      </c>
      <c r="X2214" t="s">
        <v>42686</v>
      </c>
      <c r="Y2214" t="s">
        <v>42687</v>
      </c>
    </row>
    <row r="2215" spans="1:25" x14ac:dyDescent="0.3">
      <c r="A2215">
        <v>110700</v>
      </c>
      <c r="B2215" t="s">
        <v>42688</v>
      </c>
      <c r="C2215" t="s">
        <v>42689</v>
      </c>
      <c r="D2215" t="s">
        <v>42690</v>
      </c>
      <c r="E2215" t="s">
        <v>42691</v>
      </c>
      <c r="F2215" t="s">
        <v>42692</v>
      </c>
      <c r="G2215" t="s">
        <v>42693</v>
      </c>
      <c r="H2215" t="s">
        <v>42694</v>
      </c>
      <c r="I2215" t="s">
        <v>42695</v>
      </c>
      <c r="J2215" t="s">
        <v>42696</v>
      </c>
      <c r="K2215" t="s">
        <v>42697</v>
      </c>
      <c r="L2215" t="s">
        <v>42698</v>
      </c>
      <c r="M2215" t="s">
        <v>42699</v>
      </c>
      <c r="N2215" t="s">
        <v>42700</v>
      </c>
      <c r="O2215">
        <f>-669.06148014454 -65.9261104734433 -720.139103133389</f>
        <v>-1455.1266937513724</v>
      </c>
      <c r="P2215">
        <f>-686.986714531083 -37.6820508860242 -405.3896657942</f>
        <v>-1130.0584312113072</v>
      </c>
      <c r="Q2215" t="s">
        <v>42701</v>
      </c>
      <c r="R2215" t="s">
        <v>42702</v>
      </c>
      <c r="S2215" t="s">
        <v>42703</v>
      </c>
      <c r="T2215" t="s">
        <v>42704</v>
      </c>
      <c r="U2215" t="s">
        <v>42705</v>
      </c>
      <c r="V2215" t="s">
        <v>42706</v>
      </c>
      <c r="W2215" t="s">
        <v>42707</v>
      </c>
      <c r="X2215" t="s">
        <v>42708</v>
      </c>
      <c r="Y2215" t="s">
        <v>42709</v>
      </c>
    </row>
    <row r="2216" spans="1:25" x14ac:dyDescent="0.3">
      <c r="A2216">
        <v>110750</v>
      </c>
      <c r="B2216" t="s">
        <v>42710</v>
      </c>
      <c r="C2216" t="s">
        <v>42711</v>
      </c>
      <c r="D2216" t="s">
        <v>42712</v>
      </c>
      <c r="E2216" t="s">
        <v>42713</v>
      </c>
      <c r="F2216" t="s">
        <v>42714</v>
      </c>
      <c r="G2216" t="s">
        <v>42715</v>
      </c>
      <c r="H2216" t="s">
        <v>42716</v>
      </c>
      <c r="I2216" t="s">
        <v>42717</v>
      </c>
      <c r="J2216" t="s">
        <v>42718</v>
      </c>
      <c r="K2216" t="s">
        <v>42719</v>
      </c>
      <c r="L2216" t="s">
        <v>42720</v>
      </c>
      <c r="M2216" t="s">
        <v>42721</v>
      </c>
      <c r="N2216" t="s">
        <v>42722</v>
      </c>
      <c r="O2216">
        <f>-669.873705070748 -65.5238907999953 -720.085352877273</f>
        <v>-1455.4829487480163</v>
      </c>
      <c r="P2216">
        <f>-687.382237161343 -37.3298051266415 -405.307958943756</f>
        <v>-1130.0200012317405</v>
      </c>
      <c r="Q2216" t="s">
        <v>42723</v>
      </c>
      <c r="R2216" t="s">
        <v>42724</v>
      </c>
      <c r="S2216" t="s">
        <v>42725</v>
      </c>
      <c r="T2216" t="s">
        <v>42726</v>
      </c>
      <c r="U2216" t="s">
        <v>42727</v>
      </c>
      <c r="V2216" t="s">
        <v>42728</v>
      </c>
      <c r="W2216" t="s">
        <v>42729</v>
      </c>
      <c r="X2216" t="s">
        <v>42730</v>
      </c>
      <c r="Y2216" t="s">
        <v>42731</v>
      </c>
    </row>
    <row r="2217" spans="1:25" x14ac:dyDescent="0.3">
      <c r="A2217">
        <v>110800</v>
      </c>
      <c r="B2217" t="s">
        <v>42732</v>
      </c>
      <c r="C2217" t="s">
        <v>42733</v>
      </c>
      <c r="D2217" t="s">
        <v>42734</v>
      </c>
      <c r="E2217" t="s">
        <v>42735</v>
      </c>
      <c r="F2217" t="s">
        <v>42736</v>
      </c>
      <c r="G2217" t="s">
        <v>42737</v>
      </c>
      <c r="H2217" t="s">
        <v>42738</v>
      </c>
      <c r="I2217" t="s">
        <v>42739</v>
      </c>
      <c r="J2217" t="s">
        <v>42740</v>
      </c>
      <c r="K2217" t="s">
        <v>42741</v>
      </c>
      <c r="L2217" t="s">
        <v>42742</v>
      </c>
      <c r="M2217" t="s">
        <v>42743</v>
      </c>
      <c r="N2217" t="s">
        <v>42744</v>
      </c>
      <c r="O2217">
        <f>-670.291952790178 -65.557016092544 -720.005906676757</f>
        <v>-1455.8548755594791</v>
      </c>
      <c r="P2217">
        <f>-687.525784077379 -37.4435078505066 -405.206332194449</f>
        <v>-1130.1756241223345</v>
      </c>
      <c r="Q2217" t="s">
        <v>42745</v>
      </c>
      <c r="R2217" t="s">
        <v>42746</v>
      </c>
      <c r="S2217" t="s">
        <v>42747</v>
      </c>
      <c r="T2217" t="s">
        <v>42748</v>
      </c>
      <c r="U2217" t="s">
        <v>42749</v>
      </c>
      <c r="V2217" t="s">
        <v>42750</v>
      </c>
      <c r="W2217" t="s">
        <v>42751</v>
      </c>
      <c r="X2217" t="s">
        <v>42752</v>
      </c>
      <c r="Y2217" t="s">
        <v>42753</v>
      </c>
    </row>
    <row r="2218" spans="1:25" x14ac:dyDescent="0.3">
      <c r="A2218">
        <v>110850</v>
      </c>
      <c r="B2218" t="s">
        <v>42754</v>
      </c>
      <c r="C2218" t="s">
        <v>42755</v>
      </c>
      <c r="D2218" t="s">
        <v>42756</v>
      </c>
      <c r="E2218" t="s">
        <v>42757</v>
      </c>
      <c r="F2218" t="s">
        <v>42758</v>
      </c>
      <c r="G2218" t="s">
        <v>42759</v>
      </c>
      <c r="H2218" t="s">
        <v>42760</v>
      </c>
      <c r="I2218" t="s">
        <v>42761</v>
      </c>
      <c r="J2218" t="s">
        <v>42762</v>
      </c>
      <c r="K2218" t="s">
        <v>42763</v>
      </c>
      <c r="L2218" t="s">
        <v>42764</v>
      </c>
      <c r="M2218" t="s">
        <v>42765</v>
      </c>
      <c r="N2218" t="s">
        <v>42766</v>
      </c>
      <c r="O2218">
        <f>-670.992957832021 -65.4218897433623 -719.843591317073</f>
        <v>-1456.2584388924563</v>
      </c>
      <c r="P2218">
        <f>-687.339742999536 -36.879099358923 -405.035275691988</f>
        <v>-1129.254118050447</v>
      </c>
      <c r="Q2218" t="s">
        <v>42767</v>
      </c>
      <c r="R2218" t="s">
        <v>42768</v>
      </c>
      <c r="S2218" t="s">
        <v>42769</v>
      </c>
      <c r="T2218" t="s">
        <v>42770</v>
      </c>
      <c r="U2218" t="s">
        <v>42771</v>
      </c>
      <c r="V2218" t="s">
        <v>42772</v>
      </c>
      <c r="W2218" t="s">
        <v>42773</v>
      </c>
      <c r="X2218" t="s">
        <v>42774</v>
      </c>
      <c r="Y2218" t="s">
        <v>42775</v>
      </c>
    </row>
    <row r="2219" spans="1:25" x14ac:dyDescent="0.3">
      <c r="A2219">
        <v>110900</v>
      </c>
      <c r="B2219" t="s">
        <v>42776</v>
      </c>
      <c r="C2219" t="s">
        <v>42777</v>
      </c>
      <c r="D2219" t="s">
        <v>42778</v>
      </c>
      <c r="E2219" t="s">
        <v>42779</v>
      </c>
      <c r="F2219" t="s">
        <v>42780</v>
      </c>
      <c r="G2219" t="s">
        <v>42781</v>
      </c>
      <c r="H2219" t="s">
        <v>42782</v>
      </c>
      <c r="I2219" t="s">
        <v>42783</v>
      </c>
      <c r="J2219" t="s">
        <v>42784</v>
      </c>
      <c r="K2219" t="s">
        <v>42785</v>
      </c>
      <c r="L2219" t="s">
        <v>42786</v>
      </c>
      <c r="M2219" t="s">
        <v>42787</v>
      </c>
      <c r="N2219" t="s">
        <v>42788</v>
      </c>
      <c r="O2219">
        <f>-671.137494558442 -65.5488917929856 -719.697742279406</f>
        <v>-1456.3841286308336</v>
      </c>
      <c r="P2219">
        <f>-687.573140858691 -37.2322745268182 -404.873713734252</f>
        <v>-1129.6791291197612</v>
      </c>
      <c r="Q2219" t="s">
        <v>42789</v>
      </c>
      <c r="R2219" t="s">
        <v>42790</v>
      </c>
      <c r="S2219" t="s">
        <v>42791</v>
      </c>
      <c r="T2219" t="s">
        <v>42792</v>
      </c>
      <c r="U2219" t="s">
        <v>42793</v>
      </c>
      <c r="V2219" t="s">
        <v>42794</v>
      </c>
      <c r="W2219" t="s">
        <v>42795</v>
      </c>
      <c r="X2219" t="s">
        <v>42796</v>
      </c>
      <c r="Y2219" t="s">
        <v>42797</v>
      </c>
    </row>
    <row r="2220" spans="1:25" x14ac:dyDescent="0.3">
      <c r="A2220">
        <v>110950</v>
      </c>
      <c r="B2220" t="s">
        <v>42798</v>
      </c>
      <c r="C2220" t="s">
        <v>42799</v>
      </c>
      <c r="D2220" t="s">
        <v>42800</v>
      </c>
      <c r="E2220" t="s">
        <v>42801</v>
      </c>
      <c r="F2220" t="s">
        <v>42802</v>
      </c>
      <c r="G2220" t="s">
        <v>42803</v>
      </c>
      <c r="H2220" t="s">
        <v>42804</v>
      </c>
      <c r="I2220" t="s">
        <v>42805</v>
      </c>
      <c r="J2220" t="s">
        <v>42806</v>
      </c>
      <c r="K2220" t="s">
        <v>42807</v>
      </c>
      <c r="L2220" t="s">
        <v>42808</v>
      </c>
      <c r="M2220" t="s">
        <v>42809</v>
      </c>
      <c r="N2220" t="s">
        <v>42810</v>
      </c>
      <c r="O2220">
        <f>-671.509515930224 -65.4234140477722 -719.501235489585</f>
        <v>-1456.4341654675814</v>
      </c>
      <c r="P2220">
        <f>-687.009156089019 -36.4063994677242 -404.693411743066</f>
        <v>-1128.1089672998091</v>
      </c>
      <c r="Q2220" t="s">
        <v>42811</v>
      </c>
      <c r="R2220" t="s">
        <v>42812</v>
      </c>
      <c r="S2220" t="s">
        <v>42813</v>
      </c>
      <c r="T2220" t="s">
        <v>42814</v>
      </c>
      <c r="U2220" t="s">
        <v>42815</v>
      </c>
      <c r="V2220" t="s">
        <v>42816</v>
      </c>
      <c r="W2220" t="s">
        <v>42817</v>
      </c>
      <c r="X2220" t="s">
        <v>42818</v>
      </c>
      <c r="Y2220" t="s">
        <v>42819</v>
      </c>
    </row>
    <row r="2221" spans="1:25" x14ac:dyDescent="0.3">
      <c r="A2221">
        <v>111000</v>
      </c>
      <c r="B2221" t="s">
        <v>42820</v>
      </c>
      <c r="C2221" t="s">
        <v>42821</v>
      </c>
      <c r="D2221" t="s">
        <v>42822</v>
      </c>
      <c r="E2221" t="s">
        <v>42823</v>
      </c>
      <c r="F2221" t="s">
        <v>42824</v>
      </c>
      <c r="G2221" t="s">
        <v>42825</v>
      </c>
      <c r="H2221" t="s">
        <v>42826</v>
      </c>
      <c r="I2221" t="s">
        <v>42827</v>
      </c>
      <c r="J2221" t="s">
        <v>42828</v>
      </c>
      <c r="K2221" t="s">
        <v>42829</v>
      </c>
      <c r="L2221" t="s">
        <v>42830</v>
      </c>
      <c r="M2221" t="s">
        <v>42831</v>
      </c>
      <c r="N2221" t="s">
        <v>42832</v>
      </c>
      <c r="O2221">
        <f>-671.744654165296 -65.271016223254 -719.415122529809</f>
        <v>-1456.430792918359</v>
      </c>
      <c r="P2221">
        <f>-686.865802473338 -36.171064304408 -404.596524323015</f>
        <v>-1127.6333911007609</v>
      </c>
      <c r="Q2221" t="s">
        <v>42833</v>
      </c>
      <c r="R2221" t="s">
        <v>42834</v>
      </c>
      <c r="S2221" t="s">
        <v>42835</v>
      </c>
      <c r="T2221" t="s">
        <v>42836</v>
      </c>
      <c r="U2221" t="s">
        <v>42837</v>
      </c>
      <c r="V2221" t="s">
        <v>42838</v>
      </c>
      <c r="W2221" t="s">
        <v>42839</v>
      </c>
      <c r="X2221" t="s">
        <v>42840</v>
      </c>
      <c r="Y2221" t="s">
        <v>42841</v>
      </c>
    </row>
    <row r="2222" spans="1:25" x14ac:dyDescent="0.3">
      <c r="A2222">
        <v>111050</v>
      </c>
      <c r="B2222" t="s">
        <v>42842</v>
      </c>
      <c r="C2222" t="s">
        <v>42843</v>
      </c>
      <c r="D2222" t="s">
        <v>42844</v>
      </c>
      <c r="E2222" t="s">
        <v>42845</v>
      </c>
      <c r="F2222" t="s">
        <v>42846</v>
      </c>
      <c r="G2222" t="s">
        <v>42847</v>
      </c>
      <c r="H2222" t="s">
        <v>42848</v>
      </c>
      <c r="I2222" t="s">
        <v>42849</v>
      </c>
      <c r="J2222" t="s">
        <v>42850</v>
      </c>
      <c r="K2222" t="s">
        <v>42851</v>
      </c>
      <c r="L2222" t="s">
        <v>42852</v>
      </c>
      <c r="M2222" t="s">
        <v>42853</v>
      </c>
      <c r="N2222" t="s">
        <v>42854</v>
      </c>
      <c r="O2222">
        <f>-671.991839686456 -64.9611414880201 -719.309096365368</f>
        <v>-1456.2620775398441</v>
      </c>
      <c r="P2222">
        <f>-686.380723983713 -36.0660477223271 -404.437164637234</f>
        <v>-1126.8839363432739</v>
      </c>
      <c r="Q2222" t="s">
        <v>42855</v>
      </c>
      <c r="R2222" t="s">
        <v>42856</v>
      </c>
      <c r="S2222" t="s">
        <v>42857</v>
      </c>
      <c r="T2222" t="s">
        <v>42858</v>
      </c>
      <c r="U2222" t="s">
        <v>42859</v>
      </c>
      <c r="V2222" t="s">
        <v>42860</v>
      </c>
      <c r="W2222" t="s">
        <v>42861</v>
      </c>
      <c r="X2222" t="s">
        <v>42862</v>
      </c>
      <c r="Y2222" t="s">
        <v>42863</v>
      </c>
    </row>
    <row r="2223" spans="1:25" x14ac:dyDescent="0.3">
      <c r="A2223">
        <v>111100</v>
      </c>
      <c r="B2223" t="s">
        <v>42864</v>
      </c>
      <c r="C2223" t="s">
        <v>42865</v>
      </c>
      <c r="D2223" t="s">
        <v>42866</v>
      </c>
      <c r="E2223" t="s">
        <v>42867</v>
      </c>
      <c r="F2223" t="s">
        <v>42868</v>
      </c>
      <c r="G2223" t="s">
        <v>42869</v>
      </c>
      <c r="H2223" t="s">
        <v>42870</v>
      </c>
      <c r="I2223" t="s">
        <v>42871</v>
      </c>
      <c r="J2223" t="s">
        <v>42872</v>
      </c>
      <c r="K2223" t="s">
        <v>42873</v>
      </c>
      <c r="L2223" t="s">
        <v>42874</v>
      </c>
      <c r="M2223" t="s">
        <v>42875</v>
      </c>
      <c r="N2223" t="s">
        <v>42876</v>
      </c>
      <c r="O2223">
        <f>-671.865709852681 -64.8547975868769 -719.269793084267</f>
        <v>-1455.9903005238248</v>
      </c>
      <c r="P2223">
        <f>-686.214049852353 -36.0669700501533 -404.386396251777</f>
        <v>-1126.6674161542833</v>
      </c>
      <c r="Q2223" t="s">
        <v>42877</v>
      </c>
      <c r="R2223" t="s">
        <v>42878</v>
      </c>
      <c r="S2223" t="s">
        <v>42879</v>
      </c>
      <c r="T2223" t="s">
        <v>42880</v>
      </c>
      <c r="U2223" t="s">
        <v>42881</v>
      </c>
      <c r="V2223" t="s">
        <v>42882</v>
      </c>
      <c r="W2223" t="s">
        <v>42883</v>
      </c>
      <c r="X2223" t="s">
        <v>42884</v>
      </c>
      <c r="Y2223" t="s">
        <v>42885</v>
      </c>
    </row>
    <row r="2224" spans="1:25" x14ac:dyDescent="0.3">
      <c r="A2224">
        <v>111150</v>
      </c>
      <c r="B2224" t="s">
        <v>42886</v>
      </c>
      <c r="C2224" t="s">
        <v>42887</v>
      </c>
      <c r="D2224" t="s">
        <v>42888</v>
      </c>
      <c r="E2224" t="s">
        <v>42889</v>
      </c>
      <c r="F2224" t="s">
        <v>42890</v>
      </c>
      <c r="G2224" t="s">
        <v>42891</v>
      </c>
      <c r="H2224" t="s">
        <v>42892</v>
      </c>
      <c r="I2224" t="s">
        <v>42893</v>
      </c>
      <c r="J2224" t="s">
        <v>42894</v>
      </c>
      <c r="K2224" t="s">
        <v>42895</v>
      </c>
      <c r="L2224" t="s">
        <v>42896</v>
      </c>
      <c r="M2224" t="s">
        <v>42897</v>
      </c>
      <c r="N2224" t="s">
        <v>42898</v>
      </c>
      <c r="O2224">
        <f>-671.335469807707 -64.7890427593836 -719.152105858522</f>
        <v>-1455.2766184256125</v>
      </c>
      <c r="P2224">
        <f>-685.780915450541 -35.7550144060617 -404.295640269804</f>
        <v>-1125.8315701264066</v>
      </c>
      <c r="Q2224" t="s">
        <v>42899</v>
      </c>
      <c r="R2224" t="s">
        <v>42900</v>
      </c>
      <c r="S2224" t="s">
        <v>42901</v>
      </c>
      <c r="T2224" t="s">
        <v>42902</v>
      </c>
      <c r="U2224" t="s">
        <v>42903</v>
      </c>
      <c r="V2224" t="s">
        <v>42904</v>
      </c>
      <c r="W2224" t="s">
        <v>42905</v>
      </c>
      <c r="X2224" t="s">
        <v>42906</v>
      </c>
      <c r="Y2224" t="s">
        <v>42907</v>
      </c>
    </row>
    <row r="2225" spans="1:25" x14ac:dyDescent="0.3">
      <c r="A2225">
        <v>111200</v>
      </c>
      <c r="B2225" t="s">
        <v>42908</v>
      </c>
      <c r="C2225" t="s">
        <v>42909</v>
      </c>
      <c r="D2225" t="s">
        <v>42910</v>
      </c>
      <c r="E2225" t="s">
        <v>42911</v>
      </c>
      <c r="F2225" t="s">
        <v>42912</v>
      </c>
      <c r="G2225" t="s">
        <v>42913</v>
      </c>
      <c r="H2225" t="s">
        <v>42914</v>
      </c>
      <c r="I2225" t="s">
        <v>42915</v>
      </c>
      <c r="J2225" t="s">
        <v>42916</v>
      </c>
      <c r="K2225" t="s">
        <v>42917</v>
      </c>
      <c r="L2225" t="s">
        <v>42918</v>
      </c>
      <c r="M2225" t="s">
        <v>42919</v>
      </c>
      <c r="N2225" t="s">
        <v>42920</v>
      </c>
      <c r="O2225">
        <f>-671.054886565425 -64.9991778549706 -719.049993938258</f>
        <v>-1455.1040583586537</v>
      </c>
      <c r="P2225">
        <f>-685.782486915676 -35.6184401985665 -404.238806306355</f>
        <v>-1125.6397334205976</v>
      </c>
      <c r="Q2225" t="s">
        <v>42921</v>
      </c>
      <c r="R2225" t="s">
        <v>42922</v>
      </c>
      <c r="S2225" t="s">
        <v>42923</v>
      </c>
      <c r="T2225" t="s">
        <v>42924</v>
      </c>
      <c r="U2225" t="s">
        <v>42925</v>
      </c>
      <c r="V2225" t="s">
        <v>42926</v>
      </c>
      <c r="W2225" t="s">
        <v>42927</v>
      </c>
      <c r="X2225" t="s">
        <v>42928</v>
      </c>
      <c r="Y2225" t="s">
        <v>42929</v>
      </c>
    </row>
    <row r="2226" spans="1:25" x14ac:dyDescent="0.3">
      <c r="A2226">
        <v>111250</v>
      </c>
      <c r="B2226" t="s">
        <v>42930</v>
      </c>
      <c r="C2226" t="s">
        <v>42931</v>
      </c>
      <c r="D2226" t="s">
        <v>42932</v>
      </c>
      <c r="E2226" t="s">
        <v>42933</v>
      </c>
      <c r="F2226" t="s">
        <v>42934</v>
      </c>
      <c r="G2226" t="s">
        <v>42935</v>
      </c>
      <c r="H2226" t="s">
        <v>42936</v>
      </c>
      <c r="I2226" t="s">
        <v>42937</v>
      </c>
      <c r="J2226" t="s">
        <v>42938</v>
      </c>
      <c r="K2226" t="s">
        <v>42939</v>
      </c>
      <c r="L2226" t="s">
        <v>42940</v>
      </c>
      <c r="M2226" t="s">
        <v>42941</v>
      </c>
      <c r="N2226" t="s">
        <v>42942</v>
      </c>
      <c r="O2226">
        <f>-670.825772104767 -65.2258232239396 -718.853678106351</f>
        <v>-1454.9052734350576</v>
      </c>
      <c r="P2226">
        <f>-685.782404768231 -36.1362440395812 -404.026280066944</f>
        <v>-1125.9449288747562</v>
      </c>
      <c r="Q2226" t="s">
        <v>42943</v>
      </c>
      <c r="R2226" t="s">
        <v>42944</v>
      </c>
      <c r="S2226" t="s">
        <v>42945</v>
      </c>
      <c r="T2226" t="s">
        <v>42946</v>
      </c>
      <c r="U2226" t="s">
        <v>42947</v>
      </c>
      <c r="V2226" t="s">
        <v>42948</v>
      </c>
      <c r="W2226" t="s">
        <v>42949</v>
      </c>
      <c r="X2226" t="s">
        <v>42950</v>
      </c>
      <c r="Y2226" t="s">
        <v>42951</v>
      </c>
    </row>
    <row r="2227" spans="1:25" x14ac:dyDescent="0.3">
      <c r="A2227">
        <v>111300</v>
      </c>
      <c r="B2227" t="s">
        <v>42952</v>
      </c>
      <c r="C2227" t="s">
        <v>42953</v>
      </c>
      <c r="D2227" t="s">
        <v>42954</v>
      </c>
      <c r="E2227" t="s">
        <v>42955</v>
      </c>
      <c r="F2227" t="s">
        <v>42956</v>
      </c>
      <c r="G2227" t="s">
        <v>42957</v>
      </c>
      <c r="H2227" t="s">
        <v>42958</v>
      </c>
      <c r="I2227" t="s">
        <v>42959</v>
      </c>
      <c r="J2227" t="s">
        <v>42960</v>
      </c>
      <c r="K2227" t="s">
        <v>42961</v>
      </c>
      <c r="L2227" t="s">
        <v>42962</v>
      </c>
      <c r="M2227" t="s">
        <v>42963</v>
      </c>
      <c r="N2227" t="s">
        <v>42964</v>
      </c>
      <c r="O2227">
        <f>-670.781452948168 -65.134100185024 -718.844148142871</f>
        <v>-1454.759701276063</v>
      </c>
      <c r="P2227">
        <f>-685.596649805622 -36.2110235488226 -403.994657468701</f>
        <v>-1125.8023308231454</v>
      </c>
      <c r="Q2227" t="s">
        <v>42965</v>
      </c>
      <c r="R2227" t="s">
        <v>42966</v>
      </c>
      <c r="S2227" t="s">
        <v>42967</v>
      </c>
      <c r="T2227" t="s">
        <v>42968</v>
      </c>
      <c r="U2227" t="s">
        <v>42969</v>
      </c>
      <c r="V2227" t="s">
        <v>42970</v>
      </c>
      <c r="W2227" t="s">
        <v>42971</v>
      </c>
      <c r="X2227" t="s">
        <v>42972</v>
      </c>
      <c r="Y2227" t="s">
        <v>42973</v>
      </c>
    </row>
    <row r="2228" spans="1:25" x14ac:dyDescent="0.3">
      <c r="A2228">
        <v>111350</v>
      </c>
      <c r="B2228" t="s">
        <v>42974</v>
      </c>
      <c r="C2228" t="s">
        <v>42975</v>
      </c>
      <c r="D2228" t="s">
        <v>42976</v>
      </c>
      <c r="E2228" t="s">
        <v>42977</v>
      </c>
      <c r="F2228" t="s">
        <v>42978</v>
      </c>
      <c r="G2228" t="s">
        <v>42979</v>
      </c>
      <c r="H2228" t="s">
        <v>42980</v>
      </c>
      <c r="I2228" t="s">
        <v>42981</v>
      </c>
      <c r="J2228" t="s">
        <v>42982</v>
      </c>
      <c r="K2228" t="s">
        <v>42983</v>
      </c>
      <c r="L2228" t="s">
        <v>42984</v>
      </c>
      <c r="M2228" t="s">
        <v>42985</v>
      </c>
      <c r="N2228" t="s">
        <v>42986</v>
      </c>
      <c r="O2228">
        <f>-670.845656551921 -65.090661731427 -718.775032413944</f>
        <v>-1454.7113506972919</v>
      </c>
      <c r="P2228">
        <f>-685.537028028192 -36.0033330548495 -403.934855709298</f>
        <v>-1125.4752167923396</v>
      </c>
      <c r="Q2228" t="s">
        <v>42987</v>
      </c>
      <c r="R2228" t="s">
        <v>42988</v>
      </c>
      <c r="S2228" t="s">
        <v>42989</v>
      </c>
      <c r="T2228" t="s">
        <v>42990</v>
      </c>
      <c r="U2228" t="s">
        <v>42991</v>
      </c>
      <c r="V2228" t="s">
        <v>42992</v>
      </c>
      <c r="W2228" t="s">
        <v>42993</v>
      </c>
      <c r="X2228" t="s">
        <v>42994</v>
      </c>
      <c r="Y2228" t="s">
        <v>42995</v>
      </c>
    </row>
    <row r="2229" spans="1:25" x14ac:dyDescent="0.3">
      <c r="A2229">
        <v>111400</v>
      </c>
      <c r="B2229" t="s">
        <v>42996</v>
      </c>
      <c r="C2229" t="s">
        <v>42997</v>
      </c>
      <c r="D2229" t="s">
        <v>42998</v>
      </c>
      <c r="E2229" t="s">
        <v>42999</v>
      </c>
      <c r="F2229" t="s">
        <v>43000</v>
      </c>
      <c r="G2229" t="s">
        <v>43001</v>
      </c>
      <c r="H2229" t="s">
        <v>43002</v>
      </c>
      <c r="I2229" t="s">
        <v>43003</v>
      </c>
      <c r="J2229" t="s">
        <v>43004</v>
      </c>
      <c r="K2229" t="s">
        <v>43005</v>
      </c>
      <c r="L2229" t="s">
        <v>43006</v>
      </c>
      <c r="M2229" t="s">
        <v>43007</v>
      </c>
      <c r="N2229" t="s">
        <v>43008</v>
      </c>
      <c r="O2229">
        <f>-670.908993205864 -65.0852251324795 -718.750470660427</f>
        <v>-1454.7446889987705</v>
      </c>
      <c r="P2229">
        <f>-685.461106297028 -35.9451348094588 -403.908750604003</f>
        <v>-1125.3149917104897</v>
      </c>
      <c r="Q2229" t="s">
        <v>43009</v>
      </c>
      <c r="R2229" t="s">
        <v>43010</v>
      </c>
      <c r="S2229" t="s">
        <v>43011</v>
      </c>
      <c r="T2229" t="s">
        <v>43012</v>
      </c>
      <c r="U2229" t="s">
        <v>43013</v>
      </c>
      <c r="V2229" t="s">
        <v>43014</v>
      </c>
      <c r="W2229" t="s">
        <v>43015</v>
      </c>
      <c r="X2229" t="s">
        <v>43016</v>
      </c>
      <c r="Y2229" t="s">
        <v>43017</v>
      </c>
    </row>
    <row r="2230" spans="1:25" x14ac:dyDescent="0.3">
      <c r="A2230">
        <v>111450</v>
      </c>
      <c r="B2230" t="s">
        <v>43018</v>
      </c>
      <c r="C2230" t="s">
        <v>43019</v>
      </c>
      <c r="D2230" t="s">
        <v>43020</v>
      </c>
      <c r="E2230" t="s">
        <v>43021</v>
      </c>
      <c r="F2230" t="s">
        <v>43022</v>
      </c>
      <c r="G2230" t="s">
        <v>43023</v>
      </c>
      <c r="H2230" t="s">
        <v>43024</v>
      </c>
      <c r="I2230" t="s">
        <v>43025</v>
      </c>
      <c r="J2230" t="s">
        <v>43026</v>
      </c>
      <c r="K2230" t="s">
        <v>43027</v>
      </c>
      <c r="L2230" t="s">
        <v>43028</v>
      </c>
      <c r="M2230" t="s">
        <v>43029</v>
      </c>
      <c r="N2230" t="s">
        <v>43030</v>
      </c>
      <c r="O2230">
        <f>-671.090467429942 -65.0359191024791 -718.680454974871</f>
        <v>-1454.8068415072921</v>
      </c>
      <c r="P2230">
        <f>-685.909902306405 -35.3553750941023 -403.901723380225</f>
        <v>-1125.1670007807325</v>
      </c>
      <c r="Q2230" t="s">
        <v>43031</v>
      </c>
      <c r="R2230" t="s">
        <v>43032</v>
      </c>
      <c r="S2230" t="s">
        <v>43033</v>
      </c>
      <c r="T2230" t="s">
        <v>43034</v>
      </c>
      <c r="U2230" t="s">
        <v>43035</v>
      </c>
      <c r="V2230" t="s">
        <v>43036</v>
      </c>
      <c r="W2230" t="s">
        <v>43037</v>
      </c>
      <c r="X2230" t="s">
        <v>43038</v>
      </c>
      <c r="Y2230" t="s">
        <v>43039</v>
      </c>
    </row>
    <row r="2231" spans="1:25" x14ac:dyDescent="0.3">
      <c r="A2231">
        <v>111500</v>
      </c>
      <c r="B2231" t="s">
        <v>43040</v>
      </c>
      <c r="C2231" t="s">
        <v>43041</v>
      </c>
      <c r="D2231" t="s">
        <v>43042</v>
      </c>
      <c r="E2231" t="s">
        <v>43043</v>
      </c>
      <c r="F2231" t="s">
        <v>43044</v>
      </c>
      <c r="G2231" t="s">
        <v>43045</v>
      </c>
      <c r="H2231" t="s">
        <v>43046</v>
      </c>
      <c r="I2231" t="s">
        <v>43047</v>
      </c>
      <c r="J2231" t="s">
        <v>43048</v>
      </c>
      <c r="K2231" t="s">
        <v>43049</v>
      </c>
      <c r="L2231" t="s">
        <v>43050</v>
      </c>
      <c r="M2231" t="s">
        <v>43051</v>
      </c>
      <c r="N2231" t="s">
        <v>43052</v>
      </c>
      <c r="O2231">
        <f>-671.191900285851 -65.037022142755 -718.640229384197</f>
        <v>-1454.869151812803</v>
      </c>
      <c r="P2231">
        <f>-686.080471691748 -35.318068959014 -403.868450140537</f>
        <v>-1125.2669907912991</v>
      </c>
      <c r="Q2231" t="s">
        <v>43053</v>
      </c>
      <c r="R2231" t="s">
        <v>43054</v>
      </c>
      <c r="S2231" t="s">
        <v>43055</v>
      </c>
      <c r="T2231" t="s">
        <v>43056</v>
      </c>
      <c r="U2231" t="s">
        <v>43057</v>
      </c>
      <c r="V2231" t="s">
        <v>43058</v>
      </c>
      <c r="W2231" t="s">
        <v>43059</v>
      </c>
      <c r="X2231" t="s">
        <v>43060</v>
      </c>
      <c r="Y2231" t="s">
        <v>43061</v>
      </c>
    </row>
    <row r="2232" spans="1:25" x14ac:dyDescent="0.3">
      <c r="A2232">
        <v>111550</v>
      </c>
      <c r="B2232" t="s">
        <v>43062</v>
      </c>
      <c r="C2232" t="s">
        <v>43063</v>
      </c>
      <c r="D2232" t="s">
        <v>43064</v>
      </c>
      <c r="E2232" t="s">
        <v>43065</v>
      </c>
      <c r="F2232" t="s">
        <v>43066</v>
      </c>
      <c r="G2232" t="s">
        <v>43067</v>
      </c>
      <c r="H2232" t="s">
        <v>43068</v>
      </c>
      <c r="I2232" t="s">
        <v>43069</v>
      </c>
      <c r="J2232" t="s">
        <v>43070</v>
      </c>
      <c r="K2232" t="s">
        <v>43071</v>
      </c>
      <c r="L2232" t="s">
        <v>43072</v>
      </c>
      <c r="M2232" t="s">
        <v>43073</v>
      </c>
      <c r="N2232" t="s">
        <v>43074</v>
      </c>
      <c r="O2232">
        <f>-671.475582691835 -65.0838690512423 -718.569915319489</f>
        <v>-1455.1293670625664</v>
      </c>
      <c r="P2232">
        <f>-686.647866945265 -35.5003482943523 -403.798844893733</f>
        <v>-1125.9470601333503</v>
      </c>
      <c r="Q2232" t="s">
        <v>43075</v>
      </c>
      <c r="R2232" t="s">
        <v>43076</v>
      </c>
      <c r="S2232" t="s">
        <v>43077</v>
      </c>
      <c r="T2232" t="s">
        <v>43078</v>
      </c>
      <c r="U2232" t="s">
        <v>43079</v>
      </c>
      <c r="V2232" t="s">
        <v>43080</v>
      </c>
      <c r="W2232" t="s">
        <v>43081</v>
      </c>
      <c r="X2232" t="s">
        <v>43082</v>
      </c>
      <c r="Y2232" t="s">
        <v>43083</v>
      </c>
    </row>
    <row r="2233" spans="1:25" x14ac:dyDescent="0.3">
      <c r="A2233">
        <v>111600</v>
      </c>
      <c r="B2233" t="s">
        <v>43084</v>
      </c>
      <c r="C2233" t="s">
        <v>43085</v>
      </c>
      <c r="D2233" t="s">
        <v>43086</v>
      </c>
      <c r="E2233" t="s">
        <v>43087</v>
      </c>
      <c r="F2233" t="s">
        <v>43088</v>
      </c>
      <c r="G2233" t="s">
        <v>43089</v>
      </c>
      <c r="H2233" t="s">
        <v>43090</v>
      </c>
      <c r="I2233" t="s">
        <v>43091</v>
      </c>
      <c r="J2233" t="s">
        <v>43092</v>
      </c>
      <c r="K2233" t="s">
        <v>43093</v>
      </c>
      <c r="L2233" t="s">
        <v>43094</v>
      </c>
      <c r="M2233" t="s">
        <v>43095</v>
      </c>
      <c r="N2233" t="s">
        <v>43096</v>
      </c>
      <c r="O2233">
        <f>-671.715835279059 -65.1406364663203 -718.523602314388</f>
        <v>-1455.3800740597671</v>
      </c>
      <c r="P2233">
        <f>-686.82407256251 -35.7563301439968 -403.730846323949</f>
        <v>-1126.3112490304557</v>
      </c>
      <c r="Q2233" t="s">
        <v>43097</v>
      </c>
      <c r="R2233" t="s">
        <v>43098</v>
      </c>
      <c r="S2233" t="s">
        <v>43099</v>
      </c>
      <c r="T2233" t="s">
        <v>43100</v>
      </c>
      <c r="U2233" t="s">
        <v>43101</v>
      </c>
      <c r="V2233" t="s">
        <v>43102</v>
      </c>
      <c r="W2233" t="s">
        <v>43103</v>
      </c>
      <c r="X2233" t="s">
        <v>43104</v>
      </c>
      <c r="Y2233" t="s">
        <v>43105</v>
      </c>
    </row>
    <row r="2234" spans="1:25" x14ac:dyDescent="0.3">
      <c r="A2234">
        <v>111650</v>
      </c>
      <c r="B2234" t="s">
        <v>43106</v>
      </c>
      <c r="C2234" t="s">
        <v>43107</v>
      </c>
      <c r="D2234" t="s">
        <v>43108</v>
      </c>
      <c r="E2234" t="s">
        <v>43109</v>
      </c>
      <c r="F2234" t="s">
        <v>43110</v>
      </c>
      <c r="G2234" t="s">
        <v>43111</v>
      </c>
      <c r="H2234" t="s">
        <v>43112</v>
      </c>
      <c r="I2234" t="s">
        <v>43113</v>
      </c>
      <c r="J2234" t="s">
        <v>43114</v>
      </c>
      <c r="K2234" t="s">
        <v>43115</v>
      </c>
      <c r="L2234" t="s">
        <v>43116</v>
      </c>
      <c r="M2234" t="s">
        <v>43117</v>
      </c>
      <c r="N2234" t="s">
        <v>43118</v>
      </c>
      <c r="O2234">
        <f>-672.445684426617 -65.3033874128935 -718.419107235368</f>
        <v>-1456.1681790748785</v>
      </c>
      <c r="P2234">
        <f>-687.098653668867 -36.4441293444274 -403.556133157208</f>
        <v>-1127.0989161705024</v>
      </c>
      <c r="Q2234" t="s">
        <v>43119</v>
      </c>
      <c r="R2234" t="s">
        <v>43120</v>
      </c>
      <c r="S2234" t="s">
        <v>43121</v>
      </c>
      <c r="T2234" t="s">
        <v>43122</v>
      </c>
      <c r="U2234" t="s">
        <v>43123</v>
      </c>
      <c r="V2234" t="s">
        <v>43124</v>
      </c>
      <c r="W2234" t="s">
        <v>43125</v>
      </c>
      <c r="X2234" t="s">
        <v>43126</v>
      </c>
      <c r="Y2234" t="s">
        <v>43127</v>
      </c>
    </row>
    <row r="2235" spans="1:25" x14ac:dyDescent="0.3">
      <c r="A2235">
        <v>111700</v>
      </c>
      <c r="B2235" t="s">
        <v>43128</v>
      </c>
      <c r="C2235" t="s">
        <v>43129</v>
      </c>
      <c r="D2235" t="s">
        <v>43130</v>
      </c>
      <c r="E2235" t="s">
        <v>43131</v>
      </c>
      <c r="F2235" t="s">
        <v>43132</v>
      </c>
      <c r="G2235" t="s">
        <v>43133</v>
      </c>
      <c r="H2235" t="s">
        <v>43134</v>
      </c>
      <c r="I2235" t="s">
        <v>43135</v>
      </c>
      <c r="J2235" t="s">
        <v>43136</v>
      </c>
      <c r="K2235" t="s">
        <v>43137</v>
      </c>
      <c r="L2235" t="s">
        <v>43138</v>
      </c>
      <c r="M2235" t="s">
        <v>43139</v>
      </c>
      <c r="N2235" t="s">
        <v>43140</v>
      </c>
      <c r="O2235">
        <f>-672.777366978 -65.4842528592878 -718.286907818464</f>
        <v>-1456.548527655752</v>
      </c>
      <c r="P2235">
        <f>-687.256699310531 -37.0138483547451 -403.380555032098</f>
        <v>-1127.651102697374</v>
      </c>
      <c r="Q2235" t="s">
        <v>43141</v>
      </c>
      <c r="R2235" t="s">
        <v>43142</v>
      </c>
      <c r="S2235" t="s">
        <v>43143</v>
      </c>
      <c r="T2235" t="s">
        <v>43144</v>
      </c>
      <c r="U2235" t="s">
        <v>43145</v>
      </c>
      <c r="V2235" t="s">
        <v>43146</v>
      </c>
      <c r="W2235" t="s">
        <v>43147</v>
      </c>
      <c r="X2235" t="s">
        <v>43148</v>
      </c>
      <c r="Y2235" t="s">
        <v>43149</v>
      </c>
    </row>
    <row r="2236" spans="1:25" x14ac:dyDescent="0.3">
      <c r="A2236">
        <v>111750</v>
      </c>
      <c r="B2236" t="s">
        <v>43150</v>
      </c>
      <c r="C2236" t="s">
        <v>43151</v>
      </c>
      <c r="D2236" t="s">
        <v>43152</v>
      </c>
      <c r="E2236" t="s">
        <v>43153</v>
      </c>
      <c r="F2236" t="s">
        <v>43154</v>
      </c>
      <c r="G2236" t="s">
        <v>43155</v>
      </c>
      <c r="H2236" t="s">
        <v>43156</v>
      </c>
      <c r="I2236" t="s">
        <v>43157</v>
      </c>
      <c r="J2236" t="s">
        <v>43158</v>
      </c>
      <c r="K2236" t="s">
        <v>43159</v>
      </c>
      <c r="L2236" t="s">
        <v>43160</v>
      </c>
      <c r="M2236" t="s">
        <v>43161</v>
      </c>
      <c r="N2236" t="s">
        <v>43162</v>
      </c>
      <c r="O2236">
        <f>-673.542921996244 -65.6658548263756 -718.092123552621</f>
        <v>-1457.3009003752406</v>
      </c>
      <c r="P2236">
        <f>-687.482832623713 -38.3989158916986 -403.0548918069</f>
        <v>-1128.9366403223116</v>
      </c>
      <c r="Q2236" t="s">
        <v>43163</v>
      </c>
      <c r="R2236" t="s">
        <v>43164</v>
      </c>
      <c r="S2236" t="s">
        <v>43165</v>
      </c>
      <c r="T2236" t="s">
        <v>43166</v>
      </c>
      <c r="U2236" t="s">
        <v>43167</v>
      </c>
      <c r="V2236" t="s">
        <v>43168</v>
      </c>
      <c r="W2236" t="s">
        <v>43169</v>
      </c>
      <c r="X2236" t="s">
        <v>43170</v>
      </c>
      <c r="Y2236" t="s">
        <v>43171</v>
      </c>
    </row>
    <row r="2237" spans="1:25" x14ac:dyDescent="0.3">
      <c r="A2237">
        <v>111800</v>
      </c>
      <c r="B2237" t="s">
        <v>43172</v>
      </c>
      <c r="C2237" t="s">
        <v>43173</v>
      </c>
      <c r="D2237" t="s">
        <v>43174</v>
      </c>
      <c r="E2237" t="s">
        <v>43175</v>
      </c>
      <c r="F2237" t="s">
        <v>43176</v>
      </c>
      <c r="G2237" t="s">
        <v>43177</v>
      </c>
      <c r="H2237" t="s">
        <v>43178</v>
      </c>
      <c r="I2237" t="s">
        <v>43179</v>
      </c>
      <c r="J2237" t="s">
        <v>43180</v>
      </c>
      <c r="K2237" t="s">
        <v>43181</v>
      </c>
      <c r="L2237" t="s">
        <v>43182</v>
      </c>
      <c r="M2237" t="s">
        <v>43183</v>
      </c>
      <c r="N2237" t="s">
        <v>43184</v>
      </c>
      <c r="O2237">
        <f>-673.831574939679 -65.6360011198021 -717.994306939216</f>
        <v>-1457.4618829986971</v>
      </c>
      <c r="P2237">
        <f>-687.307811986084 -38.5978962432596 -402.917352115896</f>
        <v>-1128.8230603452396</v>
      </c>
      <c r="Q2237" t="s">
        <v>43185</v>
      </c>
      <c r="R2237" t="s">
        <v>43186</v>
      </c>
      <c r="S2237" t="s">
        <v>43187</v>
      </c>
      <c r="T2237" t="s">
        <v>43188</v>
      </c>
      <c r="U2237" t="s">
        <v>43189</v>
      </c>
      <c r="V2237" t="s">
        <v>43190</v>
      </c>
      <c r="W2237" t="s">
        <v>43191</v>
      </c>
      <c r="X2237" t="s">
        <v>43192</v>
      </c>
      <c r="Y2237" t="s">
        <v>43193</v>
      </c>
    </row>
    <row r="2238" spans="1:25" x14ac:dyDescent="0.3">
      <c r="A2238">
        <v>111850</v>
      </c>
      <c r="B2238" t="s">
        <v>43194</v>
      </c>
      <c r="C2238" t="s">
        <v>43195</v>
      </c>
      <c r="D2238" t="s">
        <v>43196</v>
      </c>
      <c r="E2238" t="s">
        <v>43197</v>
      </c>
      <c r="F2238" t="s">
        <v>43198</v>
      </c>
      <c r="G2238" t="s">
        <v>43199</v>
      </c>
      <c r="H2238" t="s">
        <v>43200</v>
      </c>
      <c r="I2238" t="s">
        <v>43201</v>
      </c>
      <c r="J2238" t="s">
        <v>43202</v>
      </c>
      <c r="K2238" t="s">
        <v>43203</v>
      </c>
      <c r="L2238" t="s">
        <v>43204</v>
      </c>
      <c r="M2238" t="s">
        <v>43205</v>
      </c>
      <c r="N2238" t="s">
        <v>43206</v>
      </c>
      <c r="O2238">
        <f>-674.505334340668 -65.5620309247495 -717.769138262076</f>
        <v>-1457.8365035274935</v>
      </c>
      <c r="P2238">
        <f>-686.792742707051 -37.9273810462239 -402.69526041515</f>
        <v>-1127.4153841684249</v>
      </c>
      <c r="Q2238" t="s">
        <v>43207</v>
      </c>
      <c r="R2238" t="s">
        <v>43208</v>
      </c>
      <c r="S2238" t="s">
        <v>43209</v>
      </c>
      <c r="T2238" t="s">
        <v>43210</v>
      </c>
      <c r="U2238" t="s">
        <v>43211</v>
      </c>
      <c r="V2238" t="s">
        <v>43212</v>
      </c>
      <c r="W2238" t="s">
        <v>43213</v>
      </c>
      <c r="X2238" t="s">
        <v>43214</v>
      </c>
      <c r="Y2238" t="s">
        <v>43215</v>
      </c>
    </row>
    <row r="2239" spans="1:25" x14ac:dyDescent="0.3">
      <c r="A2239">
        <v>111900</v>
      </c>
      <c r="B2239" t="s">
        <v>43216</v>
      </c>
      <c r="C2239" t="s">
        <v>43217</v>
      </c>
      <c r="D2239" t="s">
        <v>43218</v>
      </c>
      <c r="E2239" t="s">
        <v>43219</v>
      </c>
      <c r="F2239" t="s">
        <v>43220</v>
      </c>
      <c r="G2239" t="s">
        <v>43221</v>
      </c>
      <c r="H2239" t="s">
        <v>43222</v>
      </c>
      <c r="I2239" t="s">
        <v>43223</v>
      </c>
      <c r="J2239" t="s">
        <v>43224</v>
      </c>
      <c r="K2239" t="s">
        <v>43225</v>
      </c>
      <c r="L2239" t="s">
        <v>43226</v>
      </c>
      <c r="M2239" t="s">
        <v>43227</v>
      </c>
      <c r="N2239" t="s">
        <v>43228</v>
      </c>
      <c r="O2239">
        <f>-674.765430154415 -65.4645785600487 -717.646112433654</f>
        <v>-1457.8761211481178</v>
      </c>
      <c r="P2239">
        <f>-686.698900629703 -37.3337954935259 -402.602578454761</f>
        <v>-1126.63527457799</v>
      </c>
      <c r="Q2239" t="s">
        <v>43229</v>
      </c>
      <c r="R2239" t="s">
        <v>43230</v>
      </c>
      <c r="S2239" t="s">
        <v>43231</v>
      </c>
      <c r="T2239" t="s">
        <v>43232</v>
      </c>
      <c r="U2239" t="s">
        <v>43233</v>
      </c>
      <c r="V2239" t="s">
        <v>43234</v>
      </c>
      <c r="W2239" t="s">
        <v>43235</v>
      </c>
      <c r="X2239" t="s">
        <v>43236</v>
      </c>
      <c r="Y2239" t="s">
        <v>43237</v>
      </c>
    </row>
    <row r="2240" spans="1:25" x14ac:dyDescent="0.3">
      <c r="A2240">
        <v>111950</v>
      </c>
      <c r="B2240" t="s">
        <v>43238</v>
      </c>
      <c r="C2240" t="s">
        <v>43239</v>
      </c>
      <c r="D2240" t="s">
        <v>43240</v>
      </c>
      <c r="E2240" t="s">
        <v>43241</v>
      </c>
      <c r="F2240" t="s">
        <v>43242</v>
      </c>
      <c r="G2240" t="s">
        <v>43243</v>
      </c>
      <c r="H2240" t="s">
        <v>43244</v>
      </c>
      <c r="I2240" t="s">
        <v>43245</v>
      </c>
      <c r="J2240" t="s">
        <v>43246</v>
      </c>
      <c r="K2240" t="s">
        <v>43247</v>
      </c>
      <c r="L2240" t="s">
        <v>43248</v>
      </c>
      <c r="M2240" t="s">
        <v>43249</v>
      </c>
      <c r="N2240" t="s">
        <v>43250</v>
      </c>
      <c r="O2240">
        <f>-675.397350192541 -65.4053250115583 -717.453569200739</f>
        <v>-1458.2562444048383</v>
      </c>
      <c r="P2240">
        <f>-687.664431235509 -37.4475024276182 -402.40735126019</f>
        <v>-1127.5192849233172</v>
      </c>
      <c r="Q2240" t="s">
        <v>43251</v>
      </c>
      <c r="R2240" t="s">
        <v>43252</v>
      </c>
      <c r="S2240" t="s">
        <v>43253</v>
      </c>
      <c r="T2240" t="s">
        <v>43254</v>
      </c>
      <c r="U2240" t="s">
        <v>43255</v>
      </c>
      <c r="V2240" t="s">
        <v>43256</v>
      </c>
      <c r="W2240" t="s">
        <v>43257</v>
      </c>
      <c r="X2240" t="s">
        <v>43258</v>
      </c>
      <c r="Y2240" t="s">
        <v>43259</v>
      </c>
    </row>
    <row r="2241" spans="1:25" x14ac:dyDescent="0.3">
      <c r="A2241">
        <v>112000</v>
      </c>
      <c r="B2241" t="s">
        <v>43260</v>
      </c>
      <c r="C2241" t="s">
        <v>43261</v>
      </c>
      <c r="D2241" t="s">
        <v>43262</v>
      </c>
      <c r="E2241" t="s">
        <v>43263</v>
      </c>
      <c r="F2241" t="s">
        <v>43264</v>
      </c>
      <c r="G2241" t="s">
        <v>43265</v>
      </c>
      <c r="H2241" t="s">
        <v>43266</v>
      </c>
      <c r="I2241" t="s">
        <v>43267</v>
      </c>
      <c r="J2241" t="s">
        <v>43268</v>
      </c>
      <c r="K2241" t="s">
        <v>43269</v>
      </c>
      <c r="L2241" t="s">
        <v>43270</v>
      </c>
      <c r="M2241" t="s">
        <v>43271</v>
      </c>
      <c r="N2241" t="s">
        <v>43272</v>
      </c>
      <c r="O2241">
        <f>-675.898633064065 -65.4153414425969 -717.38510343084</f>
        <v>-1458.6990779375019</v>
      </c>
      <c r="P2241">
        <f>-688.422964708844 -37.2490619202147 -402.367729961002</f>
        <v>-1128.0397565900607</v>
      </c>
      <c r="Q2241" t="s">
        <v>43273</v>
      </c>
      <c r="R2241" t="s">
        <v>43274</v>
      </c>
      <c r="S2241" t="s">
        <v>43275</v>
      </c>
      <c r="T2241" t="s">
        <v>43276</v>
      </c>
      <c r="U2241" t="s">
        <v>43277</v>
      </c>
      <c r="V2241" t="s">
        <v>43278</v>
      </c>
      <c r="W2241" t="s">
        <v>43279</v>
      </c>
      <c r="X2241" t="s">
        <v>43280</v>
      </c>
      <c r="Y2241" t="s">
        <v>43281</v>
      </c>
    </row>
    <row r="2242" spans="1:25" x14ac:dyDescent="0.3">
      <c r="A2242">
        <v>112050</v>
      </c>
      <c r="B2242" t="s">
        <v>43282</v>
      </c>
      <c r="C2242" t="s">
        <v>43283</v>
      </c>
      <c r="D2242" t="s">
        <v>43284</v>
      </c>
      <c r="E2242" t="s">
        <v>43285</v>
      </c>
      <c r="F2242" t="s">
        <v>43286</v>
      </c>
      <c r="G2242" t="s">
        <v>43287</v>
      </c>
      <c r="H2242" t="s">
        <v>43288</v>
      </c>
      <c r="I2242" t="s">
        <v>43289</v>
      </c>
      <c r="J2242" t="s">
        <v>43290</v>
      </c>
      <c r="K2242" t="s">
        <v>43291</v>
      </c>
      <c r="L2242" t="s">
        <v>43292</v>
      </c>
      <c r="M2242" t="s">
        <v>43293</v>
      </c>
      <c r="N2242" t="s">
        <v>43294</v>
      </c>
      <c r="O2242">
        <f>-676.828721210525 -65.7622617613345 -717.096595727987</f>
        <v>-1459.6875786998467</v>
      </c>
      <c r="P2242">
        <f>-689.164942712578 -37.213774148423 -402.106122139488</f>
        <v>-1128.484839000489</v>
      </c>
      <c r="Q2242" t="s">
        <v>43295</v>
      </c>
      <c r="R2242" t="s">
        <v>43296</v>
      </c>
      <c r="S2242" t="s">
        <v>43297</v>
      </c>
      <c r="T2242" t="s">
        <v>43298</v>
      </c>
      <c r="U2242" t="s">
        <v>43299</v>
      </c>
      <c r="V2242" t="s">
        <v>43300</v>
      </c>
      <c r="W2242" t="s">
        <v>43301</v>
      </c>
      <c r="X2242" t="s">
        <v>43302</v>
      </c>
      <c r="Y2242" t="s">
        <v>43303</v>
      </c>
    </row>
    <row r="2243" spans="1:25" x14ac:dyDescent="0.3">
      <c r="A2243">
        <v>112100</v>
      </c>
      <c r="B2243" t="s">
        <v>43304</v>
      </c>
      <c r="C2243" t="s">
        <v>43305</v>
      </c>
      <c r="D2243" t="s">
        <v>43306</v>
      </c>
      <c r="E2243" t="s">
        <v>43307</v>
      </c>
      <c r="F2243" t="s">
        <v>43308</v>
      </c>
      <c r="G2243" t="s">
        <v>43309</v>
      </c>
      <c r="H2243" t="s">
        <v>43310</v>
      </c>
      <c r="I2243" t="s">
        <v>43311</v>
      </c>
      <c r="J2243" t="s">
        <v>43312</v>
      </c>
      <c r="K2243" t="s">
        <v>43313</v>
      </c>
      <c r="L2243" t="s">
        <v>43314</v>
      </c>
      <c r="M2243" t="s">
        <v>43315</v>
      </c>
      <c r="N2243" t="s">
        <v>43316</v>
      </c>
      <c r="O2243">
        <f>-677.30549608148 -66.0024575461343 -716.878826831631</f>
        <v>-1460.1867804592453</v>
      </c>
      <c r="P2243">
        <f>-689.632415600292 -37.2161103116259 -401.909635419173</f>
        <v>-1128.7581613310908</v>
      </c>
      <c r="Q2243" t="s">
        <v>43317</v>
      </c>
      <c r="R2243" t="s">
        <v>43318</v>
      </c>
      <c r="S2243" t="s">
        <v>43319</v>
      </c>
      <c r="T2243" t="s">
        <v>43320</v>
      </c>
      <c r="U2243" t="s">
        <v>43321</v>
      </c>
      <c r="V2243" t="s">
        <v>43322</v>
      </c>
      <c r="W2243" t="s">
        <v>43323</v>
      </c>
      <c r="X2243" t="s">
        <v>43324</v>
      </c>
      <c r="Y2243" t="s">
        <v>43325</v>
      </c>
    </row>
    <row r="2244" spans="1:25" x14ac:dyDescent="0.3">
      <c r="A2244">
        <v>112150</v>
      </c>
      <c r="B2244" t="s">
        <v>43326</v>
      </c>
      <c r="C2244" t="s">
        <v>43327</v>
      </c>
      <c r="D2244" t="s">
        <v>43328</v>
      </c>
      <c r="E2244" t="s">
        <v>43329</v>
      </c>
      <c r="F2244" t="s">
        <v>43330</v>
      </c>
      <c r="G2244" t="s">
        <v>43331</v>
      </c>
      <c r="H2244" t="s">
        <v>43332</v>
      </c>
      <c r="I2244" t="s">
        <v>43333</v>
      </c>
      <c r="J2244" t="s">
        <v>43334</v>
      </c>
      <c r="K2244" t="s">
        <v>43335</v>
      </c>
      <c r="L2244" t="s">
        <v>43336</v>
      </c>
      <c r="M2244" t="s">
        <v>43337</v>
      </c>
      <c r="N2244" t="s">
        <v>43338</v>
      </c>
      <c r="O2244">
        <f>-678.206380758393 -66.0024671183046 -716.611659999261</f>
        <v>-1460.8205078759586</v>
      </c>
      <c r="P2244">
        <f>-690.079357602267 -36.9853774015555 -401.646247133659</f>
        <v>-1128.7109821374816</v>
      </c>
      <c r="Q2244" t="s">
        <v>43339</v>
      </c>
      <c r="R2244" t="s">
        <v>43340</v>
      </c>
      <c r="S2244" t="s">
        <v>43341</v>
      </c>
      <c r="T2244" t="s">
        <v>43342</v>
      </c>
      <c r="U2244" t="s">
        <v>43343</v>
      </c>
      <c r="V2244" t="s">
        <v>43344</v>
      </c>
      <c r="W2244" t="s">
        <v>43345</v>
      </c>
      <c r="X2244" t="s">
        <v>43346</v>
      </c>
      <c r="Y2244" t="s">
        <v>43347</v>
      </c>
    </row>
    <row r="2245" spans="1:25" x14ac:dyDescent="0.3">
      <c r="A2245">
        <v>112200</v>
      </c>
      <c r="B2245" t="s">
        <v>43348</v>
      </c>
      <c r="C2245" t="s">
        <v>43349</v>
      </c>
      <c r="D2245" t="s">
        <v>43350</v>
      </c>
      <c r="E2245" t="s">
        <v>43351</v>
      </c>
      <c r="F2245" t="s">
        <v>43352</v>
      </c>
      <c r="G2245" t="s">
        <v>43353</v>
      </c>
      <c r="H2245" t="s">
        <v>43354</v>
      </c>
      <c r="I2245" t="s">
        <v>43355</v>
      </c>
      <c r="J2245" t="s">
        <v>43356</v>
      </c>
      <c r="K2245" t="s">
        <v>43357</v>
      </c>
      <c r="L2245" t="s">
        <v>43358</v>
      </c>
      <c r="M2245" t="s">
        <v>43359</v>
      </c>
      <c r="N2245" t="s">
        <v>43360</v>
      </c>
      <c r="O2245">
        <f>-678.66670689603 -65.8664512383077 -716.451056308588</f>
        <v>-1460.9842144429258</v>
      </c>
      <c r="P2245">
        <f>-690.506748693857 -36.9083008959369 -401.478879833562</f>
        <v>-1128.893929423356</v>
      </c>
      <c r="Q2245" t="s">
        <v>43361</v>
      </c>
      <c r="R2245" t="s">
        <v>43362</v>
      </c>
      <c r="S2245" t="s">
        <v>43363</v>
      </c>
      <c r="T2245" t="s">
        <v>43364</v>
      </c>
      <c r="U2245" t="s">
        <v>43365</v>
      </c>
      <c r="V2245" t="s">
        <v>43366</v>
      </c>
      <c r="W2245" t="s">
        <v>43367</v>
      </c>
      <c r="X2245" t="s">
        <v>43368</v>
      </c>
      <c r="Y2245" t="s">
        <v>43369</v>
      </c>
    </row>
    <row r="2246" spans="1:25" x14ac:dyDescent="0.3">
      <c r="A2246">
        <v>112250</v>
      </c>
      <c r="B2246" t="s">
        <v>43370</v>
      </c>
      <c r="C2246" t="s">
        <v>43371</v>
      </c>
      <c r="D2246" t="s">
        <v>43372</v>
      </c>
      <c r="E2246" t="s">
        <v>43373</v>
      </c>
      <c r="F2246" t="s">
        <v>43374</v>
      </c>
      <c r="G2246" t="s">
        <v>43375</v>
      </c>
      <c r="H2246" t="s">
        <v>43376</v>
      </c>
      <c r="I2246" t="s">
        <v>43377</v>
      </c>
      <c r="J2246" t="s">
        <v>43378</v>
      </c>
      <c r="K2246" t="s">
        <v>43379</v>
      </c>
      <c r="L2246" t="s">
        <v>43380</v>
      </c>
      <c r="M2246" t="s">
        <v>43381</v>
      </c>
      <c r="N2246" t="s">
        <v>43382</v>
      </c>
      <c r="O2246">
        <f>-679.582823430329 -65.4251796521937 -716.247400869035</f>
        <v>-1461.2554039515576</v>
      </c>
      <c r="P2246">
        <f>-690.574789216341 -36.4087318716618 -401.249955926268</f>
        <v>-1128.2334770142706</v>
      </c>
      <c r="Q2246" t="s">
        <v>43383</v>
      </c>
      <c r="R2246" t="s">
        <v>43384</v>
      </c>
      <c r="S2246" t="s">
        <v>43385</v>
      </c>
      <c r="T2246" t="s">
        <v>43386</v>
      </c>
      <c r="U2246" t="s">
        <v>43387</v>
      </c>
      <c r="V2246" t="s">
        <v>43388</v>
      </c>
      <c r="W2246" t="s">
        <v>43389</v>
      </c>
      <c r="X2246" t="s">
        <v>43390</v>
      </c>
      <c r="Y2246" t="s">
        <v>43391</v>
      </c>
    </row>
    <row r="2247" spans="1:25" x14ac:dyDescent="0.3">
      <c r="A2247">
        <v>112300</v>
      </c>
      <c r="B2247" t="s">
        <v>43392</v>
      </c>
      <c r="C2247" t="s">
        <v>43393</v>
      </c>
      <c r="D2247" t="s">
        <v>43394</v>
      </c>
      <c r="E2247" t="s">
        <v>43395</v>
      </c>
      <c r="F2247" t="s">
        <v>43396</v>
      </c>
      <c r="G2247" t="s">
        <v>43397</v>
      </c>
      <c r="H2247" t="s">
        <v>43398</v>
      </c>
      <c r="I2247" t="s">
        <v>43399</v>
      </c>
      <c r="J2247" t="s">
        <v>43400</v>
      </c>
      <c r="K2247" t="s">
        <v>43401</v>
      </c>
      <c r="L2247" t="s">
        <v>43402</v>
      </c>
      <c r="M2247" t="s">
        <v>43403</v>
      </c>
      <c r="N2247" t="s">
        <v>43404</v>
      </c>
      <c r="O2247">
        <f>-679.965335443351 -65.3387818851963 -716.029657952842</f>
        <v>-1461.3337752813893</v>
      </c>
      <c r="P2247">
        <f>-690.995249954517 -36.5429695077682 -401.01328267486</f>
        <v>-1128.5515021371452</v>
      </c>
      <c r="Q2247" t="s">
        <v>43405</v>
      </c>
      <c r="R2247" t="s">
        <v>43406</v>
      </c>
      <c r="S2247" t="s">
        <v>43407</v>
      </c>
      <c r="T2247" t="s">
        <v>43408</v>
      </c>
      <c r="U2247" t="s">
        <v>43409</v>
      </c>
      <c r="V2247" t="s">
        <v>43410</v>
      </c>
      <c r="W2247" t="s">
        <v>43411</v>
      </c>
      <c r="X2247" t="s">
        <v>43412</v>
      </c>
      <c r="Y2247" t="s">
        <v>43413</v>
      </c>
    </row>
    <row r="2248" spans="1:25" x14ac:dyDescent="0.3">
      <c r="A2248">
        <v>112350</v>
      </c>
      <c r="B2248" t="s">
        <v>43414</v>
      </c>
      <c r="C2248" t="s">
        <v>43415</v>
      </c>
      <c r="D2248" t="s">
        <v>43416</v>
      </c>
      <c r="E2248" t="s">
        <v>43417</v>
      </c>
      <c r="F2248" t="s">
        <v>43418</v>
      </c>
      <c r="G2248" t="s">
        <v>43419</v>
      </c>
      <c r="H2248" t="s">
        <v>43420</v>
      </c>
      <c r="I2248" t="s">
        <v>43421</v>
      </c>
      <c r="J2248" t="s">
        <v>43422</v>
      </c>
      <c r="K2248" t="s">
        <v>43423</v>
      </c>
      <c r="L2248" t="s">
        <v>43424</v>
      </c>
      <c r="M2248" t="s">
        <v>43425</v>
      </c>
      <c r="N2248" t="s">
        <v>43426</v>
      </c>
      <c r="O2248">
        <f>-680.462815256408 -64.9020085245666 -715.74570832682</f>
        <v>-1461.1105321077946</v>
      </c>
      <c r="P2248">
        <f>-690.883425236011 -35.5006821111281 -400.764428142967</f>
        <v>-1127.148535490106</v>
      </c>
      <c r="Q2248" t="s">
        <v>43427</v>
      </c>
      <c r="R2248" t="s">
        <v>43428</v>
      </c>
      <c r="S2248" t="s">
        <v>43429</v>
      </c>
      <c r="T2248" t="s">
        <v>43430</v>
      </c>
      <c r="U2248" t="s">
        <v>43431</v>
      </c>
      <c r="V2248" t="s">
        <v>43432</v>
      </c>
      <c r="W2248" t="s">
        <v>43433</v>
      </c>
      <c r="X2248" t="s">
        <v>43434</v>
      </c>
      <c r="Y2248" t="s">
        <v>43435</v>
      </c>
    </row>
    <row r="2249" spans="1:25" x14ac:dyDescent="0.3">
      <c r="A2249">
        <v>112400</v>
      </c>
      <c r="B2249" t="s">
        <v>43436</v>
      </c>
      <c r="C2249" t="s">
        <v>43437</v>
      </c>
      <c r="D2249" t="s">
        <v>43438</v>
      </c>
      <c r="E2249" t="s">
        <v>43439</v>
      </c>
      <c r="F2249" t="s">
        <v>43440</v>
      </c>
      <c r="G2249" t="s">
        <v>43441</v>
      </c>
      <c r="H2249" t="s">
        <v>43442</v>
      </c>
      <c r="I2249" t="s">
        <v>43443</v>
      </c>
      <c r="J2249" t="s">
        <v>43444</v>
      </c>
      <c r="K2249" t="s">
        <v>43445</v>
      </c>
      <c r="L2249" t="s">
        <v>43446</v>
      </c>
      <c r="M2249" t="s">
        <v>43447</v>
      </c>
      <c r="N2249" t="s">
        <v>43448</v>
      </c>
      <c r="O2249">
        <f>-680.466757063273 -64.9976487045399 -715.560941513451</f>
        <v>-1461.0253472812637</v>
      </c>
      <c r="P2249">
        <f>-690.961001225397 -35.8837019508044 -400.555533239535</f>
        <v>-1127.4002364157363</v>
      </c>
      <c r="Q2249" t="s">
        <v>43449</v>
      </c>
      <c r="R2249" t="s">
        <v>43450</v>
      </c>
      <c r="S2249" t="s">
        <v>43451</v>
      </c>
      <c r="T2249" t="s">
        <v>43452</v>
      </c>
      <c r="U2249" t="s">
        <v>43453</v>
      </c>
      <c r="V2249" t="s">
        <v>43454</v>
      </c>
      <c r="W2249" t="s">
        <v>43455</v>
      </c>
      <c r="X2249" t="s">
        <v>43456</v>
      </c>
      <c r="Y2249" t="s">
        <v>43457</v>
      </c>
    </row>
    <row r="2250" spans="1:25" x14ac:dyDescent="0.3">
      <c r="A2250">
        <v>112450</v>
      </c>
      <c r="B2250" t="s">
        <v>43458</v>
      </c>
      <c r="C2250" t="s">
        <v>43459</v>
      </c>
      <c r="D2250" t="s">
        <v>43460</v>
      </c>
      <c r="E2250" t="s">
        <v>43461</v>
      </c>
      <c r="F2250" t="s">
        <v>43462</v>
      </c>
      <c r="G2250" t="s">
        <v>43463</v>
      </c>
      <c r="H2250" t="s">
        <v>43464</v>
      </c>
      <c r="I2250" t="s">
        <v>43465</v>
      </c>
      <c r="J2250" t="s">
        <v>43466</v>
      </c>
      <c r="K2250" t="s">
        <v>43467</v>
      </c>
      <c r="L2250" t="s">
        <v>43468</v>
      </c>
      <c r="M2250" t="s">
        <v>43469</v>
      </c>
      <c r="N2250" t="s">
        <v>43470</v>
      </c>
      <c r="O2250">
        <f>-680.703171769399 -64.7505766983654 -715.503486286531</f>
        <v>-1460.9572347542953</v>
      </c>
      <c r="P2250">
        <f>-690.753673288807 -35.2719295263573 -400.517477194274</f>
        <v>-1126.5430800094384</v>
      </c>
      <c r="Q2250" t="s">
        <v>43471</v>
      </c>
      <c r="R2250" t="s">
        <v>43472</v>
      </c>
      <c r="S2250" t="s">
        <v>43473</v>
      </c>
      <c r="T2250" t="s">
        <v>43474</v>
      </c>
      <c r="U2250" t="s">
        <v>43475</v>
      </c>
      <c r="V2250" t="s">
        <v>43476</v>
      </c>
      <c r="W2250" t="s">
        <v>43477</v>
      </c>
      <c r="X2250" t="s">
        <v>43478</v>
      </c>
      <c r="Y2250" t="s">
        <v>43479</v>
      </c>
    </row>
    <row r="2251" spans="1:25" x14ac:dyDescent="0.3">
      <c r="A2251">
        <v>112500</v>
      </c>
      <c r="B2251" t="s">
        <v>43480</v>
      </c>
      <c r="C2251" t="s">
        <v>43481</v>
      </c>
      <c r="D2251" t="s">
        <v>43482</v>
      </c>
      <c r="E2251" t="s">
        <v>43483</v>
      </c>
      <c r="F2251" t="s">
        <v>43484</v>
      </c>
      <c r="G2251" t="s">
        <v>43485</v>
      </c>
      <c r="H2251" t="s">
        <v>43486</v>
      </c>
      <c r="I2251" t="s">
        <v>43487</v>
      </c>
      <c r="J2251" t="s">
        <v>43488</v>
      </c>
      <c r="K2251" t="s">
        <v>43489</v>
      </c>
      <c r="L2251" t="s">
        <v>43490</v>
      </c>
      <c r="M2251" t="s">
        <v>43491</v>
      </c>
      <c r="N2251" t="s">
        <v>43492</v>
      </c>
      <c r="O2251">
        <f>-680.67626707636 -64.7240860252375 -715.422478635497</f>
        <v>-1460.8228317370945</v>
      </c>
      <c r="P2251">
        <f>-690.779778025705 -35.6361273292807 -400.401865274793</f>
        <v>-1126.8177706297788</v>
      </c>
      <c r="Q2251" t="s">
        <v>43493</v>
      </c>
      <c r="R2251" t="s">
        <v>43494</v>
      </c>
      <c r="S2251" t="s">
        <v>43495</v>
      </c>
      <c r="T2251" t="s">
        <v>43496</v>
      </c>
      <c r="U2251" t="s">
        <v>43497</v>
      </c>
      <c r="V2251" t="s">
        <v>43498</v>
      </c>
      <c r="W2251" t="s">
        <v>43499</v>
      </c>
      <c r="X2251" t="s">
        <v>43500</v>
      </c>
      <c r="Y2251" t="s">
        <v>43501</v>
      </c>
    </row>
    <row r="2252" spans="1:25" x14ac:dyDescent="0.3">
      <c r="A2252">
        <v>112550</v>
      </c>
      <c r="B2252" t="s">
        <v>43502</v>
      </c>
      <c r="C2252" t="s">
        <v>43503</v>
      </c>
      <c r="D2252" t="s">
        <v>43504</v>
      </c>
      <c r="E2252" t="s">
        <v>43505</v>
      </c>
      <c r="F2252" t="s">
        <v>43506</v>
      </c>
      <c r="G2252" t="s">
        <v>43507</v>
      </c>
      <c r="H2252" t="s">
        <v>43508</v>
      </c>
      <c r="I2252" t="s">
        <v>43509</v>
      </c>
      <c r="J2252" t="s">
        <v>43510</v>
      </c>
      <c r="K2252" t="s">
        <v>43511</v>
      </c>
      <c r="L2252" t="s">
        <v>43512</v>
      </c>
      <c r="M2252" t="s">
        <v>43513</v>
      </c>
      <c r="N2252" t="s">
        <v>43514</v>
      </c>
      <c r="O2252">
        <f>-680.383759448578 -64.2701967187447 -715.491797211412</f>
        <v>-1460.1457533787348</v>
      </c>
      <c r="P2252">
        <f>-690.134986287319 -34.8808519245449 -400.488040863273</f>
        <v>-1125.5038790751369</v>
      </c>
      <c r="Q2252" t="s">
        <v>43515</v>
      </c>
      <c r="R2252" t="s">
        <v>43516</v>
      </c>
      <c r="S2252" t="s">
        <v>43517</v>
      </c>
      <c r="T2252" t="s">
        <v>43518</v>
      </c>
      <c r="U2252" t="s">
        <v>43519</v>
      </c>
      <c r="V2252" t="s">
        <v>43520</v>
      </c>
      <c r="W2252" t="s">
        <v>43521</v>
      </c>
      <c r="X2252" t="s">
        <v>43522</v>
      </c>
      <c r="Y2252" t="s">
        <v>43523</v>
      </c>
    </row>
    <row r="2253" spans="1:25" x14ac:dyDescent="0.3">
      <c r="A2253">
        <v>112600</v>
      </c>
      <c r="B2253" t="s">
        <v>43524</v>
      </c>
      <c r="C2253" t="s">
        <v>43525</v>
      </c>
      <c r="D2253" t="s">
        <v>43526</v>
      </c>
      <c r="E2253" t="s">
        <v>43527</v>
      </c>
      <c r="F2253" t="s">
        <v>43528</v>
      </c>
      <c r="G2253" t="s">
        <v>43529</v>
      </c>
      <c r="H2253" t="s">
        <v>43530</v>
      </c>
      <c r="I2253" t="s">
        <v>43531</v>
      </c>
      <c r="J2253" t="s">
        <v>43532</v>
      </c>
      <c r="K2253" t="s">
        <v>43533</v>
      </c>
      <c r="L2253" t="s">
        <v>43534</v>
      </c>
      <c r="M2253" t="s">
        <v>43535</v>
      </c>
      <c r="N2253" t="s">
        <v>43536</v>
      </c>
      <c r="O2253">
        <f>-680.022896643336 -64.3860953196584 -715.460646623368</f>
        <v>-1459.8696385863623</v>
      </c>
      <c r="P2253">
        <f>-690.047095391023 -35.2597918393299 -400.440930541638</f>
        <v>-1125.7478177719909</v>
      </c>
      <c r="Q2253" t="s">
        <v>43537</v>
      </c>
      <c r="R2253" t="s">
        <v>43538</v>
      </c>
      <c r="S2253" t="s">
        <v>43539</v>
      </c>
      <c r="T2253" t="s">
        <v>43540</v>
      </c>
      <c r="U2253" t="s">
        <v>43541</v>
      </c>
      <c r="V2253" t="s">
        <v>43542</v>
      </c>
      <c r="W2253" t="s">
        <v>43543</v>
      </c>
      <c r="X2253" t="s">
        <v>43544</v>
      </c>
      <c r="Y2253" t="s">
        <v>43545</v>
      </c>
    </row>
    <row r="2254" spans="1:25" x14ac:dyDescent="0.3">
      <c r="A2254">
        <v>112650</v>
      </c>
      <c r="B2254" t="s">
        <v>43546</v>
      </c>
      <c r="C2254" t="s">
        <v>43547</v>
      </c>
      <c r="D2254" t="s">
        <v>43548</v>
      </c>
      <c r="E2254" t="s">
        <v>43549</v>
      </c>
      <c r="F2254" t="s">
        <v>43550</v>
      </c>
      <c r="G2254" t="s">
        <v>43551</v>
      </c>
      <c r="H2254" t="s">
        <v>43552</v>
      </c>
      <c r="I2254" t="s">
        <v>43553</v>
      </c>
      <c r="J2254" t="s">
        <v>43554</v>
      </c>
      <c r="K2254" t="s">
        <v>43555</v>
      </c>
      <c r="L2254" t="s">
        <v>43556</v>
      </c>
      <c r="M2254" t="s">
        <v>43557</v>
      </c>
      <c r="N2254" t="s">
        <v>43558</v>
      </c>
      <c r="O2254">
        <f>-679.679084555299 -63.9294712698506 -715.524005071206</f>
        <v>-1459.1325608963557</v>
      </c>
      <c r="P2254">
        <f>-689.805418070183 -34.5699595090944 -400.529383333979</f>
        <v>-1124.9047609132563</v>
      </c>
      <c r="Q2254" t="s">
        <v>43559</v>
      </c>
      <c r="R2254" t="s">
        <v>43560</v>
      </c>
      <c r="S2254" t="s">
        <v>43561</v>
      </c>
      <c r="T2254" t="s">
        <v>43562</v>
      </c>
      <c r="U2254" t="s">
        <v>43563</v>
      </c>
      <c r="V2254" t="s">
        <v>43564</v>
      </c>
      <c r="W2254" t="s">
        <v>43565</v>
      </c>
      <c r="X2254" t="s">
        <v>43566</v>
      </c>
      <c r="Y2254" t="s">
        <v>43567</v>
      </c>
    </row>
    <row r="2255" spans="1:25" x14ac:dyDescent="0.3">
      <c r="A2255">
        <v>112700</v>
      </c>
      <c r="B2255" t="s">
        <v>43568</v>
      </c>
      <c r="C2255" t="s">
        <v>43569</v>
      </c>
      <c r="D2255" t="s">
        <v>43570</v>
      </c>
      <c r="E2255" t="s">
        <v>43571</v>
      </c>
      <c r="F2255" t="s">
        <v>43572</v>
      </c>
      <c r="G2255" t="s">
        <v>43573</v>
      </c>
      <c r="H2255" t="s">
        <v>43574</v>
      </c>
      <c r="I2255" t="s">
        <v>43575</v>
      </c>
      <c r="J2255" t="s">
        <v>43576</v>
      </c>
      <c r="K2255" t="s">
        <v>43577</v>
      </c>
      <c r="L2255" t="s">
        <v>43578</v>
      </c>
      <c r="M2255" t="s">
        <v>43579</v>
      </c>
      <c r="N2255" t="s">
        <v>43580</v>
      </c>
      <c r="O2255">
        <f>-679.38233705438 -63.8345462014524 -715.523984654019</f>
        <v>-1458.7408679098514</v>
      </c>
      <c r="P2255">
        <f>-689.64644694104 -34.5707080338632 -400.524901051007</f>
        <v>-1124.7420560259102</v>
      </c>
      <c r="Q2255" t="s">
        <v>43581</v>
      </c>
      <c r="R2255" t="s">
        <v>43582</v>
      </c>
      <c r="S2255" t="s">
        <v>43583</v>
      </c>
      <c r="T2255" t="s">
        <v>43584</v>
      </c>
      <c r="U2255" t="s">
        <v>43585</v>
      </c>
      <c r="V2255" t="s">
        <v>43586</v>
      </c>
      <c r="W2255" t="s">
        <v>43587</v>
      </c>
      <c r="X2255" t="s">
        <v>43588</v>
      </c>
      <c r="Y2255" t="s">
        <v>43589</v>
      </c>
    </row>
    <row r="2256" spans="1:25" x14ac:dyDescent="0.3">
      <c r="A2256">
        <v>112750</v>
      </c>
      <c r="B2256" t="s">
        <v>43590</v>
      </c>
      <c r="C2256" t="s">
        <v>43591</v>
      </c>
      <c r="D2256" t="s">
        <v>43592</v>
      </c>
      <c r="E2256" t="s">
        <v>43593</v>
      </c>
      <c r="F2256" t="s">
        <v>43594</v>
      </c>
      <c r="G2256" t="s">
        <v>43595</v>
      </c>
      <c r="H2256" t="s">
        <v>43596</v>
      </c>
      <c r="I2256" t="s">
        <v>43597</v>
      </c>
      <c r="J2256" t="s">
        <v>43598</v>
      </c>
      <c r="K2256" t="s">
        <v>43599</v>
      </c>
      <c r="L2256" t="s">
        <v>43600</v>
      </c>
      <c r="M2256" t="s">
        <v>43601</v>
      </c>
      <c r="N2256" t="s">
        <v>43602</v>
      </c>
      <c r="O2256">
        <f>-678.954874349744 -63.5631683597944 -715.550677800562</f>
        <v>-1458.0687205101003</v>
      </c>
      <c r="P2256">
        <f>-689.134014241705 -34.3216565551472 -400.546565173272</f>
        <v>-1124.0022359701243</v>
      </c>
      <c r="Q2256" t="s">
        <v>43603</v>
      </c>
      <c r="R2256" t="s">
        <v>43604</v>
      </c>
      <c r="S2256" t="s">
        <v>43605</v>
      </c>
      <c r="T2256" t="s">
        <v>43606</v>
      </c>
      <c r="U2256" t="s">
        <v>43607</v>
      </c>
      <c r="V2256" t="s">
        <v>43608</v>
      </c>
      <c r="W2256" t="s">
        <v>43609</v>
      </c>
      <c r="X2256" t="s">
        <v>43610</v>
      </c>
      <c r="Y2256" t="s">
        <v>43611</v>
      </c>
    </row>
    <row r="2257" spans="1:25" x14ac:dyDescent="0.3">
      <c r="A2257">
        <v>112800</v>
      </c>
      <c r="B2257" t="s">
        <v>43612</v>
      </c>
      <c r="C2257" t="s">
        <v>43613</v>
      </c>
      <c r="D2257" t="s">
        <v>43614</v>
      </c>
      <c r="E2257" t="s">
        <v>43615</v>
      </c>
      <c r="F2257" t="s">
        <v>43616</v>
      </c>
      <c r="G2257" t="s">
        <v>43617</v>
      </c>
      <c r="H2257" t="s">
        <v>43618</v>
      </c>
      <c r="I2257" t="s">
        <v>43619</v>
      </c>
      <c r="J2257" t="s">
        <v>43620</v>
      </c>
      <c r="K2257" t="s">
        <v>43621</v>
      </c>
      <c r="L2257" t="s">
        <v>43622</v>
      </c>
      <c r="M2257" t="s">
        <v>43623</v>
      </c>
      <c r="N2257" t="s">
        <v>43624</v>
      </c>
      <c r="O2257">
        <f>-678.505037886284 -63.4381970593308 -715.582764772747</f>
        <v>-1457.5259997183618</v>
      </c>
      <c r="P2257">
        <f>-688.670427988101 -34.3630514595161 -400.562975296466</f>
        <v>-1123.5964547440831</v>
      </c>
      <c r="Q2257" t="s">
        <v>43625</v>
      </c>
      <c r="R2257" t="s">
        <v>43626</v>
      </c>
      <c r="S2257" t="s">
        <v>43627</v>
      </c>
      <c r="T2257" t="s">
        <v>43628</v>
      </c>
      <c r="U2257" t="s">
        <v>43629</v>
      </c>
      <c r="V2257" t="s">
        <v>43630</v>
      </c>
      <c r="W2257" t="s">
        <v>43631</v>
      </c>
      <c r="X2257" t="s">
        <v>43632</v>
      </c>
      <c r="Y2257" t="s">
        <v>43633</v>
      </c>
    </row>
    <row r="2258" spans="1:25" x14ac:dyDescent="0.3">
      <c r="A2258">
        <v>112850</v>
      </c>
      <c r="B2258" t="s">
        <v>43634</v>
      </c>
      <c r="C2258" t="s">
        <v>43635</v>
      </c>
      <c r="D2258" t="s">
        <v>43636</v>
      </c>
      <c r="E2258" t="s">
        <v>43637</v>
      </c>
      <c r="F2258" t="s">
        <v>43638</v>
      </c>
      <c r="G2258" t="s">
        <v>43639</v>
      </c>
      <c r="H2258" t="s">
        <v>43640</v>
      </c>
      <c r="I2258" t="s">
        <v>43641</v>
      </c>
      <c r="J2258" t="s">
        <v>43642</v>
      </c>
      <c r="K2258" t="s">
        <v>43643</v>
      </c>
      <c r="L2258" t="s">
        <v>43644</v>
      </c>
      <c r="M2258" t="s">
        <v>43645</v>
      </c>
      <c r="N2258" t="s">
        <v>43646</v>
      </c>
      <c r="O2258">
        <f>-677.432951019322 -63.2006733984272 -715.64520706303</f>
        <v>-1456.2788314807792</v>
      </c>
      <c r="P2258">
        <f>-687.949159804907 -33.417245021491 -400.703147646915</f>
        <v>-1122.069552473313</v>
      </c>
      <c r="Q2258" t="s">
        <v>43647</v>
      </c>
      <c r="R2258" t="s">
        <v>43648</v>
      </c>
      <c r="S2258" t="s">
        <v>43649</v>
      </c>
      <c r="T2258" t="s">
        <v>43650</v>
      </c>
      <c r="U2258" t="s">
        <v>43651</v>
      </c>
      <c r="V2258" t="s">
        <v>43652</v>
      </c>
      <c r="W2258" t="s">
        <v>43653</v>
      </c>
      <c r="X2258" t="s">
        <v>43654</v>
      </c>
      <c r="Y2258" t="s">
        <v>43655</v>
      </c>
    </row>
    <row r="2259" spans="1:25" x14ac:dyDescent="0.3">
      <c r="A2259">
        <v>112900</v>
      </c>
      <c r="B2259" t="s">
        <v>43656</v>
      </c>
      <c r="C2259" t="s">
        <v>43657</v>
      </c>
      <c r="D2259" t="s">
        <v>43658</v>
      </c>
      <c r="E2259" t="s">
        <v>43659</v>
      </c>
      <c r="F2259" t="s">
        <v>43660</v>
      </c>
      <c r="G2259" t="s">
        <v>43661</v>
      </c>
      <c r="H2259" t="s">
        <v>43662</v>
      </c>
      <c r="I2259" t="s">
        <v>43663</v>
      </c>
      <c r="J2259" t="s">
        <v>43664</v>
      </c>
      <c r="K2259" t="s">
        <v>43665</v>
      </c>
      <c r="L2259" t="s">
        <v>43666</v>
      </c>
      <c r="M2259" t="s">
        <v>43667</v>
      </c>
      <c r="N2259" t="s">
        <v>43668</v>
      </c>
      <c r="O2259">
        <f>-676.821575186896 -63.0945333125437 -715.66940552559</f>
        <v>-1455.5855140250296</v>
      </c>
      <c r="P2259">
        <f>-687.784429616969 -33.5024603941954 -400.724539700749</f>
        <v>-1122.0114297119135</v>
      </c>
      <c r="Q2259" t="s">
        <v>43669</v>
      </c>
      <c r="R2259" t="s">
        <v>43670</v>
      </c>
      <c r="S2259" t="s">
        <v>43671</v>
      </c>
      <c r="T2259" t="s">
        <v>43672</v>
      </c>
      <c r="U2259" t="s">
        <v>43673</v>
      </c>
      <c r="V2259" t="s">
        <v>43674</v>
      </c>
      <c r="W2259" t="s">
        <v>43675</v>
      </c>
      <c r="X2259" t="s">
        <v>43676</v>
      </c>
      <c r="Y2259" t="s">
        <v>43677</v>
      </c>
    </row>
    <row r="2260" spans="1:25" x14ac:dyDescent="0.3">
      <c r="A2260">
        <v>112950</v>
      </c>
      <c r="B2260" t="s">
        <v>43678</v>
      </c>
      <c r="C2260" t="s">
        <v>43679</v>
      </c>
      <c r="D2260" t="s">
        <v>43680</v>
      </c>
      <c r="E2260" t="s">
        <v>43681</v>
      </c>
      <c r="F2260" t="s">
        <v>43682</v>
      </c>
      <c r="G2260" t="s">
        <v>43683</v>
      </c>
      <c r="H2260" t="s">
        <v>43684</v>
      </c>
      <c r="I2260" t="s">
        <v>43685</v>
      </c>
      <c r="J2260" t="s">
        <v>43686</v>
      </c>
      <c r="K2260" t="s">
        <v>43687</v>
      </c>
      <c r="L2260" t="s">
        <v>43688</v>
      </c>
      <c r="M2260" t="s">
        <v>43689</v>
      </c>
      <c r="N2260" t="s">
        <v>43690</v>
      </c>
      <c r="O2260">
        <f>-676.017990277466 -62.3975129473167 -715.941390990309</f>
        <v>-1454.3568942150916</v>
      </c>
      <c r="P2260">
        <f>-687.080563153781 -33.0738970328971 -400.974757737009</f>
        <v>-1121.1292179236871</v>
      </c>
      <c r="Q2260" t="s">
        <v>43691</v>
      </c>
      <c r="R2260" t="s">
        <v>43692</v>
      </c>
      <c r="S2260" t="s">
        <v>43693</v>
      </c>
      <c r="T2260" t="s">
        <v>43694</v>
      </c>
      <c r="U2260" t="s">
        <v>43695</v>
      </c>
      <c r="V2260" t="s">
        <v>43696</v>
      </c>
      <c r="W2260" t="s">
        <v>43697</v>
      </c>
      <c r="X2260" t="s">
        <v>43698</v>
      </c>
      <c r="Y2260" t="s">
        <v>43699</v>
      </c>
    </row>
    <row r="2261" spans="1:25" x14ac:dyDescent="0.3">
      <c r="A2261">
        <v>113000</v>
      </c>
      <c r="B2261" t="s">
        <v>43700</v>
      </c>
      <c r="C2261" t="s">
        <v>43701</v>
      </c>
      <c r="D2261" t="s">
        <v>43702</v>
      </c>
      <c r="E2261" t="s">
        <v>43703</v>
      </c>
      <c r="F2261" t="s">
        <v>43704</v>
      </c>
      <c r="G2261" t="s">
        <v>43705</v>
      </c>
      <c r="H2261" t="s">
        <v>43706</v>
      </c>
      <c r="I2261" t="s">
        <v>43707</v>
      </c>
      <c r="J2261" t="s">
        <v>43708</v>
      </c>
      <c r="K2261" t="s">
        <v>43709</v>
      </c>
      <c r="L2261" t="s">
        <v>43710</v>
      </c>
      <c r="M2261" t="s">
        <v>43711</v>
      </c>
      <c r="N2261" t="s">
        <v>43712</v>
      </c>
      <c r="O2261">
        <f>-675.531812708775 -62.08852577067 -716.094579058206</f>
        <v>-1453.714917537651</v>
      </c>
      <c r="P2261">
        <f>-686.69335412056 -32.8674730138373 -401.12210598729</f>
        <v>-1120.6829331216873</v>
      </c>
      <c r="Q2261" t="s">
        <v>43713</v>
      </c>
      <c r="R2261" t="s">
        <v>43714</v>
      </c>
      <c r="S2261" t="s">
        <v>43715</v>
      </c>
      <c r="T2261" t="s">
        <v>43716</v>
      </c>
      <c r="U2261" t="s">
        <v>43717</v>
      </c>
      <c r="V2261" t="s">
        <v>43718</v>
      </c>
      <c r="W2261" t="s">
        <v>43719</v>
      </c>
      <c r="X2261" t="s">
        <v>43720</v>
      </c>
      <c r="Y2261" t="s">
        <v>43721</v>
      </c>
    </row>
    <row r="2262" spans="1:25" x14ac:dyDescent="0.3">
      <c r="A2262">
        <v>113050</v>
      </c>
      <c r="B2262" t="s">
        <v>43722</v>
      </c>
      <c r="C2262" t="s">
        <v>43723</v>
      </c>
      <c r="D2262" t="s">
        <v>43724</v>
      </c>
      <c r="E2262" t="s">
        <v>43725</v>
      </c>
      <c r="F2262" t="s">
        <v>43726</v>
      </c>
      <c r="G2262" t="s">
        <v>43727</v>
      </c>
      <c r="H2262" t="s">
        <v>43728</v>
      </c>
      <c r="I2262" t="s">
        <v>43729</v>
      </c>
      <c r="J2262" t="s">
        <v>43730</v>
      </c>
      <c r="K2262" t="s">
        <v>43731</v>
      </c>
      <c r="L2262" t="s">
        <v>43732</v>
      </c>
      <c r="M2262" t="s">
        <v>43733</v>
      </c>
      <c r="N2262" t="s">
        <v>43734</v>
      </c>
      <c r="O2262">
        <f>-674.553248574911 -61.57606755346 -716.103773133604</f>
        <v>-1452.233089261975</v>
      </c>
      <c r="P2262">
        <f>-686.132208978522 -31.3489566695584 -401.241218694558</f>
        <v>-1118.7223843426384</v>
      </c>
      <c r="Q2262" t="s">
        <v>43735</v>
      </c>
      <c r="R2262" t="s">
        <v>43736</v>
      </c>
      <c r="S2262" t="s">
        <v>43737</v>
      </c>
      <c r="T2262" t="s">
        <v>43738</v>
      </c>
      <c r="U2262" t="s">
        <v>43739</v>
      </c>
      <c r="V2262" t="s">
        <v>43740</v>
      </c>
      <c r="W2262" t="s">
        <v>43741</v>
      </c>
      <c r="X2262" t="s">
        <v>43742</v>
      </c>
      <c r="Y2262" t="s">
        <v>43743</v>
      </c>
    </row>
    <row r="2263" spans="1:25" x14ac:dyDescent="0.3">
      <c r="A2263">
        <v>113100</v>
      </c>
      <c r="B2263" t="s">
        <v>43744</v>
      </c>
      <c r="C2263" t="s">
        <v>43745</v>
      </c>
      <c r="D2263" t="s">
        <v>43746</v>
      </c>
      <c r="E2263" t="s">
        <v>43747</v>
      </c>
      <c r="F2263" t="s">
        <v>43748</v>
      </c>
      <c r="G2263" t="s">
        <v>43749</v>
      </c>
      <c r="H2263" t="s">
        <v>43750</v>
      </c>
      <c r="I2263" t="s">
        <v>43751</v>
      </c>
      <c r="J2263" t="s">
        <v>43752</v>
      </c>
      <c r="K2263" t="s">
        <v>43753</v>
      </c>
      <c r="L2263" t="s">
        <v>43754</v>
      </c>
      <c r="M2263" t="s">
        <v>43755</v>
      </c>
      <c r="N2263" t="s">
        <v>43756</v>
      </c>
      <c r="O2263">
        <f>-674.049946438833 -61.2369040045958 -716.165805110811</f>
        <v>-1451.4526555542398</v>
      </c>
      <c r="P2263">
        <f>-685.835020593467 -30.6844212258281 -401.342356476031</f>
        <v>-1117.861798295326</v>
      </c>
      <c r="Q2263" t="s">
        <v>43757</v>
      </c>
      <c r="R2263" t="s">
        <v>43758</v>
      </c>
      <c r="S2263" t="s">
        <v>43759</v>
      </c>
      <c r="T2263" t="s">
        <v>43760</v>
      </c>
      <c r="U2263" t="s">
        <v>43761</v>
      </c>
      <c r="V2263" t="s">
        <v>43762</v>
      </c>
      <c r="W2263" t="s">
        <v>43763</v>
      </c>
      <c r="X2263" t="s">
        <v>43764</v>
      </c>
      <c r="Y2263" t="s">
        <v>43765</v>
      </c>
    </row>
    <row r="2264" spans="1:25" x14ac:dyDescent="0.3">
      <c r="A2264">
        <v>113150</v>
      </c>
      <c r="B2264" t="s">
        <v>43766</v>
      </c>
      <c r="C2264" t="s">
        <v>43767</v>
      </c>
      <c r="D2264" t="s">
        <v>43768</v>
      </c>
      <c r="E2264" t="s">
        <v>43769</v>
      </c>
      <c r="F2264" t="s">
        <v>43770</v>
      </c>
      <c r="G2264" t="s">
        <v>43771</v>
      </c>
      <c r="H2264" t="s">
        <v>43772</v>
      </c>
      <c r="I2264" t="s">
        <v>43773</v>
      </c>
      <c r="J2264" t="s">
        <v>43774</v>
      </c>
      <c r="K2264" t="s">
        <v>43775</v>
      </c>
      <c r="L2264" t="s">
        <v>43776</v>
      </c>
      <c r="M2264" t="s">
        <v>43777</v>
      </c>
      <c r="N2264" t="s">
        <v>43778</v>
      </c>
      <c r="O2264">
        <f>-673.256679395547 -60.9676972443999 -716.391064909305</f>
        <v>-1450.615441549252</v>
      </c>
      <c r="P2264">
        <f>-685.112310277528 -30.7929644347785 -401.533814347943</f>
        <v>-1117.4390890602494</v>
      </c>
      <c r="Q2264" t="s">
        <v>43779</v>
      </c>
      <c r="R2264" t="s">
        <v>43780</v>
      </c>
      <c r="S2264" t="s">
        <v>43781</v>
      </c>
      <c r="T2264" t="s">
        <v>43782</v>
      </c>
      <c r="U2264" t="s">
        <v>43783</v>
      </c>
      <c r="V2264" t="s">
        <v>43784</v>
      </c>
      <c r="W2264" t="s">
        <v>43785</v>
      </c>
      <c r="X2264" t="s">
        <v>43786</v>
      </c>
      <c r="Y2264" t="s">
        <v>43787</v>
      </c>
    </row>
    <row r="2265" spans="1:25" x14ac:dyDescent="0.3">
      <c r="A2265">
        <v>113200</v>
      </c>
      <c r="B2265" t="s">
        <v>43788</v>
      </c>
      <c r="C2265" t="s">
        <v>43789</v>
      </c>
      <c r="D2265" t="s">
        <v>43790</v>
      </c>
      <c r="E2265" t="s">
        <v>43791</v>
      </c>
      <c r="F2265" t="s">
        <v>43792</v>
      </c>
      <c r="G2265" t="s">
        <v>43793</v>
      </c>
      <c r="H2265" t="s">
        <v>43794</v>
      </c>
      <c r="I2265" t="s">
        <v>43795</v>
      </c>
      <c r="J2265" t="s">
        <v>43796</v>
      </c>
      <c r="K2265" t="s">
        <v>43797</v>
      </c>
      <c r="L2265" t="s">
        <v>43798</v>
      </c>
      <c r="M2265" t="s">
        <v>43799</v>
      </c>
      <c r="N2265" t="s">
        <v>43800</v>
      </c>
      <c r="O2265">
        <f>-672.716870149473 -60.9140922347622 -716.529873703914</f>
        <v>-1450.1608360881492</v>
      </c>
      <c r="P2265">
        <f>-684.861376161643 -31.1283099653408 -401.646558387658</f>
        <v>-1117.6362445146417</v>
      </c>
      <c r="Q2265" t="s">
        <v>43801</v>
      </c>
      <c r="R2265" t="s">
        <v>43802</v>
      </c>
      <c r="S2265" t="s">
        <v>43803</v>
      </c>
      <c r="T2265" t="s">
        <v>43804</v>
      </c>
      <c r="U2265" t="s">
        <v>43805</v>
      </c>
      <c r="V2265" t="s">
        <v>43806</v>
      </c>
      <c r="W2265" t="s">
        <v>43807</v>
      </c>
      <c r="X2265" t="s">
        <v>43808</v>
      </c>
      <c r="Y2265" t="s">
        <v>43809</v>
      </c>
    </row>
    <row r="2266" spans="1:25" x14ac:dyDescent="0.3">
      <c r="A2266">
        <v>113250</v>
      </c>
      <c r="B2266" t="s">
        <v>43810</v>
      </c>
      <c r="C2266" t="s">
        <v>43811</v>
      </c>
      <c r="D2266" t="s">
        <v>43812</v>
      </c>
      <c r="E2266" t="s">
        <v>43813</v>
      </c>
      <c r="F2266" t="s">
        <v>43814</v>
      </c>
      <c r="G2266" t="s">
        <v>43815</v>
      </c>
      <c r="H2266" t="s">
        <v>43816</v>
      </c>
      <c r="I2266" t="s">
        <v>43817</v>
      </c>
      <c r="J2266" t="s">
        <v>43818</v>
      </c>
      <c r="K2266" t="s">
        <v>43819</v>
      </c>
      <c r="L2266" t="s">
        <v>43820</v>
      </c>
      <c r="M2266" t="s">
        <v>43821</v>
      </c>
      <c r="N2266" t="s">
        <v>43822</v>
      </c>
      <c r="O2266">
        <f>-671.410364213544 -60.663985769294 -716.762826568144</f>
        <v>-1448.8371765509819</v>
      </c>
      <c r="P2266">
        <f>-683.999139902573 -31.0503291742705 -401.880678379253</f>
        <v>-1116.9301474560966</v>
      </c>
      <c r="Q2266" t="s">
        <v>43823</v>
      </c>
      <c r="R2266" t="s">
        <v>43824</v>
      </c>
      <c r="S2266" t="s">
        <v>43825</v>
      </c>
      <c r="T2266" t="s">
        <v>43826</v>
      </c>
      <c r="U2266" t="s">
        <v>43827</v>
      </c>
      <c r="V2266" t="s">
        <v>43828</v>
      </c>
      <c r="W2266" t="s">
        <v>43829</v>
      </c>
      <c r="X2266" t="s">
        <v>43830</v>
      </c>
      <c r="Y2266" t="s">
        <v>43831</v>
      </c>
    </row>
    <row r="2267" spans="1:25" x14ac:dyDescent="0.3">
      <c r="A2267">
        <v>113300</v>
      </c>
      <c r="B2267" t="s">
        <v>43832</v>
      </c>
      <c r="C2267" t="s">
        <v>43833</v>
      </c>
      <c r="D2267" t="s">
        <v>43834</v>
      </c>
      <c r="E2267" t="s">
        <v>43835</v>
      </c>
      <c r="F2267" t="s">
        <v>43836</v>
      </c>
      <c r="G2267" t="s">
        <v>43837</v>
      </c>
      <c r="H2267" t="s">
        <v>43838</v>
      </c>
      <c r="I2267" t="s">
        <v>43839</v>
      </c>
      <c r="J2267" t="s">
        <v>43840</v>
      </c>
      <c r="K2267" t="s">
        <v>43841</v>
      </c>
      <c r="L2267" t="s">
        <v>43842</v>
      </c>
      <c r="M2267" t="s">
        <v>43843</v>
      </c>
      <c r="N2267" t="s">
        <v>43844</v>
      </c>
      <c r="O2267">
        <f>-670.90750347682 -60.4686852075552 -716.844178985665</f>
        <v>-1448.2203676700401</v>
      </c>
      <c r="P2267">
        <f>-683.735221405856 -30.9799466426391 -401.960039987385</f>
        <v>-1116.6752080358801</v>
      </c>
      <c r="Q2267" t="s">
        <v>43845</v>
      </c>
      <c r="R2267" t="s">
        <v>43846</v>
      </c>
      <c r="S2267" t="s">
        <v>43847</v>
      </c>
      <c r="T2267" t="s">
        <v>43848</v>
      </c>
      <c r="U2267" t="s">
        <v>43849</v>
      </c>
      <c r="V2267" t="s">
        <v>43850</v>
      </c>
      <c r="W2267" t="s">
        <v>43851</v>
      </c>
      <c r="X2267" t="s">
        <v>43852</v>
      </c>
      <c r="Y2267" t="s">
        <v>43853</v>
      </c>
    </row>
    <row r="2268" spans="1:25" x14ac:dyDescent="0.3">
      <c r="A2268">
        <v>113350</v>
      </c>
      <c r="B2268" t="s">
        <v>43854</v>
      </c>
      <c r="C2268" t="s">
        <v>43855</v>
      </c>
      <c r="D2268" t="s">
        <v>43856</v>
      </c>
      <c r="E2268" t="s">
        <v>43857</v>
      </c>
      <c r="F2268" t="s">
        <v>43858</v>
      </c>
      <c r="G2268" t="s">
        <v>43859</v>
      </c>
      <c r="H2268" t="s">
        <v>43860</v>
      </c>
      <c r="I2268" t="s">
        <v>43861</v>
      </c>
      <c r="J2268" t="s">
        <v>43862</v>
      </c>
      <c r="K2268" t="s">
        <v>43863</v>
      </c>
      <c r="L2268" t="s">
        <v>43864</v>
      </c>
      <c r="M2268" t="s">
        <v>43865</v>
      </c>
      <c r="N2268" t="s">
        <v>43866</v>
      </c>
      <c r="O2268">
        <f>-669.919098693685 -60.4591149878904 -717.027522217602</f>
        <v>-1447.4057358991774</v>
      </c>
      <c r="P2268">
        <f>-682.867475342717 -31.6765283779914 -402.082952588227</f>
        <v>-1116.6269563089354</v>
      </c>
      <c r="Q2268" t="s">
        <v>43867</v>
      </c>
      <c r="R2268" t="s">
        <v>43868</v>
      </c>
      <c r="S2268" t="s">
        <v>43869</v>
      </c>
      <c r="T2268" t="s">
        <v>43870</v>
      </c>
      <c r="U2268" t="s">
        <v>43871</v>
      </c>
      <c r="V2268" t="s">
        <v>43872</v>
      </c>
      <c r="W2268" t="s">
        <v>43873</v>
      </c>
      <c r="X2268" t="s">
        <v>43874</v>
      </c>
      <c r="Y2268" t="s">
        <v>43875</v>
      </c>
    </row>
    <row r="2269" spans="1:25" x14ac:dyDescent="0.3">
      <c r="A2269">
        <v>113400</v>
      </c>
      <c r="B2269" t="s">
        <v>43876</v>
      </c>
      <c r="C2269" t="s">
        <v>43877</v>
      </c>
      <c r="D2269" t="s">
        <v>43878</v>
      </c>
      <c r="E2269" t="s">
        <v>43879</v>
      </c>
      <c r="F2269" t="s">
        <v>43880</v>
      </c>
      <c r="G2269" t="s">
        <v>43881</v>
      </c>
      <c r="H2269" t="s">
        <v>43882</v>
      </c>
      <c r="I2269" t="s">
        <v>43883</v>
      </c>
      <c r="J2269" t="s">
        <v>43884</v>
      </c>
      <c r="K2269" t="s">
        <v>43885</v>
      </c>
      <c r="L2269" t="s">
        <v>43886</v>
      </c>
      <c r="M2269" t="s">
        <v>43887</v>
      </c>
      <c r="N2269" t="s">
        <v>43888</v>
      </c>
      <c r="O2269">
        <f>-669.734055428571 -60.4156698907195 -717.161872721463</f>
        <v>-1447.3115980407536</v>
      </c>
      <c r="P2269">
        <f>-682.528861631832 -31.6281038337188 -402.211305754374</f>
        <v>-1116.3682712199247</v>
      </c>
      <c r="Q2269" t="s">
        <v>43889</v>
      </c>
      <c r="R2269" t="s">
        <v>43890</v>
      </c>
      <c r="S2269" t="s">
        <v>43891</v>
      </c>
      <c r="T2269" t="s">
        <v>43892</v>
      </c>
      <c r="U2269" t="s">
        <v>43893</v>
      </c>
      <c r="V2269" t="s">
        <v>43894</v>
      </c>
      <c r="W2269" t="s">
        <v>43895</v>
      </c>
      <c r="X2269" t="s">
        <v>43896</v>
      </c>
      <c r="Y2269" t="s">
        <v>43897</v>
      </c>
    </row>
    <row r="2270" spans="1:25" x14ac:dyDescent="0.3">
      <c r="A2270">
        <v>113450</v>
      </c>
      <c r="B2270" t="s">
        <v>43898</v>
      </c>
      <c r="C2270" t="s">
        <v>43899</v>
      </c>
      <c r="D2270" t="s">
        <v>43900</v>
      </c>
      <c r="E2270" t="s">
        <v>43901</v>
      </c>
      <c r="F2270" t="s">
        <v>43902</v>
      </c>
      <c r="G2270" t="s">
        <v>43903</v>
      </c>
      <c r="H2270" t="s">
        <v>43904</v>
      </c>
      <c r="I2270" t="s">
        <v>43905</v>
      </c>
      <c r="J2270" t="s">
        <v>43906</v>
      </c>
      <c r="K2270" t="s">
        <v>43907</v>
      </c>
      <c r="L2270" t="s">
        <v>43908</v>
      </c>
      <c r="M2270" t="s">
        <v>43909</v>
      </c>
      <c r="N2270" t="s">
        <v>43910</v>
      </c>
      <c r="O2270">
        <f>-669.402559802844 -60.3338543206112 -717.230923544786</f>
        <v>-1446.9673376682413</v>
      </c>
      <c r="P2270">
        <f>-682.051565183635 -32.0225479706671 -402.231427807705</f>
        <v>-1116.3055409620072</v>
      </c>
      <c r="Q2270" t="s">
        <v>43911</v>
      </c>
      <c r="R2270" t="s">
        <v>43912</v>
      </c>
      <c r="S2270" t="s">
        <v>43913</v>
      </c>
      <c r="T2270" t="s">
        <v>43914</v>
      </c>
      <c r="U2270" t="s">
        <v>43915</v>
      </c>
      <c r="V2270" t="s">
        <v>43916</v>
      </c>
      <c r="W2270" t="s">
        <v>43917</v>
      </c>
      <c r="X2270" t="s">
        <v>43918</v>
      </c>
      <c r="Y2270" t="s">
        <v>43919</v>
      </c>
    </row>
    <row r="2271" spans="1:25" x14ac:dyDescent="0.3">
      <c r="A2271">
        <v>113500</v>
      </c>
      <c r="B2271" t="s">
        <v>43920</v>
      </c>
      <c r="C2271" t="s">
        <v>43921</v>
      </c>
      <c r="D2271" t="s">
        <v>43922</v>
      </c>
      <c r="E2271" t="s">
        <v>43923</v>
      </c>
      <c r="F2271" t="s">
        <v>43924</v>
      </c>
      <c r="G2271" t="s">
        <v>43925</v>
      </c>
      <c r="H2271" t="s">
        <v>43926</v>
      </c>
      <c r="I2271" t="s">
        <v>43927</v>
      </c>
      <c r="J2271" t="s">
        <v>43928</v>
      </c>
      <c r="K2271" t="s">
        <v>43929</v>
      </c>
      <c r="L2271" t="s">
        <v>43930</v>
      </c>
      <c r="M2271" t="s">
        <v>43931</v>
      </c>
      <c r="N2271" t="s">
        <v>43932</v>
      </c>
      <c r="O2271">
        <f>-669.182009388293 -60.2139307371688 -717.324274366594</f>
        <v>-1446.7202144920557</v>
      </c>
      <c r="P2271">
        <f>-681.737222985754 -31.7839650047179 -402.331685771046</f>
        <v>-1115.8528737615179</v>
      </c>
      <c r="Q2271" t="s">
        <v>43933</v>
      </c>
      <c r="R2271" t="s">
        <v>43934</v>
      </c>
      <c r="S2271" t="s">
        <v>43935</v>
      </c>
      <c r="T2271" t="s">
        <v>43936</v>
      </c>
      <c r="U2271" t="s">
        <v>43937</v>
      </c>
      <c r="V2271" t="s">
        <v>43938</v>
      </c>
      <c r="W2271" t="s">
        <v>43939</v>
      </c>
      <c r="X2271" t="s">
        <v>43940</v>
      </c>
      <c r="Y2271" t="s">
        <v>43941</v>
      </c>
    </row>
    <row r="2272" spans="1:25" x14ac:dyDescent="0.3">
      <c r="A2272">
        <v>113550</v>
      </c>
      <c r="B2272" t="s">
        <v>43942</v>
      </c>
      <c r="C2272" t="s">
        <v>43943</v>
      </c>
      <c r="D2272" t="s">
        <v>43944</v>
      </c>
      <c r="E2272" t="s">
        <v>43945</v>
      </c>
      <c r="F2272" t="s">
        <v>43946</v>
      </c>
      <c r="G2272" t="s">
        <v>43947</v>
      </c>
      <c r="H2272" t="s">
        <v>43948</v>
      </c>
      <c r="I2272" t="s">
        <v>43949</v>
      </c>
      <c r="J2272" t="s">
        <v>43950</v>
      </c>
      <c r="K2272" t="s">
        <v>43951</v>
      </c>
      <c r="L2272" t="s">
        <v>43952</v>
      </c>
      <c r="M2272" t="s">
        <v>43953</v>
      </c>
      <c r="N2272" t="s">
        <v>43954</v>
      </c>
      <c r="O2272">
        <f>-668.879318387564 -59.9849944969214 -717.448936847963</f>
        <v>-1446.3132497324484</v>
      </c>
      <c r="P2272">
        <f>-681.243798934652 -31.6588114805681 -402.439586394672</f>
        <v>-1115.3421968098921</v>
      </c>
      <c r="Q2272" t="s">
        <v>43955</v>
      </c>
      <c r="R2272" t="s">
        <v>43956</v>
      </c>
      <c r="S2272" t="s">
        <v>43957</v>
      </c>
      <c r="T2272" t="s">
        <v>43958</v>
      </c>
      <c r="U2272" t="s">
        <v>43959</v>
      </c>
      <c r="V2272" t="s">
        <v>43960</v>
      </c>
      <c r="W2272" t="s">
        <v>43961</v>
      </c>
      <c r="X2272" t="s">
        <v>43962</v>
      </c>
      <c r="Y2272" t="s">
        <v>43963</v>
      </c>
    </row>
    <row r="2273" spans="1:25" x14ac:dyDescent="0.3">
      <c r="A2273">
        <v>113600</v>
      </c>
      <c r="B2273" t="s">
        <v>43964</v>
      </c>
      <c r="C2273" t="s">
        <v>43965</v>
      </c>
      <c r="D2273" t="s">
        <v>43966</v>
      </c>
      <c r="E2273" t="s">
        <v>43967</v>
      </c>
      <c r="F2273" t="s">
        <v>43968</v>
      </c>
      <c r="G2273" t="s">
        <v>43969</v>
      </c>
      <c r="H2273" t="s">
        <v>43970</v>
      </c>
      <c r="I2273" t="s">
        <v>43971</v>
      </c>
      <c r="J2273" t="s">
        <v>43972</v>
      </c>
      <c r="K2273" t="s">
        <v>43973</v>
      </c>
      <c r="L2273" t="s">
        <v>43974</v>
      </c>
      <c r="M2273" t="s">
        <v>43975</v>
      </c>
      <c r="N2273" t="s">
        <v>43976</v>
      </c>
      <c r="O2273">
        <f>-669.007965263746 -59.8833378627066 -717.473925306088</f>
        <v>-1446.3652284325406</v>
      </c>
      <c r="P2273">
        <f>-681.473644696007 -31.5746019493986 -402.466966210965</f>
        <v>-1115.5152128563705</v>
      </c>
      <c r="Q2273" t="s">
        <v>43977</v>
      </c>
      <c r="R2273" t="s">
        <v>43978</v>
      </c>
      <c r="S2273" t="s">
        <v>43979</v>
      </c>
      <c r="T2273" t="s">
        <v>43980</v>
      </c>
      <c r="U2273" t="s">
        <v>43981</v>
      </c>
      <c r="V2273" t="s">
        <v>43982</v>
      </c>
      <c r="W2273" t="s">
        <v>43983</v>
      </c>
      <c r="X2273" t="s">
        <v>43984</v>
      </c>
      <c r="Y2273" t="s">
        <v>43985</v>
      </c>
    </row>
    <row r="2274" spans="1:25" x14ac:dyDescent="0.3">
      <c r="A2274">
        <v>113650</v>
      </c>
      <c r="B2274" t="s">
        <v>43986</v>
      </c>
      <c r="C2274" t="s">
        <v>43987</v>
      </c>
      <c r="D2274" t="s">
        <v>43988</v>
      </c>
      <c r="E2274" t="s">
        <v>43989</v>
      </c>
      <c r="F2274" t="s">
        <v>43990</v>
      </c>
      <c r="G2274" t="s">
        <v>43991</v>
      </c>
      <c r="H2274" t="s">
        <v>43992</v>
      </c>
      <c r="I2274" t="s">
        <v>43993</v>
      </c>
      <c r="J2274" t="s">
        <v>43994</v>
      </c>
      <c r="K2274" t="s">
        <v>43995</v>
      </c>
      <c r="L2274" t="s">
        <v>43996</v>
      </c>
      <c r="M2274" t="s">
        <v>43997</v>
      </c>
      <c r="N2274" t="s">
        <v>43998</v>
      </c>
      <c r="O2274">
        <f>-668.983279047197 -59.8231480933359 -717.533926775712</f>
        <v>-1446.340353916245</v>
      </c>
      <c r="P2274">
        <f>-681.762085437001 -31.3107144629603 -402.557897669276</f>
        <v>-1115.6306975692373</v>
      </c>
      <c r="Q2274" t="s">
        <v>43999</v>
      </c>
      <c r="R2274" t="s">
        <v>44000</v>
      </c>
      <c r="S2274" t="s">
        <v>44001</v>
      </c>
      <c r="T2274" t="s">
        <v>44002</v>
      </c>
      <c r="U2274" t="s">
        <v>44003</v>
      </c>
      <c r="V2274" t="s">
        <v>44004</v>
      </c>
      <c r="W2274" t="s">
        <v>44005</v>
      </c>
      <c r="X2274" t="s">
        <v>44006</v>
      </c>
      <c r="Y2274" t="s">
        <v>44007</v>
      </c>
    </row>
    <row r="2275" spans="1:25" x14ac:dyDescent="0.3">
      <c r="A2275">
        <v>113700</v>
      </c>
      <c r="B2275" t="s">
        <v>44008</v>
      </c>
      <c r="C2275" t="s">
        <v>44009</v>
      </c>
      <c r="D2275" t="s">
        <v>44010</v>
      </c>
      <c r="E2275" t="s">
        <v>44011</v>
      </c>
      <c r="F2275" t="s">
        <v>44012</v>
      </c>
      <c r="G2275" t="s">
        <v>44013</v>
      </c>
      <c r="H2275" t="s">
        <v>44014</v>
      </c>
      <c r="I2275" t="s">
        <v>44015</v>
      </c>
      <c r="J2275" t="s">
        <v>44016</v>
      </c>
      <c r="K2275" t="s">
        <v>44017</v>
      </c>
      <c r="L2275" t="s">
        <v>44018</v>
      </c>
      <c r="M2275" t="s">
        <v>44019</v>
      </c>
      <c r="N2275" t="s">
        <v>44020</v>
      </c>
      <c r="O2275">
        <f>-668.991161151095 -59.8328544730714 -717.574100727257</f>
        <v>-1446.3981163514234</v>
      </c>
      <c r="P2275">
        <f>-681.865265742149 -30.9731189041638 -402.633398818096</f>
        <v>-1115.4717834644089</v>
      </c>
      <c r="Q2275" t="s">
        <v>44021</v>
      </c>
      <c r="R2275" t="s">
        <v>44022</v>
      </c>
      <c r="S2275" t="s">
        <v>44023</v>
      </c>
      <c r="T2275" t="s">
        <v>44024</v>
      </c>
      <c r="U2275" t="s">
        <v>44025</v>
      </c>
      <c r="V2275" t="s">
        <v>44026</v>
      </c>
      <c r="W2275" t="s">
        <v>44027</v>
      </c>
      <c r="X2275" t="s">
        <v>44028</v>
      </c>
      <c r="Y2275" t="s">
        <v>44029</v>
      </c>
    </row>
    <row r="2276" spans="1:25" x14ac:dyDescent="0.3">
      <c r="A2276">
        <v>113750</v>
      </c>
      <c r="B2276" t="s">
        <v>44030</v>
      </c>
      <c r="C2276" t="s">
        <v>44031</v>
      </c>
      <c r="D2276" t="s">
        <v>44032</v>
      </c>
      <c r="E2276" t="s">
        <v>44033</v>
      </c>
      <c r="F2276" t="s">
        <v>44034</v>
      </c>
      <c r="G2276" t="s">
        <v>44035</v>
      </c>
      <c r="H2276" t="s">
        <v>44036</v>
      </c>
      <c r="I2276" t="s">
        <v>44037</v>
      </c>
      <c r="J2276" t="s">
        <v>44038</v>
      </c>
      <c r="K2276" t="s">
        <v>44039</v>
      </c>
      <c r="L2276" t="s">
        <v>44040</v>
      </c>
      <c r="M2276" t="s">
        <v>44041</v>
      </c>
      <c r="N2276" t="s">
        <v>44042</v>
      </c>
      <c r="O2276">
        <f>-668.995956620463 -59.871062305393 -717.581430924182</f>
        <v>-1446.4484498500378</v>
      </c>
      <c r="P2276">
        <f>-682.03289347227 -30.8278071462305 -402.664444326706</f>
        <v>-1115.5251449452064</v>
      </c>
      <c r="Q2276" t="s">
        <v>44043</v>
      </c>
      <c r="R2276" t="s">
        <v>44044</v>
      </c>
      <c r="S2276" t="s">
        <v>44045</v>
      </c>
      <c r="T2276" t="s">
        <v>44046</v>
      </c>
      <c r="U2276" t="s">
        <v>44047</v>
      </c>
      <c r="V2276" t="s">
        <v>44048</v>
      </c>
      <c r="W2276" t="s">
        <v>44049</v>
      </c>
      <c r="X2276" t="s">
        <v>44050</v>
      </c>
      <c r="Y2276" t="s">
        <v>44051</v>
      </c>
    </row>
    <row r="2277" spans="1:25" x14ac:dyDescent="0.3">
      <c r="A2277">
        <v>113800</v>
      </c>
      <c r="B2277" t="s">
        <v>44052</v>
      </c>
      <c r="C2277" t="s">
        <v>44053</v>
      </c>
      <c r="D2277" t="s">
        <v>44054</v>
      </c>
      <c r="E2277" t="s">
        <v>44055</v>
      </c>
      <c r="F2277" t="s">
        <v>44056</v>
      </c>
      <c r="G2277" t="s">
        <v>44057</v>
      </c>
      <c r="H2277" t="s">
        <v>44058</v>
      </c>
      <c r="I2277" t="s">
        <v>44059</v>
      </c>
      <c r="J2277" t="s">
        <v>44060</v>
      </c>
      <c r="K2277" t="s">
        <v>44061</v>
      </c>
      <c r="L2277" t="s">
        <v>44062</v>
      </c>
      <c r="M2277" t="s">
        <v>44063</v>
      </c>
      <c r="N2277" t="s">
        <v>44064</v>
      </c>
      <c r="O2277">
        <f>-669.001801727471 -59.8668764152069 -717.617616672673</f>
        <v>-1446.4862948153509</v>
      </c>
      <c r="P2277">
        <f>-682.162648153027 -30.9240315036634 -402.696537117516</f>
        <v>-1115.7832167742065</v>
      </c>
      <c r="Q2277" t="s">
        <v>44065</v>
      </c>
      <c r="R2277" t="s">
        <v>44066</v>
      </c>
      <c r="S2277" t="s">
        <v>44067</v>
      </c>
      <c r="T2277" t="s">
        <v>44068</v>
      </c>
      <c r="U2277" t="s">
        <v>44069</v>
      </c>
      <c r="V2277" t="s">
        <v>44070</v>
      </c>
      <c r="W2277" t="s">
        <v>44071</v>
      </c>
      <c r="X2277" t="s">
        <v>44072</v>
      </c>
      <c r="Y2277" t="s">
        <v>44073</v>
      </c>
    </row>
    <row r="2278" spans="1:25" x14ac:dyDescent="0.3">
      <c r="A2278">
        <v>113850</v>
      </c>
      <c r="B2278" t="s">
        <v>44074</v>
      </c>
      <c r="C2278" t="s">
        <v>44075</v>
      </c>
      <c r="D2278" t="s">
        <v>44076</v>
      </c>
      <c r="E2278" t="s">
        <v>44077</v>
      </c>
      <c r="F2278" t="s">
        <v>44078</v>
      </c>
      <c r="G2278" t="s">
        <v>44079</v>
      </c>
      <c r="H2278" t="s">
        <v>44080</v>
      </c>
      <c r="I2278" t="s">
        <v>44081</v>
      </c>
      <c r="J2278" t="s">
        <v>44082</v>
      </c>
      <c r="K2278" t="s">
        <v>44083</v>
      </c>
      <c r="L2278" t="s">
        <v>44084</v>
      </c>
      <c r="M2278" t="s">
        <v>44085</v>
      </c>
      <c r="N2278" t="s">
        <v>44086</v>
      </c>
      <c r="O2278">
        <f>-669.054512476733 -59.725849106901 -717.737488977966</f>
        <v>-1446.5178505616</v>
      </c>
      <c r="P2278">
        <f>-682.172256053962 -31.287534841553 -402.768700127277</f>
        <v>-1116.228491022792</v>
      </c>
      <c r="Q2278" t="s">
        <v>44087</v>
      </c>
      <c r="R2278" t="s">
        <v>44088</v>
      </c>
      <c r="S2278" t="s">
        <v>44089</v>
      </c>
      <c r="T2278" t="s">
        <v>44090</v>
      </c>
      <c r="U2278" t="s">
        <v>44091</v>
      </c>
      <c r="V2278" t="s">
        <v>44092</v>
      </c>
      <c r="W2278" t="s">
        <v>44093</v>
      </c>
      <c r="X2278" t="s">
        <v>44094</v>
      </c>
      <c r="Y2278" t="s">
        <v>44095</v>
      </c>
    </row>
    <row r="2279" spans="1:25" x14ac:dyDescent="0.3">
      <c r="A2279">
        <v>113900</v>
      </c>
      <c r="B2279" t="s">
        <v>44096</v>
      </c>
      <c r="C2279" t="s">
        <v>44097</v>
      </c>
      <c r="D2279" t="s">
        <v>44098</v>
      </c>
      <c r="E2279" t="s">
        <v>44099</v>
      </c>
      <c r="F2279" t="s">
        <v>44100</v>
      </c>
      <c r="G2279" t="s">
        <v>44101</v>
      </c>
      <c r="H2279" t="s">
        <v>44102</v>
      </c>
      <c r="I2279" t="s">
        <v>44103</v>
      </c>
      <c r="J2279" t="s">
        <v>44104</v>
      </c>
      <c r="K2279" t="s">
        <v>44105</v>
      </c>
      <c r="L2279" t="s">
        <v>44106</v>
      </c>
      <c r="M2279" t="s">
        <v>44107</v>
      </c>
      <c r="N2279" t="s">
        <v>44108</v>
      </c>
      <c r="O2279">
        <f>-669.097150855313 -59.6732332436541 -717.78175749848</f>
        <v>-1446.5521415974472</v>
      </c>
      <c r="P2279">
        <f>-682.165468877627 -31.270086718434 -402.807728119112</f>
        <v>-1116.243283715173</v>
      </c>
      <c r="Q2279" t="s">
        <v>44109</v>
      </c>
      <c r="R2279" t="s">
        <v>44110</v>
      </c>
      <c r="S2279" t="s">
        <v>44111</v>
      </c>
      <c r="T2279" t="s">
        <v>44112</v>
      </c>
      <c r="U2279" t="s">
        <v>44113</v>
      </c>
      <c r="V2279" t="s">
        <v>44114</v>
      </c>
      <c r="W2279" t="s">
        <v>44115</v>
      </c>
      <c r="X2279" t="s">
        <v>44116</v>
      </c>
      <c r="Y2279" t="s">
        <v>44117</v>
      </c>
    </row>
    <row r="2280" spans="1:25" x14ac:dyDescent="0.3">
      <c r="A2280">
        <v>113950</v>
      </c>
      <c r="B2280" t="s">
        <v>44118</v>
      </c>
      <c r="C2280" t="s">
        <v>44119</v>
      </c>
      <c r="D2280" t="s">
        <v>44120</v>
      </c>
      <c r="E2280" t="s">
        <v>44121</v>
      </c>
      <c r="F2280" t="s">
        <v>44122</v>
      </c>
      <c r="G2280" t="s">
        <v>44123</v>
      </c>
      <c r="H2280" t="s">
        <v>44124</v>
      </c>
      <c r="I2280" t="s">
        <v>44125</v>
      </c>
      <c r="J2280" t="s">
        <v>44126</v>
      </c>
      <c r="K2280" t="s">
        <v>44127</v>
      </c>
      <c r="L2280" t="s">
        <v>44128</v>
      </c>
      <c r="M2280" t="s">
        <v>44129</v>
      </c>
      <c r="N2280" t="s">
        <v>44130</v>
      </c>
      <c r="O2280">
        <f>-668.849594826012 -59.5739808191199 -717.875669515968</f>
        <v>-1446.2992451610999</v>
      </c>
      <c r="P2280">
        <f>-681.865217168181 -31.4047480199283 -402.878466481166</f>
        <v>-1116.1484316692754</v>
      </c>
      <c r="Q2280" t="s">
        <v>44131</v>
      </c>
      <c r="R2280" t="s">
        <v>44132</v>
      </c>
      <c r="S2280" t="s">
        <v>44133</v>
      </c>
      <c r="T2280" t="s">
        <v>44134</v>
      </c>
      <c r="U2280" t="s">
        <v>44135</v>
      </c>
      <c r="V2280" t="s">
        <v>44136</v>
      </c>
      <c r="W2280" t="s">
        <v>44137</v>
      </c>
      <c r="X2280" t="s">
        <v>44138</v>
      </c>
      <c r="Y2280" t="s">
        <v>44139</v>
      </c>
    </row>
    <row r="2281" spans="1:25" x14ac:dyDescent="0.3">
      <c r="A2281">
        <v>114000</v>
      </c>
      <c r="B2281" t="s">
        <v>44140</v>
      </c>
      <c r="C2281" t="s">
        <v>44141</v>
      </c>
      <c r="D2281" t="s">
        <v>44142</v>
      </c>
      <c r="E2281" t="s">
        <v>44143</v>
      </c>
      <c r="F2281" t="s">
        <v>44144</v>
      </c>
      <c r="G2281" t="s">
        <v>44145</v>
      </c>
      <c r="H2281" t="s">
        <v>44146</v>
      </c>
      <c r="I2281" t="s">
        <v>44147</v>
      </c>
      <c r="J2281" t="s">
        <v>44148</v>
      </c>
      <c r="K2281" t="s">
        <v>44149</v>
      </c>
      <c r="L2281" t="s">
        <v>44150</v>
      </c>
      <c r="M2281" t="s">
        <v>44151</v>
      </c>
      <c r="N2281" t="s">
        <v>44152</v>
      </c>
      <c r="O2281">
        <f>-668.761306731183 -59.5500700160364 -717.959489076492</f>
        <v>-1446.2708658237116</v>
      </c>
      <c r="P2281">
        <f>-681.8211247903 -31.3995317252165 -402.962362439337</f>
        <v>-1116.1830189548537</v>
      </c>
      <c r="Q2281" t="s">
        <v>44153</v>
      </c>
      <c r="R2281" t="s">
        <v>44154</v>
      </c>
      <c r="S2281" t="s">
        <v>44155</v>
      </c>
      <c r="T2281" t="s">
        <v>44156</v>
      </c>
      <c r="U2281" t="s">
        <v>44157</v>
      </c>
      <c r="V2281" t="s">
        <v>44158</v>
      </c>
      <c r="W2281" t="s">
        <v>44159</v>
      </c>
      <c r="X2281" t="s">
        <v>44160</v>
      </c>
      <c r="Y2281" t="s">
        <v>44161</v>
      </c>
    </row>
    <row r="2282" spans="1:25" x14ac:dyDescent="0.3">
      <c r="A2282">
        <v>114050</v>
      </c>
      <c r="B2282" t="s">
        <v>44162</v>
      </c>
      <c r="C2282" t="s">
        <v>44163</v>
      </c>
      <c r="D2282" t="s">
        <v>44164</v>
      </c>
      <c r="E2282" t="s">
        <v>44165</v>
      </c>
      <c r="F2282" t="s">
        <v>44166</v>
      </c>
      <c r="G2282" t="s">
        <v>44167</v>
      </c>
      <c r="H2282" t="s">
        <v>44168</v>
      </c>
      <c r="I2282" t="s">
        <v>44169</v>
      </c>
      <c r="J2282" t="s">
        <v>44170</v>
      </c>
      <c r="K2282" t="s">
        <v>44171</v>
      </c>
      <c r="L2282" t="s">
        <v>44172</v>
      </c>
      <c r="M2282" t="s">
        <v>44173</v>
      </c>
      <c r="N2282" t="s">
        <v>44174</v>
      </c>
      <c r="O2282">
        <f>-668.330449580782 -59.5744846125558 -718.078046626303</f>
        <v>-1445.9829808196409</v>
      </c>
      <c r="P2282">
        <f>-681.74202768675 -31.7320853482699 -403.068314956517</f>
        <v>-1116.5424279915369</v>
      </c>
      <c r="Q2282" t="s">
        <v>44175</v>
      </c>
      <c r="R2282" t="s">
        <v>44176</v>
      </c>
      <c r="S2282" t="s">
        <v>44177</v>
      </c>
      <c r="T2282" t="s">
        <v>44178</v>
      </c>
      <c r="U2282" t="s">
        <v>44179</v>
      </c>
      <c r="V2282" t="s">
        <v>44180</v>
      </c>
      <c r="W2282" t="s">
        <v>44181</v>
      </c>
      <c r="X2282" t="s">
        <v>44182</v>
      </c>
      <c r="Y2282" t="s">
        <v>44183</v>
      </c>
    </row>
    <row r="2283" spans="1:25" x14ac:dyDescent="0.3">
      <c r="A2283">
        <v>114100</v>
      </c>
      <c r="B2283" t="s">
        <v>44184</v>
      </c>
      <c r="C2283" t="s">
        <v>44185</v>
      </c>
      <c r="D2283" t="s">
        <v>44186</v>
      </c>
      <c r="E2283" t="s">
        <v>44187</v>
      </c>
      <c r="F2283" t="s">
        <v>44188</v>
      </c>
      <c r="G2283" t="s">
        <v>44189</v>
      </c>
      <c r="H2283" t="s">
        <v>44190</v>
      </c>
      <c r="I2283" t="s">
        <v>44191</v>
      </c>
      <c r="J2283" t="s">
        <v>44192</v>
      </c>
      <c r="K2283" t="s">
        <v>44193</v>
      </c>
      <c r="L2283" t="s">
        <v>44194</v>
      </c>
      <c r="M2283" t="s">
        <v>44195</v>
      </c>
      <c r="N2283" t="s">
        <v>44196</v>
      </c>
      <c r="O2283">
        <f>-668.225736259936 -59.5525744973877 -718.098368356441</f>
        <v>-1445.8766791137646</v>
      </c>
      <c r="P2283">
        <f>-681.895247351237 -31.7416080515934 -403.096939336055</f>
        <v>-1116.7337947388855</v>
      </c>
      <c r="Q2283" t="s">
        <v>44197</v>
      </c>
      <c r="R2283" t="s">
        <v>44198</v>
      </c>
      <c r="S2283" t="s">
        <v>44199</v>
      </c>
      <c r="T2283" t="s">
        <v>44200</v>
      </c>
      <c r="U2283" t="s">
        <v>44201</v>
      </c>
      <c r="V2283" t="s">
        <v>44202</v>
      </c>
      <c r="W2283" t="s">
        <v>44203</v>
      </c>
      <c r="X2283" t="s">
        <v>44204</v>
      </c>
      <c r="Y2283" t="s">
        <v>44205</v>
      </c>
    </row>
    <row r="2284" spans="1:25" x14ac:dyDescent="0.3">
      <c r="A2284">
        <v>114150</v>
      </c>
      <c r="B2284" t="s">
        <v>44206</v>
      </c>
      <c r="C2284" t="s">
        <v>44207</v>
      </c>
      <c r="D2284" t="s">
        <v>44208</v>
      </c>
      <c r="E2284" t="s">
        <v>44209</v>
      </c>
      <c r="F2284" t="s">
        <v>44210</v>
      </c>
      <c r="G2284" t="s">
        <v>44211</v>
      </c>
      <c r="H2284" t="s">
        <v>44212</v>
      </c>
      <c r="I2284" t="s">
        <v>44213</v>
      </c>
      <c r="J2284" t="s">
        <v>44214</v>
      </c>
      <c r="K2284" t="s">
        <v>44215</v>
      </c>
      <c r="L2284" t="s">
        <v>44216</v>
      </c>
      <c r="M2284" t="s">
        <v>44217</v>
      </c>
      <c r="N2284" t="s">
        <v>44218</v>
      </c>
      <c r="O2284">
        <f>-667.892485009257 -59.8665882857993 -718.132770320384</f>
        <v>-1445.8918436154404</v>
      </c>
      <c r="P2284">
        <f>-681.849955121186 -32.0992923966101 -403.140128732522</f>
        <v>-1117.0893762503181</v>
      </c>
      <c r="Q2284" t="s">
        <v>44219</v>
      </c>
      <c r="R2284" t="s">
        <v>44220</v>
      </c>
      <c r="S2284" t="s">
        <v>44221</v>
      </c>
      <c r="T2284" t="s">
        <v>44222</v>
      </c>
      <c r="U2284" t="s">
        <v>44223</v>
      </c>
      <c r="V2284" t="s">
        <v>44224</v>
      </c>
      <c r="W2284" t="s">
        <v>44225</v>
      </c>
      <c r="X2284" t="s">
        <v>44226</v>
      </c>
      <c r="Y2284" t="s">
        <v>44227</v>
      </c>
    </row>
    <row r="2285" spans="1:25" x14ac:dyDescent="0.3">
      <c r="A2285">
        <v>114200</v>
      </c>
      <c r="B2285" t="s">
        <v>44228</v>
      </c>
      <c r="C2285" t="s">
        <v>44229</v>
      </c>
      <c r="D2285" t="s">
        <v>44230</v>
      </c>
      <c r="E2285" t="s">
        <v>44231</v>
      </c>
      <c r="F2285" t="s">
        <v>44232</v>
      </c>
      <c r="G2285" t="s">
        <v>44233</v>
      </c>
      <c r="H2285" t="s">
        <v>44234</v>
      </c>
      <c r="I2285" t="s">
        <v>44235</v>
      </c>
      <c r="J2285" t="s">
        <v>44236</v>
      </c>
      <c r="K2285" t="s">
        <v>44237</v>
      </c>
      <c r="L2285" t="s">
        <v>44238</v>
      </c>
      <c r="M2285" t="s">
        <v>44239</v>
      </c>
      <c r="N2285" t="s">
        <v>44240</v>
      </c>
      <c r="O2285">
        <f>-667.816480494412 -59.8234169080588 -718.167636210559</f>
        <v>-1445.8075336130296</v>
      </c>
      <c r="P2285">
        <f>-681.954149974387 -32.0257591334346 -403.185689304951</f>
        <v>-1117.1655984127724</v>
      </c>
      <c r="Q2285" t="s">
        <v>44241</v>
      </c>
      <c r="R2285" t="s">
        <v>44242</v>
      </c>
      <c r="S2285" t="s">
        <v>44243</v>
      </c>
      <c r="T2285" t="s">
        <v>44244</v>
      </c>
      <c r="U2285" t="s">
        <v>44245</v>
      </c>
      <c r="V2285" t="s">
        <v>44246</v>
      </c>
      <c r="W2285" t="s">
        <v>44247</v>
      </c>
      <c r="X2285" t="s">
        <v>44248</v>
      </c>
      <c r="Y2285" t="s">
        <v>44249</v>
      </c>
    </row>
    <row r="2286" spans="1:25" x14ac:dyDescent="0.3">
      <c r="A2286">
        <v>114250</v>
      </c>
      <c r="B2286" t="s">
        <v>44250</v>
      </c>
      <c r="C2286" t="s">
        <v>44251</v>
      </c>
      <c r="D2286" t="s">
        <v>44252</v>
      </c>
      <c r="E2286" t="s">
        <v>44253</v>
      </c>
      <c r="F2286" t="s">
        <v>44254</v>
      </c>
      <c r="G2286" t="s">
        <v>44255</v>
      </c>
      <c r="H2286" t="s">
        <v>44256</v>
      </c>
      <c r="I2286" t="s">
        <v>44257</v>
      </c>
      <c r="J2286" t="s">
        <v>44258</v>
      </c>
      <c r="K2286" t="s">
        <v>44259</v>
      </c>
      <c r="L2286" t="s">
        <v>44260</v>
      </c>
      <c r="M2286" t="s">
        <v>44261</v>
      </c>
      <c r="N2286" t="s">
        <v>44262</v>
      </c>
      <c r="O2286">
        <f>-667.779815490806 -59.8705327181094 -718.133189907824</f>
        <v>-1445.7835381167392</v>
      </c>
      <c r="P2286">
        <f>-681.952207310694 -32.2441486325502 -403.137662411453</f>
        <v>-1117.334018354697</v>
      </c>
      <c r="Q2286" t="s">
        <v>44263</v>
      </c>
      <c r="R2286" t="s">
        <v>44264</v>
      </c>
      <c r="S2286" t="s">
        <v>44265</v>
      </c>
      <c r="T2286" t="s">
        <v>44266</v>
      </c>
      <c r="U2286" t="s">
        <v>44267</v>
      </c>
      <c r="V2286" t="s">
        <v>44268</v>
      </c>
      <c r="W2286" t="s">
        <v>44269</v>
      </c>
      <c r="X2286" t="s">
        <v>44270</v>
      </c>
      <c r="Y2286" t="s">
        <v>44271</v>
      </c>
    </row>
    <row r="2287" spans="1:25" x14ac:dyDescent="0.3">
      <c r="A2287">
        <v>114300</v>
      </c>
      <c r="B2287" t="s">
        <v>44272</v>
      </c>
      <c r="C2287" t="s">
        <v>44273</v>
      </c>
      <c r="D2287" t="s">
        <v>44274</v>
      </c>
      <c r="E2287" t="s">
        <v>44275</v>
      </c>
      <c r="F2287" t="s">
        <v>44276</v>
      </c>
      <c r="G2287" t="s">
        <v>44277</v>
      </c>
      <c r="H2287" t="s">
        <v>44278</v>
      </c>
      <c r="I2287" t="s">
        <v>44279</v>
      </c>
      <c r="J2287" t="s">
        <v>44280</v>
      </c>
      <c r="K2287" t="s">
        <v>44281</v>
      </c>
      <c r="L2287" t="s">
        <v>44282</v>
      </c>
      <c r="M2287" t="s">
        <v>44283</v>
      </c>
      <c r="N2287" t="s">
        <v>44284</v>
      </c>
      <c r="O2287">
        <f>-667.842047944469 -59.8881831290407 -718.096618104029</f>
        <v>-1445.8268491775386</v>
      </c>
      <c r="P2287">
        <f>-682.091968361719 -32.0703470460228 -403.121626868025</f>
        <v>-1117.2839422757668</v>
      </c>
      <c r="Q2287" t="s">
        <v>44285</v>
      </c>
      <c r="R2287" t="s">
        <v>44286</v>
      </c>
      <c r="S2287" t="s">
        <v>44287</v>
      </c>
      <c r="T2287" t="s">
        <v>44288</v>
      </c>
      <c r="U2287" t="s">
        <v>44289</v>
      </c>
      <c r="V2287" t="s">
        <v>44290</v>
      </c>
      <c r="W2287" t="s">
        <v>44291</v>
      </c>
      <c r="X2287" t="s">
        <v>44292</v>
      </c>
      <c r="Y2287" t="s">
        <v>44293</v>
      </c>
    </row>
    <row r="2288" spans="1:25" x14ac:dyDescent="0.3">
      <c r="A2288">
        <v>114350</v>
      </c>
      <c r="B2288" t="s">
        <v>44294</v>
      </c>
      <c r="C2288" t="s">
        <v>44295</v>
      </c>
      <c r="D2288" t="s">
        <v>44296</v>
      </c>
      <c r="E2288" t="s">
        <v>44297</v>
      </c>
      <c r="F2288" t="s">
        <v>44298</v>
      </c>
      <c r="G2288" t="s">
        <v>44299</v>
      </c>
      <c r="H2288" t="s">
        <v>44300</v>
      </c>
      <c r="I2288" t="s">
        <v>44301</v>
      </c>
      <c r="J2288" t="s">
        <v>44302</v>
      </c>
      <c r="K2288" t="s">
        <v>44303</v>
      </c>
      <c r="L2288" t="s">
        <v>44304</v>
      </c>
      <c r="M2288" t="s">
        <v>44305</v>
      </c>
      <c r="N2288" t="s">
        <v>44306</v>
      </c>
      <c r="O2288">
        <f>-667.704693592288 -59.964935272053 -717.998988822574</f>
        <v>-1445.668617686915</v>
      </c>
      <c r="P2288">
        <f>-682.337109945507 -32.0708514735672 -403.048170504015</f>
        <v>-1117.4561319230893</v>
      </c>
      <c r="Q2288" t="s">
        <v>44307</v>
      </c>
      <c r="R2288" t="s">
        <v>44308</v>
      </c>
      <c r="S2288" t="s">
        <v>44309</v>
      </c>
      <c r="T2288" t="s">
        <v>44310</v>
      </c>
      <c r="U2288" t="s">
        <v>44311</v>
      </c>
      <c r="V2288" t="s">
        <v>44312</v>
      </c>
      <c r="W2288" t="s">
        <v>44313</v>
      </c>
      <c r="X2288" t="s">
        <v>44314</v>
      </c>
      <c r="Y2288" t="s">
        <v>44315</v>
      </c>
    </row>
    <row r="2289" spans="1:25" x14ac:dyDescent="0.3">
      <c r="A2289">
        <v>114400</v>
      </c>
      <c r="B2289" t="s">
        <v>44316</v>
      </c>
      <c r="C2289" t="s">
        <v>44317</v>
      </c>
      <c r="D2289" t="s">
        <v>44318</v>
      </c>
      <c r="E2289" t="s">
        <v>44319</v>
      </c>
      <c r="F2289" t="s">
        <v>44320</v>
      </c>
      <c r="G2289" t="s">
        <v>44321</v>
      </c>
      <c r="H2289" t="s">
        <v>44322</v>
      </c>
      <c r="I2289" t="s">
        <v>44323</v>
      </c>
      <c r="J2289" t="s">
        <v>44324</v>
      </c>
      <c r="K2289" t="s">
        <v>44325</v>
      </c>
      <c r="L2289" t="s">
        <v>44326</v>
      </c>
      <c r="M2289" t="s">
        <v>44327</v>
      </c>
      <c r="N2289" t="s">
        <v>44328</v>
      </c>
      <c r="O2289">
        <f>-667.516110050011 -60.0344538858396 -717.972236376016</f>
        <v>-1445.5228003118666</v>
      </c>
      <c r="P2289">
        <f>-682.3732309439 -31.8303528400777 -403.059621593808</f>
        <v>-1117.2632053777857</v>
      </c>
      <c r="Q2289" t="s">
        <v>44329</v>
      </c>
      <c r="R2289" t="s">
        <v>44330</v>
      </c>
      <c r="S2289" t="s">
        <v>44331</v>
      </c>
      <c r="T2289" t="s">
        <v>44332</v>
      </c>
      <c r="U2289" t="s">
        <v>44333</v>
      </c>
      <c r="V2289" t="s">
        <v>44334</v>
      </c>
      <c r="W2289" t="s">
        <v>44335</v>
      </c>
      <c r="X2289" t="s">
        <v>44336</v>
      </c>
      <c r="Y2289" t="s">
        <v>44337</v>
      </c>
    </row>
    <row r="2290" spans="1:25" x14ac:dyDescent="0.3">
      <c r="A2290">
        <v>114450</v>
      </c>
      <c r="B2290" t="s">
        <v>44338</v>
      </c>
      <c r="C2290" t="s">
        <v>44339</v>
      </c>
      <c r="D2290" t="s">
        <v>44340</v>
      </c>
      <c r="E2290" t="s">
        <v>44341</v>
      </c>
      <c r="F2290" t="s">
        <v>44342</v>
      </c>
      <c r="G2290" t="s">
        <v>44343</v>
      </c>
      <c r="H2290" t="s">
        <v>44344</v>
      </c>
      <c r="I2290" t="s">
        <v>44345</v>
      </c>
      <c r="J2290" t="s">
        <v>44346</v>
      </c>
      <c r="K2290" t="s">
        <v>44347</v>
      </c>
      <c r="L2290" t="s">
        <v>44348</v>
      </c>
      <c r="M2290" t="s">
        <v>44349</v>
      </c>
      <c r="N2290" t="s">
        <v>44350</v>
      </c>
      <c r="O2290">
        <f>-667.192074286493 -60.0721967516461 -717.809751262097</f>
        <v>-1445.0740223002363</v>
      </c>
      <c r="P2290">
        <f>-682.648349735496 -31.7371443187049 -402.93767775996</f>
        <v>-1117.323171814161</v>
      </c>
      <c r="Q2290" t="s">
        <v>44351</v>
      </c>
      <c r="R2290" t="s">
        <v>44352</v>
      </c>
      <c r="S2290" t="s">
        <v>44353</v>
      </c>
      <c r="T2290" t="s">
        <v>44354</v>
      </c>
      <c r="U2290" t="s">
        <v>44355</v>
      </c>
      <c r="V2290" t="s">
        <v>44356</v>
      </c>
      <c r="W2290" t="s">
        <v>44357</v>
      </c>
      <c r="X2290" t="s">
        <v>44358</v>
      </c>
      <c r="Y2290" t="s">
        <v>44359</v>
      </c>
    </row>
    <row r="2291" spans="1:25" x14ac:dyDescent="0.3">
      <c r="A2291">
        <v>114500</v>
      </c>
      <c r="B2291" t="s">
        <v>44360</v>
      </c>
      <c r="C2291" t="s">
        <v>44361</v>
      </c>
      <c r="D2291" t="s">
        <v>44362</v>
      </c>
      <c r="E2291" t="s">
        <v>44363</v>
      </c>
      <c r="F2291" t="s">
        <v>44364</v>
      </c>
      <c r="G2291" t="s">
        <v>44365</v>
      </c>
      <c r="H2291" t="s">
        <v>44366</v>
      </c>
      <c r="I2291" t="s">
        <v>44367</v>
      </c>
      <c r="J2291" t="s">
        <v>44368</v>
      </c>
      <c r="K2291" t="s">
        <v>44369</v>
      </c>
      <c r="L2291" t="s">
        <v>44370</v>
      </c>
      <c r="M2291" t="s">
        <v>44371</v>
      </c>
      <c r="N2291" t="s">
        <v>44372</v>
      </c>
      <c r="O2291">
        <f>-667.109944728629 -60.0282528873679 -717.775939860914</f>
        <v>-1444.914137476911</v>
      </c>
      <c r="P2291">
        <f>-682.675196505286 -31.666101734304 -402.911716299664</f>
        <v>-1117.2530145392539</v>
      </c>
      <c r="Q2291" t="s">
        <v>44373</v>
      </c>
      <c r="R2291" t="s">
        <v>44374</v>
      </c>
      <c r="S2291" t="s">
        <v>44375</v>
      </c>
      <c r="T2291" t="s">
        <v>44376</v>
      </c>
      <c r="U2291" t="s">
        <v>44377</v>
      </c>
      <c r="V2291" t="s">
        <v>44378</v>
      </c>
      <c r="W2291" t="s">
        <v>44379</v>
      </c>
      <c r="X2291" t="s">
        <v>44380</v>
      </c>
      <c r="Y2291" t="s">
        <v>44381</v>
      </c>
    </row>
    <row r="2292" spans="1:25" x14ac:dyDescent="0.3">
      <c r="A2292">
        <v>114550</v>
      </c>
      <c r="B2292" t="s">
        <v>44382</v>
      </c>
      <c r="C2292" t="s">
        <v>44383</v>
      </c>
      <c r="D2292" t="s">
        <v>44384</v>
      </c>
      <c r="E2292" t="s">
        <v>44385</v>
      </c>
      <c r="F2292" t="s">
        <v>44386</v>
      </c>
      <c r="G2292" t="s">
        <v>44387</v>
      </c>
      <c r="H2292" t="s">
        <v>44388</v>
      </c>
      <c r="I2292" t="s">
        <v>44389</v>
      </c>
      <c r="J2292" t="s">
        <v>44390</v>
      </c>
      <c r="K2292" t="s">
        <v>44391</v>
      </c>
      <c r="L2292" t="s">
        <v>44392</v>
      </c>
      <c r="M2292" t="s">
        <v>44393</v>
      </c>
      <c r="N2292" t="s">
        <v>44394</v>
      </c>
      <c r="O2292">
        <f>-666.591542448393 -60.1324247444288 -717.642450042551</f>
        <v>-1444.3664172353729</v>
      </c>
      <c r="P2292">
        <f>-682.58613667055 -31.6796052093669 -402.807956650789</f>
        <v>-1117.0736985307058</v>
      </c>
      <c r="Q2292" t="s">
        <v>44395</v>
      </c>
      <c r="R2292" t="s">
        <v>44396</v>
      </c>
      <c r="S2292" t="s">
        <v>44397</v>
      </c>
      <c r="T2292" t="s">
        <v>44398</v>
      </c>
      <c r="U2292" t="s">
        <v>44399</v>
      </c>
      <c r="V2292" t="s">
        <v>44400</v>
      </c>
      <c r="W2292" t="s">
        <v>44401</v>
      </c>
      <c r="X2292" t="s">
        <v>44402</v>
      </c>
      <c r="Y2292" t="s">
        <v>44403</v>
      </c>
    </row>
    <row r="2293" spans="1:25" x14ac:dyDescent="0.3">
      <c r="A2293">
        <v>114600</v>
      </c>
      <c r="B2293" t="s">
        <v>44404</v>
      </c>
      <c r="C2293" t="s">
        <v>44405</v>
      </c>
      <c r="D2293" t="s">
        <v>44406</v>
      </c>
      <c r="E2293" t="s">
        <v>44407</v>
      </c>
      <c r="F2293" t="s">
        <v>44408</v>
      </c>
      <c r="G2293" t="s">
        <v>44409</v>
      </c>
      <c r="H2293" t="s">
        <v>44410</v>
      </c>
      <c r="I2293" t="s">
        <v>44411</v>
      </c>
      <c r="J2293" t="s">
        <v>44412</v>
      </c>
      <c r="K2293" t="s">
        <v>44413</v>
      </c>
      <c r="L2293" t="s">
        <v>44414</v>
      </c>
      <c r="M2293" t="s">
        <v>44415</v>
      </c>
      <c r="N2293" t="s">
        <v>44416</v>
      </c>
      <c r="O2293">
        <f>-666.477913396264 -60.1395552183071 -717.602139054248</f>
        <v>-1444.2196076688192</v>
      </c>
      <c r="P2293">
        <f>-682.46548455492 -31.485386433103 -402.785513285551</f>
        <v>-1116.736384273574</v>
      </c>
      <c r="Q2293" t="s">
        <v>44417</v>
      </c>
      <c r="R2293" t="s">
        <v>44418</v>
      </c>
      <c r="S2293" t="s">
        <v>44419</v>
      </c>
      <c r="T2293" t="s">
        <v>44420</v>
      </c>
      <c r="U2293" t="s">
        <v>44421</v>
      </c>
      <c r="V2293" t="s">
        <v>44422</v>
      </c>
      <c r="W2293" t="s">
        <v>44423</v>
      </c>
      <c r="X2293" t="s">
        <v>44424</v>
      </c>
      <c r="Y2293" t="s">
        <v>44425</v>
      </c>
    </row>
    <row r="2294" spans="1:25" x14ac:dyDescent="0.3">
      <c r="A2294">
        <v>114650</v>
      </c>
      <c r="B2294" t="s">
        <v>44426</v>
      </c>
      <c r="C2294" t="s">
        <v>44427</v>
      </c>
      <c r="D2294" t="s">
        <v>44428</v>
      </c>
      <c r="E2294" t="s">
        <v>44429</v>
      </c>
      <c r="F2294" t="s">
        <v>44430</v>
      </c>
      <c r="G2294" t="s">
        <v>44431</v>
      </c>
      <c r="H2294" t="s">
        <v>44432</v>
      </c>
      <c r="I2294" t="s">
        <v>44433</v>
      </c>
      <c r="J2294" t="s">
        <v>44434</v>
      </c>
      <c r="K2294" t="s">
        <v>44435</v>
      </c>
      <c r="L2294" t="s">
        <v>44436</v>
      </c>
      <c r="M2294" t="s">
        <v>44437</v>
      </c>
      <c r="N2294" t="s">
        <v>44438</v>
      </c>
      <c r="O2294">
        <f>-665.942306987128 -60.2646427851098 -717.410948104</f>
        <v>-1443.6178978762377</v>
      </c>
      <c r="P2294">
        <f>-682.272103707818 -31.5840039428767 -402.614288695253</f>
        <v>-1116.4703963459478</v>
      </c>
      <c r="Q2294" t="s">
        <v>44439</v>
      </c>
      <c r="R2294" t="s">
        <v>44440</v>
      </c>
      <c r="S2294" t="s">
        <v>44441</v>
      </c>
      <c r="T2294" t="s">
        <v>44442</v>
      </c>
      <c r="U2294" t="s">
        <v>44443</v>
      </c>
      <c r="V2294" t="s">
        <v>44444</v>
      </c>
      <c r="W2294" t="s">
        <v>44445</v>
      </c>
      <c r="X2294" t="s">
        <v>44446</v>
      </c>
      <c r="Y2294" t="s">
        <v>44447</v>
      </c>
    </row>
    <row r="2295" spans="1:25" x14ac:dyDescent="0.3">
      <c r="A2295">
        <v>114700</v>
      </c>
      <c r="B2295" t="s">
        <v>44448</v>
      </c>
      <c r="C2295" t="s">
        <v>44449</v>
      </c>
      <c r="D2295" t="s">
        <v>44450</v>
      </c>
      <c r="E2295" t="s">
        <v>44451</v>
      </c>
      <c r="F2295" t="s">
        <v>44452</v>
      </c>
      <c r="G2295" t="s">
        <v>44453</v>
      </c>
      <c r="H2295" t="s">
        <v>44454</v>
      </c>
      <c r="I2295" t="s">
        <v>44455</v>
      </c>
      <c r="J2295" t="s">
        <v>44456</v>
      </c>
      <c r="K2295" t="s">
        <v>44457</v>
      </c>
      <c r="L2295" t="s">
        <v>44458</v>
      </c>
      <c r="M2295" t="s">
        <v>44459</v>
      </c>
      <c r="N2295" t="s">
        <v>44460</v>
      </c>
      <c r="O2295">
        <f>-665.668268236291 -60.2968227733688 -717.357303540348</f>
        <v>-1443.3223945500079</v>
      </c>
      <c r="P2295">
        <f>-682.158234139601 -31.5065879366107 -402.57886024389</f>
        <v>-1116.2436823201017</v>
      </c>
      <c r="Q2295" t="s">
        <v>44461</v>
      </c>
      <c r="R2295" t="s">
        <v>44462</v>
      </c>
      <c r="S2295" t="s">
        <v>44463</v>
      </c>
      <c r="T2295" t="s">
        <v>44464</v>
      </c>
      <c r="U2295" t="s">
        <v>44465</v>
      </c>
      <c r="V2295" t="s">
        <v>44466</v>
      </c>
      <c r="W2295" t="s">
        <v>44467</v>
      </c>
      <c r="X2295" t="s">
        <v>44468</v>
      </c>
      <c r="Y2295" t="s">
        <v>44469</v>
      </c>
    </row>
    <row r="2296" spans="1:25" x14ac:dyDescent="0.3">
      <c r="A2296">
        <v>114750</v>
      </c>
      <c r="B2296" t="s">
        <v>44470</v>
      </c>
      <c r="C2296" t="s">
        <v>44471</v>
      </c>
      <c r="D2296" t="s">
        <v>44472</v>
      </c>
      <c r="E2296" t="s">
        <v>44473</v>
      </c>
      <c r="F2296" t="s">
        <v>44474</v>
      </c>
      <c r="G2296" t="s">
        <v>44475</v>
      </c>
      <c r="H2296" t="s">
        <v>44476</v>
      </c>
      <c r="I2296" t="s">
        <v>44477</v>
      </c>
      <c r="J2296" t="s">
        <v>44478</v>
      </c>
      <c r="K2296" t="s">
        <v>44479</v>
      </c>
      <c r="L2296" t="s">
        <v>44480</v>
      </c>
      <c r="M2296" t="s">
        <v>44481</v>
      </c>
      <c r="N2296" t="s">
        <v>44482</v>
      </c>
      <c r="O2296">
        <f>-665.059076215512 -60.4506258651325 -717.240191909356</f>
        <v>-1442.7498939900006</v>
      </c>
      <c r="P2296">
        <f>-682.0668126724 -31.6927193837867 -402.486485893942</f>
        <v>-1116.2460179501286</v>
      </c>
      <c r="Q2296" t="s">
        <v>44483</v>
      </c>
      <c r="R2296" t="s">
        <v>44484</v>
      </c>
      <c r="S2296" t="s">
        <v>44485</v>
      </c>
      <c r="T2296" t="s">
        <v>44486</v>
      </c>
      <c r="U2296" t="s">
        <v>44487</v>
      </c>
      <c r="V2296" t="s">
        <v>44488</v>
      </c>
      <c r="W2296" t="s">
        <v>44489</v>
      </c>
      <c r="X2296" t="s">
        <v>44490</v>
      </c>
      <c r="Y2296" t="s">
        <v>44491</v>
      </c>
    </row>
    <row r="2297" spans="1:25" x14ac:dyDescent="0.3">
      <c r="A2297">
        <v>114800</v>
      </c>
      <c r="B2297" t="s">
        <v>44492</v>
      </c>
      <c r="C2297" t="s">
        <v>44493</v>
      </c>
      <c r="D2297" t="s">
        <v>44494</v>
      </c>
      <c r="E2297" t="s">
        <v>44495</v>
      </c>
      <c r="F2297" t="s">
        <v>44496</v>
      </c>
      <c r="G2297" t="s">
        <v>44497</v>
      </c>
      <c r="H2297" t="s">
        <v>44498</v>
      </c>
      <c r="I2297" t="s">
        <v>44499</v>
      </c>
      <c r="J2297" t="s">
        <v>44500</v>
      </c>
      <c r="K2297" t="s">
        <v>44501</v>
      </c>
      <c r="L2297" t="s">
        <v>44502</v>
      </c>
      <c r="M2297" t="s">
        <v>44503</v>
      </c>
      <c r="N2297" t="s">
        <v>44504</v>
      </c>
      <c r="O2297">
        <f>-664.805857619865 -60.4491825324405 -717.209366352872</f>
        <v>-1442.4644065051775</v>
      </c>
      <c r="P2297">
        <f>-682.018751659812 -31.5943840206651 -402.475659746535</f>
        <v>-1116.088795427012</v>
      </c>
      <c r="Q2297" t="s">
        <v>44505</v>
      </c>
      <c r="R2297" t="s">
        <v>44506</v>
      </c>
      <c r="S2297" t="s">
        <v>44507</v>
      </c>
      <c r="T2297" t="s">
        <v>44508</v>
      </c>
      <c r="U2297" t="s">
        <v>44509</v>
      </c>
      <c r="V2297" t="s">
        <v>44510</v>
      </c>
      <c r="W2297" t="s">
        <v>44511</v>
      </c>
      <c r="X2297" t="s">
        <v>44512</v>
      </c>
      <c r="Y2297" t="s">
        <v>44513</v>
      </c>
    </row>
    <row r="2298" spans="1:25" x14ac:dyDescent="0.3">
      <c r="A2298">
        <v>114850</v>
      </c>
      <c r="B2298" t="s">
        <v>44514</v>
      </c>
      <c r="C2298" t="s">
        <v>44515</v>
      </c>
      <c r="D2298" t="s">
        <v>44516</v>
      </c>
      <c r="E2298" t="s">
        <v>44517</v>
      </c>
      <c r="F2298" t="s">
        <v>44518</v>
      </c>
      <c r="G2298" t="s">
        <v>44519</v>
      </c>
      <c r="H2298" t="s">
        <v>44520</v>
      </c>
      <c r="I2298" t="s">
        <v>44521</v>
      </c>
      <c r="J2298" t="s">
        <v>44522</v>
      </c>
      <c r="K2298" t="s">
        <v>44523</v>
      </c>
      <c r="L2298" t="s">
        <v>44524</v>
      </c>
      <c r="M2298" t="s">
        <v>44525</v>
      </c>
      <c r="N2298" t="s">
        <v>44526</v>
      </c>
      <c r="O2298">
        <f>-664.50245732375 -60.6465733778932 -716.975674093663</f>
        <v>-1442.1247047953061</v>
      </c>
      <c r="P2298">
        <f>-682.256479784399 -31.7922191913433 -402.271920735944</f>
        <v>-1116.3206197116863</v>
      </c>
      <c r="Q2298" t="s">
        <v>44527</v>
      </c>
      <c r="R2298" t="s">
        <v>44528</v>
      </c>
      <c r="S2298" t="s">
        <v>44529</v>
      </c>
      <c r="T2298" t="s">
        <v>44530</v>
      </c>
      <c r="U2298" t="s">
        <v>44531</v>
      </c>
      <c r="V2298" t="s">
        <v>44532</v>
      </c>
      <c r="W2298" t="s">
        <v>44533</v>
      </c>
      <c r="X2298" t="s">
        <v>44534</v>
      </c>
      <c r="Y2298" t="s">
        <v>44535</v>
      </c>
    </row>
    <row r="2299" spans="1:25" x14ac:dyDescent="0.3">
      <c r="A2299">
        <v>114900</v>
      </c>
      <c r="B2299" t="s">
        <v>44536</v>
      </c>
      <c r="C2299" t="s">
        <v>44537</v>
      </c>
      <c r="D2299" t="s">
        <v>44538</v>
      </c>
      <c r="E2299" t="s">
        <v>44539</v>
      </c>
      <c r="F2299" t="s">
        <v>44540</v>
      </c>
      <c r="G2299" t="s">
        <v>44541</v>
      </c>
      <c r="H2299" t="s">
        <v>44542</v>
      </c>
      <c r="I2299" t="s">
        <v>44543</v>
      </c>
      <c r="J2299" t="s">
        <v>44544</v>
      </c>
      <c r="K2299" t="s">
        <v>44545</v>
      </c>
      <c r="L2299" t="s">
        <v>44546</v>
      </c>
      <c r="M2299" t="s">
        <v>44547</v>
      </c>
      <c r="N2299" t="s">
        <v>44548</v>
      </c>
      <c r="O2299">
        <f>-664.299017078207 -60.7268057165729 -716.923276825783</f>
        <v>-1441.9490996205629</v>
      </c>
      <c r="P2299">
        <f>-682.357367721408 -31.6915726558952 -402.253624921919</f>
        <v>-1116.3025652992224</v>
      </c>
      <c r="Q2299" t="s">
        <v>44549</v>
      </c>
      <c r="R2299" t="s">
        <v>44550</v>
      </c>
      <c r="S2299" t="s">
        <v>44551</v>
      </c>
      <c r="T2299" t="s">
        <v>44552</v>
      </c>
      <c r="U2299" t="s">
        <v>44553</v>
      </c>
      <c r="V2299" t="s">
        <v>44554</v>
      </c>
      <c r="W2299" t="s">
        <v>44555</v>
      </c>
      <c r="X2299" t="s">
        <v>44556</v>
      </c>
      <c r="Y2299" t="s">
        <v>44557</v>
      </c>
    </row>
    <row r="2300" spans="1:25" x14ac:dyDescent="0.3">
      <c r="A2300">
        <v>114950</v>
      </c>
      <c r="B2300" t="s">
        <v>44558</v>
      </c>
      <c r="C2300" t="s">
        <v>44559</v>
      </c>
      <c r="D2300" t="s">
        <v>44560</v>
      </c>
      <c r="E2300" t="s">
        <v>44561</v>
      </c>
      <c r="F2300" t="s">
        <v>44562</v>
      </c>
      <c r="G2300" t="s">
        <v>44563</v>
      </c>
      <c r="H2300" t="s">
        <v>44564</v>
      </c>
      <c r="I2300" t="s">
        <v>44565</v>
      </c>
      <c r="J2300" t="s">
        <v>44566</v>
      </c>
      <c r="K2300" t="s">
        <v>44567</v>
      </c>
      <c r="L2300" t="s">
        <v>44568</v>
      </c>
      <c r="M2300" t="s">
        <v>44569</v>
      </c>
      <c r="N2300" t="s">
        <v>44570</v>
      </c>
      <c r="O2300">
        <f>-663.792136897019 -60.9119045004118 -716.822352603407</f>
        <v>-1441.5263940008376</v>
      </c>
      <c r="P2300">
        <f>-682.406918298836 -31.6774203656178 -402.203488708157</f>
        <v>-1116.2878273726108</v>
      </c>
      <c r="Q2300" t="s">
        <v>44571</v>
      </c>
      <c r="R2300" t="s">
        <v>44572</v>
      </c>
      <c r="S2300" t="s">
        <v>44573</v>
      </c>
      <c r="T2300" t="s">
        <v>44574</v>
      </c>
      <c r="U2300" t="s">
        <v>44575</v>
      </c>
      <c r="V2300" t="s">
        <v>44576</v>
      </c>
      <c r="W2300" t="s">
        <v>44577</v>
      </c>
      <c r="X2300" t="s">
        <v>44578</v>
      </c>
      <c r="Y2300" t="s">
        <v>44579</v>
      </c>
    </row>
    <row r="2301" spans="1:25" x14ac:dyDescent="0.3">
      <c r="A2301">
        <v>115000</v>
      </c>
      <c r="B2301" t="s">
        <v>44580</v>
      </c>
      <c r="C2301" t="s">
        <v>44581</v>
      </c>
      <c r="D2301" t="s">
        <v>44582</v>
      </c>
      <c r="E2301" t="s">
        <v>44583</v>
      </c>
      <c r="F2301" t="s">
        <v>44584</v>
      </c>
      <c r="G2301" t="s">
        <v>44585</v>
      </c>
      <c r="H2301" t="s">
        <v>44586</v>
      </c>
      <c r="I2301" t="s">
        <v>44587</v>
      </c>
      <c r="J2301" t="s">
        <v>44588</v>
      </c>
      <c r="K2301" t="s">
        <v>44589</v>
      </c>
      <c r="L2301" t="s">
        <v>44590</v>
      </c>
      <c r="M2301" t="s">
        <v>44591</v>
      </c>
      <c r="N2301" t="s">
        <v>44592</v>
      </c>
      <c r="O2301">
        <f>-663.460706342058 -61.0372186924178 -716.763552593927</f>
        <v>-1441.2614776284026</v>
      </c>
      <c r="P2301">
        <f>-682.873425161556 -31.6627237026282 -402.205873754116</f>
        <v>-1116.7420226183003</v>
      </c>
      <c r="Q2301" t="s">
        <v>44593</v>
      </c>
      <c r="R2301" t="s">
        <v>44594</v>
      </c>
      <c r="S2301" t="s">
        <v>44595</v>
      </c>
      <c r="T2301" t="s">
        <v>44596</v>
      </c>
      <c r="U2301" t="s">
        <v>44597</v>
      </c>
      <c r="V2301" t="s">
        <v>44598</v>
      </c>
      <c r="W2301" t="s">
        <v>44599</v>
      </c>
      <c r="X2301" t="s">
        <v>44600</v>
      </c>
      <c r="Y2301" t="s">
        <v>44601</v>
      </c>
    </row>
    <row r="2302" spans="1:25" x14ac:dyDescent="0.3">
      <c r="A2302">
        <v>115050</v>
      </c>
      <c r="B2302" t="s">
        <v>44602</v>
      </c>
      <c r="C2302" t="s">
        <v>44603</v>
      </c>
      <c r="D2302" t="s">
        <v>44604</v>
      </c>
      <c r="E2302" t="s">
        <v>44605</v>
      </c>
      <c r="F2302" t="s">
        <v>44606</v>
      </c>
      <c r="G2302" t="s">
        <v>44607</v>
      </c>
      <c r="H2302" t="s">
        <v>44608</v>
      </c>
      <c r="I2302" t="s">
        <v>44609</v>
      </c>
      <c r="J2302" t="s">
        <v>44610</v>
      </c>
      <c r="K2302" t="s">
        <v>44611</v>
      </c>
      <c r="L2302" t="s">
        <v>44612</v>
      </c>
      <c r="M2302" t="s">
        <v>44613</v>
      </c>
      <c r="N2302" t="s">
        <v>44614</v>
      </c>
      <c r="O2302">
        <f>-663.180373501351 -60.9591787946715 -716.853082642348</f>
        <v>-1440.9926349383704</v>
      </c>
      <c r="P2302">
        <f>-683.128482528766 -31.5592929532445 -402.331319860855</f>
        <v>-1117.0190953428655</v>
      </c>
      <c r="Q2302" t="s">
        <v>44615</v>
      </c>
      <c r="R2302" t="s">
        <v>44616</v>
      </c>
      <c r="S2302" t="s">
        <v>44617</v>
      </c>
      <c r="T2302" t="s">
        <v>44618</v>
      </c>
      <c r="U2302" t="s">
        <v>44619</v>
      </c>
      <c r="V2302" t="s">
        <v>44620</v>
      </c>
      <c r="W2302" t="s">
        <v>44621</v>
      </c>
      <c r="X2302" t="s">
        <v>44622</v>
      </c>
      <c r="Y2302" t="s">
        <v>44623</v>
      </c>
    </row>
    <row r="2303" spans="1:25" x14ac:dyDescent="0.3">
      <c r="A2303">
        <v>115100</v>
      </c>
      <c r="B2303" t="s">
        <v>44624</v>
      </c>
      <c r="C2303" t="s">
        <v>44625</v>
      </c>
      <c r="D2303" t="s">
        <v>44626</v>
      </c>
      <c r="E2303" t="s">
        <v>44627</v>
      </c>
      <c r="F2303" t="s">
        <v>44628</v>
      </c>
      <c r="G2303" t="s">
        <v>44629</v>
      </c>
      <c r="H2303" t="s">
        <v>44630</v>
      </c>
      <c r="I2303" t="s">
        <v>44631</v>
      </c>
      <c r="J2303" t="s">
        <v>44632</v>
      </c>
      <c r="K2303" t="s">
        <v>44633</v>
      </c>
      <c r="L2303" t="s">
        <v>44634</v>
      </c>
      <c r="M2303" t="s">
        <v>44635</v>
      </c>
      <c r="N2303" t="s">
        <v>44636</v>
      </c>
      <c r="O2303">
        <f>-662.810210408602 -61.0929021792574 -716.96452948075</f>
        <v>-1440.8676420686093</v>
      </c>
      <c r="P2303">
        <f>-683.212546338235 -31.6340248854356 -402.477329641865</f>
        <v>-1117.3239008655355</v>
      </c>
      <c r="Q2303" t="s">
        <v>44637</v>
      </c>
      <c r="R2303" t="s">
        <v>44638</v>
      </c>
      <c r="S2303" t="s">
        <v>44639</v>
      </c>
      <c r="T2303" t="s">
        <v>44640</v>
      </c>
      <c r="U2303" t="s">
        <v>44641</v>
      </c>
      <c r="V2303" t="s">
        <v>44642</v>
      </c>
      <c r="W2303" t="s">
        <v>44643</v>
      </c>
      <c r="X2303" t="s">
        <v>44644</v>
      </c>
      <c r="Y2303" t="s">
        <v>44645</v>
      </c>
    </row>
    <row r="2304" spans="1:25" x14ac:dyDescent="0.3">
      <c r="A2304">
        <v>115150</v>
      </c>
      <c r="B2304" t="s">
        <v>44646</v>
      </c>
      <c r="C2304" t="s">
        <v>44647</v>
      </c>
      <c r="D2304" t="s">
        <v>44648</v>
      </c>
      <c r="E2304" t="s">
        <v>44649</v>
      </c>
      <c r="F2304" t="s">
        <v>44650</v>
      </c>
      <c r="G2304" t="s">
        <v>44651</v>
      </c>
      <c r="H2304" t="s">
        <v>44652</v>
      </c>
      <c r="I2304" t="s">
        <v>44653</v>
      </c>
      <c r="J2304" t="s">
        <v>44654</v>
      </c>
      <c r="K2304" t="s">
        <v>44655</v>
      </c>
      <c r="L2304" t="s">
        <v>44656</v>
      </c>
      <c r="M2304" t="s">
        <v>44657</v>
      </c>
      <c r="N2304" t="s">
        <v>44658</v>
      </c>
      <c r="O2304">
        <f>-662.238112238479 -61.438201054636 -717.148976841292</f>
        <v>-1440.8252901344069</v>
      </c>
      <c r="P2304">
        <f>-683.72972437008 -32.0923963684079 -402.723831176639</f>
        <v>-1118.5459519151268</v>
      </c>
      <c r="Q2304" t="s">
        <v>44659</v>
      </c>
      <c r="R2304" t="s">
        <v>44660</v>
      </c>
      <c r="S2304" t="s">
        <v>44661</v>
      </c>
      <c r="T2304" t="s">
        <v>44662</v>
      </c>
      <c r="U2304" t="s">
        <v>44663</v>
      </c>
      <c r="V2304" t="s">
        <v>44664</v>
      </c>
      <c r="W2304" t="s">
        <v>44665</v>
      </c>
      <c r="X2304" t="s">
        <v>44666</v>
      </c>
      <c r="Y2304" t="s">
        <v>44667</v>
      </c>
    </row>
    <row r="2305" spans="1:25" x14ac:dyDescent="0.3">
      <c r="A2305">
        <v>115200</v>
      </c>
      <c r="B2305" t="s">
        <v>44668</v>
      </c>
      <c r="C2305" t="s">
        <v>44669</v>
      </c>
      <c r="D2305" t="s">
        <v>44670</v>
      </c>
      <c r="E2305" t="s">
        <v>44671</v>
      </c>
      <c r="F2305" t="s">
        <v>44672</v>
      </c>
      <c r="G2305" t="s">
        <v>44673</v>
      </c>
      <c r="H2305" t="s">
        <v>44674</v>
      </c>
      <c r="I2305" t="s">
        <v>44675</v>
      </c>
      <c r="J2305" t="s">
        <v>44676</v>
      </c>
      <c r="K2305" t="s">
        <v>44677</v>
      </c>
      <c r="L2305" t="s">
        <v>44678</v>
      </c>
      <c r="M2305" t="s">
        <v>44679</v>
      </c>
      <c r="N2305" t="s">
        <v>44680</v>
      </c>
      <c r="O2305">
        <f>-661.917060301519 -61.5333891882274 -717.227514699877</f>
        <v>-1440.6779641896233</v>
      </c>
      <c r="P2305">
        <f>-684.110929794764 -32.2291184993592 -402.847437196117</f>
        <v>-1119.1874854902403</v>
      </c>
      <c r="Q2305" t="s">
        <v>44681</v>
      </c>
      <c r="R2305" t="s">
        <v>44682</v>
      </c>
      <c r="S2305" t="s">
        <v>44683</v>
      </c>
      <c r="T2305" t="s">
        <v>44684</v>
      </c>
      <c r="U2305" t="s">
        <v>44685</v>
      </c>
      <c r="V2305" t="s">
        <v>44686</v>
      </c>
      <c r="W2305" t="s">
        <v>44687</v>
      </c>
      <c r="X2305" t="s">
        <v>44688</v>
      </c>
      <c r="Y2305" t="s">
        <v>44689</v>
      </c>
    </row>
    <row r="2306" spans="1:25" x14ac:dyDescent="0.3">
      <c r="A2306">
        <v>115250</v>
      </c>
      <c r="B2306" t="s">
        <v>44690</v>
      </c>
      <c r="C2306" t="s">
        <v>44691</v>
      </c>
      <c r="D2306" t="s">
        <v>44692</v>
      </c>
      <c r="E2306" t="s">
        <v>44693</v>
      </c>
      <c r="F2306" t="s">
        <v>44694</v>
      </c>
      <c r="G2306" t="s">
        <v>44695</v>
      </c>
      <c r="H2306" t="s">
        <v>44696</v>
      </c>
      <c r="I2306" t="s">
        <v>44697</v>
      </c>
      <c r="J2306" t="s">
        <v>44698</v>
      </c>
      <c r="K2306" t="s">
        <v>44699</v>
      </c>
      <c r="L2306" t="s">
        <v>44700</v>
      </c>
      <c r="M2306" t="s">
        <v>44701</v>
      </c>
      <c r="N2306" t="s">
        <v>44702</v>
      </c>
      <c r="O2306">
        <f>-660.950006906111 -61.7882288771098 -717.403779213524</f>
        <v>-1440.1420149967448</v>
      </c>
      <c r="P2306">
        <f>-684.409549976993 -32.637961943652 -403.101196417364</f>
        <v>-1120.1487083380091</v>
      </c>
      <c r="Q2306" t="s">
        <v>44703</v>
      </c>
      <c r="R2306" t="s">
        <v>44704</v>
      </c>
      <c r="S2306" t="s">
        <v>44705</v>
      </c>
      <c r="T2306" t="s">
        <v>44706</v>
      </c>
      <c r="U2306" t="s">
        <v>44707</v>
      </c>
      <c r="V2306" t="s">
        <v>44708</v>
      </c>
      <c r="W2306" t="s">
        <v>44709</v>
      </c>
      <c r="X2306" t="s">
        <v>44710</v>
      </c>
      <c r="Y2306" t="s">
        <v>44711</v>
      </c>
    </row>
    <row r="2307" spans="1:25" x14ac:dyDescent="0.3">
      <c r="A2307">
        <v>115300</v>
      </c>
      <c r="B2307" t="s">
        <v>44712</v>
      </c>
      <c r="C2307" t="s">
        <v>44713</v>
      </c>
      <c r="D2307" t="s">
        <v>44714</v>
      </c>
      <c r="E2307" t="s">
        <v>44715</v>
      </c>
      <c r="F2307" t="s">
        <v>44716</v>
      </c>
      <c r="G2307" t="s">
        <v>44717</v>
      </c>
      <c r="H2307" t="s">
        <v>44718</v>
      </c>
      <c r="I2307" t="s">
        <v>44719</v>
      </c>
      <c r="J2307" t="s">
        <v>44720</v>
      </c>
      <c r="K2307" t="s">
        <v>44721</v>
      </c>
      <c r="L2307" t="s">
        <v>44722</v>
      </c>
      <c r="M2307" t="s">
        <v>44723</v>
      </c>
      <c r="N2307" t="s">
        <v>44724</v>
      </c>
      <c r="O2307">
        <f>-660.478155984363 -61.9082438362557 -717.421491183576</f>
        <v>-1439.8078910041945</v>
      </c>
      <c r="P2307">
        <f>-684.560139668057 -32.8426915578877 -403.158258357518</f>
        <v>-1120.5610895834627</v>
      </c>
      <c r="Q2307" t="s">
        <v>44725</v>
      </c>
      <c r="R2307" t="s">
        <v>44726</v>
      </c>
      <c r="S2307" t="s">
        <v>44727</v>
      </c>
      <c r="T2307" t="s">
        <v>44728</v>
      </c>
      <c r="U2307" t="s">
        <v>44729</v>
      </c>
      <c r="V2307" t="s">
        <v>44730</v>
      </c>
      <c r="W2307" t="s">
        <v>44731</v>
      </c>
      <c r="X2307" t="s">
        <v>44732</v>
      </c>
      <c r="Y2307" t="s">
        <v>44733</v>
      </c>
    </row>
    <row r="2308" spans="1:25" x14ac:dyDescent="0.3">
      <c r="A2308">
        <v>115350</v>
      </c>
      <c r="B2308" t="s">
        <v>44734</v>
      </c>
      <c r="C2308" t="s">
        <v>44735</v>
      </c>
      <c r="D2308" t="s">
        <v>44736</v>
      </c>
      <c r="E2308" t="s">
        <v>44737</v>
      </c>
      <c r="F2308" t="s">
        <v>44738</v>
      </c>
      <c r="G2308" t="s">
        <v>44739</v>
      </c>
      <c r="H2308" t="s">
        <v>44740</v>
      </c>
      <c r="I2308" t="s">
        <v>44741</v>
      </c>
      <c r="J2308" t="s">
        <v>44742</v>
      </c>
      <c r="K2308" t="s">
        <v>44743</v>
      </c>
      <c r="L2308" t="s">
        <v>44744</v>
      </c>
      <c r="M2308" t="s">
        <v>44745</v>
      </c>
      <c r="N2308" t="s">
        <v>44746</v>
      </c>
      <c r="O2308">
        <f>-659.187478845701 -62.1704798506466 -717.58933436674</f>
        <v>-1438.9472930630877</v>
      </c>
      <c r="P2308">
        <f>-684.179865617527 -33.3734079238907 -403.372407146299</f>
        <v>-1120.9256806877165</v>
      </c>
      <c r="Q2308" t="s">
        <v>44747</v>
      </c>
      <c r="R2308" t="s">
        <v>44748</v>
      </c>
      <c r="S2308" t="s">
        <v>44749</v>
      </c>
      <c r="T2308" t="s">
        <v>44750</v>
      </c>
      <c r="U2308" t="s">
        <v>44751</v>
      </c>
      <c r="V2308" t="s">
        <v>44752</v>
      </c>
      <c r="W2308" t="s">
        <v>44753</v>
      </c>
      <c r="X2308" t="s">
        <v>44754</v>
      </c>
      <c r="Y2308" t="s">
        <v>44755</v>
      </c>
    </row>
    <row r="2309" spans="1:25" x14ac:dyDescent="0.3">
      <c r="A2309">
        <v>115400</v>
      </c>
      <c r="B2309" t="s">
        <v>44756</v>
      </c>
      <c r="C2309" t="s">
        <v>44757</v>
      </c>
      <c r="D2309" t="s">
        <v>44758</v>
      </c>
      <c r="E2309" t="s">
        <v>44759</v>
      </c>
      <c r="F2309" t="s">
        <v>44760</v>
      </c>
      <c r="G2309" t="s">
        <v>44761</v>
      </c>
      <c r="H2309" t="s">
        <v>44762</v>
      </c>
      <c r="I2309" t="s">
        <v>44763</v>
      </c>
      <c r="J2309" t="s">
        <v>44764</v>
      </c>
      <c r="K2309" t="s">
        <v>44765</v>
      </c>
      <c r="L2309" t="s">
        <v>44766</v>
      </c>
      <c r="M2309" t="s">
        <v>44767</v>
      </c>
      <c r="N2309" t="s">
        <v>44768</v>
      </c>
      <c r="O2309">
        <f>-658.307483367876 -62.2662361825562 -717.742370748316</f>
        <v>-1438.3160902987483</v>
      </c>
      <c r="P2309">
        <f>-683.670412785115 -33.6883437727515 -403.535246860721</f>
        <v>-1120.8940034185875</v>
      </c>
      <c r="Q2309" t="s">
        <v>44769</v>
      </c>
      <c r="R2309" t="s">
        <v>44770</v>
      </c>
      <c r="S2309" t="s">
        <v>44771</v>
      </c>
      <c r="T2309" t="s">
        <v>44772</v>
      </c>
      <c r="U2309" t="s">
        <v>44773</v>
      </c>
      <c r="V2309" t="s">
        <v>44774</v>
      </c>
      <c r="W2309" t="s">
        <v>44775</v>
      </c>
      <c r="X2309" t="s">
        <v>44776</v>
      </c>
      <c r="Y2309" t="s">
        <v>44777</v>
      </c>
    </row>
    <row r="2310" spans="1:25" x14ac:dyDescent="0.3">
      <c r="A2310">
        <v>115450</v>
      </c>
      <c r="B2310" t="s">
        <v>44778</v>
      </c>
      <c r="C2310" t="s">
        <v>44779</v>
      </c>
      <c r="D2310" t="s">
        <v>44780</v>
      </c>
      <c r="E2310" t="s">
        <v>44781</v>
      </c>
      <c r="F2310" t="s">
        <v>44782</v>
      </c>
      <c r="G2310" t="s">
        <v>44783</v>
      </c>
      <c r="H2310" t="s">
        <v>44784</v>
      </c>
      <c r="I2310" t="s">
        <v>44785</v>
      </c>
      <c r="J2310" t="s">
        <v>44786</v>
      </c>
      <c r="K2310" t="s">
        <v>44787</v>
      </c>
      <c r="L2310" t="s">
        <v>44788</v>
      </c>
      <c r="M2310" t="s">
        <v>44789</v>
      </c>
      <c r="N2310" t="s">
        <v>44790</v>
      </c>
      <c r="O2310">
        <f>-656.355320157641 -62.8114422980773 -717.979324411589</f>
        <v>-1437.1460868673073</v>
      </c>
      <c r="P2310">
        <f>-682.657485184612 -34.8934062888261 -403.789983666918</f>
        <v>-1121.340875140356</v>
      </c>
      <c r="Q2310" t="s">
        <v>44791</v>
      </c>
      <c r="R2310" t="s">
        <v>44792</v>
      </c>
      <c r="S2310" t="s">
        <v>44793</v>
      </c>
      <c r="T2310" t="s">
        <v>44794</v>
      </c>
      <c r="U2310" t="s">
        <v>44795</v>
      </c>
      <c r="V2310" t="s">
        <v>44796</v>
      </c>
      <c r="W2310" t="s">
        <v>44797</v>
      </c>
      <c r="X2310" t="s">
        <v>44798</v>
      </c>
      <c r="Y2310" t="s">
        <v>44799</v>
      </c>
    </row>
    <row r="2311" spans="1:25" x14ac:dyDescent="0.3">
      <c r="A2311">
        <v>115500</v>
      </c>
      <c r="B2311" t="s">
        <v>44800</v>
      </c>
      <c r="C2311" t="s">
        <v>44801</v>
      </c>
      <c r="D2311" t="s">
        <v>44802</v>
      </c>
      <c r="E2311" t="s">
        <v>44803</v>
      </c>
      <c r="F2311" t="s">
        <v>44804</v>
      </c>
      <c r="G2311" t="s">
        <v>44805</v>
      </c>
      <c r="H2311" t="s">
        <v>44806</v>
      </c>
      <c r="I2311" t="s">
        <v>44807</v>
      </c>
      <c r="J2311" t="s">
        <v>44808</v>
      </c>
      <c r="K2311" t="s">
        <v>44809</v>
      </c>
      <c r="L2311" t="s">
        <v>44810</v>
      </c>
      <c r="M2311" t="s">
        <v>44811</v>
      </c>
      <c r="N2311" t="s">
        <v>44812</v>
      </c>
      <c r="O2311">
        <f>-655.235617419215 -63.2390048353604 -718.124572681076</f>
        <v>-1436.5991949356514</v>
      </c>
      <c r="P2311">
        <f>-681.951536126053 -35.6519848059484 -403.940795193899</f>
        <v>-1121.5443161259004</v>
      </c>
      <c r="Q2311" t="s">
        <v>44813</v>
      </c>
      <c r="R2311" t="s">
        <v>44814</v>
      </c>
      <c r="S2311" t="s">
        <v>44815</v>
      </c>
      <c r="T2311" t="s">
        <v>44816</v>
      </c>
      <c r="U2311" t="s">
        <v>44817</v>
      </c>
      <c r="V2311" t="s">
        <v>44818</v>
      </c>
      <c r="W2311" t="s">
        <v>44819</v>
      </c>
      <c r="X2311" t="s">
        <v>44820</v>
      </c>
      <c r="Y2311" t="s">
        <v>44821</v>
      </c>
    </row>
    <row r="2312" spans="1:25" x14ac:dyDescent="0.3">
      <c r="A2312">
        <v>115550</v>
      </c>
      <c r="B2312" t="s">
        <v>44822</v>
      </c>
      <c r="C2312" t="s">
        <v>44823</v>
      </c>
      <c r="D2312" t="s">
        <v>44824</v>
      </c>
      <c r="E2312" t="s">
        <v>44825</v>
      </c>
      <c r="F2312" t="s">
        <v>44826</v>
      </c>
      <c r="G2312" t="s">
        <v>44827</v>
      </c>
      <c r="H2312" t="s">
        <v>44828</v>
      </c>
      <c r="I2312" t="s">
        <v>44829</v>
      </c>
      <c r="J2312" t="s">
        <v>44830</v>
      </c>
      <c r="K2312" t="s">
        <v>44831</v>
      </c>
      <c r="L2312" t="s">
        <v>44832</v>
      </c>
      <c r="M2312" t="s">
        <v>44833</v>
      </c>
      <c r="N2312" t="s">
        <v>44834</v>
      </c>
      <c r="O2312">
        <f>-652.911830983804 -64.3847732909601 -718.207735186564</f>
        <v>-1435.5043394613281</v>
      </c>
      <c r="P2312">
        <f>-680.437047909243 -37.4715479601991 -404.035311151331</f>
        <v>-1121.9439070207732</v>
      </c>
      <c r="Q2312" t="s">
        <v>44835</v>
      </c>
      <c r="R2312" t="s">
        <v>44836</v>
      </c>
      <c r="S2312" t="s">
        <v>44837</v>
      </c>
      <c r="T2312" t="s">
        <v>44838</v>
      </c>
      <c r="U2312" t="s">
        <v>44839</v>
      </c>
      <c r="V2312" t="s">
        <v>44840</v>
      </c>
      <c r="W2312" t="s">
        <v>44841</v>
      </c>
      <c r="X2312" t="s">
        <v>44842</v>
      </c>
      <c r="Y2312" t="s">
        <v>44843</v>
      </c>
    </row>
    <row r="2313" spans="1:25" x14ac:dyDescent="0.3">
      <c r="A2313">
        <v>115600</v>
      </c>
      <c r="B2313" t="s">
        <v>44844</v>
      </c>
      <c r="C2313" t="s">
        <v>44845</v>
      </c>
      <c r="D2313" t="s">
        <v>44846</v>
      </c>
      <c r="E2313" t="s">
        <v>44847</v>
      </c>
      <c r="F2313" t="s">
        <v>44848</v>
      </c>
      <c r="G2313" t="s">
        <v>44849</v>
      </c>
      <c r="H2313" t="s">
        <v>44850</v>
      </c>
      <c r="I2313" t="s">
        <v>44851</v>
      </c>
      <c r="J2313" t="s">
        <v>44852</v>
      </c>
      <c r="K2313" t="s">
        <v>44853</v>
      </c>
      <c r="L2313" t="s">
        <v>44854</v>
      </c>
      <c r="M2313" t="s">
        <v>44855</v>
      </c>
      <c r="N2313" t="s">
        <v>44856</v>
      </c>
      <c r="O2313">
        <f>-651.708398682477 -64.8333716486388 -718.29784831784</f>
        <v>-1434.8396186489558</v>
      </c>
      <c r="P2313">
        <f>-679.359536198454 -38.2932917208902 -404.10482849561</f>
        <v>-1121.7576564149542</v>
      </c>
      <c r="Q2313" t="s">
        <v>44857</v>
      </c>
      <c r="R2313" t="s">
        <v>44858</v>
      </c>
      <c r="S2313" t="s">
        <v>44859</v>
      </c>
      <c r="T2313" t="s">
        <v>44860</v>
      </c>
      <c r="U2313" t="s">
        <v>44861</v>
      </c>
      <c r="V2313" t="s">
        <v>44862</v>
      </c>
      <c r="W2313" t="s">
        <v>44863</v>
      </c>
      <c r="X2313" t="s">
        <v>44864</v>
      </c>
      <c r="Y2313" t="s">
        <v>44865</v>
      </c>
    </row>
    <row r="2314" spans="1:25" x14ac:dyDescent="0.3">
      <c r="A2314">
        <v>115650</v>
      </c>
      <c r="B2314" t="s">
        <v>44866</v>
      </c>
      <c r="C2314" t="s">
        <v>44867</v>
      </c>
      <c r="D2314" t="s">
        <v>44868</v>
      </c>
      <c r="E2314" t="s">
        <v>44869</v>
      </c>
      <c r="F2314" t="s">
        <v>44870</v>
      </c>
      <c r="G2314" t="s">
        <v>44871</v>
      </c>
      <c r="H2314" t="s">
        <v>44872</v>
      </c>
      <c r="I2314" t="s">
        <v>44873</v>
      </c>
      <c r="J2314" t="s">
        <v>44874</v>
      </c>
      <c r="K2314" t="s">
        <v>44875</v>
      </c>
      <c r="L2314" t="s">
        <v>44876</v>
      </c>
      <c r="M2314" t="s">
        <v>44877</v>
      </c>
      <c r="N2314" t="s">
        <v>44878</v>
      </c>
      <c r="O2314">
        <f>-649.262187290439 -65.7599154851414 -718.447088106598</f>
        <v>-1433.4691908821783</v>
      </c>
      <c r="P2314">
        <f>-677.245744235392 -39.7733317854077 -404.237371161995</f>
        <v>-1121.2564471827945</v>
      </c>
      <c r="Q2314" t="s">
        <v>44879</v>
      </c>
      <c r="R2314" t="s">
        <v>44880</v>
      </c>
      <c r="S2314" t="s">
        <v>44881</v>
      </c>
      <c r="T2314" t="s">
        <v>44882</v>
      </c>
      <c r="U2314" t="s">
        <v>44883</v>
      </c>
      <c r="V2314" t="s">
        <v>44884</v>
      </c>
      <c r="W2314" t="s">
        <v>44885</v>
      </c>
      <c r="X2314" t="s">
        <v>44886</v>
      </c>
      <c r="Y2314" t="s">
        <v>44887</v>
      </c>
    </row>
    <row r="2315" spans="1:25" x14ac:dyDescent="0.3">
      <c r="A2315">
        <v>115700</v>
      </c>
      <c r="B2315" t="s">
        <v>44888</v>
      </c>
      <c r="C2315" t="s">
        <v>44889</v>
      </c>
      <c r="D2315" t="s">
        <v>44890</v>
      </c>
      <c r="E2315" t="s">
        <v>44891</v>
      </c>
      <c r="F2315" t="s">
        <v>44892</v>
      </c>
      <c r="G2315" t="s">
        <v>44893</v>
      </c>
      <c r="H2315" t="s">
        <v>44894</v>
      </c>
      <c r="I2315" t="s">
        <v>44895</v>
      </c>
      <c r="J2315" t="s">
        <v>44896</v>
      </c>
      <c r="K2315" t="s">
        <v>44897</v>
      </c>
      <c r="L2315" t="s">
        <v>44898</v>
      </c>
      <c r="M2315" t="s">
        <v>44899</v>
      </c>
      <c r="N2315" t="s">
        <v>44900</v>
      </c>
      <c r="O2315">
        <f>-647.860530271735 -66.401769671623 -718.519250008471</f>
        <v>-1432.781549951829</v>
      </c>
      <c r="P2315">
        <f>-675.980117131319 -40.7545255743705 -404.293807827912</f>
        <v>-1121.0284505336017</v>
      </c>
      <c r="Q2315" t="s">
        <v>44901</v>
      </c>
      <c r="R2315" t="s">
        <v>44902</v>
      </c>
      <c r="S2315" t="s">
        <v>44903</v>
      </c>
      <c r="T2315" t="s">
        <v>44904</v>
      </c>
      <c r="U2315" t="s">
        <v>44905</v>
      </c>
      <c r="V2315" t="s">
        <v>44906</v>
      </c>
      <c r="W2315" t="s">
        <v>44907</v>
      </c>
      <c r="X2315" t="s">
        <v>44908</v>
      </c>
      <c r="Y2315" t="s">
        <v>44909</v>
      </c>
    </row>
    <row r="2316" spans="1:25" x14ac:dyDescent="0.3">
      <c r="A2316">
        <v>115750</v>
      </c>
      <c r="B2316" t="s">
        <v>44910</v>
      </c>
      <c r="C2316" t="s">
        <v>44911</v>
      </c>
      <c r="D2316" t="s">
        <v>44912</v>
      </c>
      <c r="E2316" t="s">
        <v>44913</v>
      </c>
      <c r="F2316" t="s">
        <v>44914</v>
      </c>
      <c r="G2316" t="s">
        <v>44915</v>
      </c>
      <c r="H2316" t="s">
        <v>44916</v>
      </c>
      <c r="I2316" t="s">
        <v>44917</v>
      </c>
      <c r="J2316" t="s">
        <v>44918</v>
      </c>
      <c r="K2316" t="s">
        <v>44919</v>
      </c>
      <c r="L2316" t="s">
        <v>44920</v>
      </c>
      <c r="M2316" t="s">
        <v>44921</v>
      </c>
      <c r="N2316" t="s">
        <v>44922</v>
      </c>
      <c r="O2316">
        <f>-645.156948129969 -67.4067004483722 -718.670682124559</f>
        <v>-1431.2343307029003</v>
      </c>
      <c r="P2316">
        <f>-673.77621164264 -42.6625776269909 -404.417828755949</f>
        <v>-1120.8566180255798</v>
      </c>
      <c r="Q2316" t="s">
        <v>44923</v>
      </c>
      <c r="R2316" t="s">
        <v>44924</v>
      </c>
      <c r="S2316" t="s">
        <v>44925</v>
      </c>
      <c r="T2316" t="s">
        <v>44926</v>
      </c>
      <c r="U2316" t="s">
        <v>44927</v>
      </c>
      <c r="V2316" t="s">
        <v>44928</v>
      </c>
      <c r="W2316" t="s">
        <v>44929</v>
      </c>
      <c r="X2316" t="s">
        <v>44930</v>
      </c>
      <c r="Y2316" t="s">
        <v>44931</v>
      </c>
    </row>
    <row r="2317" spans="1:25" x14ac:dyDescent="0.3">
      <c r="A2317">
        <v>115800</v>
      </c>
      <c r="B2317" t="s">
        <v>44932</v>
      </c>
      <c r="C2317" t="s">
        <v>44933</v>
      </c>
      <c r="D2317" t="s">
        <v>44934</v>
      </c>
      <c r="E2317" t="s">
        <v>44935</v>
      </c>
      <c r="F2317" t="s">
        <v>44936</v>
      </c>
      <c r="G2317" t="s">
        <v>44937</v>
      </c>
      <c r="H2317" t="s">
        <v>44938</v>
      </c>
      <c r="I2317" t="s">
        <v>44939</v>
      </c>
      <c r="J2317" t="s">
        <v>44940</v>
      </c>
      <c r="K2317" t="s">
        <v>44941</v>
      </c>
      <c r="L2317" t="s">
        <v>44942</v>
      </c>
      <c r="M2317" t="s">
        <v>44943</v>
      </c>
      <c r="N2317" t="s">
        <v>44944</v>
      </c>
      <c r="O2317">
        <f>-643.868638030588 -67.8651373879115 -718.735907973032</f>
        <v>-1430.4696833915316</v>
      </c>
      <c r="P2317">
        <f>-672.533469681988 -43.591896282906 -404.450540275187</f>
        <v>-1120.5759062400809</v>
      </c>
      <c r="Q2317" t="s">
        <v>44945</v>
      </c>
      <c r="R2317" t="s">
        <v>44946</v>
      </c>
      <c r="S2317" t="s">
        <v>44947</v>
      </c>
      <c r="T2317" t="s">
        <v>44948</v>
      </c>
      <c r="U2317" t="s">
        <v>44949</v>
      </c>
      <c r="V2317" t="s">
        <v>44950</v>
      </c>
      <c r="W2317" t="s">
        <v>44951</v>
      </c>
      <c r="X2317" t="s">
        <v>44952</v>
      </c>
      <c r="Y2317" t="s">
        <v>44953</v>
      </c>
    </row>
    <row r="2318" spans="1:25" x14ac:dyDescent="0.3">
      <c r="A2318">
        <v>115850</v>
      </c>
      <c r="B2318" t="s">
        <v>44954</v>
      </c>
      <c r="C2318" t="s">
        <v>44955</v>
      </c>
      <c r="D2318" t="s">
        <v>44956</v>
      </c>
      <c r="E2318" t="s">
        <v>44957</v>
      </c>
      <c r="F2318" t="s">
        <v>44958</v>
      </c>
      <c r="G2318" t="s">
        <v>44959</v>
      </c>
      <c r="H2318" t="s">
        <v>44960</v>
      </c>
      <c r="I2318" t="s">
        <v>44961</v>
      </c>
      <c r="J2318" t="s">
        <v>44962</v>
      </c>
      <c r="K2318" t="s">
        <v>44963</v>
      </c>
      <c r="L2318" t="s">
        <v>44964</v>
      </c>
      <c r="M2318" t="s">
        <v>44965</v>
      </c>
      <c r="N2318" t="s">
        <v>44966</v>
      </c>
      <c r="O2318">
        <f>-642.644648329159 -68.454906532721 -718.737155423481</f>
        <v>-1429.8367102853611</v>
      </c>
      <c r="P2318">
        <f>-671.353272851539 -44.2374615512836 -404.451461192097</f>
        <v>-1120.0421955949196</v>
      </c>
      <c r="Q2318" t="s">
        <v>44967</v>
      </c>
      <c r="R2318" t="s">
        <v>44968</v>
      </c>
      <c r="S2318" t="s">
        <v>44969</v>
      </c>
      <c r="T2318" t="s">
        <v>44970</v>
      </c>
      <c r="U2318" t="s">
        <v>44971</v>
      </c>
      <c r="V2318" t="s">
        <v>44972</v>
      </c>
      <c r="W2318" t="s">
        <v>44973</v>
      </c>
      <c r="X2318" t="s">
        <v>44974</v>
      </c>
      <c r="Y2318" t="s">
        <v>44975</v>
      </c>
    </row>
    <row r="2319" spans="1:25" x14ac:dyDescent="0.3">
      <c r="A2319">
        <v>115900</v>
      </c>
      <c r="B2319" t="s">
        <v>44976</v>
      </c>
      <c r="C2319" t="s">
        <v>44977</v>
      </c>
      <c r="D2319" t="s">
        <v>44978</v>
      </c>
      <c r="E2319" t="s">
        <v>44979</v>
      </c>
      <c r="F2319" t="s">
        <v>44980</v>
      </c>
      <c r="G2319" t="s">
        <v>44981</v>
      </c>
      <c r="H2319" t="s">
        <v>44982</v>
      </c>
      <c r="I2319" t="s">
        <v>44983</v>
      </c>
      <c r="J2319" t="s">
        <v>44984</v>
      </c>
      <c r="K2319" t="s">
        <v>44985</v>
      </c>
      <c r="L2319" t="s">
        <v>44986</v>
      </c>
      <c r="M2319" t="s">
        <v>44987</v>
      </c>
      <c r="N2319" t="s">
        <v>44988</v>
      </c>
      <c r="O2319">
        <f>-640.12799284276 -69.9039296153485 -718.685987949381</f>
        <v>-1428.7179104074894</v>
      </c>
      <c r="P2319">
        <f>-668.992407769122 -46.2013812730881 -404.375193745378</f>
        <v>-1119.5689827875881</v>
      </c>
      <c r="Q2319" t="s">
        <v>44989</v>
      </c>
      <c r="R2319" t="s">
        <v>44990</v>
      </c>
      <c r="S2319" t="s">
        <v>44991</v>
      </c>
      <c r="T2319" t="s">
        <v>44992</v>
      </c>
      <c r="U2319" t="s">
        <v>44993</v>
      </c>
      <c r="V2319" t="s">
        <v>44994</v>
      </c>
      <c r="W2319" t="s">
        <v>44995</v>
      </c>
      <c r="X2319" t="s">
        <v>44996</v>
      </c>
      <c r="Y2319" t="s">
        <v>44997</v>
      </c>
    </row>
    <row r="2320" spans="1:25" x14ac:dyDescent="0.3">
      <c r="A2320">
        <v>115950</v>
      </c>
      <c r="B2320" t="s">
        <v>44998</v>
      </c>
      <c r="C2320" t="s">
        <v>44999</v>
      </c>
      <c r="D2320" t="s">
        <v>45000</v>
      </c>
      <c r="E2320" t="s">
        <v>45001</v>
      </c>
      <c r="F2320" t="s">
        <v>45002</v>
      </c>
      <c r="G2320" t="s">
        <v>45003</v>
      </c>
      <c r="H2320" t="s">
        <v>45004</v>
      </c>
      <c r="I2320" t="s">
        <v>45005</v>
      </c>
      <c r="J2320" t="s">
        <v>45006</v>
      </c>
      <c r="K2320" t="s">
        <v>45007</v>
      </c>
      <c r="L2320" t="s">
        <v>45008</v>
      </c>
      <c r="M2320" t="s">
        <v>45009</v>
      </c>
      <c r="N2320" t="s">
        <v>45010</v>
      </c>
      <c r="O2320">
        <f>-636.971983231195 -71.6598997345118 -718.884377844957</f>
        <v>-1427.5162608106639</v>
      </c>
      <c r="P2320">
        <f>-666.204841191608 -48.7945043142263 -404.545770731201</f>
        <v>-1119.5451162370352</v>
      </c>
      <c r="Q2320" t="s">
        <v>45011</v>
      </c>
      <c r="R2320" t="s">
        <v>45012</v>
      </c>
      <c r="S2320" t="s">
        <v>45013</v>
      </c>
      <c r="T2320" t="s">
        <v>45014</v>
      </c>
      <c r="U2320" t="s">
        <v>45015</v>
      </c>
      <c r="V2320" t="s">
        <v>45016</v>
      </c>
      <c r="W2320" t="s">
        <v>45017</v>
      </c>
      <c r="X2320" t="s">
        <v>45018</v>
      </c>
      <c r="Y2320" t="s">
        <v>45019</v>
      </c>
    </row>
    <row r="2321" spans="1:25" x14ac:dyDescent="0.3">
      <c r="A2321">
        <v>116000</v>
      </c>
      <c r="B2321" t="s">
        <v>45020</v>
      </c>
      <c r="C2321" t="s">
        <v>45021</v>
      </c>
      <c r="D2321" t="s">
        <v>45022</v>
      </c>
      <c r="E2321" t="s">
        <v>45023</v>
      </c>
      <c r="F2321" t="s">
        <v>45024</v>
      </c>
      <c r="G2321" t="s">
        <v>45025</v>
      </c>
      <c r="H2321" t="s">
        <v>45026</v>
      </c>
      <c r="I2321" t="s">
        <v>45027</v>
      </c>
      <c r="J2321" t="s">
        <v>45028</v>
      </c>
      <c r="K2321" t="s">
        <v>45029</v>
      </c>
      <c r="L2321" t="s">
        <v>45030</v>
      </c>
      <c r="M2321" t="s">
        <v>45031</v>
      </c>
      <c r="N2321" t="s">
        <v>45032</v>
      </c>
      <c r="O2321">
        <f>-635.083509725964 -72.5642700283306 -719.021878883272</f>
        <v>-1426.6696586375665</v>
      </c>
      <c r="P2321">
        <f>-664.587048696326 -50.2235918315328 -404.670656311063</f>
        <v>-1119.4812968389217</v>
      </c>
      <c r="Q2321" t="s">
        <v>45033</v>
      </c>
      <c r="R2321" t="s">
        <v>45034</v>
      </c>
      <c r="S2321" t="s">
        <v>45035</v>
      </c>
      <c r="T2321" t="s">
        <v>45036</v>
      </c>
      <c r="U2321" t="s">
        <v>45037</v>
      </c>
      <c r="V2321" t="s">
        <v>45038</v>
      </c>
      <c r="W2321" t="s">
        <v>45039</v>
      </c>
      <c r="X2321" t="s">
        <v>45040</v>
      </c>
      <c r="Y2321" t="s">
        <v>45041</v>
      </c>
    </row>
    <row r="2322" spans="1:25" x14ac:dyDescent="0.3">
      <c r="A2322">
        <v>116050</v>
      </c>
      <c r="B2322" t="s">
        <v>45042</v>
      </c>
      <c r="C2322" t="s">
        <v>45043</v>
      </c>
      <c r="D2322" t="s">
        <v>45044</v>
      </c>
      <c r="E2322" t="s">
        <v>45045</v>
      </c>
      <c r="F2322" t="s">
        <v>45046</v>
      </c>
      <c r="G2322" t="s">
        <v>45047</v>
      </c>
      <c r="H2322" t="s">
        <v>45048</v>
      </c>
      <c r="I2322" t="s">
        <v>45049</v>
      </c>
      <c r="J2322" t="s">
        <v>45050</v>
      </c>
      <c r="K2322" t="s">
        <v>45051</v>
      </c>
      <c r="L2322" t="s">
        <v>45052</v>
      </c>
      <c r="M2322" t="s">
        <v>45053</v>
      </c>
      <c r="N2322" t="s">
        <v>45054</v>
      </c>
      <c r="O2322">
        <f>-631.413521054323 -74.0456976368728 -719.26228039369</f>
        <v>-1424.7214990848859</v>
      </c>
      <c r="P2322">
        <f>-661.56499733285 -52.5533036386357 -404.913404551449</f>
        <v>-1119.0317055229348</v>
      </c>
      <c r="Q2322" t="s">
        <v>45055</v>
      </c>
      <c r="R2322" t="s">
        <v>45056</v>
      </c>
      <c r="S2322" t="s">
        <v>45057</v>
      </c>
      <c r="T2322" t="s">
        <v>45058</v>
      </c>
      <c r="U2322" t="s">
        <v>45059</v>
      </c>
      <c r="V2322" t="s">
        <v>45060</v>
      </c>
      <c r="W2322" t="s">
        <v>45061</v>
      </c>
      <c r="X2322" t="s">
        <v>45062</v>
      </c>
      <c r="Y2322" t="s">
        <v>45063</v>
      </c>
    </row>
    <row r="2323" spans="1:25" x14ac:dyDescent="0.3">
      <c r="A2323">
        <v>116100</v>
      </c>
      <c r="B2323" t="s">
        <v>45064</v>
      </c>
      <c r="C2323" t="s">
        <v>45065</v>
      </c>
      <c r="D2323" t="s">
        <v>45066</v>
      </c>
      <c r="E2323" t="s">
        <v>45067</v>
      </c>
      <c r="F2323" t="s">
        <v>45068</v>
      </c>
      <c r="G2323" t="s">
        <v>45069</v>
      </c>
      <c r="H2323" t="s">
        <v>45070</v>
      </c>
      <c r="I2323" t="s">
        <v>45071</v>
      </c>
      <c r="J2323" t="s">
        <v>45072</v>
      </c>
      <c r="K2323" t="s">
        <v>45073</v>
      </c>
      <c r="L2323" t="s">
        <v>45074</v>
      </c>
      <c r="M2323" t="s">
        <v>45075</v>
      </c>
      <c r="N2323" t="s">
        <v>45076</v>
      </c>
      <c r="O2323">
        <f>-629.294543872873 -74.9478004248401 -719.324685787251</f>
        <v>-1423.5670300849642</v>
      </c>
      <c r="P2323">
        <f>-659.911333392525 -54.0357550725867 -404.981670961002</f>
        <v>-1118.9287594261136</v>
      </c>
      <c r="Q2323" t="s">
        <v>45077</v>
      </c>
      <c r="R2323" t="s">
        <v>45078</v>
      </c>
      <c r="S2323" t="s">
        <v>45079</v>
      </c>
      <c r="T2323" t="s">
        <v>45080</v>
      </c>
      <c r="U2323" t="s">
        <v>45081</v>
      </c>
      <c r="V2323" t="s">
        <v>45082</v>
      </c>
      <c r="W2323" t="s">
        <v>45083</v>
      </c>
      <c r="X2323" t="s">
        <v>45084</v>
      </c>
      <c r="Y2323" t="s">
        <v>45085</v>
      </c>
    </row>
    <row r="2324" spans="1:25" x14ac:dyDescent="0.3">
      <c r="A2324">
        <v>116150</v>
      </c>
      <c r="B2324" t="s">
        <v>45086</v>
      </c>
      <c r="C2324" t="s">
        <v>45087</v>
      </c>
      <c r="D2324" t="s">
        <v>45088</v>
      </c>
      <c r="E2324" t="s">
        <v>45089</v>
      </c>
      <c r="F2324" t="s">
        <v>45090</v>
      </c>
      <c r="G2324" t="s">
        <v>45091</v>
      </c>
      <c r="H2324" t="s">
        <v>45092</v>
      </c>
      <c r="I2324" t="s">
        <v>45093</v>
      </c>
      <c r="J2324" t="s">
        <v>45094</v>
      </c>
      <c r="K2324" t="s">
        <v>45095</v>
      </c>
      <c r="L2324" t="s">
        <v>45096</v>
      </c>
      <c r="M2324" t="s">
        <v>45097</v>
      </c>
      <c r="N2324" t="s">
        <v>45098</v>
      </c>
      <c r="O2324">
        <f>-625.105619857076 -76.9623425007103 -719.396830620059</f>
        <v>-1421.4647929778453</v>
      </c>
      <c r="P2324">
        <f>-656.784214156567 -56.622306599658 -405.121509777686</f>
        <v>-1118.5280305339111</v>
      </c>
      <c r="Q2324" t="s">
        <v>45099</v>
      </c>
      <c r="R2324" t="s">
        <v>45100</v>
      </c>
      <c r="S2324" t="s">
        <v>45101</v>
      </c>
      <c r="T2324" t="s">
        <v>45102</v>
      </c>
      <c r="U2324" t="s">
        <v>45103</v>
      </c>
      <c r="V2324" t="s">
        <v>45104</v>
      </c>
      <c r="W2324" t="s">
        <v>45105</v>
      </c>
      <c r="X2324" t="s">
        <v>45106</v>
      </c>
      <c r="Y2324" t="s">
        <v>45107</v>
      </c>
    </row>
    <row r="2325" spans="1:25" x14ac:dyDescent="0.3">
      <c r="A2325">
        <v>116200</v>
      </c>
      <c r="B2325" t="s">
        <v>45108</v>
      </c>
      <c r="C2325" t="s">
        <v>45109</v>
      </c>
      <c r="D2325" t="s">
        <v>45110</v>
      </c>
      <c r="E2325" t="s">
        <v>45111</v>
      </c>
      <c r="F2325" t="s">
        <v>45112</v>
      </c>
      <c r="G2325" t="s">
        <v>45113</v>
      </c>
      <c r="H2325" t="s">
        <v>45114</v>
      </c>
      <c r="I2325" t="s">
        <v>45115</v>
      </c>
      <c r="J2325" t="s">
        <v>45116</v>
      </c>
      <c r="K2325" t="s">
        <v>45117</v>
      </c>
      <c r="L2325" t="s">
        <v>45118</v>
      </c>
      <c r="M2325" t="s">
        <v>45119</v>
      </c>
      <c r="N2325" t="s">
        <v>45120</v>
      </c>
      <c r="O2325">
        <f>-623.059099165085 -78.1068149601479 -719.398860433523</f>
        <v>-1420.5647745587557</v>
      </c>
      <c r="P2325">
        <f>-655.164770639978 -58.2027969295455 -405.139025167798</f>
        <v>-1118.5065927373214</v>
      </c>
      <c r="Q2325" t="s">
        <v>45121</v>
      </c>
      <c r="R2325" t="s">
        <v>45122</v>
      </c>
      <c r="S2325" t="s">
        <v>45123</v>
      </c>
      <c r="T2325" t="s">
        <v>45124</v>
      </c>
      <c r="U2325" t="s">
        <v>45125</v>
      </c>
      <c r="V2325" t="s">
        <v>45126</v>
      </c>
      <c r="W2325" t="s">
        <v>45127</v>
      </c>
      <c r="X2325" t="s">
        <v>45128</v>
      </c>
      <c r="Y2325" t="s">
        <v>45129</v>
      </c>
    </row>
    <row r="2326" spans="1:25" x14ac:dyDescent="0.3">
      <c r="A2326">
        <v>116250</v>
      </c>
      <c r="B2326" t="s">
        <v>45130</v>
      </c>
      <c r="C2326" t="s">
        <v>45131</v>
      </c>
      <c r="D2326" t="s">
        <v>45132</v>
      </c>
      <c r="E2326" t="s">
        <v>45133</v>
      </c>
      <c r="F2326" t="s">
        <v>45134</v>
      </c>
      <c r="G2326" t="s">
        <v>45135</v>
      </c>
      <c r="H2326" t="s">
        <v>45136</v>
      </c>
      <c r="I2326" t="s">
        <v>45137</v>
      </c>
      <c r="J2326" t="s">
        <v>45138</v>
      </c>
      <c r="K2326" t="s">
        <v>45139</v>
      </c>
      <c r="L2326" t="s">
        <v>45140</v>
      </c>
      <c r="M2326" t="s">
        <v>45141</v>
      </c>
      <c r="N2326" t="s">
        <v>45142</v>
      </c>
      <c r="O2326">
        <f>-619.117908371206 -80.0806129848804 -719.56548695467</f>
        <v>-1418.7640083107563</v>
      </c>
      <c r="P2326">
        <f>-652.136650865318 -60.764458975463 -405.363494014901</f>
        <v>-1118.2646038556818</v>
      </c>
      <c r="Q2326" t="s">
        <v>45143</v>
      </c>
      <c r="R2326" t="s">
        <v>45144</v>
      </c>
      <c r="S2326" t="s">
        <v>45145</v>
      </c>
      <c r="T2326" t="s">
        <v>45146</v>
      </c>
      <c r="U2326" t="s">
        <v>45147</v>
      </c>
      <c r="V2326" t="s">
        <v>45148</v>
      </c>
      <c r="W2326" t="s">
        <v>45149</v>
      </c>
      <c r="X2326" t="s">
        <v>45150</v>
      </c>
      <c r="Y2326" t="s">
        <v>45151</v>
      </c>
    </row>
    <row r="2327" spans="1:25" x14ac:dyDescent="0.3">
      <c r="A2327">
        <v>116300</v>
      </c>
      <c r="B2327" t="s">
        <v>45152</v>
      </c>
      <c r="C2327" t="s">
        <v>45153</v>
      </c>
      <c r="D2327" t="s">
        <v>45154</v>
      </c>
      <c r="E2327" t="s">
        <v>45155</v>
      </c>
      <c r="F2327" t="s">
        <v>45156</v>
      </c>
      <c r="G2327" t="s">
        <v>45157</v>
      </c>
      <c r="H2327" t="s">
        <v>45158</v>
      </c>
      <c r="I2327" t="s">
        <v>45159</v>
      </c>
      <c r="J2327" t="s">
        <v>45160</v>
      </c>
      <c r="K2327" t="s">
        <v>45161</v>
      </c>
      <c r="L2327" t="s">
        <v>45162</v>
      </c>
      <c r="M2327" t="s">
        <v>45163</v>
      </c>
      <c r="N2327" t="s">
        <v>45164</v>
      </c>
      <c r="O2327">
        <f>-617.236821986166 -81.0509402508067 -719.5973879096</f>
        <v>-1417.8851501465726</v>
      </c>
      <c r="P2327">
        <f>-650.59375799249 -62.077143343419 -405.410285951082</f>
        <v>-1118.0811872869911</v>
      </c>
      <c r="Q2327" t="s">
        <v>45165</v>
      </c>
      <c r="R2327" t="s">
        <v>45166</v>
      </c>
      <c r="S2327" t="s">
        <v>45167</v>
      </c>
      <c r="T2327" t="s">
        <v>45168</v>
      </c>
      <c r="U2327" t="s">
        <v>45169</v>
      </c>
      <c r="V2327" t="s">
        <v>45170</v>
      </c>
      <c r="W2327" t="s">
        <v>45171</v>
      </c>
      <c r="X2327" t="s">
        <v>45172</v>
      </c>
      <c r="Y2327" t="s">
        <v>45173</v>
      </c>
    </row>
    <row r="2328" spans="1:25" x14ac:dyDescent="0.3">
      <c r="A2328">
        <v>116350</v>
      </c>
      <c r="B2328" t="s">
        <v>45174</v>
      </c>
      <c r="C2328" t="s">
        <v>45175</v>
      </c>
      <c r="D2328" t="s">
        <v>45176</v>
      </c>
      <c r="E2328" t="s">
        <v>45177</v>
      </c>
      <c r="F2328" t="s">
        <v>45178</v>
      </c>
      <c r="G2328" t="s">
        <v>45179</v>
      </c>
      <c r="H2328" t="s">
        <v>45180</v>
      </c>
      <c r="I2328" t="s">
        <v>45181</v>
      </c>
      <c r="J2328" t="s">
        <v>45182</v>
      </c>
      <c r="K2328" t="s">
        <v>45183</v>
      </c>
      <c r="L2328" t="s">
        <v>45184</v>
      </c>
      <c r="M2328" t="s">
        <v>45185</v>
      </c>
      <c r="N2328" t="s">
        <v>45186</v>
      </c>
      <c r="O2328">
        <f>-613.32612323855 -82.9804825753008 -719.802516407405</f>
        <v>-1416.1091222212558</v>
      </c>
      <c r="P2328">
        <f>-647.317156525516 -65.1011478433156 -405.619199362388</f>
        <v>-1118.0375037312197</v>
      </c>
      <c r="Q2328" t="s">
        <v>45187</v>
      </c>
      <c r="R2328" t="s">
        <v>45188</v>
      </c>
      <c r="S2328" t="s">
        <v>45189</v>
      </c>
      <c r="T2328" t="s">
        <v>45190</v>
      </c>
      <c r="U2328" t="s">
        <v>45191</v>
      </c>
      <c r="V2328" t="s">
        <v>45192</v>
      </c>
      <c r="W2328" t="s">
        <v>45193</v>
      </c>
      <c r="X2328" t="s">
        <v>45194</v>
      </c>
      <c r="Y2328" t="s">
        <v>45195</v>
      </c>
    </row>
    <row r="2329" spans="1:25" x14ac:dyDescent="0.3">
      <c r="A2329">
        <v>116400</v>
      </c>
      <c r="B2329" t="s">
        <v>45196</v>
      </c>
      <c r="C2329" t="s">
        <v>45197</v>
      </c>
      <c r="D2329" t="s">
        <v>45198</v>
      </c>
      <c r="E2329" t="s">
        <v>45199</v>
      </c>
      <c r="F2329" t="s">
        <v>45200</v>
      </c>
      <c r="G2329" t="s">
        <v>45201</v>
      </c>
      <c r="H2329" t="s">
        <v>45202</v>
      </c>
      <c r="I2329" t="s">
        <v>45203</v>
      </c>
      <c r="J2329" t="s">
        <v>45204</v>
      </c>
      <c r="K2329" t="s">
        <v>45205</v>
      </c>
      <c r="L2329" t="s">
        <v>45206</v>
      </c>
      <c r="M2329" t="s">
        <v>45207</v>
      </c>
      <c r="N2329" t="s">
        <v>45208</v>
      </c>
      <c r="O2329">
        <f>-611.637075853647 -83.769110644464 -719.936729793973</f>
        <v>-1415.3429162920841</v>
      </c>
      <c r="P2329">
        <f>-645.639670346961 -66.3661255346985 -405.727940099357</f>
        <v>-1117.7337359810165</v>
      </c>
      <c r="Q2329" t="s">
        <v>45209</v>
      </c>
      <c r="R2329" t="s">
        <v>45210</v>
      </c>
      <c r="S2329" t="s">
        <v>45211</v>
      </c>
      <c r="T2329" t="s">
        <v>45212</v>
      </c>
      <c r="U2329" t="s">
        <v>45213</v>
      </c>
      <c r="V2329" t="s">
        <v>45214</v>
      </c>
      <c r="W2329" t="s">
        <v>45215</v>
      </c>
      <c r="X2329" t="s">
        <v>45216</v>
      </c>
      <c r="Y2329" t="s">
        <v>45217</v>
      </c>
    </row>
    <row r="2330" spans="1:25" x14ac:dyDescent="0.3">
      <c r="A2330">
        <v>116450</v>
      </c>
      <c r="B2330" t="s">
        <v>45218</v>
      </c>
      <c r="C2330" t="s">
        <v>45219</v>
      </c>
      <c r="D2330" t="s">
        <v>45220</v>
      </c>
      <c r="E2330" t="s">
        <v>45221</v>
      </c>
      <c r="F2330" t="s">
        <v>45222</v>
      </c>
      <c r="G2330" t="s">
        <v>45223</v>
      </c>
      <c r="H2330" t="s">
        <v>45224</v>
      </c>
      <c r="I2330" t="s">
        <v>45225</v>
      </c>
      <c r="J2330" t="s">
        <v>45226</v>
      </c>
      <c r="K2330" t="s">
        <v>45227</v>
      </c>
      <c r="L2330" t="s">
        <v>45228</v>
      </c>
      <c r="M2330" t="s">
        <v>45229</v>
      </c>
      <c r="N2330" t="s">
        <v>45230</v>
      </c>
      <c r="O2330">
        <f>-608.215960679195 -85.4617547987425 -720.207386184297</f>
        <v>-1413.8851016622343</v>
      </c>
      <c r="P2330">
        <f>-642.383665352916 -68.9383129674466 -405.969034097445</f>
        <v>-1117.2910124178075</v>
      </c>
      <c r="Q2330" t="s">
        <v>45231</v>
      </c>
      <c r="R2330" t="s">
        <v>45232</v>
      </c>
      <c r="S2330" t="s">
        <v>45233</v>
      </c>
      <c r="T2330" t="s">
        <v>45234</v>
      </c>
      <c r="U2330" t="s">
        <v>45235</v>
      </c>
      <c r="V2330" t="s">
        <v>45236</v>
      </c>
      <c r="W2330" t="s">
        <v>45237</v>
      </c>
      <c r="X2330" t="s">
        <v>45238</v>
      </c>
      <c r="Y2330" t="s">
        <v>45239</v>
      </c>
    </row>
    <row r="2331" spans="1:25" x14ac:dyDescent="0.3">
      <c r="A2331">
        <v>116500</v>
      </c>
      <c r="B2331" t="s">
        <v>45240</v>
      </c>
      <c r="C2331" t="s">
        <v>45241</v>
      </c>
      <c r="D2331" t="s">
        <v>45242</v>
      </c>
      <c r="E2331" t="s">
        <v>45243</v>
      </c>
      <c r="F2331" t="s">
        <v>45244</v>
      </c>
      <c r="G2331" t="s">
        <v>45245</v>
      </c>
      <c r="H2331" t="s">
        <v>45246</v>
      </c>
      <c r="I2331" t="s">
        <v>45247</v>
      </c>
      <c r="J2331" t="s">
        <v>45248</v>
      </c>
      <c r="K2331" t="s">
        <v>45249</v>
      </c>
      <c r="L2331" t="s">
        <v>45250</v>
      </c>
      <c r="M2331" t="s">
        <v>45251</v>
      </c>
      <c r="N2331" t="s">
        <v>45252</v>
      </c>
      <c r="O2331">
        <f>-606.931014787448 -86.1653555443665 -720.294733337493</f>
        <v>-1413.3911036693075</v>
      </c>
      <c r="P2331">
        <f>-640.973983479523 -69.8721084946665 -406.030806221984</f>
        <v>-1116.8768981961734</v>
      </c>
      <c r="Q2331" t="s">
        <v>45253</v>
      </c>
      <c r="R2331" t="s">
        <v>45254</v>
      </c>
      <c r="S2331" t="s">
        <v>45255</v>
      </c>
      <c r="T2331" t="s">
        <v>45256</v>
      </c>
      <c r="U2331" t="s">
        <v>45257</v>
      </c>
      <c r="V2331" t="s">
        <v>45258</v>
      </c>
      <c r="W2331" t="s">
        <v>45259</v>
      </c>
      <c r="X2331" t="s">
        <v>45260</v>
      </c>
      <c r="Y2331" t="s">
        <v>45261</v>
      </c>
    </row>
    <row r="2332" spans="1:25" x14ac:dyDescent="0.3">
      <c r="A2332">
        <v>116550</v>
      </c>
      <c r="B2332" t="s">
        <v>45262</v>
      </c>
      <c r="C2332" t="s">
        <v>45263</v>
      </c>
      <c r="D2332" t="s">
        <v>45264</v>
      </c>
      <c r="E2332" t="s">
        <v>45265</v>
      </c>
      <c r="F2332" t="s">
        <v>45266</v>
      </c>
      <c r="G2332" t="s">
        <v>45267</v>
      </c>
      <c r="H2332" t="s">
        <v>45268</v>
      </c>
      <c r="I2332" t="s">
        <v>45269</v>
      </c>
      <c r="J2332" t="s">
        <v>45270</v>
      </c>
      <c r="K2332" t="s">
        <v>45271</v>
      </c>
      <c r="L2332" t="s">
        <v>45272</v>
      </c>
      <c r="M2332" t="s">
        <v>45273</v>
      </c>
      <c r="N2332" t="s">
        <v>45274</v>
      </c>
      <c r="O2332">
        <f>-604.534787755985 -87.4667013168601 -720.435520430082</f>
        <v>-1412.4370095029271</v>
      </c>
      <c r="P2332">
        <f>-638.308094165874 -72.104051879204 -406.095741289354</f>
        <v>-1116.5078873344319</v>
      </c>
      <c r="Q2332" t="s">
        <v>45275</v>
      </c>
      <c r="R2332" t="s">
        <v>45276</v>
      </c>
      <c r="S2332" t="s">
        <v>45277</v>
      </c>
      <c r="T2332" t="s">
        <v>45278</v>
      </c>
      <c r="U2332" t="s">
        <v>45279</v>
      </c>
      <c r="V2332" t="s">
        <v>45280</v>
      </c>
      <c r="W2332" t="s">
        <v>45281</v>
      </c>
      <c r="X2332" t="s">
        <v>45282</v>
      </c>
      <c r="Y2332" t="s">
        <v>45283</v>
      </c>
    </row>
    <row r="2333" spans="1:25" x14ac:dyDescent="0.3">
      <c r="A2333">
        <v>116600</v>
      </c>
      <c r="B2333" t="s">
        <v>45284</v>
      </c>
      <c r="C2333" t="s">
        <v>45285</v>
      </c>
      <c r="D2333" t="s">
        <v>45286</v>
      </c>
      <c r="E2333" t="s">
        <v>45287</v>
      </c>
      <c r="F2333" t="s">
        <v>45288</v>
      </c>
      <c r="G2333" t="s">
        <v>45289</v>
      </c>
      <c r="H2333" t="s">
        <v>45290</v>
      </c>
      <c r="I2333" t="s">
        <v>45291</v>
      </c>
      <c r="J2333" t="s">
        <v>45292</v>
      </c>
      <c r="K2333" t="s">
        <v>45293</v>
      </c>
      <c r="L2333" t="s">
        <v>45294</v>
      </c>
      <c r="M2333" t="s">
        <v>45295</v>
      </c>
      <c r="N2333" t="s">
        <v>45296</v>
      </c>
      <c r="O2333">
        <f>-603.402437986247 -88.0083826432631 -720.483734328666</f>
        <v>-1411.8945549581761</v>
      </c>
      <c r="P2333">
        <f>-637.083767110509 -72.7904889294221 -406.127018658121</f>
        <v>-1116.0012746980522</v>
      </c>
      <c r="Q2333" t="s">
        <v>45297</v>
      </c>
      <c r="R2333" t="s">
        <v>45298</v>
      </c>
      <c r="S2333" t="s">
        <v>45299</v>
      </c>
      <c r="T2333" t="s">
        <v>45300</v>
      </c>
      <c r="U2333" t="s">
        <v>45301</v>
      </c>
      <c r="V2333" t="s">
        <v>45302</v>
      </c>
      <c r="W2333" t="s">
        <v>45303</v>
      </c>
      <c r="X2333" t="s">
        <v>45304</v>
      </c>
      <c r="Y2333" t="s">
        <v>45305</v>
      </c>
    </row>
    <row r="2334" spans="1:25" x14ac:dyDescent="0.3">
      <c r="A2334">
        <v>116650</v>
      </c>
      <c r="B2334" t="s">
        <v>45306</v>
      </c>
      <c r="C2334" t="s">
        <v>45307</v>
      </c>
      <c r="D2334" t="s">
        <v>45308</v>
      </c>
      <c r="E2334" t="s">
        <v>45309</v>
      </c>
      <c r="F2334" t="s">
        <v>45310</v>
      </c>
      <c r="G2334" t="s">
        <v>45311</v>
      </c>
      <c r="H2334" t="s">
        <v>45312</v>
      </c>
      <c r="I2334" t="s">
        <v>45313</v>
      </c>
      <c r="J2334" t="s">
        <v>45314</v>
      </c>
      <c r="K2334" t="s">
        <v>45315</v>
      </c>
      <c r="L2334" t="s">
        <v>45316</v>
      </c>
      <c r="M2334" t="s">
        <v>45317</v>
      </c>
      <c r="N2334" t="s">
        <v>45318</v>
      </c>
      <c r="O2334">
        <f>-601.477568396806 -89.316022637712 -720.467877760174</f>
        <v>-1411.2614687946921</v>
      </c>
      <c r="P2334">
        <f>-635.272404168679 -74.6629710336128 -406.096461373336</f>
        <v>-1116.0318365756279</v>
      </c>
      <c r="Q2334" t="s">
        <v>45319</v>
      </c>
      <c r="R2334" t="s">
        <v>45320</v>
      </c>
      <c r="S2334" t="s">
        <v>45321</v>
      </c>
      <c r="T2334" t="s">
        <v>45322</v>
      </c>
      <c r="U2334" t="s">
        <v>45323</v>
      </c>
      <c r="V2334" t="s">
        <v>45324</v>
      </c>
      <c r="W2334" t="s">
        <v>45325</v>
      </c>
      <c r="X2334" t="s">
        <v>45326</v>
      </c>
      <c r="Y2334" t="s">
        <v>45327</v>
      </c>
    </row>
    <row r="2335" spans="1:25" x14ac:dyDescent="0.3">
      <c r="A2335">
        <v>116700</v>
      </c>
      <c r="B2335" t="s">
        <v>45328</v>
      </c>
      <c r="C2335" t="s">
        <v>45329</v>
      </c>
      <c r="D2335" t="s">
        <v>45330</v>
      </c>
      <c r="E2335" t="s">
        <v>45331</v>
      </c>
      <c r="F2335" t="s">
        <v>45332</v>
      </c>
      <c r="G2335" t="s">
        <v>45333</v>
      </c>
      <c r="H2335" t="s">
        <v>45334</v>
      </c>
      <c r="I2335" t="s">
        <v>45335</v>
      </c>
      <c r="J2335" t="s">
        <v>45336</v>
      </c>
      <c r="K2335" t="s">
        <v>45337</v>
      </c>
      <c r="L2335" t="s">
        <v>45338</v>
      </c>
      <c r="M2335" t="s">
        <v>45339</v>
      </c>
      <c r="N2335" t="s">
        <v>45340</v>
      </c>
      <c r="O2335">
        <f>-600.569598832947 -89.8805087596809 -720.642093817796</f>
        <v>-1411.092201410424</v>
      </c>
      <c r="P2335">
        <f>-634.049085305033 -75.7758932212278 -406.211860287541</f>
        <v>-1116.0368388138018</v>
      </c>
      <c r="Q2335" t="s">
        <v>45341</v>
      </c>
      <c r="R2335" t="s">
        <v>45342</v>
      </c>
      <c r="S2335" t="s">
        <v>45343</v>
      </c>
      <c r="T2335" t="s">
        <v>45344</v>
      </c>
      <c r="U2335" t="s">
        <v>45345</v>
      </c>
      <c r="V2335" t="s">
        <v>45346</v>
      </c>
      <c r="W2335" t="s">
        <v>45347</v>
      </c>
      <c r="X2335" t="s">
        <v>45348</v>
      </c>
      <c r="Y2335" t="s">
        <v>45349</v>
      </c>
    </row>
    <row r="2336" spans="1:25" x14ac:dyDescent="0.3">
      <c r="A2336">
        <v>116750</v>
      </c>
      <c r="B2336" t="s">
        <v>45350</v>
      </c>
      <c r="C2336" t="s">
        <v>45351</v>
      </c>
      <c r="D2336" t="s">
        <v>45352</v>
      </c>
      <c r="E2336" t="s">
        <v>45353</v>
      </c>
      <c r="F2336" t="s">
        <v>45354</v>
      </c>
      <c r="G2336" t="s">
        <v>45355</v>
      </c>
      <c r="H2336" t="s">
        <v>45356</v>
      </c>
      <c r="I2336" t="s">
        <v>45357</v>
      </c>
      <c r="J2336" t="s">
        <v>45358</v>
      </c>
      <c r="K2336" t="s">
        <v>45359</v>
      </c>
      <c r="L2336" t="s">
        <v>45360</v>
      </c>
      <c r="M2336" t="s">
        <v>45361</v>
      </c>
      <c r="N2336" t="s">
        <v>45362</v>
      </c>
      <c r="O2336">
        <f>-598.774753922527 -90.6389128727217 -720.900845944748</f>
        <v>-1410.3145127399966</v>
      </c>
      <c r="P2336">
        <f>-632.476643845421 -76.1897310656241 -406.510106317917</f>
        <v>-1115.1764812289621</v>
      </c>
      <c r="Q2336" t="s">
        <v>45363</v>
      </c>
      <c r="R2336" t="s">
        <v>45364</v>
      </c>
      <c r="S2336" t="s">
        <v>45365</v>
      </c>
      <c r="T2336" t="s">
        <v>45366</v>
      </c>
      <c r="U2336" t="s">
        <v>45367</v>
      </c>
      <c r="V2336" t="s">
        <v>45368</v>
      </c>
      <c r="W2336" t="s">
        <v>45369</v>
      </c>
      <c r="X2336" t="s">
        <v>45370</v>
      </c>
      <c r="Y2336" t="s">
        <v>45371</v>
      </c>
    </row>
    <row r="2337" spans="1:25" x14ac:dyDescent="0.3">
      <c r="A2337">
        <v>116800</v>
      </c>
      <c r="B2337" t="s">
        <v>45372</v>
      </c>
      <c r="C2337" t="s">
        <v>45373</v>
      </c>
      <c r="D2337" t="s">
        <v>45374</v>
      </c>
      <c r="E2337" t="s">
        <v>45375</v>
      </c>
      <c r="F2337" t="s">
        <v>45376</v>
      </c>
      <c r="G2337" t="s">
        <v>45377</v>
      </c>
      <c r="H2337" t="s">
        <v>45378</v>
      </c>
      <c r="I2337" t="s">
        <v>45379</v>
      </c>
      <c r="J2337" t="s">
        <v>45380</v>
      </c>
      <c r="K2337" t="s">
        <v>45381</v>
      </c>
      <c r="L2337" t="s">
        <v>45382</v>
      </c>
      <c r="M2337" t="s">
        <v>45383</v>
      </c>
      <c r="N2337" t="s">
        <v>45384</v>
      </c>
      <c r="O2337">
        <f>-597.856866615391 -91.0553072854718 -721.03320586355</f>
        <v>-1409.9453797644128</v>
      </c>
      <c r="P2337">
        <f>-631.980214940985 -76.8706872234118 -406.675651515718</f>
        <v>-1115.5265536801148</v>
      </c>
      <c r="Q2337" t="s">
        <v>45385</v>
      </c>
      <c r="R2337" t="s">
        <v>45386</v>
      </c>
      <c r="S2337" t="s">
        <v>45387</v>
      </c>
      <c r="T2337" t="s">
        <v>45388</v>
      </c>
      <c r="U2337" t="s">
        <v>45389</v>
      </c>
      <c r="V2337" t="s">
        <v>45390</v>
      </c>
      <c r="W2337" t="s">
        <v>45391</v>
      </c>
      <c r="X2337" t="s">
        <v>45392</v>
      </c>
      <c r="Y2337" t="s">
        <v>45393</v>
      </c>
    </row>
    <row r="2338" spans="1:25" x14ac:dyDescent="0.3">
      <c r="A2338">
        <v>116850</v>
      </c>
      <c r="B2338" t="s">
        <v>45394</v>
      </c>
      <c r="C2338" t="s">
        <v>45395</v>
      </c>
      <c r="D2338" t="s">
        <v>45396</v>
      </c>
      <c r="E2338" t="s">
        <v>45397</v>
      </c>
      <c r="F2338" t="s">
        <v>45398</v>
      </c>
      <c r="G2338" t="s">
        <v>45399</v>
      </c>
      <c r="H2338" t="s">
        <v>45400</v>
      </c>
      <c r="I2338" t="s">
        <v>45401</v>
      </c>
      <c r="J2338" t="s">
        <v>45402</v>
      </c>
      <c r="K2338" t="s">
        <v>45403</v>
      </c>
      <c r="L2338" t="s">
        <v>45404</v>
      </c>
      <c r="M2338" t="s">
        <v>45405</v>
      </c>
      <c r="N2338" t="s">
        <v>45406</v>
      </c>
      <c r="O2338">
        <f>-596.500983907983 -91.5362095010742 -721.235010257769</f>
        <v>-1409.272203666826</v>
      </c>
      <c r="P2338">
        <f>-630.424274796573 -76.930384491618 -406.875302150056</f>
        <v>-1114.2299614382468</v>
      </c>
      <c r="Q2338" t="s">
        <v>45407</v>
      </c>
      <c r="R2338" t="s">
        <v>45408</v>
      </c>
      <c r="S2338" t="s">
        <v>45409</v>
      </c>
      <c r="T2338" t="s">
        <v>45410</v>
      </c>
      <c r="U2338" t="s">
        <v>45411</v>
      </c>
      <c r="V2338" t="s">
        <v>45412</v>
      </c>
      <c r="W2338" t="s">
        <v>45413</v>
      </c>
      <c r="X2338" t="s">
        <v>45414</v>
      </c>
      <c r="Y2338" t="s">
        <v>45415</v>
      </c>
    </row>
    <row r="2339" spans="1:25" x14ac:dyDescent="0.3">
      <c r="A2339">
        <v>116900</v>
      </c>
      <c r="B2339" t="s">
        <v>45416</v>
      </c>
      <c r="C2339" t="s">
        <v>45417</v>
      </c>
      <c r="D2339" t="s">
        <v>45418</v>
      </c>
      <c r="E2339" t="s">
        <v>45419</v>
      </c>
      <c r="F2339" t="s">
        <v>45420</v>
      </c>
      <c r="G2339" t="s">
        <v>45421</v>
      </c>
      <c r="H2339" t="s">
        <v>45422</v>
      </c>
      <c r="I2339" t="s">
        <v>45423</v>
      </c>
      <c r="J2339" t="s">
        <v>45424</v>
      </c>
      <c r="K2339" t="s">
        <v>45425</v>
      </c>
      <c r="L2339" t="s">
        <v>45426</v>
      </c>
      <c r="M2339" t="s">
        <v>45427</v>
      </c>
      <c r="N2339" t="s">
        <v>45428</v>
      </c>
      <c r="O2339">
        <f>-595.313019414704 -91.6598859506225 -721.36525951652</f>
        <v>-1408.3381648818465</v>
      </c>
      <c r="P2339">
        <f>-629.317730567446 -77.7020944200333 -406.984931557944</f>
        <v>-1114.0047565454233</v>
      </c>
      <c r="Q2339" t="s">
        <v>45429</v>
      </c>
      <c r="R2339" t="s">
        <v>45430</v>
      </c>
      <c r="S2339" t="s">
        <v>45431</v>
      </c>
      <c r="T2339" t="s">
        <v>45432</v>
      </c>
      <c r="U2339" t="s">
        <v>45433</v>
      </c>
      <c r="V2339" t="s">
        <v>45434</v>
      </c>
      <c r="W2339" t="s">
        <v>45435</v>
      </c>
      <c r="X2339" t="s">
        <v>45436</v>
      </c>
      <c r="Y2339" t="s">
        <v>45437</v>
      </c>
    </row>
    <row r="2340" spans="1:25" x14ac:dyDescent="0.3">
      <c r="A2340">
        <v>116950</v>
      </c>
      <c r="B2340" t="s">
        <v>45438</v>
      </c>
      <c r="C2340" t="s">
        <v>45439</v>
      </c>
      <c r="D2340" t="s">
        <v>45440</v>
      </c>
      <c r="E2340" t="s">
        <v>45441</v>
      </c>
      <c r="F2340" t="s">
        <v>45442</v>
      </c>
      <c r="G2340" t="s">
        <v>45443</v>
      </c>
      <c r="H2340" t="s">
        <v>45444</v>
      </c>
      <c r="I2340" t="s">
        <v>45445</v>
      </c>
      <c r="J2340" t="s">
        <v>45446</v>
      </c>
      <c r="K2340" t="s">
        <v>45447</v>
      </c>
      <c r="L2340" t="s">
        <v>45448</v>
      </c>
      <c r="M2340" t="s">
        <v>45449</v>
      </c>
      <c r="N2340" t="s">
        <v>45450</v>
      </c>
      <c r="O2340">
        <f>-594.219291599564 -91.6454198480421 -721.628154834039</f>
        <v>-1407.4928662816451</v>
      </c>
      <c r="P2340">
        <f>-627.966901967211 -78.3815563668911 -407.190020386956</f>
        <v>-1113.5384787210583</v>
      </c>
      <c r="Q2340" t="s">
        <v>45451</v>
      </c>
      <c r="R2340" t="s">
        <v>45452</v>
      </c>
      <c r="S2340" t="s">
        <v>45453</v>
      </c>
      <c r="T2340" t="s">
        <v>45454</v>
      </c>
      <c r="U2340" t="s">
        <v>45455</v>
      </c>
      <c r="V2340" t="s">
        <v>45456</v>
      </c>
      <c r="W2340" t="s">
        <v>45457</v>
      </c>
      <c r="X2340" t="s">
        <v>45458</v>
      </c>
      <c r="Y2340" t="s">
        <v>45459</v>
      </c>
    </row>
    <row r="2341" spans="1:25" x14ac:dyDescent="0.3">
      <c r="A2341">
        <v>117000</v>
      </c>
      <c r="B2341" t="s">
        <v>45460</v>
      </c>
      <c r="C2341" t="s">
        <v>45461</v>
      </c>
      <c r="D2341" t="s">
        <v>45462</v>
      </c>
      <c r="E2341" t="s">
        <v>45463</v>
      </c>
      <c r="F2341" t="s">
        <v>45464</v>
      </c>
      <c r="G2341" t="s">
        <v>45465</v>
      </c>
      <c r="H2341" t="s">
        <v>45466</v>
      </c>
      <c r="I2341" t="s">
        <v>45467</v>
      </c>
      <c r="J2341" t="s">
        <v>45468</v>
      </c>
      <c r="K2341" t="s">
        <v>45469</v>
      </c>
      <c r="L2341" t="s">
        <v>45470</v>
      </c>
      <c r="M2341" t="s">
        <v>45471</v>
      </c>
      <c r="N2341" t="s">
        <v>45472</v>
      </c>
      <c r="O2341">
        <f>-593.54186819216 -91.6703338722834 -721.793436349344</f>
        <v>-1407.0056384137874</v>
      </c>
      <c r="P2341">
        <f>-627.117018202616 -78.4800688201058 -407.333751170003</f>
        <v>-1112.9308381927249</v>
      </c>
      <c r="Q2341" t="s">
        <v>45473</v>
      </c>
      <c r="R2341" t="s">
        <v>45474</v>
      </c>
      <c r="S2341" t="s">
        <v>45475</v>
      </c>
      <c r="T2341" t="s">
        <v>45476</v>
      </c>
      <c r="U2341" t="s">
        <v>45477</v>
      </c>
      <c r="V2341" t="s">
        <v>45478</v>
      </c>
      <c r="W2341" t="s">
        <v>45479</v>
      </c>
      <c r="X2341" t="s">
        <v>45480</v>
      </c>
      <c r="Y2341" t="s">
        <v>45481</v>
      </c>
    </row>
    <row r="2342" spans="1:25" x14ac:dyDescent="0.3">
      <c r="A2342">
        <v>117050</v>
      </c>
      <c r="B2342" t="s">
        <v>45482</v>
      </c>
      <c r="C2342" t="s">
        <v>45483</v>
      </c>
      <c r="D2342" t="s">
        <v>45484</v>
      </c>
      <c r="E2342" t="s">
        <v>45485</v>
      </c>
      <c r="F2342" t="s">
        <v>45486</v>
      </c>
      <c r="G2342" t="s">
        <v>45487</v>
      </c>
      <c r="H2342" t="s">
        <v>45488</v>
      </c>
      <c r="I2342" t="s">
        <v>45489</v>
      </c>
      <c r="J2342" t="s">
        <v>45490</v>
      </c>
      <c r="K2342" t="s">
        <v>45491</v>
      </c>
      <c r="L2342" t="s">
        <v>45492</v>
      </c>
      <c r="M2342" t="s">
        <v>45493</v>
      </c>
      <c r="N2342" t="s">
        <v>45494</v>
      </c>
      <c r="O2342">
        <f>-592.444738097477 -91.4494368929293 -721.969365390111</f>
        <v>-1405.8635403805174</v>
      </c>
      <c r="P2342">
        <f>-625.368721315813 -78.8372815184068 -407.417032479082</f>
        <v>-1111.6230353133019</v>
      </c>
      <c r="Q2342" t="s">
        <v>45495</v>
      </c>
      <c r="R2342" t="s">
        <v>45496</v>
      </c>
      <c r="S2342" t="s">
        <v>45497</v>
      </c>
      <c r="T2342" t="s">
        <v>45498</v>
      </c>
      <c r="U2342" t="s">
        <v>45499</v>
      </c>
      <c r="V2342" t="s">
        <v>45500</v>
      </c>
      <c r="W2342" t="s">
        <v>45501</v>
      </c>
      <c r="X2342" t="s">
        <v>45502</v>
      </c>
      <c r="Y2342" t="s">
        <v>45503</v>
      </c>
    </row>
    <row r="2343" spans="1:25" x14ac:dyDescent="0.3">
      <c r="A2343">
        <v>117100</v>
      </c>
      <c r="B2343" t="s">
        <v>45504</v>
      </c>
      <c r="C2343" t="s">
        <v>45505</v>
      </c>
      <c r="D2343" t="s">
        <v>45506</v>
      </c>
      <c r="E2343" t="s">
        <v>45507</v>
      </c>
      <c r="F2343" t="s">
        <v>45508</v>
      </c>
      <c r="G2343" t="s">
        <v>45509</v>
      </c>
      <c r="H2343" t="s">
        <v>45510</v>
      </c>
      <c r="I2343" t="s">
        <v>45511</v>
      </c>
      <c r="J2343" t="s">
        <v>45512</v>
      </c>
      <c r="K2343" t="s">
        <v>45513</v>
      </c>
      <c r="L2343" t="s">
        <v>45514</v>
      </c>
      <c r="M2343" t="s">
        <v>45515</v>
      </c>
      <c r="N2343" t="s">
        <v>45516</v>
      </c>
      <c r="O2343">
        <f>-592.022782707382 -91.3957952583196 -722.082308726742</f>
        <v>-1405.5008866924436</v>
      </c>
      <c r="P2343">
        <f>-624.936614351865 -79.0553394455708 -407.518199599145</f>
        <v>-1111.5101533965808</v>
      </c>
      <c r="Q2343" t="s">
        <v>45517</v>
      </c>
      <c r="R2343" t="s">
        <v>45518</v>
      </c>
      <c r="S2343" t="s">
        <v>45519</v>
      </c>
      <c r="T2343" t="s">
        <v>45520</v>
      </c>
      <c r="U2343" t="s">
        <v>45521</v>
      </c>
      <c r="V2343" t="s">
        <v>45522</v>
      </c>
      <c r="W2343" t="s">
        <v>45523</v>
      </c>
      <c r="X2343" t="s">
        <v>45524</v>
      </c>
      <c r="Y2343" t="s">
        <v>45525</v>
      </c>
    </row>
    <row r="2344" spans="1:25" x14ac:dyDescent="0.3">
      <c r="A2344">
        <v>117150</v>
      </c>
      <c r="B2344" t="s">
        <v>45526</v>
      </c>
      <c r="C2344" t="s">
        <v>45527</v>
      </c>
      <c r="D2344" t="s">
        <v>45528</v>
      </c>
      <c r="E2344" t="s">
        <v>45529</v>
      </c>
      <c r="F2344" t="s">
        <v>45530</v>
      </c>
      <c r="G2344" t="s">
        <v>45531</v>
      </c>
      <c r="H2344" t="s">
        <v>45532</v>
      </c>
      <c r="I2344" t="s">
        <v>45533</v>
      </c>
      <c r="J2344" t="s">
        <v>45534</v>
      </c>
      <c r="K2344" t="s">
        <v>45535</v>
      </c>
      <c r="L2344" t="s">
        <v>45536</v>
      </c>
      <c r="M2344" t="s">
        <v>45537</v>
      </c>
      <c r="N2344" t="s">
        <v>45538</v>
      </c>
      <c r="O2344">
        <f>-590.706466867514 -91.1998219994214 -722.251115203188</f>
        <v>-1404.1574040701234</v>
      </c>
      <c r="P2344">
        <f>-623.955650519307 -78.7739680025077 -407.725512180065</f>
        <v>-1110.4551307018796</v>
      </c>
      <c r="Q2344" t="s">
        <v>45539</v>
      </c>
      <c r="R2344" t="s">
        <v>45540</v>
      </c>
      <c r="S2344" t="s">
        <v>45541</v>
      </c>
      <c r="T2344" t="s">
        <v>45542</v>
      </c>
      <c r="U2344" t="s">
        <v>45543</v>
      </c>
      <c r="V2344" t="s">
        <v>45544</v>
      </c>
      <c r="W2344" t="s">
        <v>45545</v>
      </c>
      <c r="X2344" t="s">
        <v>45546</v>
      </c>
      <c r="Y2344" t="s">
        <v>45547</v>
      </c>
    </row>
    <row r="2345" spans="1:25" x14ac:dyDescent="0.3">
      <c r="A2345">
        <v>117200</v>
      </c>
      <c r="B2345" t="s">
        <v>45548</v>
      </c>
      <c r="C2345" t="s">
        <v>45549</v>
      </c>
      <c r="D2345" t="s">
        <v>45550</v>
      </c>
      <c r="E2345" t="s">
        <v>45551</v>
      </c>
      <c r="F2345" t="s">
        <v>45552</v>
      </c>
      <c r="G2345" t="s">
        <v>45553</v>
      </c>
      <c r="H2345" t="s">
        <v>45554</v>
      </c>
      <c r="I2345" t="s">
        <v>45555</v>
      </c>
      <c r="J2345" t="s">
        <v>45556</v>
      </c>
      <c r="K2345" t="s">
        <v>45557</v>
      </c>
      <c r="L2345" t="s">
        <v>45558</v>
      </c>
      <c r="M2345" t="s">
        <v>45559</v>
      </c>
      <c r="N2345" t="s">
        <v>45560</v>
      </c>
      <c r="O2345">
        <f>-589.977207110088 -91.3745700769532 -722.286870918217</f>
        <v>-1403.6386481052582</v>
      </c>
      <c r="P2345">
        <f>-623.542092402744 -79.0363836844174 -407.791470649257</f>
        <v>-1110.3699467364183</v>
      </c>
      <c r="Q2345" t="s">
        <v>45561</v>
      </c>
      <c r="R2345" t="s">
        <v>45562</v>
      </c>
      <c r="S2345" t="s">
        <v>45563</v>
      </c>
      <c r="T2345" t="s">
        <v>45564</v>
      </c>
      <c r="U2345" t="s">
        <v>45565</v>
      </c>
      <c r="V2345" t="s">
        <v>45566</v>
      </c>
      <c r="W2345" t="s">
        <v>45567</v>
      </c>
      <c r="X2345" t="s">
        <v>45568</v>
      </c>
      <c r="Y2345" t="s">
        <v>45569</v>
      </c>
    </row>
    <row r="2346" spans="1:25" x14ac:dyDescent="0.3">
      <c r="A2346">
        <v>117250</v>
      </c>
      <c r="B2346" t="s">
        <v>45570</v>
      </c>
      <c r="C2346" t="s">
        <v>45571</v>
      </c>
      <c r="D2346" t="s">
        <v>45572</v>
      </c>
      <c r="E2346" t="s">
        <v>45573</v>
      </c>
      <c r="F2346" t="s">
        <v>45574</v>
      </c>
      <c r="G2346" t="s">
        <v>45575</v>
      </c>
      <c r="H2346" t="s">
        <v>45576</v>
      </c>
      <c r="I2346" t="s">
        <v>45577</v>
      </c>
      <c r="J2346" t="s">
        <v>45578</v>
      </c>
      <c r="K2346" t="s">
        <v>45579</v>
      </c>
      <c r="L2346" t="s">
        <v>45580</v>
      </c>
      <c r="M2346" t="s">
        <v>45581</v>
      </c>
      <c r="N2346" t="s">
        <v>45582</v>
      </c>
      <c r="O2346">
        <f>-588.02617488673 -91.5062306184695 -722.546709643273</f>
        <v>-1402.0791151484725</v>
      </c>
      <c r="P2346">
        <f>-622.019167834846 -79.3722551868775 -408.089278861302</f>
        <v>-1109.4807018830256</v>
      </c>
      <c r="Q2346" t="s">
        <v>45583</v>
      </c>
      <c r="R2346" t="s">
        <v>45584</v>
      </c>
      <c r="S2346" t="s">
        <v>45585</v>
      </c>
      <c r="T2346" t="s">
        <v>45586</v>
      </c>
      <c r="U2346" t="s">
        <v>45587</v>
      </c>
      <c r="V2346" t="s">
        <v>45588</v>
      </c>
      <c r="W2346" t="s">
        <v>45589</v>
      </c>
      <c r="X2346" t="s">
        <v>45590</v>
      </c>
      <c r="Y2346" t="s">
        <v>45591</v>
      </c>
    </row>
    <row r="2347" spans="1:25" x14ac:dyDescent="0.3">
      <c r="A2347">
        <v>117300</v>
      </c>
      <c r="B2347" t="s">
        <v>45592</v>
      </c>
      <c r="C2347" t="s">
        <v>45593</v>
      </c>
      <c r="D2347" t="s">
        <v>45594</v>
      </c>
      <c r="E2347" t="s">
        <v>45595</v>
      </c>
      <c r="F2347" t="s">
        <v>45596</v>
      </c>
      <c r="G2347" t="s">
        <v>45597</v>
      </c>
      <c r="H2347" t="s">
        <v>45598</v>
      </c>
      <c r="I2347" t="s">
        <v>45599</v>
      </c>
      <c r="J2347" t="s">
        <v>45600</v>
      </c>
      <c r="K2347" t="s">
        <v>45601</v>
      </c>
      <c r="L2347" t="s">
        <v>45602</v>
      </c>
      <c r="M2347" t="s">
        <v>45603</v>
      </c>
      <c r="N2347" t="s">
        <v>45604</v>
      </c>
      <c r="O2347">
        <f>-587.375973767019 -91.7043463222735 -722.575100420042</f>
        <v>-1401.6554205093344</v>
      </c>
      <c r="P2347">
        <f>-621.650385920739 -79.7704308450748 -408.140584045851</f>
        <v>-1109.561400811665</v>
      </c>
      <c r="Q2347" t="s">
        <v>45605</v>
      </c>
      <c r="R2347" t="s">
        <v>45606</v>
      </c>
      <c r="S2347" t="s">
        <v>45607</v>
      </c>
      <c r="T2347" t="s">
        <v>45608</v>
      </c>
      <c r="U2347" t="s">
        <v>45609</v>
      </c>
      <c r="V2347" t="s">
        <v>45610</v>
      </c>
      <c r="W2347" t="s">
        <v>45611</v>
      </c>
      <c r="X2347" t="s">
        <v>45612</v>
      </c>
      <c r="Y2347" t="s">
        <v>45613</v>
      </c>
    </row>
    <row r="2348" spans="1:25" x14ac:dyDescent="0.3">
      <c r="A2348">
        <v>117350</v>
      </c>
      <c r="B2348" t="s">
        <v>45614</v>
      </c>
      <c r="C2348" t="s">
        <v>45615</v>
      </c>
      <c r="D2348" t="s">
        <v>45616</v>
      </c>
      <c r="E2348" t="s">
        <v>45617</v>
      </c>
      <c r="F2348" t="s">
        <v>45618</v>
      </c>
      <c r="G2348" t="s">
        <v>45619</v>
      </c>
      <c r="H2348" t="s">
        <v>45620</v>
      </c>
      <c r="I2348" t="s">
        <v>45621</v>
      </c>
      <c r="J2348" t="s">
        <v>45622</v>
      </c>
      <c r="K2348" t="s">
        <v>45623</v>
      </c>
      <c r="L2348" t="s">
        <v>45624</v>
      </c>
      <c r="M2348" t="s">
        <v>45625</v>
      </c>
      <c r="N2348" t="s">
        <v>45626</v>
      </c>
      <c r="O2348">
        <f>-585.915323659779 -92.1839928150698 -722.744675041072</f>
        <v>-1400.8439915159208</v>
      </c>
      <c r="P2348">
        <f>-620.831617292725 -79.7382025665631 -408.400536460988</f>
        <v>-1108.9703563202761</v>
      </c>
      <c r="Q2348" t="s">
        <v>45627</v>
      </c>
      <c r="R2348" t="s">
        <v>45628</v>
      </c>
      <c r="S2348" t="s">
        <v>45629</v>
      </c>
      <c r="T2348" t="s">
        <v>45630</v>
      </c>
      <c r="U2348" t="s">
        <v>45631</v>
      </c>
      <c r="V2348" t="s">
        <v>45632</v>
      </c>
      <c r="W2348" t="s">
        <v>45633</v>
      </c>
      <c r="X2348" t="s">
        <v>45634</v>
      </c>
      <c r="Y2348" t="s">
        <v>45635</v>
      </c>
    </row>
    <row r="2349" spans="1:25" x14ac:dyDescent="0.3">
      <c r="A2349">
        <v>117400</v>
      </c>
      <c r="B2349" t="s">
        <v>45636</v>
      </c>
      <c r="C2349" t="s">
        <v>45637</v>
      </c>
      <c r="D2349" t="s">
        <v>45638</v>
      </c>
      <c r="E2349" t="s">
        <v>45639</v>
      </c>
      <c r="F2349" t="s">
        <v>45640</v>
      </c>
      <c r="G2349" t="s">
        <v>45641</v>
      </c>
      <c r="H2349" t="s">
        <v>45642</v>
      </c>
      <c r="I2349" t="s">
        <v>45643</v>
      </c>
      <c r="J2349" t="s">
        <v>45644</v>
      </c>
      <c r="K2349" t="s">
        <v>45645</v>
      </c>
      <c r="L2349" t="s">
        <v>45646</v>
      </c>
      <c r="M2349" t="s">
        <v>45647</v>
      </c>
      <c r="N2349" t="s">
        <v>45648</v>
      </c>
      <c r="O2349">
        <f>-585.109500207377 -92.460333159645 -722.752524323471</f>
        <v>-1400.3223576904929</v>
      </c>
      <c r="P2349">
        <f>-620.582251523292 -79.7320465867219 -408.48209798954</f>
        <v>-1108.7963960995539</v>
      </c>
      <c r="Q2349" t="s">
        <v>45649</v>
      </c>
      <c r="R2349" t="s">
        <v>45650</v>
      </c>
      <c r="S2349" t="s">
        <v>45651</v>
      </c>
      <c r="T2349" t="s">
        <v>45652</v>
      </c>
      <c r="U2349" t="s">
        <v>45653</v>
      </c>
      <c r="V2349" t="s">
        <v>45654</v>
      </c>
      <c r="W2349" t="s">
        <v>45655</v>
      </c>
      <c r="X2349" t="s">
        <v>45656</v>
      </c>
      <c r="Y2349" t="s">
        <v>45657</v>
      </c>
    </row>
    <row r="2350" spans="1:25" x14ac:dyDescent="0.3">
      <c r="A2350">
        <v>117450</v>
      </c>
      <c r="B2350" t="s">
        <v>45658</v>
      </c>
      <c r="C2350" t="s">
        <v>45659</v>
      </c>
      <c r="D2350" t="s">
        <v>45660</v>
      </c>
      <c r="E2350" t="s">
        <v>45661</v>
      </c>
      <c r="F2350" t="s">
        <v>45662</v>
      </c>
      <c r="G2350" t="s">
        <v>45663</v>
      </c>
      <c r="H2350" t="s">
        <v>45664</v>
      </c>
      <c r="I2350" t="s">
        <v>45665</v>
      </c>
      <c r="J2350" t="s">
        <v>45666</v>
      </c>
      <c r="K2350" t="s">
        <v>45667</v>
      </c>
      <c r="L2350" t="s">
        <v>45668</v>
      </c>
      <c r="M2350" t="s">
        <v>45669</v>
      </c>
      <c r="N2350" t="s">
        <v>45670</v>
      </c>
      <c r="O2350">
        <f>-583.084176969916 -93.1165772300217 -722.927988756225</f>
        <v>-1399.1287429561626</v>
      </c>
      <c r="P2350">
        <f>-620.117938616307 -80.7044216279455 -408.825122158687</f>
        <v>-1109.6474824029397</v>
      </c>
      <c r="Q2350" t="s">
        <v>45671</v>
      </c>
      <c r="R2350" t="s">
        <v>45672</v>
      </c>
      <c r="S2350" t="s">
        <v>45673</v>
      </c>
      <c r="T2350" t="s">
        <v>45674</v>
      </c>
      <c r="U2350" t="s">
        <v>45675</v>
      </c>
      <c r="V2350" t="s">
        <v>45676</v>
      </c>
      <c r="W2350" t="s">
        <v>45677</v>
      </c>
      <c r="X2350" t="s">
        <v>45678</v>
      </c>
      <c r="Y2350" t="s">
        <v>45679</v>
      </c>
    </row>
    <row r="2351" spans="1:25" x14ac:dyDescent="0.3">
      <c r="A2351">
        <v>117500</v>
      </c>
      <c r="B2351" t="s">
        <v>45680</v>
      </c>
      <c r="C2351" t="s">
        <v>45681</v>
      </c>
      <c r="D2351" t="s">
        <v>45682</v>
      </c>
      <c r="E2351" t="s">
        <v>45683</v>
      </c>
      <c r="F2351" t="s">
        <v>45684</v>
      </c>
      <c r="G2351" t="s">
        <v>45685</v>
      </c>
      <c r="H2351" t="s">
        <v>45686</v>
      </c>
      <c r="I2351" t="s">
        <v>45687</v>
      </c>
      <c r="J2351" t="s">
        <v>45688</v>
      </c>
      <c r="K2351" t="s">
        <v>45689</v>
      </c>
      <c r="L2351" t="s">
        <v>45690</v>
      </c>
      <c r="M2351" t="s">
        <v>45691</v>
      </c>
      <c r="N2351" t="s">
        <v>45692</v>
      </c>
      <c r="O2351">
        <f>-581.794901355716 -93.3249724503719 -723.107727100013</f>
        <v>-1398.2276009061009</v>
      </c>
      <c r="P2351">
        <f>-619.565325896976 -81.3276876344642 -409.076511184326</f>
        <v>-1109.9695247157661</v>
      </c>
      <c r="Q2351" t="s">
        <v>45693</v>
      </c>
      <c r="R2351" t="s">
        <v>45694</v>
      </c>
      <c r="S2351" t="s">
        <v>45695</v>
      </c>
      <c r="T2351" t="s">
        <v>45696</v>
      </c>
      <c r="U2351" t="s">
        <v>45697</v>
      </c>
      <c r="V2351" t="s">
        <v>45698</v>
      </c>
      <c r="W2351" t="s">
        <v>45699</v>
      </c>
      <c r="X2351" t="s">
        <v>45700</v>
      </c>
      <c r="Y2351" t="s">
        <v>45701</v>
      </c>
    </row>
    <row r="2352" spans="1:25" x14ac:dyDescent="0.3">
      <c r="A2352">
        <v>117550</v>
      </c>
      <c r="B2352" t="s">
        <v>45702</v>
      </c>
      <c r="C2352" t="s">
        <v>45703</v>
      </c>
      <c r="D2352" t="s">
        <v>45704</v>
      </c>
      <c r="E2352" t="s">
        <v>45705</v>
      </c>
      <c r="F2352" t="s">
        <v>45706</v>
      </c>
      <c r="G2352" t="s">
        <v>45707</v>
      </c>
      <c r="H2352" t="s">
        <v>45708</v>
      </c>
      <c r="I2352" t="s">
        <v>45709</v>
      </c>
      <c r="J2352" t="s">
        <v>45710</v>
      </c>
      <c r="K2352" t="s">
        <v>45711</v>
      </c>
      <c r="L2352" t="s">
        <v>45712</v>
      </c>
      <c r="M2352" t="s">
        <v>45713</v>
      </c>
      <c r="N2352" t="s">
        <v>45714</v>
      </c>
      <c r="O2352">
        <f>-579.653937213838 -93.6655589297363 -723.278077210618</f>
        <v>-1396.5975733541923</v>
      </c>
      <c r="P2352">
        <f>-618.849459717869 -83.0870344692164 -409.370382103569</f>
        <v>-1111.3068762906544</v>
      </c>
      <c r="Q2352" t="s">
        <v>45715</v>
      </c>
      <c r="R2352" t="s">
        <v>45716</v>
      </c>
      <c r="S2352" t="s">
        <v>45717</v>
      </c>
      <c r="T2352" t="s">
        <v>45718</v>
      </c>
      <c r="U2352" t="s">
        <v>45719</v>
      </c>
      <c r="V2352" t="s">
        <v>45720</v>
      </c>
      <c r="W2352" t="s">
        <v>45721</v>
      </c>
      <c r="X2352" t="s">
        <v>45722</v>
      </c>
      <c r="Y2352" t="s">
        <v>45723</v>
      </c>
    </row>
    <row r="2353" spans="1:25" x14ac:dyDescent="0.3">
      <c r="A2353">
        <v>117600</v>
      </c>
      <c r="B2353" t="s">
        <v>45724</v>
      </c>
      <c r="C2353" t="s">
        <v>45725</v>
      </c>
      <c r="D2353" t="s">
        <v>45726</v>
      </c>
      <c r="E2353" t="s">
        <v>45727</v>
      </c>
      <c r="F2353" t="s">
        <v>45728</v>
      </c>
      <c r="G2353" t="s">
        <v>45729</v>
      </c>
      <c r="H2353" t="s">
        <v>45730</v>
      </c>
      <c r="I2353" t="s">
        <v>45731</v>
      </c>
      <c r="J2353" t="s">
        <v>45732</v>
      </c>
      <c r="K2353" t="s">
        <v>45733</v>
      </c>
      <c r="L2353" t="s">
        <v>45734</v>
      </c>
      <c r="M2353" t="s">
        <v>45735</v>
      </c>
      <c r="N2353" t="s">
        <v>45736</v>
      </c>
      <c r="O2353">
        <f>-578.249904793467 -94.0103161813636 -723.307114087729</f>
        <v>-1395.5673350625596</v>
      </c>
      <c r="P2353">
        <f>-617.864007057118 -83.5463759046561 -409.448339883238</f>
        <v>-1110.8587228450122</v>
      </c>
      <c r="Q2353" t="s">
        <v>45737</v>
      </c>
      <c r="R2353" t="s">
        <v>45738</v>
      </c>
      <c r="S2353" t="s">
        <v>45739</v>
      </c>
      <c r="T2353" t="s">
        <v>45740</v>
      </c>
      <c r="U2353" t="s">
        <v>45741</v>
      </c>
      <c r="V2353" t="s">
        <v>45742</v>
      </c>
      <c r="W2353" t="s">
        <v>45743</v>
      </c>
      <c r="X2353" t="s">
        <v>45744</v>
      </c>
      <c r="Y2353" t="s">
        <v>45745</v>
      </c>
    </row>
    <row r="2354" spans="1:25" x14ac:dyDescent="0.3">
      <c r="A2354">
        <v>117650</v>
      </c>
      <c r="B2354" t="s">
        <v>45746</v>
      </c>
      <c r="C2354" t="s">
        <v>45747</v>
      </c>
      <c r="D2354" t="s">
        <v>45748</v>
      </c>
      <c r="E2354" t="s">
        <v>45749</v>
      </c>
      <c r="F2354" t="s">
        <v>45750</v>
      </c>
      <c r="G2354" t="s">
        <v>45751</v>
      </c>
      <c r="H2354" t="s">
        <v>45752</v>
      </c>
      <c r="I2354" t="s">
        <v>45753</v>
      </c>
      <c r="J2354" t="s">
        <v>45754</v>
      </c>
      <c r="K2354" t="s">
        <v>45755</v>
      </c>
      <c r="L2354" t="s">
        <v>45756</v>
      </c>
      <c r="M2354" t="s">
        <v>45757</v>
      </c>
      <c r="N2354" t="s">
        <v>45758</v>
      </c>
      <c r="O2354">
        <f>-575.573829529326 -95.0754627531057 -723.254882676213</f>
        <v>-1393.9041749586447</v>
      </c>
      <c r="P2354">
        <f>-616.367178268223 -86.1053970874684 -409.500728192552</f>
        <v>-1111.9733035482434</v>
      </c>
      <c r="Q2354" t="s">
        <v>45759</v>
      </c>
      <c r="R2354" t="s">
        <v>45760</v>
      </c>
      <c r="S2354" t="s">
        <v>45761</v>
      </c>
      <c r="T2354" t="s">
        <v>45762</v>
      </c>
      <c r="U2354" t="s">
        <v>45763</v>
      </c>
      <c r="V2354" t="s">
        <v>45764</v>
      </c>
      <c r="W2354" t="s">
        <v>45765</v>
      </c>
      <c r="X2354" t="s">
        <v>45766</v>
      </c>
      <c r="Y2354" t="s">
        <v>45767</v>
      </c>
    </row>
    <row r="2355" spans="1:25" x14ac:dyDescent="0.3">
      <c r="A2355">
        <v>117700</v>
      </c>
      <c r="B2355" t="s">
        <v>45768</v>
      </c>
      <c r="C2355" t="s">
        <v>45769</v>
      </c>
      <c r="D2355" t="s">
        <v>45770</v>
      </c>
      <c r="E2355" t="s">
        <v>45771</v>
      </c>
      <c r="F2355" t="s">
        <v>45772</v>
      </c>
      <c r="G2355" t="s">
        <v>45773</v>
      </c>
      <c r="H2355" t="s">
        <v>45774</v>
      </c>
      <c r="I2355" t="s">
        <v>45775</v>
      </c>
      <c r="J2355" t="s">
        <v>45776</v>
      </c>
      <c r="K2355" t="s">
        <v>45777</v>
      </c>
      <c r="L2355" t="s">
        <v>45778</v>
      </c>
      <c r="M2355" t="s">
        <v>45779</v>
      </c>
      <c r="N2355" t="s">
        <v>45780</v>
      </c>
      <c r="O2355">
        <f>-574.553214088643 -95.6341250480998 -723.325291069042</f>
        <v>-1393.5126302057847</v>
      </c>
      <c r="P2355">
        <f>-615.470520795784 -87.2997102815295 -409.569736901348</f>
        <v>-1112.3399679786614</v>
      </c>
      <c r="Q2355" t="s">
        <v>45781</v>
      </c>
      <c r="R2355" t="s">
        <v>45782</v>
      </c>
      <c r="S2355" t="s">
        <v>45783</v>
      </c>
      <c r="T2355" t="s">
        <v>45784</v>
      </c>
      <c r="U2355" t="s">
        <v>45785</v>
      </c>
      <c r="V2355" t="s">
        <v>45786</v>
      </c>
      <c r="W2355" t="s">
        <v>45787</v>
      </c>
      <c r="X2355" t="s">
        <v>45788</v>
      </c>
      <c r="Y2355" t="s">
        <v>45789</v>
      </c>
    </row>
    <row r="2356" spans="1:25" x14ac:dyDescent="0.3">
      <c r="A2356">
        <v>117750</v>
      </c>
      <c r="B2356" t="s">
        <v>45790</v>
      </c>
      <c r="C2356" t="s">
        <v>45791</v>
      </c>
      <c r="D2356" t="s">
        <v>45792</v>
      </c>
      <c r="E2356" t="s">
        <v>45793</v>
      </c>
      <c r="F2356" t="s">
        <v>45794</v>
      </c>
      <c r="G2356" t="s">
        <v>45795</v>
      </c>
      <c r="H2356" t="s">
        <v>45796</v>
      </c>
      <c r="I2356" t="s">
        <v>45797</v>
      </c>
      <c r="J2356" t="s">
        <v>45798</v>
      </c>
      <c r="K2356" t="s">
        <v>45799</v>
      </c>
      <c r="L2356" t="s">
        <v>45800</v>
      </c>
      <c r="M2356" t="s">
        <v>45801</v>
      </c>
      <c r="N2356" t="s">
        <v>45802</v>
      </c>
      <c r="O2356">
        <f>-572.437748303316 -97.1512224452154 -723.587110505968</f>
        <v>-1393.1760812544994</v>
      </c>
      <c r="P2356">
        <f>-613.75788746211 -89.6911808178147 -409.862479366604</f>
        <v>-1113.3115476465287</v>
      </c>
      <c r="Q2356" t="s">
        <v>45803</v>
      </c>
      <c r="R2356" t="s">
        <v>45804</v>
      </c>
      <c r="S2356" t="s">
        <v>45805</v>
      </c>
      <c r="T2356" t="s">
        <v>45806</v>
      </c>
      <c r="U2356" t="s">
        <v>45807</v>
      </c>
      <c r="V2356" t="s">
        <v>45808</v>
      </c>
      <c r="W2356" t="s">
        <v>45809</v>
      </c>
      <c r="X2356" t="s">
        <v>45810</v>
      </c>
      <c r="Y2356" t="s">
        <v>45811</v>
      </c>
    </row>
    <row r="2357" spans="1:25" x14ac:dyDescent="0.3">
      <c r="A2357">
        <v>117800</v>
      </c>
      <c r="B2357" t="s">
        <v>45812</v>
      </c>
      <c r="C2357" t="s">
        <v>45813</v>
      </c>
      <c r="D2357" t="s">
        <v>45814</v>
      </c>
      <c r="E2357" t="s">
        <v>45815</v>
      </c>
      <c r="F2357" t="s">
        <v>45816</v>
      </c>
      <c r="G2357" t="s">
        <v>45817</v>
      </c>
      <c r="H2357" t="s">
        <v>45818</v>
      </c>
      <c r="I2357" t="s">
        <v>45819</v>
      </c>
      <c r="J2357" t="s">
        <v>45820</v>
      </c>
      <c r="K2357" t="s">
        <v>45821</v>
      </c>
      <c r="L2357" t="s">
        <v>45822</v>
      </c>
      <c r="M2357" t="s">
        <v>45823</v>
      </c>
      <c r="N2357" t="s">
        <v>45824</v>
      </c>
      <c r="O2357">
        <f>-571.55676504618 -98.0477416304773 -723.601506385623</f>
        <v>-1393.2060130622804</v>
      </c>
      <c r="P2357">
        <f>-613.20035099079 -91.0038213192697 -409.909907571784</f>
        <v>-1114.1140798818437</v>
      </c>
      <c r="Q2357" t="s">
        <v>45825</v>
      </c>
      <c r="R2357" t="s">
        <v>45826</v>
      </c>
      <c r="S2357" t="s">
        <v>45827</v>
      </c>
      <c r="T2357" t="s">
        <v>45828</v>
      </c>
      <c r="U2357" t="s">
        <v>45829</v>
      </c>
      <c r="V2357" t="s">
        <v>45830</v>
      </c>
      <c r="W2357" t="s">
        <v>45831</v>
      </c>
      <c r="X2357" t="s">
        <v>45832</v>
      </c>
      <c r="Y2357" t="s">
        <v>45833</v>
      </c>
    </row>
    <row r="2358" spans="1:25" x14ac:dyDescent="0.3">
      <c r="A2358">
        <v>117850</v>
      </c>
      <c r="B2358" t="s">
        <v>45834</v>
      </c>
      <c r="C2358" t="s">
        <v>45835</v>
      </c>
      <c r="D2358" t="s">
        <v>45836</v>
      </c>
      <c r="E2358" t="s">
        <v>45837</v>
      </c>
      <c r="F2358" t="s">
        <v>45838</v>
      </c>
      <c r="G2358" t="s">
        <v>45839</v>
      </c>
      <c r="H2358" t="s">
        <v>45840</v>
      </c>
      <c r="I2358" t="s">
        <v>45841</v>
      </c>
      <c r="J2358" t="s">
        <v>45842</v>
      </c>
      <c r="K2358" t="s">
        <v>45843</v>
      </c>
      <c r="L2358" t="s">
        <v>45844</v>
      </c>
      <c r="M2358" t="s">
        <v>45845</v>
      </c>
      <c r="N2358" t="s">
        <v>45846</v>
      </c>
      <c r="O2358">
        <f>-569.660193537757 -99.6957671671041 -723.74105165246</f>
        <v>-1393.0970123573211</v>
      </c>
      <c r="P2358">
        <f>-612.184296550248 -92.5879262787421 -410.169184665261</f>
        <v>-1114.9414074942511</v>
      </c>
      <c r="Q2358" t="s">
        <v>45847</v>
      </c>
      <c r="R2358" t="s">
        <v>45848</v>
      </c>
      <c r="S2358" t="s">
        <v>45849</v>
      </c>
      <c r="T2358" t="s">
        <v>45850</v>
      </c>
      <c r="U2358" t="s">
        <v>45851</v>
      </c>
      <c r="V2358" t="s">
        <v>45852</v>
      </c>
      <c r="W2358" t="s">
        <v>45853</v>
      </c>
      <c r="X2358" t="s">
        <v>45854</v>
      </c>
      <c r="Y2358" t="s">
        <v>45855</v>
      </c>
    </row>
    <row r="2359" spans="1:25" x14ac:dyDescent="0.3">
      <c r="A2359">
        <v>117900</v>
      </c>
      <c r="B2359" t="s">
        <v>45856</v>
      </c>
      <c r="C2359" t="s">
        <v>45857</v>
      </c>
      <c r="D2359" t="s">
        <v>45858</v>
      </c>
      <c r="E2359" t="s">
        <v>45859</v>
      </c>
      <c r="F2359" t="s">
        <v>45860</v>
      </c>
      <c r="G2359" t="s">
        <v>45861</v>
      </c>
      <c r="H2359" t="s">
        <v>45862</v>
      </c>
      <c r="I2359" t="s">
        <v>45863</v>
      </c>
      <c r="J2359" t="s">
        <v>45864</v>
      </c>
      <c r="K2359" t="s">
        <v>45865</v>
      </c>
      <c r="L2359" t="s">
        <v>45866</v>
      </c>
      <c r="M2359" t="s">
        <v>45867</v>
      </c>
      <c r="N2359" t="s">
        <v>45868</v>
      </c>
      <c r="O2359">
        <f>-568.683209086069 -100.553405156734 -723.817054191037</f>
        <v>-1393.0536684338399</v>
      </c>
      <c r="P2359">
        <f>-611.71829172905 -93.888144383166 -410.305231473913</f>
        <v>-1115.9116675861289</v>
      </c>
      <c r="Q2359" t="s">
        <v>45869</v>
      </c>
      <c r="R2359" t="s">
        <v>45870</v>
      </c>
      <c r="S2359" t="s">
        <v>45871</v>
      </c>
      <c r="T2359" t="s">
        <v>45872</v>
      </c>
      <c r="U2359" t="s">
        <v>45873</v>
      </c>
      <c r="V2359" t="s">
        <v>45874</v>
      </c>
      <c r="W2359" t="s">
        <v>45875</v>
      </c>
      <c r="X2359" t="s">
        <v>45876</v>
      </c>
      <c r="Y2359" t="s">
        <v>45877</v>
      </c>
    </row>
    <row r="2360" spans="1:25" x14ac:dyDescent="0.3">
      <c r="A2360">
        <v>117950</v>
      </c>
      <c r="B2360" t="s">
        <v>45878</v>
      </c>
      <c r="C2360" t="s">
        <v>45879</v>
      </c>
      <c r="D2360" t="s">
        <v>45880</v>
      </c>
      <c r="E2360" t="s">
        <v>45881</v>
      </c>
      <c r="F2360" t="s">
        <v>45882</v>
      </c>
      <c r="G2360" t="s">
        <v>45883</v>
      </c>
      <c r="H2360" t="s">
        <v>45884</v>
      </c>
      <c r="I2360" t="s">
        <v>45885</v>
      </c>
      <c r="J2360" t="s">
        <v>45886</v>
      </c>
      <c r="K2360" t="s">
        <v>45887</v>
      </c>
      <c r="L2360" t="s">
        <v>45888</v>
      </c>
      <c r="M2360" t="s">
        <v>45889</v>
      </c>
      <c r="N2360" t="s">
        <v>45890</v>
      </c>
      <c r="O2360">
        <f>-567.350685573287 -102.393779970284 -724.095795124849</f>
        <v>-1393.8402606684199</v>
      </c>
      <c r="P2360">
        <f>-610.500869765728 -96.4702319027979 -410.584813689153</f>
        <v>-1117.5559153576789</v>
      </c>
      <c r="Q2360" t="s">
        <v>45891</v>
      </c>
      <c r="R2360" t="s">
        <v>45892</v>
      </c>
      <c r="S2360" t="s">
        <v>45893</v>
      </c>
      <c r="T2360" t="s">
        <v>45894</v>
      </c>
      <c r="U2360" t="s">
        <v>45895</v>
      </c>
      <c r="V2360" t="s">
        <v>45896</v>
      </c>
      <c r="W2360" t="s">
        <v>45897</v>
      </c>
      <c r="X2360" t="s">
        <v>45898</v>
      </c>
      <c r="Y2360" t="s">
        <v>45899</v>
      </c>
    </row>
    <row r="2361" spans="1:25" x14ac:dyDescent="0.3">
      <c r="A2361">
        <v>118000</v>
      </c>
      <c r="B2361" t="s">
        <v>45900</v>
      </c>
      <c r="C2361" t="s">
        <v>45901</v>
      </c>
      <c r="D2361" t="s">
        <v>45902</v>
      </c>
      <c r="E2361" t="s">
        <v>45903</v>
      </c>
      <c r="F2361" t="s">
        <v>45904</v>
      </c>
      <c r="G2361" t="s">
        <v>45905</v>
      </c>
      <c r="H2361" t="s">
        <v>45906</v>
      </c>
      <c r="I2361" t="s">
        <v>45907</v>
      </c>
      <c r="J2361" t="s">
        <v>45908</v>
      </c>
      <c r="K2361" t="s">
        <v>45909</v>
      </c>
      <c r="L2361" t="s">
        <v>45910</v>
      </c>
      <c r="M2361" t="s">
        <v>45911</v>
      </c>
      <c r="N2361" t="s">
        <v>45912</v>
      </c>
      <c r="O2361">
        <f>-566.888452792687 -103.566977836425 -724.231512081936</f>
        <v>-1394.686942711048</v>
      </c>
      <c r="P2361">
        <f>-609.603840914281 -98.2429009089972 -410.650224013523</f>
        <v>-1118.4969658368011</v>
      </c>
      <c r="Q2361" t="s">
        <v>45913</v>
      </c>
      <c r="R2361" t="s">
        <v>45914</v>
      </c>
      <c r="S2361" t="s">
        <v>45915</v>
      </c>
      <c r="T2361" t="s">
        <v>45916</v>
      </c>
      <c r="U2361" t="s">
        <v>45917</v>
      </c>
      <c r="V2361" t="s">
        <v>45918</v>
      </c>
      <c r="W2361" t="s">
        <v>45919</v>
      </c>
      <c r="X2361" t="s">
        <v>45920</v>
      </c>
      <c r="Y2361" t="s">
        <v>45921</v>
      </c>
    </row>
    <row r="2362" spans="1:25" x14ac:dyDescent="0.3">
      <c r="A2362">
        <v>118050</v>
      </c>
      <c r="B2362" t="s">
        <v>45922</v>
      </c>
      <c r="C2362" t="s">
        <v>45923</v>
      </c>
      <c r="D2362" t="s">
        <v>45924</v>
      </c>
      <c r="E2362" t="s">
        <v>45925</v>
      </c>
      <c r="F2362" t="s">
        <v>45926</v>
      </c>
      <c r="G2362" t="s">
        <v>45927</v>
      </c>
      <c r="H2362" t="s">
        <v>45928</v>
      </c>
      <c r="I2362" t="s">
        <v>45929</v>
      </c>
      <c r="J2362" t="s">
        <v>45930</v>
      </c>
      <c r="K2362" t="s">
        <v>45931</v>
      </c>
      <c r="L2362" t="s">
        <v>45932</v>
      </c>
      <c r="M2362" t="s">
        <v>45933</v>
      </c>
      <c r="N2362" t="s">
        <v>45934</v>
      </c>
      <c r="O2362">
        <f>-566.572916734261 -105.516267979695 -724.502969923671</f>
        <v>-1396.5921546376271</v>
      </c>
      <c r="P2362">
        <f>-608.732571079917 -100.341796103307 -410.84397979471</f>
        <v>-1119.9183469779341</v>
      </c>
      <c r="Q2362" t="s">
        <v>45935</v>
      </c>
      <c r="R2362" t="s">
        <v>45936</v>
      </c>
      <c r="S2362" t="s">
        <v>45937</v>
      </c>
      <c r="T2362" t="s">
        <v>45938</v>
      </c>
      <c r="U2362" t="s">
        <v>45939</v>
      </c>
      <c r="V2362" t="s">
        <v>45940</v>
      </c>
      <c r="W2362" t="s">
        <v>45941</v>
      </c>
      <c r="X2362" t="s">
        <v>45942</v>
      </c>
      <c r="Y2362" t="s">
        <v>45943</v>
      </c>
    </row>
    <row r="2363" spans="1:25" x14ac:dyDescent="0.3">
      <c r="A2363">
        <v>118100</v>
      </c>
      <c r="B2363" t="s">
        <v>45944</v>
      </c>
      <c r="C2363" t="s">
        <v>45945</v>
      </c>
      <c r="D2363" t="s">
        <v>45946</v>
      </c>
      <c r="E2363" t="s">
        <v>45947</v>
      </c>
      <c r="F2363" t="s">
        <v>45948</v>
      </c>
      <c r="G2363" t="s">
        <v>45949</v>
      </c>
      <c r="H2363" t="s">
        <v>45950</v>
      </c>
      <c r="I2363" t="s">
        <v>45951</v>
      </c>
      <c r="J2363" t="s">
        <v>45952</v>
      </c>
      <c r="K2363" t="s">
        <v>45953</v>
      </c>
      <c r="L2363" t="s">
        <v>45954</v>
      </c>
      <c r="M2363" t="s">
        <v>45955</v>
      </c>
      <c r="N2363" t="s">
        <v>45956</v>
      </c>
      <c r="O2363">
        <f>-566.537751160784 -106.676160942732 -724.469529730198</f>
        <v>-1397.6834418337139</v>
      </c>
      <c r="P2363">
        <f>-608.200841227158 -101.744284333039 -410.740229306841</f>
        <v>-1120.6853548670379</v>
      </c>
      <c r="Q2363" t="s">
        <v>45957</v>
      </c>
      <c r="R2363" t="s">
        <v>45958</v>
      </c>
      <c r="S2363" t="s">
        <v>45959</v>
      </c>
      <c r="T2363" t="s">
        <v>45960</v>
      </c>
      <c r="U2363" t="s">
        <v>45961</v>
      </c>
      <c r="V2363" t="s">
        <v>45962</v>
      </c>
      <c r="W2363" t="s">
        <v>45963</v>
      </c>
      <c r="X2363" t="s">
        <v>45964</v>
      </c>
      <c r="Y2363" t="s">
        <v>45965</v>
      </c>
    </row>
    <row r="2364" spans="1:25" x14ac:dyDescent="0.3">
      <c r="A2364">
        <v>118150</v>
      </c>
      <c r="B2364" t="s">
        <v>45966</v>
      </c>
      <c r="C2364" t="s">
        <v>45967</v>
      </c>
      <c r="D2364" t="s">
        <v>45968</v>
      </c>
      <c r="E2364" t="s">
        <v>45969</v>
      </c>
      <c r="F2364" t="s">
        <v>45970</v>
      </c>
      <c r="G2364" t="s">
        <v>45971</v>
      </c>
      <c r="H2364" t="s">
        <v>45972</v>
      </c>
      <c r="I2364" t="s">
        <v>45973</v>
      </c>
      <c r="J2364" t="s">
        <v>45974</v>
      </c>
      <c r="K2364" t="s">
        <v>45975</v>
      </c>
      <c r="L2364" t="s">
        <v>45976</v>
      </c>
      <c r="M2364" t="s">
        <v>45977</v>
      </c>
      <c r="N2364" t="s">
        <v>45978</v>
      </c>
      <c r="O2364">
        <f>-566.802710591272 -108.789296129687 -724.575218020075</f>
        <v>-1400.167224741034</v>
      </c>
      <c r="P2364">
        <f>-608.090219640488 -104.016975266404 -410.793811278718</f>
        <v>-1122.90100618561</v>
      </c>
      <c r="Q2364" t="s">
        <v>45979</v>
      </c>
      <c r="R2364" t="s">
        <v>45980</v>
      </c>
      <c r="S2364" t="s">
        <v>45981</v>
      </c>
      <c r="T2364" t="s">
        <v>45982</v>
      </c>
      <c r="U2364" t="s">
        <v>45983</v>
      </c>
      <c r="V2364" t="s">
        <v>45984</v>
      </c>
      <c r="W2364" t="s">
        <v>45985</v>
      </c>
      <c r="X2364" t="s">
        <v>45986</v>
      </c>
      <c r="Y2364" t="s">
        <v>45987</v>
      </c>
    </row>
    <row r="2365" spans="1:25" x14ac:dyDescent="0.3">
      <c r="A2365">
        <v>118200</v>
      </c>
      <c r="B2365" t="s">
        <v>45988</v>
      </c>
      <c r="C2365" t="s">
        <v>45989</v>
      </c>
      <c r="D2365" t="s">
        <v>45990</v>
      </c>
      <c r="E2365" t="s">
        <v>45991</v>
      </c>
      <c r="F2365" t="s">
        <v>45992</v>
      </c>
      <c r="G2365" t="s">
        <v>45993</v>
      </c>
      <c r="H2365" t="s">
        <v>45994</v>
      </c>
      <c r="I2365" t="s">
        <v>45995</v>
      </c>
      <c r="J2365" t="s">
        <v>45996</v>
      </c>
      <c r="K2365" t="s">
        <v>45997</v>
      </c>
      <c r="L2365" t="s">
        <v>45998</v>
      </c>
      <c r="M2365" t="s">
        <v>45999</v>
      </c>
      <c r="N2365" t="s">
        <v>46000</v>
      </c>
      <c r="O2365">
        <f>-566.922044691604 -109.853944592939 -724.574381251851</f>
        <v>-1401.3503705363942</v>
      </c>
      <c r="P2365">
        <f>-607.751800690434 -105.141708542269 -410.732116958577</f>
        <v>-1123.6256261912802</v>
      </c>
      <c r="Q2365" t="s">
        <v>46001</v>
      </c>
      <c r="R2365" t="s">
        <v>46002</v>
      </c>
      <c r="S2365" t="s">
        <v>46003</v>
      </c>
      <c r="T2365" t="s">
        <v>46004</v>
      </c>
      <c r="U2365" t="s">
        <v>46005</v>
      </c>
      <c r="V2365" t="s">
        <v>46006</v>
      </c>
      <c r="W2365" t="s">
        <v>46007</v>
      </c>
      <c r="X2365" t="s">
        <v>46008</v>
      </c>
      <c r="Y2365" t="s">
        <v>46009</v>
      </c>
    </row>
    <row r="2366" spans="1:25" x14ac:dyDescent="0.3">
      <c r="A2366">
        <v>118250</v>
      </c>
      <c r="B2366" t="s">
        <v>46010</v>
      </c>
      <c r="C2366" t="s">
        <v>46011</v>
      </c>
      <c r="D2366" t="s">
        <v>46012</v>
      </c>
      <c r="E2366" t="s">
        <v>46013</v>
      </c>
      <c r="F2366" t="s">
        <v>46014</v>
      </c>
      <c r="G2366" t="s">
        <v>46015</v>
      </c>
      <c r="H2366" t="s">
        <v>46016</v>
      </c>
      <c r="I2366" t="s">
        <v>46017</v>
      </c>
      <c r="J2366" t="s">
        <v>46018</v>
      </c>
      <c r="K2366" t="s">
        <v>46019</v>
      </c>
      <c r="L2366" t="s">
        <v>46020</v>
      </c>
      <c r="M2366" t="s">
        <v>46021</v>
      </c>
      <c r="N2366" t="s">
        <v>46022</v>
      </c>
      <c r="O2366">
        <f>-567.340612403729 -111.657348807282 -724.432036290395</f>
        <v>-1403.429997501406</v>
      </c>
      <c r="P2366">
        <f>-608.547338627377 -106.632662231465 -410.643851735312</f>
        <v>-1125.823852594154</v>
      </c>
      <c r="Q2366" t="s">
        <v>46023</v>
      </c>
      <c r="R2366" t="s">
        <v>46024</v>
      </c>
      <c r="S2366" t="s">
        <v>46025</v>
      </c>
      <c r="T2366" t="s">
        <v>46026</v>
      </c>
      <c r="U2366" t="s">
        <v>46027</v>
      </c>
      <c r="V2366" t="s">
        <v>46028</v>
      </c>
      <c r="W2366" t="s">
        <v>46029</v>
      </c>
      <c r="X2366" t="s">
        <v>46030</v>
      </c>
      <c r="Y2366" t="s">
        <v>46031</v>
      </c>
    </row>
    <row r="2367" spans="1:25" x14ac:dyDescent="0.3">
      <c r="A2367">
        <v>118300</v>
      </c>
      <c r="B2367" t="s">
        <v>46032</v>
      </c>
      <c r="C2367" t="s">
        <v>46033</v>
      </c>
      <c r="D2367" t="s">
        <v>46034</v>
      </c>
      <c r="E2367" t="s">
        <v>46035</v>
      </c>
      <c r="F2367" t="s">
        <v>46036</v>
      </c>
      <c r="G2367" t="s">
        <v>46037</v>
      </c>
      <c r="H2367" t="s">
        <v>46038</v>
      </c>
      <c r="I2367" t="s">
        <v>46039</v>
      </c>
      <c r="J2367" t="s">
        <v>46040</v>
      </c>
      <c r="K2367" t="s">
        <v>46041</v>
      </c>
      <c r="L2367" t="s">
        <v>46042</v>
      </c>
      <c r="M2367" t="s">
        <v>46043</v>
      </c>
      <c r="N2367" t="s">
        <v>46044</v>
      </c>
      <c r="O2367">
        <f>-567.63608294122 -112.590124682204 -724.39393127365</f>
        <v>-1404.620138897074</v>
      </c>
      <c r="P2367">
        <f>-608.98269352196 -107.468235281597 -410.625835262227</f>
        <v>-1127.0767640657839</v>
      </c>
      <c r="Q2367" t="s">
        <v>46045</v>
      </c>
      <c r="R2367" t="s">
        <v>46046</v>
      </c>
      <c r="S2367" t="s">
        <v>46047</v>
      </c>
      <c r="T2367" t="s">
        <v>46048</v>
      </c>
      <c r="U2367" t="s">
        <v>46049</v>
      </c>
      <c r="V2367" t="s">
        <v>46050</v>
      </c>
      <c r="W2367" t="s">
        <v>46051</v>
      </c>
      <c r="X2367" t="s">
        <v>46052</v>
      </c>
      <c r="Y2367" t="s">
        <v>46053</v>
      </c>
    </row>
    <row r="2368" spans="1:25" x14ac:dyDescent="0.3">
      <c r="A2368">
        <v>118350</v>
      </c>
      <c r="B2368" t="s">
        <v>46054</v>
      </c>
      <c r="C2368" t="s">
        <v>46055</v>
      </c>
      <c r="D2368" t="s">
        <v>46056</v>
      </c>
      <c r="E2368" t="s">
        <v>46057</v>
      </c>
      <c r="F2368" t="s">
        <v>46058</v>
      </c>
      <c r="G2368" t="s">
        <v>46059</v>
      </c>
      <c r="H2368" t="s">
        <v>46060</v>
      </c>
      <c r="I2368" t="s">
        <v>46061</v>
      </c>
      <c r="J2368" t="s">
        <v>46062</v>
      </c>
      <c r="K2368" t="s">
        <v>46063</v>
      </c>
      <c r="L2368" t="s">
        <v>46064</v>
      </c>
      <c r="M2368" t="s">
        <v>46065</v>
      </c>
      <c r="N2368" t="s">
        <v>46066</v>
      </c>
      <c r="O2368">
        <f>-568.499244418932 -114.039833925084 -724.33241165075</f>
        <v>-1406.8714899947659</v>
      </c>
      <c r="P2368">
        <f>-610.602220629777 -108.241568596651 -410.676579337001</f>
        <v>-1129.520368563429</v>
      </c>
      <c r="Q2368" t="s">
        <v>46067</v>
      </c>
      <c r="R2368" t="s">
        <v>46068</v>
      </c>
      <c r="S2368" t="s">
        <v>46069</v>
      </c>
      <c r="T2368" t="s">
        <v>46070</v>
      </c>
      <c r="U2368" t="s">
        <v>46071</v>
      </c>
      <c r="V2368" t="s">
        <v>46072</v>
      </c>
      <c r="W2368" t="s">
        <v>46073</v>
      </c>
      <c r="X2368" t="s">
        <v>46074</v>
      </c>
      <c r="Y2368" t="s">
        <v>46075</v>
      </c>
    </row>
    <row r="2369" spans="1:25" x14ac:dyDescent="0.3">
      <c r="A2369">
        <v>118400</v>
      </c>
      <c r="B2369" t="s">
        <v>46076</v>
      </c>
      <c r="C2369" t="s">
        <v>46077</v>
      </c>
      <c r="D2369" t="s">
        <v>46078</v>
      </c>
      <c r="E2369" t="s">
        <v>46079</v>
      </c>
      <c r="F2369" t="s">
        <v>46080</v>
      </c>
      <c r="G2369" t="s">
        <v>46081</v>
      </c>
      <c r="H2369" t="s">
        <v>46082</v>
      </c>
      <c r="I2369" t="s">
        <v>46083</v>
      </c>
      <c r="J2369" t="s">
        <v>46084</v>
      </c>
      <c r="K2369" t="s">
        <v>46085</v>
      </c>
      <c r="L2369" t="s">
        <v>46086</v>
      </c>
      <c r="M2369" t="s">
        <v>46087</v>
      </c>
      <c r="N2369" t="s">
        <v>46088</v>
      </c>
      <c r="O2369">
        <f>-568.955380065591 -114.851041471565 -724.218107290294</f>
        <v>-1408.02452882745</v>
      </c>
      <c r="P2369">
        <f>-611.173471539153 -109.169775748338 -410.575678417962</f>
        <v>-1130.9189257054529</v>
      </c>
      <c r="Q2369" t="s">
        <v>46089</v>
      </c>
      <c r="R2369" t="s">
        <v>46090</v>
      </c>
      <c r="S2369" t="s">
        <v>46091</v>
      </c>
      <c r="T2369" t="s">
        <v>46092</v>
      </c>
      <c r="U2369" t="s">
        <v>46093</v>
      </c>
      <c r="V2369" t="s">
        <v>46094</v>
      </c>
      <c r="W2369" t="s">
        <v>46095</v>
      </c>
      <c r="X2369" t="s">
        <v>46096</v>
      </c>
      <c r="Y2369" t="s">
        <v>46097</v>
      </c>
    </row>
    <row r="2370" spans="1:25" x14ac:dyDescent="0.3">
      <c r="A2370">
        <v>118450</v>
      </c>
      <c r="B2370" t="s">
        <v>46098</v>
      </c>
      <c r="C2370" t="s">
        <v>46099</v>
      </c>
      <c r="D2370" t="s">
        <v>46100</v>
      </c>
      <c r="E2370" t="s">
        <v>46101</v>
      </c>
      <c r="F2370" t="s">
        <v>46102</v>
      </c>
      <c r="G2370" t="s">
        <v>46103</v>
      </c>
      <c r="H2370" t="s">
        <v>46104</v>
      </c>
      <c r="I2370" t="s">
        <v>46105</v>
      </c>
      <c r="J2370" t="s">
        <v>46106</v>
      </c>
      <c r="K2370" t="s">
        <v>46107</v>
      </c>
      <c r="L2370" t="s">
        <v>46108</v>
      </c>
      <c r="M2370" t="s">
        <v>46109</v>
      </c>
      <c r="N2370" t="s">
        <v>46110</v>
      </c>
      <c r="O2370">
        <f>-569.979397678844 -116.185918843392 -723.937509603328</f>
        <v>-1410.1028261255638</v>
      </c>
      <c r="P2370">
        <f>-612.34645809519 -109.648954930998 -410.331902207598</f>
        <v>-1132.3273152337861</v>
      </c>
      <c r="Q2370" t="s">
        <v>46111</v>
      </c>
      <c r="R2370" t="s">
        <v>46112</v>
      </c>
      <c r="S2370" t="s">
        <v>46113</v>
      </c>
      <c r="T2370" t="s">
        <v>46114</v>
      </c>
      <c r="U2370" t="s">
        <v>46115</v>
      </c>
      <c r="V2370" t="s">
        <v>46116</v>
      </c>
      <c r="W2370" t="s">
        <v>46117</v>
      </c>
      <c r="X2370" t="s">
        <v>46118</v>
      </c>
      <c r="Y2370" t="s">
        <v>46119</v>
      </c>
    </row>
    <row r="2371" spans="1:25" x14ac:dyDescent="0.3">
      <c r="A2371">
        <v>118500</v>
      </c>
      <c r="B2371" t="s">
        <v>46120</v>
      </c>
      <c r="C2371" t="s">
        <v>46121</v>
      </c>
      <c r="D2371" t="s">
        <v>46122</v>
      </c>
      <c r="E2371" t="s">
        <v>46123</v>
      </c>
      <c r="F2371" t="s">
        <v>46124</v>
      </c>
      <c r="G2371" t="s">
        <v>46125</v>
      </c>
      <c r="H2371" t="s">
        <v>46126</v>
      </c>
      <c r="I2371" t="s">
        <v>46127</v>
      </c>
      <c r="J2371" t="s">
        <v>46128</v>
      </c>
      <c r="K2371" t="s">
        <v>46129</v>
      </c>
      <c r="L2371" t="s">
        <v>46130</v>
      </c>
      <c r="M2371" t="s">
        <v>46131</v>
      </c>
      <c r="N2371" t="s">
        <v>46132</v>
      </c>
      <c r="O2371">
        <f>-570.349680165312 -117.08011622639 -723.783859417642</f>
        <v>-1411.2136558093439</v>
      </c>
      <c r="P2371">
        <f>-612.986964220866 -110.475252410215 -410.216285259325</f>
        <v>-1133.6785018904061</v>
      </c>
      <c r="Q2371" t="s">
        <v>46133</v>
      </c>
      <c r="R2371" t="s">
        <v>46134</v>
      </c>
      <c r="S2371" t="s">
        <v>46135</v>
      </c>
      <c r="T2371" t="s">
        <v>46136</v>
      </c>
      <c r="U2371" t="s">
        <v>46137</v>
      </c>
      <c r="V2371" t="s">
        <v>46138</v>
      </c>
      <c r="W2371" t="s">
        <v>46139</v>
      </c>
      <c r="X2371" t="s">
        <v>46140</v>
      </c>
      <c r="Y2371" t="s">
        <v>46141</v>
      </c>
    </row>
    <row r="2372" spans="1:25" x14ac:dyDescent="0.3">
      <c r="A2372">
        <v>118550</v>
      </c>
      <c r="B2372" t="s">
        <v>46142</v>
      </c>
      <c r="C2372" t="s">
        <v>46143</v>
      </c>
      <c r="D2372" t="s">
        <v>46144</v>
      </c>
      <c r="E2372" t="s">
        <v>46145</v>
      </c>
      <c r="F2372" t="s">
        <v>46146</v>
      </c>
      <c r="G2372" t="s">
        <v>46147</v>
      </c>
      <c r="H2372" t="s">
        <v>46148</v>
      </c>
      <c r="I2372" t="s">
        <v>46149</v>
      </c>
      <c r="J2372" t="s">
        <v>46150</v>
      </c>
      <c r="K2372" t="s">
        <v>46151</v>
      </c>
      <c r="L2372" t="s">
        <v>46152</v>
      </c>
      <c r="M2372" t="s">
        <v>46153</v>
      </c>
      <c r="N2372" t="s">
        <v>46154</v>
      </c>
      <c r="O2372">
        <f>-571.235471122457 -118.321692723643 -723.614589921287</f>
        <v>-1413.1717537673871</v>
      </c>
      <c r="P2372">
        <f>-613.772166006818 -111.467106331162 -410.038788427555</f>
        <v>-1135.278060765535</v>
      </c>
      <c r="Q2372" t="s">
        <v>46155</v>
      </c>
      <c r="R2372" t="s">
        <v>46156</v>
      </c>
      <c r="S2372" t="s">
        <v>46157</v>
      </c>
      <c r="T2372" t="s">
        <v>46158</v>
      </c>
      <c r="U2372" t="s">
        <v>46159</v>
      </c>
      <c r="V2372" t="s">
        <v>46160</v>
      </c>
      <c r="W2372" t="s">
        <v>46161</v>
      </c>
      <c r="X2372" t="s">
        <v>46162</v>
      </c>
      <c r="Y2372" t="s">
        <v>46163</v>
      </c>
    </row>
    <row r="2373" spans="1:25" x14ac:dyDescent="0.3">
      <c r="A2373">
        <v>118600</v>
      </c>
      <c r="B2373" t="s">
        <v>46164</v>
      </c>
      <c r="C2373" t="s">
        <v>46165</v>
      </c>
      <c r="D2373" t="s">
        <v>46166</v>
      </c>
      <c r="E2373" t="s">
        <v>46167</v>
      </c>
      <c r="F2373" t="s">
        <v>46168</v>
      </c>
      <c r="G2373" t="s">
        <v>46169</v>
      </c>
      <c r="H2373" t="s">
        <v>46170</v>
      </c>
      <c r="I2373" t="s">
        <v>46171</v>
      </c>
      <c r="J2373" t="s">
        <v>46172</v>
      </c>
      <c r="K2373" t="s">
        <v>46173</v>
      </c>
      <c r="L2373" t="s">
        <v>46174</v>
      </c>
      <c r="M2373" t="s">
        <v>46175</v>
      </c>
      <c r="N2373" t="s">
        <v>46176</v>
      </c>
      <c r="O2373">
        <f>-571.735302463793 -118.677085704653 -723.561813156412</f>
        <v>-1413.9742013248579</v>
      </c>
      <c r="P2373">
        <f>-614.243615031865 -111.881245767066 -409.980804215412</f>
        <v>-1136.105665014343</v>
      </c>
      <c r="Q2373" t="s">
        <v>46177</v>
      </c>
      <c r="R2373" t="s">
        <v>46178</v>
      </c>
      <c r="S2373" t="s">
        <v>46179</v>
      </c>
      <c r="T2373" t="s">
        <v>46180</v>
      </c>
      <c r="U2373" t="s">
        <v>46181</v>
      </c>
      <c r="V2373" t="s">
        <v>46182</v>
      </c>
      <c r="W2373" t="s">
        <v>46183</v>
      </c>
      <c r="X2373" t="s">
        <v>46184</v>
      </c>
      <c r="Y2373" t="s">
        <v>46185</v>
      </c>
    </row>
    <row r="2374" spans="1:25" x14ac:dyDescent="0.3">
      <c r="A2374">
        <v>118650</v>
      </c>
      <c r="B2374" t="s">
        <v>46186</v>
      </c>
      <c r="C2374" t="s">
        <v>46187</v>
      </c>
      <c r="D2374" t="s">
        <v>46188</v>
      </c>
      <c r="E2374" t="s">
        <v>46189</v>
      </c>
      <c r="F2374" t="s">
        <v>46190</v>
      </c>
      <c r="G2374" t="s">
        <v>46191</v>
      </c>
      <c r="H2374" t="s">
        <v>46192</v>
      </c>
      <c r="I2374" t="s">
        <v>46193</v>
      </c>
      <c r="J2374" t="s">
        <v>46194</v>
      </c>
      <c r="K2374" t="s">
        <v>46195</v>
      </c>
      <c r="L2374" t="s">
        <v>46196</v>
      </c>
      <c r="M2374" t="s">
        <v>46197</v>
      </c>
      <c r="N2374" t="s">
        <v>46198</v>
      </c>
      <c r="O2374">
        <f>-572.451251919904 -119.367181993795 -723.505531958961</f>
        <v>-1415.3239658726602</v>
      </c>
      <c r="P2374">
        <f>-614.724256258987 -112.25884703451 -409.899565456237</f>
        <v>-1136.882668749734</v>
      </c>
      <c r="Q2374" t="s">
        <v>46199</v>
      </c>
      <c r="R2374" t="s">
        <v>46200</v>
      </c>
      <c r="S2374" t="s">
        <v>46201</v>
      </c>
      <c r="T2374" t="s">
        <v>46202</v>
      </c>
      <c r="U2374" t="s">
        <v>46203</v>
      </c>
      <c r="V2374" t="s">
        <v>46204</v>
      </c>
      <c r="W2374" t="s">
        <v>46205</v>
      </c>
      <c r="X2374" t="s">
        <v>46206</v>
      </c>
      <c r="Y2374" t="s">
        <v>46207</v>
      </c>
    </row>
    <row r="2375" spans="1:25" x14ac:dyDescent="0.3">
      <c r="A2375">
        <v>118700</v>
      </c>
      <c r="B2375" t="s">
        <v>46208</v>
      </c>
      <c r="C2375" t="s">
        <v>46209</v>
      </c>
      <c r="D2375" t="s">
        <v>46210</v>
      </c>
      <c r="E2375" t="s">
        <v>46211</v>
      </c>
      <c r="F2375" t="s">
        <v>46212</v>
      </c>
      <c r="G2375" t="s">
        <v>46213</v>
      </c>
      <c r="H2375" t="s">
        <v>46214</v>
      </c>
      <c r="I2375" t="s">
        <v>46215</v>
      </c>
      <c r="J2375" t="s">
        <v>46216</v>
      </c>
      <c r="K2375" t="s">
        <v>46217</v>
      </c>
      <c r="L2375" t="s">
        <v>46218</v>
      </c>
      <c r="M2375" t="s">
        <v>46219</v>
      </c>
      <c r="N2375" t="s">
        <v>46220</v>
      </c>
      <c r="O2375">
        <f>-572.789964179488 -119.747398471789 -723.501397771502</f>
        <v>-1416.038760422779</v>
      </c>
      <c r="P2375">
        <f>-615.010616970006 -112.806265697755 -409.884626106369</f>
        <v>-1137.7015087741299</v>
      </c>
      <c r="Q2375" t="s">
        <v>46221</v>
      </c>
      <c r="R2375" t="s">
        <v>46222</v>
      </c>
      <c r="S2375" t="s">
        <v>46223</v>
      </c>
      <c r="T2375" t="s">
        <v>46224</v>
      </c>
      <c r="U2375" t="s">
        <v>46225</v>
      </c>
      <c r="V2375" t="s">
        <v>46226</v>
      </c>
      <c r="W2375" t="s">
        <v>46227</v>
      </c>
      <c r="X2375" t="s">
        <v>46228</v>
      </c>
      <c r="Y2375" t="s">
        <v>46229</v>
      </c>
    </row>
    <row r="2376" spans="1:25" x14ac:dyDescent="0.3">
      <c r="A2376">
        <v>118750</v>
      </c>
      <c r="B2376" t="s">
        <v>46230</v>
      </c>
      <c r="C2376" t="s">
        <v>46231</v>
      </c>
      <c r="D2376" t="s">
        <v>46232</v>
      </c>
      <c r="E2376" t="s">
        <v>46233</v>
      </c>
      <c r="F2376" t="s">
        <v>46234</v>
      </c>
      <c r="G2376" t="s">
        <v>46235</v>
      </c>
      <c r="H2376" t="s">
        <v>46236</v>
      </c>
      <c r="I2376" t="s">
        <v>46237</v>
      </c>
      <c r="J2376" t="s">
        <v>46238</v>
      </c>
      <c r="K2376" t="s">
        <v>46239</v>
      </c>
      <c r="L2376" t="s">
        <v>46240</v>
      </c>
      <c r="M2376" t="s">
        <v>46241</v>
      </c>
      <c r="N2376" t="s">
        <v>46242</v>
      </c>
      <c r="O2376">
        <f>-573.473500541424 -120.152254322732 -723.427921016208</f>
        <v>-1417.0536758803639</v>
      </c>
      <c r="P2376">
        <f>-615.840059845329 -113.120670093823 -409.832817548384</f>
        <v>-1138.7935474875362</v>
      </c>
      <c r="Q2376" t="s">
        <v>46243</v>
      </c>
      <c r="R2376" t="s">
        <v>46244</v>
      </c>
      <c r="S2376" t="s">
        <v>46245</v>
      </c>
      <c r="T2376" t="s">
        <v>46246</v>
      </c>
      <c r="U2376" t="s">
        <v>46247</v>
      </c>
      <c r="V2376" t="s">
        <v>46248</v>
      </c>
      <c r="W2376" t="s">
        <v>46249</v>
      </c>
      <c r="X2376" t="s">
        <v>46250</v>
      </c>
      <c r="Y2376" t="s">
        <v>46251</v>
      </c>
    </row>
    <row r="2377" spans="1:25" x14ac:dyDescent="0.3">
      <c r="A2377">
        <v>118800</v>
      </c>
      <c r="B2377" t="s">
        <v>46252</v>
      </c>
      <c r="C2377" t="s">
        <v>46253</v>
      </c>
      <c r="D2377" t="s">
        <v>46254</v>
      </c>
      <c r="E2377" t="s">
        <v>46255</v>
      </c>
      <c r="F2377" t="s">
        <v>46256</v>
      </c>
      <c r="G2377" t="s">
        <v>46257</v>
      </c>
      <c r="H2377" t="s">
        <v>46258</v>
      </c>
      <c r="I2377" t="s">
        <v>46259</v>
      </c>
      <c r="J2377" t="s">
        <v>46260</v>
      </c>
      <c r="K2377" t="s">
        <v>46261</v>
      </c>
      <c r="L2377" t="s">
        <v>46262</v>
      </c>
      <c r="M2377" t="s">
        <v>46263</v>
      </c>
      <c r="N2377" t="s">
        <v>46264</v>
      </c>
      <c r="O2377">
        <f>-573.454864638359 -120.259968934408 -723.488499402971</f>
        <v>-1417.203332975738</v>
      </c>
      <c r="P2377">
        <f>-615.835628918098 -113.357863163515 -409.892426708848</f>
        <v>-1139.0859187904612</v>
      </c>
      <c r="Q2377" t="s">
        <v>46265</v>
      </c>
      <c r="R2377" t="s">
        <v>46266</v>
      </c>
      <c r="S2377" t="s">
        <v>46267</v>
      </c>
      <c r="T2377" t="s">
        <v>46268</v>
      </c>
      <c r="U2377" t="s">
        <v>46269</v>
      </c>
      <c r="V2377" t="s">
        <v>46270</v>
      </c>
      <c r="W2377" t="s">
        <v>46271</v>
      </c>
      <c r="X2377" t="s">
        <v>46272</v>
      </c>
      <c r="Y2377" t="s">
        <v>46273</v>
      </c>
    </row>
    <row r="2378" spans="1:25" x14ac:dyDescent="0.3">
      <c r="A2378">
        <v>118850</v>
      </c>
      <c r="B2378" t="s">
        <v>46274</v>
      </c>
      <c r="C2378" t="s">
        <v>46275</v>
      </c>
      <c r="D2378" t="s">
        <v>46276</v>
      </c>
      <c r="E2378" t="s">
        <v>46277</v>
      </c>
      <c r="F2378" t="s">
        <v>46278</v>
      </c>
      <c r="G2378" t="s">
        <v>46279</v>
      </c>
      <c r="H2378" t="s">
        <v>46280</v>
      </c>
      <c r="I2378" t="s">
        <v>46281</v>
      </c>
      <c r="J2378" t="s">
        <v>46282</v>
      </c>
      <c r="K2378" t="s">
        <v>46283</v>
      </c>
      <c r="L2378" t="s">
        <v>46284</v>
      </c>
      <c r="M2378" t="s">
        <v>46285</v>
      </c>
      <c r="N2378" t="s">
        <v>46286</v>
      </c>
      <c r="O2378">
        <f>-573.857993062987 -120.128235276992 -723.632432534318</f>
        <v>-1417.6186608742969</v>
      </c>
      <c r="P2378">
        <f>-616.089756168056 -113.197130184106 -410.01710492915</f>
        <v>-1139.3039912813119</v>
      </c>
      <c r="Q2378" t="s">
        <v>46287</v>
      </c>
      <c r="R2378" t="s">
        <v>46288</v>
      </c>
      <c r="S2378" t="s">
        <v>46289</v>
      </c>
      <c r="T2378" t="s">
        <v>46290</v>
      </c>
      <c r="U2378" t="s">
        <v>46291</v>
      </c>
      <c r="V2378" t="s">
        <v>46292</v>
      </c>
      <c r="W2378" t="s">
        <v>46293</v>
      </c>
      <c r="X2378" t="s">
        <v>46294</v>
      </c>
      <c r="Y2378" t="s">
        <v>46295</v>
      </c>
    </row>
    <row r="2379" spans="1:25" x14ac:dyDescent="0.3">
      <c r="A2379">
        <v>118900</v>
      </c>
      <c r="B2379" t="s">
        <v>46296</v>
      </c>
      <c r="C2379" t="s">
        <v>46297</v>
      </c>
      <c r="D2379" t="s">
        <v>46298</v>
      </c>
      <c r="E2379" t="s">
        <v>46299</v>
      </c>
      <c r="F2379" t="s">
        <v>46300</v>
      </c>
      <c r="G2379" t="s">
        <v>46301</v>
      </c>
      <c r="H2379" t="s">
        <v>46302</v>
      </c>
      <c r="I2379" t="s">
        <v>46303</v>
      </c>
      <c r="J2379" t="s">
        <v>46304</v>
      </c>
      <c r="K2379" t="s">
        <v>46305</v>
      </c>
      <c r="L2379" t="s">
        <v>46306</v>
      </c>
      <c r="M2379" t="s">
        <v>46307</v>
      </c>
      <c r="N2379" t="s">
        <v>46308</v>
      </c>
      <c r="O2379">
        <f>-573.945476025539 -120.093185696443 -723.656378068392</f>
        <v>-1417.695039790374</v>
      </c>
      <c r="P2379">
        <f>-616.017421960263 -113.269357385086 -410.017136153388</f>
        <v>-1139.3039154987371</v>
      </c>
      <c r="Q2379" t="s">
        <v>46309</v>
      </c>
      <c r="R2379" t="s">
        <v>46310</v>
      </c>
      <c r="S2379" t="s">
        <v>46311</v>
      </c>
      <c r="T2379" t="s">
        <v>46312</v>
      </c>
      <c r="U2379" t="s">
        <v>46313</v>
      </c>
      <c r="V2379" t="s">
        <v>46314</v>
      </c>
      <c r="W2379" t="s">
        <v>46315</v>
      </c>
      <c r="X2379" t="s">
        <v>46316</v>
      </c>
      <c r="Y2379" t="s">
        <v>46317</v>
      </c>
    </row>
    <row r="2380" spans="1:25" x14ac:dyDescent="0.3">
      <c r="A2380">
        <v>118950</v>
      </c>
      <c r="B2380" t="s">
        <v>46318</v>
      </c>
      <c r="C2380" t="s">
        <v>46319</v>
      </c>
      <c r="D2380" t="s">
        <v>46320</v>
      </c>
      <c r="E2380" t="s">
        <v>46321</v>
      </c>
      <c r="F2380" t="s">
        <v>46322</v>
      </c>
      <c r="G2380" t="s">
        <v>46323</v>
      </c>
      <c r="H2380" t="s">
        <v>46324</v>
      </c>
      <c r="I2380" t="s">
        <v>46325</v>
      </c>
      <c r="J2380" t="s">
        <v>46326</v>
      </c>
      <c r="K2380" t="s">
        <v>46327</v>
      </c>
      <c r="L2380" t="s">
        <v>46328</v>
      </c>
      <c r="M2380" t="s">
        <v>46329</v>
      </c>
      <c r="N2380" t="s">
        <v>46330</v>
      </c>
      <c r="O2380">
        <f>-574.076706186571 -120.059026548505 -723.842251620173</f>
        <v>-1417.977984355249</v>
      </c>
      <c r="P2380">
        <f>-615.593061880808 -113.297399612251 -410.127558526803</f>
        <v>-1139.018020019862</v>
      </c>
      <c r="Q2380" t="s">
        <v>46331</v>
      </c>
      <c r="R2380" t="s">
        <v>46332</v>
      </c>
      <c r="S2380" t="s">
        <v>46333</v>
      </c>
      <c r="T2380" t="s">
        <v>46334</v>
      </c>
      <c r="U2380" t="s">
        <v>46335</v>
      </c>
      <c r="V2380" t="s">
        <v>46336</v>
      </c>
      <c r="W2380" t="s">
        <v>46337</v>
      </c>
      <c r="X2380" t="s">
        <v>46338</v>
      </c>
      <c r="Y2380" t="s">
        <v>46339</v>
      </c>
    </row>
    <row r="2381" spans="1:25" x14ac:dyDescent="0.3">
      <c r="A2381">
        <v>119000</v>
      </c>
      <c r="B2381" t="s">
        <v>46340</v>
      </c>
      <c r="C2381" t="s">
        <v>46341</v>
      </c>
      <c r="D2381" t="s">
        <v>46342</v>
      </c>
      <c r="E2381" t="s">
        <v>46343</v>
      </c>
      <c r="F2381" t="s">
        <v>46344</v>
      </c>
      <c r="G2381" t="s">
        <v>46345</v>
      </c>
      <c r="H2381" t="s">
        <v>46346</v>
      </c>
      <c r="I2381" t="s">
        <v>46347</v>
      </c>
      <c r="J2381" t="s">
        <v>46348</v>
      </c>
      <c r="K2381" t="s">
        <v>46349</v>
      </c>
      <c r="L2381" t="s">
        <v>46350</v>
      </c>
      <c r="M2381" t="s">
        <v>46351</v>
      </c>
      <c r="N2381" t="s">
        <v>46352</v>
      </c>
      <c r="O2381">
        <f>-574.176736433237 -120.195662812424 -723.889180432832</f>
        <v>-1418.261579678493</v>
      </c>
      <c r="P2381">
        <f>-615.47743448373 -113.587679059292 -410.14296182805</f>
        <v>-1139.208075371072</v>
      </c>
      <c r="Q2381" t="s">
        <v>46353</v>
      </c>
      <c r="R2381" t="s">
        <v>46354</v>
      </c>
      <c r="S2381" t="s">
        <v>46355</v>
      </c>
      <c r="T2381" t="s">
        <v>46356</v>
      </c>
      <c r="U2381" t="s">
        <v>46357</v>
      </c>
      <c r="V2381" t="s">
        <v>46358</v>
      </c>
      <c r="W2381" t="s">
        <v>46359</v>
      </c>
      <c r="X2381" t="s">
        <v>46360</v>
      </c>
      <c r="Y2381" t="s">
        <v>46361</v>
      </c>
    </row>
    <row r="2382" spans="1:25" x14ac:dyDescent="0.3">
      <c r="A2382">
        <v>119050</v>
      </c>
      <c r="B2382" t="s">
        <v>46362</v>
      </c>
      <c r="C2382" t="s">
        <v>46363</v>
      </c>
      <c r="D2382" t="s">
        <v>46364</v>
      </c>
      <c r="E2382" t="s">
        <v>46365</v>
      </c>
      <c r="F2382" t="s">
        <v>46366</v>
      </c>
      <c r="G2382" t="s">
        <v>46367</v>
      </c>
      <c r="H2382" t="s">
        <v>46368</v>
      </c>
      <c r="I2382" t="s">
        <v>46369</v>
      </c>
      <c r="J2382" t="s">
        <v>46370</v>
      </c>
      <c r="K2382" t="s">
        <v>46371</v>
      </c>
      <c r="L2382" t="s">
        <v>46372</v>
      </c>
      <c r="M2382" t="s">
        <v>46373</v>
      </c>
      <c r="N2382" t="s">
        <v>46374</v>
      </c>
      <c r="O2382">
        <f>-573.955605882978 -119.992576138932 -724.043839582556</f>
        <v>-1417.9920216044661</v>
      </c>
      <c r="P2382">
        <f>-614.983850330374 -113.637389720574 -410.256495899473</f>
        <v>-1138.8777359504211</v>
      </c>
      <c r="Q2382" t="s">
        <v>46375</v>
      </c>
      <c r="R2382" t="s">
        <v>46376</v>
      </c>
      <c r="S2382" t="s">
        <v>46377</v>
      </c>
      <c r="T2382" t="s">
        <v>46378</v>
      </c>
      <c r="U2382" t="s">
        <v>46379</v>
      </c>
      <c r="V2382" t="s">
        <v>46380</v>
      </c>
      <c r="W2382" t="s">
        <v>46381</v>
      </c>
      <c r="X2382" t="s">
        <v>46382</v>
      </c>
      <c r="Y2382" t="s">
        <v>46383</v>
      </c>
    </row>
    <row r="2383" spans="1:25" x14ac:dyDescent="0.3">
      <c r="A2383">
        <v>119100</v>
      </c>
      <c r="B2383" t="s">
        <v>46384</v>
      </c>
      <c r="C2383" t="s">
        <v>46385</v>
      </c>
      <c r="D2383" t="s">
        <v>46386</v>
      </c>
      <c r="E2383" t="s">
        <v>46387</v>
      </c>
      <c r="F2383" t="s">
        <v>46388</v>
      </c>
      <c r="G2383" t="s">
        <v>46389</v>
      </c>
      <c r="H2383" t="s">
        <v>46390</v>
      </c>
      <c r="I2383" t="s">
        <v>46391</v>
      </c>
      <c r="J2383" t="s">
        <v>46392</v>
      </c>
      <c r="K2383" t="s">
        <v>46393</v>
      </c>
      <c r="L2383" t="s">
        <v>46394</v>
      </c>
      <c r="M2383" t="s">
        <v>46395</v>
      </c>
      <c r="N2383" t="s">
        <v>46396</v>
      </c>
      <c r="O2383">
        <f>-573.893394963814 -120.086539735944 -724.00902007845</f>
        <v>-1417.9889547782082</v>
      </c>
      <c r="P2383">
        <f>-614.787308462683 -113.816280561643 -410.202548743962</f>
        <v>-1138.806137768288</v>
      </c>
      <c r="Q2383" t="s">
        <v>46397</v>
      </c>
      <c r="R2383" t="s">
        <v>46398</v>
      </c>
      <c r="S2383" t="s">
        <v>46399</v>
      </c>
      <c r="T2383" t="s">
        <v>46400</v>
      </c>
      <c r="U2383" t="s">
        <v>46401</v>
      </c>
      <c r="V2383" t="s">
        <v>46402</v>
      </c>
      <c r="W2383" t="s">
        <v>46403</v>
      </c>
      <c r="X2383" t="s">
        <v>46404</v>
      </c>
      <c r="Y2383" t="s">
        <v>46405</v>
      </c>
    </row>
    <row r="2384" spans="1:25" x14ac:dyDescent="0.3">
      <c r="A2384">
        <v>119150</v>
      </c>
      <c r="B2384" t="s">
        <v>46406</v>
      </c>
      <c r="C2384" t="s">
        <v>46407</v>
      </c>
      <c r="D2384" t="s">
        <v>46408</v>
      </c>
      <c r="E2384" t="s">
        <v>46409</v>
      </c>
      <c r="F2384" t="s">
        <v>46410</v>
      </c>
      <c r="G2384" t="s">
        <v>46411</v>
      </c>
      <c r="H2384" t="s">
        <v>46412</v>
      </c>
      <c r="I2384" t="s">
        <v>46413</v>
      </c>
      <c r="J2384" t="s">
        <v>46414</v>
      </c>
      <c r="K2384" t="s">
        <v>46415</v>
      </c>
      <c r="L2384" t="s">
        <v>46416</v>
      </c>
      <c r="M2384" t="s">
        <v>46417</v>
      </c>
      <c r="N2384" t="s">
        <v>46418</v>
      </c>
      <c r="O2384">
        <f>-573.374853984343 -119.951918358473 -723.951252199032</f>
        <v>-1417.278024541848</v>
      </c>
      <c r="P2384">
        <f>-614.178823202888 -113.544411014636 -410.135757263939</f>
        <v>-1137.8589914814629</v>
      </c>
      <c r="Q2384" t="s">
        <v>46419</v>
      </c>
      <c r="R2384" t="s">
        <v>46420</v>
      </c>
      <c r="S2384" t="s">
        <v>46421</v>
      </c>
      <c r="T2384" t="s">
        <v>46422</v>
      </c>
      <c r="U2384" t="s">
        <v>46423</v>
      </c>
      <c r="V2384" t="s">
        <v>46424</v>
      </c>
      <c r="W2384" t="s">
        <v>46425</v>
      </c>
      <c r="X2384" t="s">
        <v>46426</v>
      </c>
      <c r="Y2384" t="s">
        <v>46427</v>
      </c>
    </row>
    <row r="2385" spans="1:25" x14ac:dyDescent="0.3">
      <c r="A2385">
        <v>119200</v>
      </c>
      <c r="B2385" t="s">
        <v>46428</v>
      </c>
      <c r="C2385" t="s">
        <v>46429</v>
      </c>
      <c r="D2385" t="s">
        <v>46430</v>
      </c>
      <c r="E2385" t="s">
        <v>46431</v>
      </c>
      <c r="F2385" t="s">
        <v>46432</v>
      </c>
      <c r="G2385" t="s">
        <v>46433</v>
      </c>
      <c r="H2385" t="s">
        <v>46434</v>
      </c>
      <c r="I2385" t="s">
        <v>46435</v>
      </c>
      <c r="J2385" t="s">
        <v>46436</v>
      </c>
      <c r="K2385" t="s">
        <v>46437</v>
      </c>
      <c r="L2385" t="s">
        <v>46438</v>
      </c>
      <c r="M2385" t="s">
        <v>46439</v>
      </c>
      <c r="N2385" t="s">
        <v>46440</v>
      </c>
      <c r="O2385">
        <f>-573.093052318178 -119.791010646595 -723.806069471955</f>
        <v>-1416.6901324367279</v>
      </c>
      <c r="P2385">
        <f>-613.841857853381 -113.372677701884 -409.983602782534</f>
        <v>-1137.198138337799</v>
      </c>
      <c r="Q2385" t="s">
        <v>46441</v>
      </c>
      <c r="R2385" t="s">
        <v>46442</v>
      </c>
      <c r="S2385" t="s">
        <v>46443</v>
      </c>
      <c r="T2385" t="s">
        <v>46444</v>
      </c>
      <c r="U2385" t="s">
        <v>46445</v>
      </c>
      <c r="V2385" t="s">
        <v>46446</v>
      </c>
      <c r="W2385" t="s">
        <v>46447</v>
      </c>
      <c r="X2385" t="s">
        <v>46448</v>
      </c>
      <c r="Y2385" t="s">
        <v>46449</v>
      </c>
    </row>
    <row r="2386" spans="1:25" x14ac:dyDescent="0.3">
      <c r="A2386">
        <v>119250</v>
      </c>
      <c r="B2386" t="s">
        <v>46450</v>
      </c>
      <c r="C2386" t="s">
        <v>46451</v>
      </c>
      <c r="D2386" t="s">
        <v>46452</v>
      </c>
      <c r="E2386" t="s">
        <v>46453</v>
      </c>
      <c r="F2386" t="s">
        <v>46454</v>
      </c>
      <c r="G2386" t="s">
        <v>46455</v>
      </c>
      <c r="H2386" t="s">
        <v>46456</v>
      </c>
      <c r="I2386" t="s">
        <v>46457</v>
      </c>
      <c r="J2386" t="s">
        <v>46458</v>
      </c>
      <c r="K2386" t="s">
        <v>46459</v>
      </c>
      <c r="L2386" t="s">
        <v>46460</v>
      </c>
      <c r="M2386" t="s">
        <v>46461</v>
      </c>
      <c r="N2386" t="s">
        <v>46462</v>
      </c>
      <c r="O2386">
        <f>-571.824435077596 -118.886044358806 -723.57864463796</f>
        <v>-1414.289124074362</v>
      </c>
      <c r="P2386">
        <f>-612.612558913145 -113.001822389277 -409.75080664851</f>
        <v>-1135.3651879509321</v>
      </c>
      <c r="Q2386" t="s">
        <v>46463</v>
      </c>
      <c r="R2386" t="s">
        <v>46464</v>
      </c>
      <c r="S2386" t="s">
        <v>46465</v>
      </c>
      <c r="T2386" t="s">
        <v>46466</v>
      </c>
      <c r="U2386" t="s">
        <v>46467</v>
      </c>
      <c r="V2386" t="s">
        <v>46468</v>
      </c>
      <c r="W2386" t="s">
        <v>46469</v>
      </c>
      <c r="X2386" t="s">
        <v>46470</v>
      </c>
      <c r="Y2386" t="s">
        <v>46471</v>
      </c>
    </row>
    <row r="2387" spans="1:25" x14ac:dyDescent="0.3">
      <c r="A2387">
        <v>119300</v>
      </c>
      <c r="B2387" t="s">
        <v>46472</v>
      </c>
      <c r="C2387" t="s">
        <v>46473</v>
      </c>
      <c r="D2387" t="s">
        <v>46474</v>
      </c>
      <c r="E2387" t="s">
        <v>46475</v>
      </c>
      <c r="F2387" t="s">
        <v>46476</v>
      </c>
      <c r="G2387" t="s">
        <v>46477</v>
      </c>
      <c r="H2387" t="s">
        <v>46478</v>
      </c>
      <c r="I2387" t="s">
        <v>46479</v>
      </c>
      <c r="J2387" t="s">
        <v>46480</v>
      </c>
      <c r="K2387" t="s">
        <v>46481</v>
      </c>
      <c r="L2387" t="s">
        <v>46482</v>
      </c>
      <c r="M2387" t="s">
        <v>46483</v>
      </c>
      <c r="N2387" t="s">
        <v>46484</v>
      </c>
      <c r="O2387">
        <f>-571.479136036602 -118.32453975805 -723.542105416846</f>
        <v>-1413.345781211498</v>
      </c>
      <c r="P2387">
        <f>-612.322993645428 -112.788376368628 -409.715185921404</f>
        <v>-1134.82655593546</v>
      </c>
      <c r="Q2387" t="s">
        <v>46485</v>
      </c>
      <c r="R2387" t="s">
        <v>46486</v>
      </c>
      <c r="S2387" t="s">
        <v>46487</v>
      </c>
      <c r="T2387" t="s">
        <v>46488</v>
      </c>
      <c r="U2387" t="s">
        <v>46489</v>
      </c>
      <c r="V2387" t="s">
        <v>46490</v>
      </c>
      <c r="W2387" t="s">
        <v>46491</v>
      </c>
      <c r="X2387" t="s">
        <v>46492</v>
      </c>
      <c r="Y2387" t="s">
        <v>46493</v>
      </c>
    </row>
    <row r="2388" spans="1:25" x14ac:dyDescent="0.3">
      <c r="A2388">
        <v>119350</v>
      </c>
      <c r="B2388" t="s">
        <v>46494</v>
      </c>
      <c r="C2388" t="s">
        <v>46495</v>
      </c>
      <c r="D2388" t="s">
        <v>46496</v>
      </c>
      <c r="E2388" t="s">
        <v>46497</v>
      </c>
      <c r="F2388" t="s">
        <v>46498</v>
      </c>
      <c r="G2388" t="s">
        <v>46499</v>
      </c>
      <c r="H2388" t="s">
        <v>46500</v>
      </c>
      <c r="I2388" t="s">
        <v>46501</v>
      </c>
      <c r="J2388" t="s">
        <v>46502</v>
      </c>
      <c r="K2388" t="s">
        <v>46503</v>
      </c>
      <c r="L2388" t="s">
        <v>46504</v>
      </c>
      <c r="M2388" t="s">
        <v>46505</v>
      </c>
      <c r="N2388" t="s">
        <v>46506</v>
      </c>
      <c r="O2388">
        <f>-571.593207321788 -116.661994376349 -724.013670808951</f>
        <v>-1412.268872507088</v>
      </c>
      <c r="P2388">
        <f>-612.274807860278 -112.097867438731 -410.149997706607</f>
        <v>-1134.5226730056161</v>
      </c>
      <c r="Q2388" t="s">
        <v>46507</v>
      </c>
      <c r="R2388" t="s">
        <v>46508</v>
      </c>
      <c r="S2388" t="s">
        <v>46509</v>
      </c>
      <c r="T2388" t="s">
        <v>46510</v>
      </c>
      <c r="U2388" t="s">
        <v>46511</v>
      </c>
      <c r="V2388" t="s">
        <v>46512</v>
      </c>
      <c r="W2388" t="s">
        <v>46513</v>
      </c>
      <c r="X2388" t="s">
        <v>46514</v>
      </c>
      <c r="Y2388" t="s">
        <v>46515</v>
      </c>
    </row>
    <row r="2389" spans="1:25" x14ac:dyDescent="0.3">
      <c r="A2389">
        <v>119400</v>
      </c>
      <c r="B2389" t="s">
        <v>46516</v>
      </c>
      <c r="C2389" t="s">
        <v>46517</v>
      </c>
      <c r="D2389" t="s">
        <v>46518</v>
      </c>
      <c r="E2389" t="s">
        <v>46519</v>
      </c>
      <c r="F2389" t="s">
        <v>46520</v>
      </c>
      <c r="G2389" t="s">
        <v>46521</v>
      </c>
      <c r="H2389" t="s">
        <v>46522</v>
      </c>
      <c r="I2389" t="s">
        <v>46523</v>
      </c>
      <c r="J2389" t="s">
        <v>46524</v>
      </c>
      <c r="K2389" t="s">
        <v>46525</v>
      </c>
      <c r="L2389" t="s">
        <v>46526</v>
      </c>
      <c r="M2389" t="s">
        <v>46527</v>
      </c>
      <c r="N2389" t="s">
        <v>46528</v>
      </c>
      <c r="O2389">
        <f>-572.173822483548 -115.306216071871 -724.587169553444</f>
        <v>-1412.067208108863</v>
      </c>
      <c r="P2389">
        <f>-612.329064276005 -111.355043640813 -410.647507405316</f>
        <v>-1134.331615322134</v>
      </c>
      <c r="Q2389" t="s">
        <v>46529</v>
      </c>
      <c r="R2389" t="s">
        <v>46530</v>
      </c>
      <c r="S2389" t="s">
        <v>46531</v>
      </c>
      <c r="T2389" t="s">
        <v>46532</v>
      </c>
      <c r="U2389" t="s">
        <v>46533</v>
      </c>
      <c r="V2389" t="s">
        <v>46534</v>
      </c>
      <c r="W2389" t="s">
        <v>46535</v>
      </c>
      <c r="X2389" t="s">
        <v>46536</v>
      </c>
      <c r="Y2389" t="s">
        <v>46537</v>
      </c>
    </row>
    <row r="2390" spans="1:25" x14ac:dyDescent="0.3">
      <c r="A2390">
        <v>119450</v>
      </c>
      <c r="B2390" t="s">
        <v>46538</v>
      </c>
      <c r="C2390" t="s">
        <v>46539</v>
      </c>
      <c r="D2390" t="s">
        <v>46540</v>
      </c>
      <c r="E2390" t="s">
        <v>46541</v>
      </c>
      <c r="F2390" t="s">
        <v>46542</v>
      </c>
      <c r="G2390" t="s">
        <v>46543</v>
      </c>
      <c r="H2390" t="s">
        <v>46544</v>
      </c>
      <c r="I2390" t="s">
        <v>46545</v>
      </c>
      <c r="J2390" t="s">
        <v>46546</v>
      </c>
      <c r="K2390" t="s">
        <v>46547</v>
      </c>
      <c r="L2390" t="s">
        <v>46548</v>
      </c>
      <c r="M2390" t="s">
        <v>46549</v>
      </c>
      <c r="N2390" t="s">
        <v>46550</v>
      </c>
      <c r="O2390">
        <f>-572.596857105302 -112.615820460974 -725.920601791582</f>
        <v>-1411.1332793578581</v>
      </c>
      <c r="P2390">
        <f>-612.57587688804 -111.03797226093 -411.937345335731</f>
        <v>-1135.551194484701</v>
      </c>
      <c r="Q2390" t="s">
        <v>46551</v>
      </c>
      <c r="R2390" t="s">
        <v>46552</v>
      </c>
      <c r="S2390" t="s">
        <v>46553</v>
      </c>
      <c r="T2390" t="s">
        <v>46554</v>
      </c>
      <c r="U2390" t="s">
        <v>46555</v>
      </c>
      <c r="V2390" t="s">
        <v>46556</v>
      </c>
      <c r="W2390" t="s">
        <v>46557</v>
      </c>
      <c r="X2390" t="s">
        <v>46558</v>
      </c>
      <c r="Y2390" t="s">
        <v>46559</v>
      </c>
    </row>
    <row r="2391" spans="1:25" x14ac:dyDescent="0.3">
      <c r="A2391">
        <v>119500</v>
      </c>
      <c r="B2391" t="s">
        <v>46560</v>
      </c>
      <c r="C2391" t="s">
        <v>46561</v>
      </c>
      <c r="D2391" t="s">
        <v>46562</v>
      </c>
      <c r="E2391" t="s">
        <v>46563</v>
      </c>
      <c r="F2391" t="s">
        <v>46564</v>
      </c>
      <c r="G2391" t="s">
        <v>46565</v>
      </c>
      <c r="H2391" t="s">
        <v>46566</v>
      </c>
      <c r="I2391" t="s">
        <v>46567</v>
      </c>
      <c r="J2391" t="s">
        <v>46568</v>
      </c>
      <c r="K2391" t="s">
        <v>46569</v>
      </c>
      <c r="L2391" t="s">
        <v>46570</v>
      </c>
      <c r="M2391" t="s">
        <v>46571</v>
      </c>
      <c r="N2391" t="s">
        <v>46572</v>
      </c>
      <c r="O2391">
        <f>-573.72697930474 -111.330426242016 -726.65119911624</f>
        <v>-1411.7086046629961</v>
      </c>
      <c r="P2391">
        <f>-613.750763971444 -110.973181144667 -412.670180669216</f>
        <v>-1137.3941257853271</v>
      </c>
      <c r="Q2391" t="s">
        <v>46573</v>
      </c>
      <c r="R2391" t="s">
        <v>46574</v>
      </c>
      <c r="S2391" t="s">
        <v>46575</v>
      </c>
      <c r="T2391" t="s">
        <v>46576</v>
      </c>
      <c r="U2391" t="s">
        <v>46577</v>
      </c>
      <c r="V2391" t="s">
        <v>46578</v>
      </c>
      <c r="W2391" t="s">
        <v>46579</v>
      </c>
      <c r="X2391" t="s">
        <v>46580</v>
      </c>
      <c r="Y2391" t="s">
        <v>46581</v>
      </c>
    </row>
    <row r="2392" spans="1:25" x14ac:dyDescent="0.3">
      <c r="A2392">
        <v>119550</v>
      </c>
      <c r="B2392" t="s">
        <v>46582</v>
      </c>
      <c r="C2392" t="s">
        <v>46583</v>
      </c>
      <c r="D2392" t="s">
        <v>46584</v>
      </c>
      <c r="E2392" t="s">
        <v>46585</v>
      </c>
      <c r="F2392" t="s">
        <v>46586</v>
      </c>
      <c r="G2392" t="s">
        <v>46587</v>
      </c>
      <c r="H2392" t="s">
        <v>46588</v>
      </c>
      <c r="I2392" t="s">
        <v>46589</v>
      </c>
      <c r="J2392" t="s">
        <v>46590</v>
      </c>
      <c r="K2392" t="s">
        <v>46591</v>
      </c>
      <c r="L2392" t="s">
        <v>46592</v>
      </c>
      <c r="M2392" t="s">
        <v>46593</v>
      </c>
      <c r="N2392" t="s">
        <v>46594</v>
      </c>
      <c r="O2392">
        <f>-576.728481624154 -109.103749561168 -728.550932935006</f>
        <v>-1414.383164120328</v>
      </c>
      <c r="P2392">
        <f>-616.823010595875 -110.46245566542 -414.581633505066</f>
        <v>-1141.867099766361</v>
      </c>
      <c r="Q2392" t="s">
        <v>46595</v>
      </c>
      <c r="R2392" t="s">
        <v>46596</v>
      </c>
      <c r="S2392" t="s">
        <v>46597</v>
      </c>
      <c r="T2392" t="s">
        <v>46598</v>
      </c>
      <c r="U2392" t="s">
        <v>46599</v>
      </c>
      <c r="V2392" t="s">
        <v>46600</v>
      </c>
      <c r="W2392" t="s">
        <v>46601</v>
      </c>
      <c r="X2392" t="s">
        <v>46602</v>
      </c>
      <c r="Y2392" t="s">
        <v>46603</v>
      </c>
    </row>
    <row r="2393" spans="1:25" x14ac:dyDescent="0.3">
      <c r="A2393">
        <v>119600</v>
      </c>
      <c r="B2393" t="s">
        <v>46604</v>
      </c>
      <c r="C2393" t="s">
        <v>46605</v>
      </c>
      <c r="D2393" t="s">
        <v>46606</v>
      </c>
      <c r="E2393" t="s">
        <v>46607</v>
      </c>
      <c r="F2393" t="s">
        <v>46608</v>
      </c>
      <c r="G2393" t="s">
        <v>46609</v>
      </c>
      <c r="H2393" t="s">
        <v>46610</v>
      </c>
      <c r="I2393" t="s">
        <v>46611</v>
      </c>
      <c r="J2393" t="s">
        <v>46612</v>
      </c>
      <c r="K2393" t="s">
        <v>46613</v>
      </c>
      <c r="L2393" t="s">
        <v>46614</v>
      </c>
      <c r="M2393" t="s">
        <v>46615</v>
      </c>
      <c r="N2393" t="s">
        <v>46616</v>
      </c>
      <c r="O2393">
        <f>-579.034445019154 -108.217739484519 -729.545554453202</f>
        <v>-1416.797738956875</v>
      </c>
      <c r="P2393">
        <f>-618.916034992036 -110.006579301877 -415.551202518319</f>
        <v>-1144.4738168122319</v>
      </c>
      <c r="Q2393" t="s">
        <v>46617</v>
      </c>
      <c r="R2393" t="s">
        <v>46618</v>
      </c>
      <c r="S2393" t="s">
        <v>46619</v>
      </c>
      <c r="T2393" t="s">
        <v>46620</v>
      </c>
      <c r="U2393" t="s">
        <v>46621</v>
      </c>
      <c r="V2393" t="s">
        <v>46622</v>
      </c>
      <c r="W2393" t="s">
        <v>46623</v>
      </c>
      <c r="X2393" t="s">
        <v>46624</v>
      </c>
      <c r="Y2393" t="s">
        <v>46625</v>
      </c>
    </row>
    <row r="2394" spans="1:25" x14ac:dyDescent="0.3">
      <c r="A2394">
        <v>119650</v>
      </c>
      <c r="B2394" t="s">
        <v>46626</v>
      </c>
      <c r="C2394" t="s">
        <v>46627</v>
      </c>
      <c r="D2394" t="s">
        <v>46628</v>
      </c>
      <c r="E2394" t="s">
        <v>46629</v>
      </c>
      <c r="F2394" t="s">
        <v>46630</v>
      </c>
      <c r="G2394" t="s">
        <v>46631</v>
      </c>
      <c r="H2394" t="s">
        <v>46632</v>
      </c>
      <c r="I2394" t="s">
        <v>46633</v>
      </c>
      <c r="J2394" t="s">
        <v>46634</v>
      </c>
      <c r="K2394" t="s">
        <v>46635</v>
      </c>
      <c r="L2394" t="s">
        <v>46636</v>
      </c>
      <c r="M2394" t="s">
        <v>46637</v>
      </c>
      <c r="N2394" t="s">
        <v>46638</v>
      </c>
      <c r="O2394">
        <f>-583.171355294431 -106.416962942089 -731.448854671348</f>
        <v>-1421.0371729078679</v>
      </c>
      <c r="P2394">
        <f>-622.888666625737 -109.229509212329 -417.441238983686</f>
        <v>-1149.5594148217519</v>
      </c>
      <c r="Q2394" t="s">
        <v>46639</v>
      </c>
      <c r="R2394" t="s">
        <v>46640</v>
      </c>
      <c r="S2394" t="s">
        <v>46641</v>
      </c>
      <c r="T2394" t="s">
        <v>46642</v>
      </c>
      <c r="U2394" t="s">
        <v>46643</v>
      </c>
      <c r="V2394" t="s">
        <v>46644</v>
      </c>
      <c r="W2394" t="s">
        <v>46645</v>
      </c>
      <c r="X2394" t="s">
        <v>46646</v>
      </c>
      <c r="Y2394" t="s">
        <v>46647</v>
      </c>
    </row>
    <row r="2395" spans="1:25" x14ac:dyDescent="0.3">
      <c r="A2395">
        <v>119700</v>
      </c>
      <c r="B2395" t="s">
        <v>46648</v>
      </c>
      <c r="C2395" t="s">
        <v>46649</v>
      </c>
      <c r="D2395" t="s">
        <v>46650</v>
      </c>
      <c r="E2395" t="s">
        <v>46651</v>
      </c>
      <c r="F2395" t="s">
        <v>46652</v>
      </c>
      <c r="G2395" t="s">
        <v>46653</v>
      </c>
      <c r="H2395" t="s">
        <v>46654</v>
      </c>
      <c r="I2395" t="s">
        <v>46655</v>
      </c>
      <c r="J2395" t="s">
        <v>46656</v>
      </c>
      <c r="K2395" t="s">
        <v>46657</v>
      </c>
      <c r="L2395" t="s">
        <v>46658</v>
      </c>
      <c r="M2395" t="s">
        <v>46659</v>
      </c>
      <c r="N2395" t="s">
        <v>46660</v>
      </c>
      <c r="O2395">
        <f>-584.817639202891 -106.119673309389 -732.32533101807</f>
        <v>-1423.26264353035</v>
      </c>
      <c r="P2395">
        <f>-624.742434713082 -109.525368171859 -418.349744963574</f>
        <v>-1152.617547848515</v>
      </c>
      <c r="Q2395" t="s">
        <v>46661</v>
      </c>
      <c r="R2395" t="s">
        <v>46662</v>
      </c>
      <c r="S2395" t="s">
        <v>46663</v>
      </c>
      <c r="T2395" t="s">
        <v>46664</v>
      </c>
      <c r="U2395" t="s">
        <v>46665</v>
      </c>
      <c r="V2395" t="s">
        <v>46666</v>
      </c>
      <c r="W2395" t="s">
        <v>46667</v>
      </c>
      <c r="X2395" t="s">
        <v>46668</v>
      </c>
      <c r="Y2395" t="s">
        <v>46669</v>
      </c>
    </row>
    <row r="2396" spans="1:25" x14ac:dyDescent="0.3">
      <c r="A2396">
        <v>119750</v>
      </c>
      <c r="B2396" t="s">
        <v>46670</v>
      </c>
      <c r="C2396" t="s">
        <v>46671</v>
      </c>
      <c r="D2396" t="s">
        <v>46672</v>
      </c>
      <c r="E2396" t="s">
        <v>46673</v>
      </c>
      <c r="F2396" t="s">
        <v>46674</v>
      </c>
      <c r="G2396" t="s">
        <v>46675</v>
      </c>
      <c r="H2396" t="s">
        <v>46676</v>
      </c>
      <c r="I2396" t="s">
        <v>46677</v>
      </c>
      <c r="J2396" t="s">
        <v>46678</v>
      </c>
      <c r="K2396" t="s">
        <v>46679</v>
      </c>
      <c r="L2396" t="s">
        <v>46680</v>
      </c>
      <c r="M2396" t="s">
        <v>46681</v>
      </c>
      <c r="N2396" t="s">
        <v>46682</v>
      </c>
      <c r="O2396">
        <f>-586.676338621481 -105.753401503031 -733.571653930052</f>
        <v>-1426.0013940545641</v>
      </c>
      <c r="P2396">
        <f>-626.893997474707 -110.150080106737 -419.645825224267</f>
        <v>-1156.689902805711</v>
      </c>
      <c r="Q2396" t="s">
        <v>46683</v>
      </c>
      <c r="R2396" t="s">
        <v>46684</v>
      </c>
      <c r="S2396" t="s">
        <v>46685</v>
      </c>
      <c r="T2396" t="s">
        <v>46686</v>
      </c>
      <c r="U2396" t="s">
        <v>46687</v>
      </c>
      <c r="V2396" t="s">
        <v>46688</v>
      </c>
      <c r="W2396" t="s">
        <v>46689</v>
      </c>
      <c r="X2396" t="s">
        <v>46690</v>
      </c>
      <c r="Y2396" t="s">
        <v>46691</v>
      </c>
    </row>
    <row r="2397" spans="1:25" x14ac:dyDescent="0.3">
      <c r="A2397">
        <v>119800</v>
      </c>
      <c r="B2397" t="s">
        <v>46692</v>
      </c>
      <c r="C2397" t="s">
        <v>46693</v>
      </c>
      <c r="D2397" t="s">
        <v>46694</v>
      </c>
      <c r="E2397" t="s">
        <v>46695</v>
      </c>
      <c r="F2397" t="s">
        <v>46696</v>
      </c>
      <c r="G2397" t="s">
        <v>46697</v>
      </c>
      <c r="H2397" t="s">
        <v>46698</v>
      </c>
      <c r="I2397" t="s">
        <v>46699</v>
      </c>
      <c r="J2397" t="s">
        <v>46700</v>
      </c>
      <c r="K2397" t="s">
        <v>46701</v>
      </c>
      <c r="L2397" t="s">
        <v>46702</v>
      </c>
      <c r="M2397" t="s">
        <v>46703</v>
      </c>
      <c r="N2397" t="s">
        <v>46704</v>
      </c>
      <c r="O2397">
        <f>-586.926466873221 -105.994810385225 -733.772914613662</f>
        <v>-1426.6941918721081</v>
      </c>
      <c r="P2397">
        <f>-627.608347297541 -110.088414387634 -419.903019589505</f>
        <v>-1157.59978127468</v>
      </c>
      <c r="Q2397" t="s">
        <v>46705</v>
      </c>
      <c r="R2397" t="s">
        <v>46706</v>
      </c>
      <c r="S2397" t="s">
        <v>46707</v>
      </c>
      <c r="T2397" t="s">
        <v>46708</v>
      </c>
      <c r="U2397" t="s">
        <v>46709</v>
      </c>
      <c r="V2397" t="s">
        <v>46710</v>
      </c>
      <c r="W2397" t="s">
        <v>46711</v>
      </c>
      <c r="X2397" t="s">
        <v>46712</v>
      </c>
      <c r="Y2397" t="s">
        <v>46713</v>
      </c>
    </row>
    <row r="2398" spans="1:25" x14ac:dyDescent="0.3">
      <c r="A2398">
        <v>119850</v>
      </c>
      <c r="B2398" t="s">
        <v>46714</v>
      </c>
      <c r="C2398" t="s">
        <v>46715</v>
      </c>
      <c r="D2398" t="s">
        <v>46716</v>
      </c>
      <c r="E2398" t="s">
        <v>46717</v>
      </c>
      <c r="F2398" t="s">
        <v>46718</v>
      </c>
      <c r="G2398" t="s">
        <v>46719</v>
      </c>
      <c r="H2398" t="s">
        <v>46720</v>
      </c>
      <c r="I2398" t="s">
        <v>46721</v>
      </c>
      <c r="J2398" t="s">
        <v>46722</v>
      </c>
      <c r="K2398" t="s">
        <v>46723</v>
      </c>
      <c r="L2398" t="s">
        <v>46724</v>
      </c>
      <c r="M2398" t="s">
        <v>46725</v>
      </c>
      <c r="N2398" t="s">
        <v>46726</v>
      </c>
      <c r="O2398">
        <f>-586.620964004937 -107.408446763446 -733.360299211306</f>
        <v>-1427.3897099796891</v>
      </c>
      <c r="P2398">
        <f>-627.785347676748 -109.466324322492 -419.533137574344</f>
        <v>-1156.784809573584</v>
      </c>
      <c r="Q2398" t="s">
        <v>46727</v>
      </c>
      <c r="R2398" t="s">
        <v>46728</v>
      </c>
      <c r="S2398" t="s">
        <v>46729</v>
      </c>
      <c r="T2398" t="s">
        <v>46730</v>
      </c>
      <c r="U2398" t="s">
        <v>46731</v>
      </c>
      <c r="V2398" t="s">
        <v>46732</v>
      </c>
      <c r="W2398" t="s">
        <v>46733</v>
      </c>
      <c r="X2398" t="s">
        <v>46734</v>
      </c>
      <c r="Y2398" t="s">
        <v>46735</v>
      </c>
    </row>
    <row r="2399" spans="1:25" x14ac:dyDescent="0.3">
      <c r="A2399">
        <v>119900</v>
      </c>
      <c r="B2399" t="s">
        <v>46736</v>
      </c>
      <c r="C2399" t="s">
        <v>46737</v>
      </c>
      <c r="D2399" t="s">
        <v>46738</v>
      </c>
      <c r="E2399" t="s">
        <v>46739</v>
      </c>
      <c r="F2399" t="s">
        <v>46740</v>
      </c>
      <c r="G2399" t="s">
        <v>46741</v>
      </c>
      <c r="H2399" t="s">
        <v>46742</v>
      </c>
      <c r="I2399" t="s">
        <v>46743</v>
      </c>
      <c r="J2399" t="s">
        <v>46744</v>
      </c>
      <c r="K2399" t="s">
        <v>46745</v>
      </c>
      <c r="L2399" t="s">
        <v>46746</v>
      </c>
      <c r="M2399" t="s">
        <v>46747</v>
      </c>
      <c r="N2399" t="s">
        <v>46748</v>
      </c>
      <c r="O2399">
        <f>-585.832781628545 -108.615763960178 -732.702254157625</f>
        <v>-1427.1507997463482</v>
      </c>
      <c r="P2399">
        <f>-627.126385133634 -108.936188912459 -418.885501548968</f>
        <v>-1154.948075595061</v>
      </c>
      <c r="Q2399" t="s">
        <v>46749</v>
      </c>
      <c r="R2399" t="s">
        <v>46750</v>
      </c>
      <c r="S2399" t="s">
        <v>46751</v>
      </c>
      <c r="T2399" t="s">
        <v>46752</v>
      </c>
      <c r="U2399" t="s">
        <v>46753</v>
      </c>
      <c r="V2399" t="s">
        <v>46754</v>
      </c>
      <c r="W2399" t="s">
        <v>46755</v>
      </c>
      <c r="X2399" t="s">
        <v>46756</v>
      </c>
      <c r="Y2399" t="s">
        <v>46757</v>
      </c>
    </row>
    <row r="2400" spans="1:25" x14ac:dyDescent="0.3">
      <c r="A2400">
        <v>119950</v>
      </c>
      <c r="B2400" t="s">
        <v>46758</v>
      </c>
      <c r="C2400" t="s">
        <v>46759</v>
      </c>
      <c r="D2400" t="s">
        <v>46760</v>
      </c>
      <c r="E2400" t="s">
        <v>46761</v>
      </c>
      <c r="F2400" t="s">
        <v>46762</v>
      </c>
      <c r="G2400" t="s">
        <v>46763</v>
      </c>
      <c r="H2400" t="s">
        <v>46764</v>
      </c>
      <c r="I2400" t="s">
        <v>46765</v>
      </c>
      <c r="J2400" t="s">
        <v>46766</v>
      </c>
      <c r="K2400" t="s">
        <v>46767</v>
      </c>
      <c r="L2400" t="s">
        <v>46768</v>
      </c>
      <c r="M2400" t="s">
        <v>46769</v>
      </c>
      <c r="N2400" t="s">
        <v>46770</v>
      </c>
      <c r="O2400">
        <f>-583.777017922167 -112.000402306676 -730.384436505719</f>
        <v>-1426.1618567345622</v>
      </c>
      <c r="P2400">
        <f>-625.440870543283 -108.180190213595 -416.639822826485</f>
        <v>-1150.260883583363</v>
      </c>
      <c r="Q2400" t="s">
        <v>46771</v>
      </c>
      <c r="R2400" t="s">
        <v>46772</v>
      </c>
      <c r="S2400" t="s">
        <v>46773</v>
      </c>
      <c r="T2400" t="s">
        <v>46774</v>
      </c>
      <c r="U2400" t="s">
        <v>46775</v>
      </c>
      <c r="V2400" t="s">
        <v>46776</v>
      </c>
      <c r="W2400" t="s">
        <v>46777</v>
      </c>
      <c r="X2400" t="s">
        <v>46778</v>
      </c>
      <c r="Y2400" t="s">
        <v>46779</v>
      </c>
    </row>
    <row r="2401" spans="1:25" x14ac:dyDescent="0.3">
      <c r="A2401">
        <v>120000</v>
      </c>
      <c r="B2401" t="s">
        <v>46780</v>
      </c>
      <c r="C2401" t="s">
        <v>46781</v>
      </c>
      <c r="D2401" t="s">
        <v>46782</v>
      </c>
      <c r="E2401" t="s">
        <v>46783</v>
      </c>
      <c r="F2401" t="s">
        <v>46784</v>
      </c>
      <c r="G2401" t="s">
        <v>46785</v>
      </c>
      <c r="H2401" t="s">
        <v>46786</v>
      </c>
      <c r="I2401" t="s">
        <v>46787</v>
      </c>
      <c r="J2401" t="s">
        <v>46788</v>
      </c>
      <c r="K2401" t="s">
        <v>46789</v>
      </c>
      <c r="L2401" t="s">
        <v>46790</v>
      </c>
      <c r="M2401" t="s">
        <v>46791</v>
      </c>
      <c r="N2401" t="s">
        <v>46792</v>
      </c>
      <c r="O2401">
        <f>-582.209902964109 -114.100438701604 -728.713924807023</f>
        <v>-1425.0242664727361</v>
      </c>
      <c r="P2401">
        <f>-624.172508883297 -107.764892166114 -415.04984464924</f>
        <v>-1146.9872456986511</v>
      </c>
      <c r="Q2401" t="s">
        <v>46793</v>
      </c>
      <c r="R2401" t="s">
        <v>46794</v>
      </c>
      <c r="S2401" t="s">
        <v>46795</v>
      </c>
      <c r="T2401" t="s">
        <v>46796</v>
      </c>
      <c r="U2401" t="s">
        <v>46797</v>
      </c>
      <c r="V2401" t="s">
        <v>46798</v>
      </c>
      <c r="W2401" t="s">
        <v>46799</v>
      </c>
      <c r="X2401" t="s">
        <v>46800</v>
      </c>
      <c r="Y2401" t="s">
        <v>46801</v>
      </c>
    </row>
    <row r="2402" spans="1:25" x14ac:dyDescent="0.3">
      <c r="A2402">
        <v>120050</v>
      </c>
      <c r="B2402" t="s">
        <v>46802</v>
      </c>
      <c r="C2402" t="s">
        <v>46803</v>
      </c>
      <c r="D2402" t="s">
        <v>46804</v>
      </c>
      <c r="E2402" t="s">
        <v>46805</v>
      </c>
      <c r="F2402" t="s">
        <v>46806</v>
      </c>
      <c r="G2402" t="s">
        <v>46807</v>
      </c>
      <c r="H2402" t="s">
        <v>46808</v>
      </c>
      <c r="I2402" t="s">
        <v>46809</v>
      </c>
      <c r="J2402" t="s">
        <v>46810</v>
      </c>
      <c r="K2402" t="s">
        <v>46811</v>
      </c>
      <c r="L2402" t="s">
        <v>46812</v>
      </c>
      <c r="M2402" t="s">
        <v>46813</v>
      </c>
      <c r="N2402" t="s">
        <v>46814</v>
      </c>
      <c r="O2402">
        <f>-579.262779039193 -120.220288685303 -724.025476812776</f>
        <v>-1423.508544537272</v>
      </c>
      <c r="P2402">
        <f>-621.855479783291 -107.832656016616 -410.626899597195</f>
        <v>-1140.3150353971021</v>
      </c>
      <c r="Q2402" t="s">
        <v>46815</v>
      </c>
      <c r="R2402" t="s">
        <v>46816</v>
      </c>
      <c r="S2402" t="s">
        <v>46817</v>
      </c>
      <c r="T2402" t="s">
        <v>46818</v>
      </c>
      <c r="U2402" t="s">
        <v>46819</v>
      </c>
      <c r="V2402" t="s">
        <v>46820</v>
      </c>
      <c r="W2402" t="s">
        <v>46821</v>
      </c>
      <c r="X2402" t="s">
        <v>46822</v>
      </c>
      <c r="Y2402" t="s">
        <v>46823</v>
      </c>
    </row>
    <row r="2403" spans="1:25" x14ac:dyDescent="0.3">
      <c r="A2403">
        <v>120100</v>
      </c>
      <c r="B2403" t="s">
        <v>46824</v>
      </c>
      <c r="C2403" t="s">
        <v>46825</v>
      </c>
      <c r="D2403" t="s">
        <v>46826</v>
      </c>
      <c r="E2403" t="s">
        <v>46827</v>
      </c>
      <c r="F2403" t="s">
        <v>46828</v>
      </c>
      <c r="G2403" t="s">
        <v>46829</v>
      </c>
      <c r="H2403" t="s">
        <v>46830</v>
      </c>
      <c r="I2403" t="s">
        <v>46831</v>
      </c>
      <c r="J2403" t="s">
        <v>46832</v>
      </c>
      <c r="K2403" t="s">
        <v>46833</v>
      </c>
      <c r="L2403" t="s">
        <v>46834</v>
      </c>
      <c r="M2403" t="s">
        <v>46835</v>
      </c>
      <c r="N2403" t="s">
        <v>46836</v>
      </c>
      <c r="O2403">
        <f>-577.950412710345 -123.956324511643 -720.979237825155</f>
        <v>-1422.8859750471429</v>
      </c>
      <c r="P2403">
        <f>-620.615416757586 -107.823271806254 -407.761081805034</f>
        <v>-1136.1997703688739</v>
      </c>
      <c r="Q2403" t="s">
        <v>46837</v>
      </c>
      <c r="R2403" t="s">
        <v>46838</v>
      </c>
      <c r="S2403" t="s">
        <v>46839</v>
      </c>
      <c r="T2403" t="s">
        <v>46840</v>
      </c>
      <c r="U2403" t="s">
        <v>46841</v>
      </c>
      <c r="V2403" t="s">
        <v>46842</v>
      </c>
      <c r="W2403" t="s">
        <v>46843</v>
      </c>
      <c r="X2403" t="s">
        <v>46844</v>
      </c>
      <c r="Y2403" t="s">
        <v>46845</v>
      </c>
    </row>
    <row r="2404" spans="1:25" x14ac:dyDescent="0.3">
      <c r="A2404">
        <v>120150</v>
      </c>
      <c r="B2404" t="s">
        <v>46846</v>
      </c>
      <c r="C2404" t="s">
        <v>46847</v>
      </c>
      <c r="D2404" t="s">
        <v>46848</v>
      </c>
      <c r="E2404" t="s">
        <v>46849</v>
      </c>
      <c r="F2404" t="s">
        <v>46850</v>
      </c>
      <c r="G2404" t="s">
        <v>46851</v>
      </c>
      <c r="H2404" t="s">
        <v>46852</v>
      </c>
      <c r="I2404" t="s">
        <v>46853</v>
      </c>
      <c r="J2404" t="s">
        <v>46854</v>
      </c>
      <c r="K2404" t="s">
        <v>46855</v>
      </c>
      <c r="L2404" t="s">
        <v>46856</v>
      </c>
      <c r="M2404" t="s">
        <v>46857</v>
      </c>
      <c r="N2404" t="s">
        <v>46858</v>
      </c>
      <c r="O2404">
        <f>-575.065910820419 -132.052160638751 -713.838037534833</f>
        <v>-1420.956108994003</v>
      </c>
      <c r="P2404">
        <f>-617.37057458081 -107.689276629068 -401.10352357358</f>
        <v>-1126.163374783458</v>
      </c>
      <c r="Q2404" t="s">
        <v>46859</v>
      </c>
      <c r="R2404" t="s">
        <v>46860</v>
      </c>
      <c r="S2404" t="s">
        <v>46861</v>
      </c>
      <c r="T2404" t="s">
        <v>46862</v>
      </c>
      <c r="U2404" t="s">
        <v>46863</v>
      </c>
      <c r="V2404" t="s">
        <v>46864</v>
      </c>
      <c r="W2404" t="s">
        <v>46865</v>
      </c>
      <c r="X2404" t="s">
        <v>46866</v>
      </c>
      <c r="Y2404" t="s">
        <v>46867</v>
      </c>
    </row>
    <row r="2405" spans="1:25" x14ac:dyDescent="0.3">
      <c r="A2405">
        <v>120200</v>
      </c>
      <c r="B2405" t="s">
        <v>46868</v>
      </c>
      <c r="C2405" t="s">
        <v>46869</v>
      </c>
      <c r="D2405" t="s">
        <v>46870</v>
      </c>
      <c r="E2405" t="s">
        <v>46871</v>
      </c>
      <c r="F2405" t="s">
        <v>46872</v>
      </c>
      <c r="G2405" t="s">
        <v>46873</v>
      </c>
      <c r="H2405" t="s">
        <v>46874</v>
      </c>
      <c r="I2405">
        <f>-480.979753007021 -2.89238552034772 -912.817528795618</f>
        <v>-1396.6896673229867</v>
      </c>
      <c r="J2405" t="s">
        <v>46875</v>
      </c>
      <c r="K2405" t="s">
        <v>46876</v>
      </c>
      <c r="L2405" t="s">
        <v>46877</v>
      </c>
      <c r="M2405" t="s">
        <v>46878</v>
      </c>
      <c r="N2405" t="s">
        <v>46879</v>
      </c>
      <c r="O2405">
        <f>-573.601411717749 -136.219385029653 -710.068040783742</f>
        <v>-1419.888837531144</v>
      </c>
      <c r="P2405">
        <f>-615.576749994821 -107.678890937498 -397.642630982699</f>
        <v>-1120.8982719150179</v>
      </c>
      <c r="Q2405" t="s">
        <v>46880</v>
      </c>
      <c r="R2405" t="s">
        <v>46881</v>
      </c>
      <c r="S2405" t="s">
        <v>46882</v>
      </c>
      <c r="T2405" t="s">
        <v>46883</v>
      </c>
      <c r="U2405" t="s">
        <v>46884</v>
      </c>
      <c r="V2405" t="s">
        <v>46885</v>
      </c>
      <c r="W2405" t="s">
        <v>46886</v>
      </c>
      <c r="X2405" t="s">
        <v>46887</v>
      </c>
      <c r="Y2405" t="s">
        <v>46888</v>
      </c>
    </row>
    <row r="2406" spans="1:25" x14ac:dyDescent="0.3">
      <c r="A2406">
        <v>120250</v>
      </c>
      <c r="B2406" t="s">
        <v>46889</v>
      </c>
      <c r="C2406" t="s">
        <v>46890</v>
      </c>
      <c r="D2406" t="s">
        <v>46891</v>
      </c>
      <c r="E2406" t="s">
        <v>46892</v>
      </c>
      <c r="F2406" t="s">
        <v>46893</v>
      </c>
      <c r="G2406" t="s">
        <v>46894</v>
      </c>
      <c r="H2406" t="s">
        <v>46895</v>
      </c>
      <c r="I2406">
        <f>-476.492624254702 -19.6439232066259 -908.890413313222</f>
        <v>-1405.0269607745499</v>
      </c>
      <c r="J2406" t="s">
        <v>46896</v>
      </c>
      <c r="K2406" t="s">
        <v>46897</v>
      </c>
      <c r="L2406" t="s">
        <v>46898</v>
      </c>
      <c r="M2406" t="s">
        <v>46899</v>
      </c>
      <c r="N2406">
        <f>-550.057835589971 -9.37098364858252 -755.651013947987</f>
        <v>-1315.0798331865406</v>
      </c>
      <c r="O2406">
        <f>-570.47588623142 -144.898013852255 -702.412150673091</f>
        <v>-1417.7860507567659</v>
      </c>
      <c r="P2406">
        <f>-611.907353090203 -108.919958400121 -390.682756963762</f>
        <v>-1111.510068454086</v>
      </c>
      <c r="Q2406" t="s">
        <v>46900</v>
      </c>
      <c r="R2406" t="s">
        <v>46901</v>
      </c>
      <c r="S2406" t="s">
        <v>46902</v>
      </c>
      <c r="T2406" t="s">
        <v>46903</v>
      </c>
      <c r="U2406" t="s">
        <v>46904</v>
      </c>
      <c r="V2406" t="s">
        <v>46905</v>
      </c>
      <c r="W2406" t="s">
        <v>46906</v>
      </c>
      <c r="X2406" t="s">
        <v>46907</v>
      </c>
      <c r="Y2406" t="s">
        <v>46908</v>
      </c>
    </row>
    <row r="2407" spans="1:25" x14ac:dyDescent="0.3">
      <c r="A2407">
        <v>120300</v>
      </c>
      <c r="B2407" t="s">
        <v>46909</v>
      </c>
      <c r="C2407" t="s">
        <v>46910</v>
      </c>
      <c r="D2407" t="s">
        <v>46911</v>
      </c>
      <c r="E2407" t="s">
        <v>46912</v>
      </c>
      <c r="F2407" t="s">
        <v>46913</v>
      </c>
      <c r="G2407" t="s">
        <v>46914</v>
      </c>
      <c r="H2407">
        <f>-529.014670079456 -2.55038462049151 -824.751899458627</f>
        <v>-1356.3169541585744</v>
      </c>
      <c r="I2407">
        <f>-474.171586734083 -28.4173302158806 -906.642870763706</f>
        <v>-1409.2317877136697</v>
      </c>
      <c r="J2407" t="s">
        <v>46915</v>
      </c>
      <c r="K2407" t="s">
        <v>46916</v>
      </c>
      <c r="L2407" t="s">
        <v>46917</v>
      </c>
      <c r="M2407" t="s">
        <v>46918</v>
      </c>
      <c r="N2407">
        <f>-547.914047072952 -15.0569600385463 -753.763806571847</f>
        <v>-1316.7348136833452</v>
      </c>
      <c r="O2407">
        <f>-568.961606885775 -149.735807701624 -698.615427352824</f>
        <v>-1417.3128419402231</v>
      </c>
      <c r="P2407">
        <f>-610.236490126379 -110.238702936703 -387.29154057812</f>
        <v>-1107.7667336412019</v>
      </c>
      <c r="Q2407" t="s">
        <v>46919</v>
      </c>
      <c r="R2407" t="s">
        <v>46920</v>
      </c>
      <c r="S2407" t="s">
        <v>46921</v>
      </c>
      <c r="T2407" t="s">
        <v>46922</v>
      </c>
      <c r="U2407" t="s">
        <v>46923</v>
      </c>
      <c r="V2407" t="s">
        <v>46924</v>
      </c>
      <c r="W2407" t="s">
        <v>46925</v>
      </c>
      <c r="X2407" t="s">
        <v>46926</v>
      </c>
      <c r="Y2407" t="s">
        <v>46927</v>
      </c>
    </row>
    <row r="2408" spans="1:25" x14ac:dyDescent="0.3">
      <c r="A2408">
        <v>120350</v>
      </c>
      <c r="B2408" t="s">
        <v>46928</v>
      </c>
      <c r="C2408" t="s">
        <v>46929</v>
      </c>
      <c r="D2408" t="s">
        <v>46930</v>
      </c>
      <c r="E2408" t="s">
        <v>46931</v>
      </c>
      <c r="F2408" t="s">
        <v>46932</v>
      </c>
      <c r="G2408" t="s">
        <v>46933</v>
      </c>
      <c r="H2408">
        <f>-524.871527718454 -15.2040934645916 -821.482409842458</f>
        <v>-1361.5580310255036</v>
      </c>
      <c r="I2408">
        <f>-470.121449801469 -44.4631878254816 -902.286657782612</f>
        <v>-1416.8712954095627</v>
      </c>
      <c r="J2408" t="s">
        <v>46934</v>
      </c>
      <c r="K2408" t="s">
        <v>46935</v>
      </c>
      <c r="L2408" t="s">
        <v>46936</v>
      </c>
      <c r="M2408" t="s">
        <v>46937</v>
      </c>
      <c r="N2408">
        <f>-544.236243663621 -25.4444535644461 -750.257128573478</f>
        <v>-1319.9378258015452</v>
      </c>
      <c r="O2408">
        <f>-566.703767185672 -158.393266699678 -691.552736682099</f>
        <v>-1416.6497705674487</v>
      </c>
      <c r="P2408">
        <f>-606.97353800811 -112.677531973037 -380.949224439172</f>
        <v>-1100.6002944203192</v>
      </c>
      <c r="Q2408" t="s">
        <v>46938</v>
      </c>
      <c r="R2408" t="s">
        <v>46939</v>
      </c>
      <c r="S2408" t="s">
        <v>46940</v>
      </c>
      <c r="T2408" t="s">
        <v>46941</v>
      </c>
      <c r="U2408" t="s">
        <v>46942</v>
      </c>
      <c r="V2408" t="s">
        <v>46943</v>
      </c>
      <c r="W2408" t="s">
        <v>46944</v>
      </c>
      <c r="X2408" t="s">
        <v>46945</v>
      </c>
      <c r="Y2408" t="s">
        <v>46946</v>
      </c>
    </row>
    <row r="2409" spans="1:25" x14ac:dyDescent="0.3">
      <c r="A2409">
        <v>120400</v>
      </c>
      <c r="B2409" t="s">
        <v>46947</v>
      </c>
      <c r="C2409" t="s">
        <v>46948</v>
      </c>
      <c r="D2409" t="s">
        <v>46949</v>
      </c>
      <c r="E2409" t="s">
        <v>46950</v>
      </c>
      <c r="F2409" t="s">
        <v>46951</v>
      </c>
      <c r="G2409" t="s">
        <v>46952</v>
      </c>
      <c r="H2409">
        <f>-523.201738776138 -21.0449577984389 -819.915744023651</f>
        <v>-1364.1624405982279</v>
      </c>
      <c r="I2409">
        <f>-468.487973012107 -51.7743318384416 -900.197038069448</f>
        <v>-1420.4593429199967</v>
      </c>
      <c r="J2409" t="s">
        <v>46953</v>
      </c>
      <c r="K2409" t="s">
        <v>46954</v>
      </c>
      <c r="L2409" t="s">
        <v>46955</v>
      </c>
      <c r="M2409" t="s">
        <v>46956</v>
      </c>
      <c r="N2409">
        <f>-542.806308385914 -30.2550448941372 -748.615230496971</f>
        <v>-1321.6765837770222</v>
      </c>
      <c r="O2409">
        <f>-566.003525226995 -162.377990304909 -688.40230776707</f>
        <v>-1416.7838232989739</v>
      </c>
      <c r="P2409">
        <f>-605.664954193466 -114.151735756586 -378.100044096682</f>
        <v>-1097.9167340467341</v>
      </c>
      <c r="Q2409" t="s">
        <v>46957</v>
      </c>
      <c r="R2409" t="s">
        <v>46958</v>
      </c>
      <c r="S2409" t="s">
        <v>46959</v>
      </c>
      <c r="T2409" t="s">
        <v>46960</v>
      </c>
      <c r="U2409" t="s">
        <v>46961</v>
      </c>
      <c r="V2409" t="s">
        <v>46962</v>
      </c>
      <c r="W2409" t="s">
        <v>46963</v>
      </c>
      <c r="X2409" t="s">
        <v>46964</v>
      </c>
      <c r="Y2409" t="s">
        <v>46965</v>
      </c>
    </row>
    <row r="2410" spans="1:25" x14ac:dyDescent="0.3">
      <c r="A2410">
        <v>120450</v>
      </c>
      <c r="B2410" t="s">
        <v>46966</v>
      </c>
      <c r="C2410" t="s">
        <v>46967</v>
      </c>
      <c r="D2410" t="s">
        <v>46968</v>
      </c>
      <c r="E2410" t="s">
        <v>46969</v>
      </c>
      <c r="F2410" t="s">
        <v>46970</v>
      </c>
      <c r="G2410" t="s">
        <v>46971</v>
      </c>
      <c r="H2410">
        <f>-520.587095905098 -31.6330128077057 -817.134318091388</f>
        <v>-1369.3544268041915</v>
      </c>
      <c r="I2410">
        <f>-466.096941000221 -64.7991654807765 -896.593965003368</f>
        <v>-1427.4900714843657</v>
      </c>
      <c r="J2410" t="s">
        <v>46972</v>
      </c>
      <c r="K2410" t="s">
        <v>46973</v>
      </c>
      <c r="L2410" t="s">
        <v>46974</v>
      </c>
      <c r="M2410" t="s">
        <v>46975</v>
      </c>
      <c r="N2410">
        <f>-540.519013294964 -39.1615268464948 -745.727307318215</f>
        <v>-1325.4078474596738</v>
      </c>
      <c r="O2410">
        <f>-565.063469981251 -169.973915074777 -683.134608130867</f>
        <v>-1418.1719931868952</v>
      </c>
      <c r="P2410">
        <f>-603.508147499058 -118.695130577721 -373.168939302667</f>
        <v>-1095.3722173794461</v>
      </c>
      <c r="Q2410" t="s">
        <v>46976</v>
      </c>
      <c r="R2410" t="s">
        <v>46977</v>
      </c>
      <c r="S2410" t="s">
        <v>46978</v>
      </c>
      <c r="T2410" t="s">
        <v>46979</v>
      </c>
      <c r="U2410" t="s">
        <v>46980</v>
      </c>
      <c r="V2410" t="s">
        <v>46981</v>
      </c>
      <c r="W2410" t="s">
        <v>46982</v>
      </c>
      <c r="X2410" t="s">
        <v>46983</v>
      </c>
      <c r="Y2410" t="s">
        <v>46984</v>
      </c>
    </row>
    <row r="2411" spans="1:25" x14ac:dyDescent="0.3">
      <c r="A2411">
        <v>120500</v>
      </c>
      <c r="B2411" t="s">
        <v>46985</v>
      </c>
      <c r="C2411" t="s">
        <v>46986</v>
      </c>
      <c r="D2411" t="s">
        <v>46987</v>
      </c>
      <c r="E2411" t="s">
        <v>46988</v>
      </c>
      <c r="F2411" t="s">
        <v>46989</v>
      </c>
      <c r="G2411" t="s">
        <v>46990</v>
      </c>
      <c r="H2411">
        <f>-519.572468703725 -35.0176734476715 -816.357723129883</f>
        <v>-1370.9478652812795</v>
      </c>
      <c r="I2411">
        <f>-465.216910972283 -68.8885298678097 -895.611947409592</f>
        <v>-1429.7173882496845</v>
      </c>
      <c r="J2411" t="s">
        <v>46991</v>
      </c>
      <c r="K2411" t="s">
        <v>46992</v>
      </c>
      <c r="L2411" t="s">
        <v>46993</v>
      </c>
      <c r="M2411" t="s">
        <v>46994</v>
      </c>
      <c r="N2411">
        <f>-539.592385571729 -42.0839914296182 -744.928131009987</f>
        <v>-1326.6045080113342</v>
      </c>
      <c r="O2411">
        <f>-564.550234465136 -172.487689673377 -681.642473067819</f>
        <v>-1418.6803972063319</v>
      </c>
      <c r="P2411">
        <f>-602.663076330111 -120.410329014439 -371.769107165735</f>
        <v>-1094.8425125102849</v>
      </c>
      <c r="Q2411" t="s">
        <v>46995</v>
      </c>
      <c r="R2411" t="s">
        <v>46996</v>
      </c>
      <c r="S2411" t="s">
        <v>46997</v>
      </c>
      <c r="T2411" t="s">
        <v>46998</v>
      </c>
      <c r="U2411" t="s">
        <v>46999</v>
      </c>
      <c r="V2411" t="s">
        <v>47000</v>
      </c>
      <c r="W2411" t="s">
        <v>47001</v>
      </c>
      <c r="X2411" t="s">
        <v>47002</v>
      </c>
      <c r="Y2411" t="s">
        <v>47003</v>
      </c>
    </row>
    <row r="2412" spans="1:25" x14ac:dyDescent="0.3">
      <c r="A2412">
        <v>120550</v>
      </c>
      <c r="B2412" t="s">
        <v>47004</v>
      </c>
      <c r="C2412" t="s">
        <v>47005</v>
      </c>
      <c r="D2412" t="s">
        <v>47006</v>
      </c>
      <c r="E2412" t="s">
        <v>47007</v>
      </c>
      <c r="F2412" t="s">
        <v>47008</v>
      </c>
      <c r="G2412" t="s">
        <v>47009</v>
      </c>
      <c r="H2412">
        <f>-518.738873370382 -39.7469372451467 -815.620662403911</f>
        <v>-1374.1064730194396</v>
      </c>
      <c r="I2412">
        <f>-464.684678478556 -74.2370447258925 -894.81380649889</f>
        <v>-1433.7355297033387</v>
      </c>
      <c r="J2412" t="s">
        <v>47010</v>
      </c>
      <c r="K2412" t="s">
        <v>47011</v>
      </c>
      <c r="L2412" t="s">
        <v>47012</v>
      </c>
      <c r="M2412" t="s">
        <v>47013</v>
      </c>
      <c r="N2412">
        <f>-538.724168892465 -46.3780487078777 -744.139614550336</f>
        <v>-1329.2418321506786</v>
      </c>
      <c r="O2412">
        <f>-563.899514022604 -176.434912126137 -680.355713719495</f>
        <v>-1420.690139868236</v>
      </c>
      <c r="P2412">
        <f>-601.723592410807 -124.013306125831 -370.504751514015</f>
        <v>-1096.2416500506531</v>
      </c>
      <c r="Q2412" t="s">
        <v>47014</v>
      </c>
      <c r="R2412" t="s">
        <v>47015</v>
      </c>
      <c r="S2412" t="s">
        <v>47016</v>
      </c>
      <c r="T2412" t="s">
        <v>47017</v>
      </c>
      <c r="U2412" t="s">
        <v>47018</v>
      </c>
      <c r="V2412" t="s">
        <v>47019</v>
      </c>
      <c r="W2412" t="s">
        <v>47020</v>
      </c>
      <c r="X2412" t="s">
        <v>47021</v>
      </c>
      <c r="Y2412" t="s">
        <v>47022</v>
      </c>
    </row>
    <row r="2413" spans="1:25" x14ac:dyDescent="0.3">
      <c r="A2413">
        <v>120600</v>
      </c>
      <c r="B2413" t="s">
        <v>47023</v>
      </c>
      <c r="C2413" t="s">
        <v>47024</v>
      </c>
      <c r="D2413" t="s">
        <v>47025</v>
      </c>
      <c r="E2413" t="s">
        <v>47026</v>
      </c>
      <c r="F2413" t="s">
        <v>47027</v>
      </c>
      <c r="G2413" t="s">
        <v>47028</v>
      </c>
      <c r="H2413">
        <f>-518.614913872123 -41.4092127933727 -815.324901261936</f>
        <v>-1375.3490279274317</v>
      </c>
      <c r="I2413">
        <f>-464.769638793879 -75.9382910469483 -894.643337825099</f>
        <v>-1435.3512676659263</v>
      </c>
      <c r="J2413" t="s">
        <v>47029</v>
      </c>
      <c r="K2413" t="s">
        <v>47030</v>
      </c>
      <c r="L2413" t="s">
        <v>47031</v>
      </c>
      <c r="M2413" t="s">
        <v>47032</v>
      </c>
      <c r="N2413">
        <f>-538.570388485473 -47.9712776095223 -743.829109100016</f>
        <v>-1330.3707751950114</v>
      </c>
      <c r="O2413">
        <f>-563.776534071482 -178.058437968811 -680.065018474898</f>
        <v>-1421.8999905151909</v>
      </c>
      <c r="P2413">
        <f>-601.316393475854 -126.07347062626 -370.106053214808</f>
        <v>-1097.495917316922</v>
      </c>
      <c r="Q2413" t="s">
        <v>47033</v>
      </c>
      <c r="R2413" t="s">
        <v>47034</v>
      </c>
      <c r="S2413" t="s">
        <v>47035</v>
      </c>
      <c r="T2413" t="s">
        <v>47036</v>
      </c>
      <c r="U2413" t="s">
        <v>47037</v>
      </c>
      <c r="V2413" t="s">
        <v>47038</v>
      </c>
      <c r="W2413" t="s">
        <v>47039</v>
      </c>
      <c r="X2413" t="s">
        <v>47040</v>
      </c>
      <c r="Y2413" t="s">
        <v>47041</v>
      </c>
    </row>
    <row r="2414" spans="1:25" x14ac:dyDescent="0.3">
      <c r="A2414">
        <v>120650</v>
      </c>
      <c r="B2414" t="s">
        <v>47042</v>
      </c>
      <c r="C2414" t="s">
        <v>47043</v>
      </c>
      <c r="D2414" t="s">
        <v>47044</v>
      </c>
      <c r="E2414" t="s">
        <v>47045</v>
      </c>
      <c r="F2414" t="s">
        <v>47046</v>
      </c>
      <c r="G2414" t="s">
        <v>47047</v>
      </c>
      <c r="H2414">
        <f>-518.148268733182 -41.7021040171451 -815.545430283674</f>
        <v>-1375.3958030340011</v>
      </c>
      <c r="I2414">
        <f>-464.890916516987 -75.2976924363822 -895.657723639604</f>
        <v>-1435.8463325929733</v>
      </c>
      <c r="J2414" t="s">
        <v>47048</v>
      </c>
      <c r="K2414" t="s">
        <v>47049</v>
      </c>
      <c r="L2414" t="s">
        <v>47050</v>
      </c>
      <c r="M2414" t="s">
        <v>47051</v>
      </c>
      <c r="N2414">
        <f>-538.069532287602 -48.5857059768327 -744.070352689677</f>
        <v>-1330.7255909541118</v>
      </c>
      <c r="O2414">
        <f>-563.066253810449 -179.003190137718 -680.846656280667</f>
        <v>-1422.916100228834</v>
      </c>
      <c r="P2414">
        <f>-599.859404970077 -128.640365380277 -370.530731541004</f>
        <v>-1099.030501891358</v>
      </c>
      <c r="Q2414" t="s">
        <v>47052</v>
      </c>
      <c r="R2414" t="s">
        <v>47053</v>
      </c>
      <c r="S2414" t="s">
        <v>47054</v>
      </c>
      <c r="T2414" t="s">
        <v>47055</v>
      </c>
      <c r="U2414" t="s">
        <v>47056</v>
      </c>
      <c r="V2414" t="s">
        <v>47057</v>
      </c>
      <c r="W2414" t="s">
        <v>47058</v>
      </c>
      <c r="X2414" t="s">
        <v>47059</v>
      </c>
      <c r="Y2414" t="s">
        <v>47060</v>
      </c>
    </row>
    <row r="2415" spans="1:25" x14ac:dyDescent="0.3">
      <c r="A2415">
        <v>120700</v>
      </c>
      <c r="B2415" t="s">
        <v>47061</v>
      </c>
      <c r="C2415" t="s">
        <v>47062</v>
      </c>
      <c r="D2415" t="s">
        <v>47063</v>
      </c>
      <c r="E2415" t="s">
        <v>47064</v>
      </c>
      <c r="F2415" t="s">
        <v>47065</v>
      </c>
      <c r="G2415" t="s">
        <v>47066</v>
      </c>
      <c r="H2415">
        <f>-517.85400406289 -40.7311566320284 -816.001551491792</f>
        <v>-1374.5867121867104</v>
      </c>
      <c r="I2415">
        <f>-465.116518862302 -73.2875678065448 -896.883214083902</f>
        <v>-1435.2873007527487</v>
      </c>
      <c r="J2415" t="s">
        <v>47067</v>
      </c>
      <c r="K2415" t="s">
        <v>47068</v>
      </c>
      <c r="L2415" t="s">
        <v>47069</v>
      </c>
      <c r="M2415" t="s">
        <v>47070</v>
      </c>
      <c r="N2415">
        <f>-537.702306196026 -47.9716648637657 -744.541570003021</f>
        <v>-1330.2155410628127</v>
      </c>
      <c r="O2415">
        <f>-562.302318798078 -178.698407594786 -681.846510357444</f>
        <v>-1422.847236750308</v>
      </c>
      <c r="P2415">
        <f>-599.02474148173 -129.581855458891 -371.322293391943</f>
        <v>-1099.9288903325639</v>
      </c>
      <c r="Q2415" t="s">
        <v>47071</v>
      </c>
      <c r="R2415" t="s">
        <v>47072</v>
      </c>
      <c r="S2415" t="s">
        <v>47073</v>
      </c>
      <c r="T2415" t="s">
        <v>47074</v>
      </c>
      <c r="U2415" t="s">
        <v>47075</v>
      </c>
      <c r="V2415" t="s">
        <v>47076</v>
      </c>
      <c r="W2415" t="s">
        <v>47077</v>
      </c>
      <c r="X2415" t="s">
        <v>47078</v>
      </c>
      <c r="Y2415" t="s">
        <v>47079</v>
      </c>
    </row>
    <row r="2416" spans="1:25" x14ac:dyDescent="0.3">
      <c r="A2416">
        <v>120750</v>
      </c>
      <c r="B2416" t="s">
        <v>47080</v>
      </c>
      <c r="C2416" t="s">
        <v>47081</v>
      </c>
      <c r="D2416" t="s">
        <v>47082</v>
      </c>
      <c r="E2416" t="s">
        <v>47083</v>
      </c>
      <c r="F2416" t="s">
        <v>47084</v>
      </c>
      <c r="G2416" t="s">
        <v>47085</v>
      </c>
      <c r="H2416">
        <f>-519.019820614005 -36.4630994595714 -817.935234661512</f>
        <v>-1373.4181547350884</v>
      </c>
      <c r="I2416">
        <f>-467.441001413611 -66.1542356944083 -900.645842382005</f>
        <v>-1434.2410794900243</v>
      </c>
      <c r="J2416" t="s">
        <v>47086</v>
      </c>
      <c r="K2416" t="s">
        <v>47087</v>
      </c>
      <c r="L2416" t="s">
        <v>47088</v>
      </c>
      <c r="M2416" t="s">
        <v>47089</v>
      </c>
      <c r="N2416">
        <f>-538.409157917893 -44.8149707856007 -746.470390955991</f>
        <v>-1329.6945196594847</v>
      </c>
      <c r="O2416">
        <f>-561.83678944222 -176.42148283056 -685.178766088449</f>
        <v>-1423.437038361229</v>
      </c>
      <c r="P2416">
        <f>-598.324398869542 -130.81024392512 -374.092855538714</f>
        <v>-1103.2274983333762</v>
      </c>
      <c r="Q2416" t="s">
        <v>47090</v>
      </c>
      <c r="R2416" t="s">
        <v>47091</v>
      </c>
      <c r="S2416" t="s">
        <v>47092</v>
      </c>
      <c r="T2416" t="s">
        <v>47093</v>
      </c>
      <c r="U2416" t="s">
        <v>47094</v>
      </c>
      <c r="V2416" t="s">
        <v>47095</v>
      </c>
      <c r="W2416" t="s">
        <v>47096</v>
      </c>
      <c r="X2416" t="s">
        <v>47097</v>
      </c>
      <c r="Y2416" t="s">
        <v>47098</v>
      </c>
    </row>
    <row r="2417" spans="1:25" x14ac:dyDescent="0.3">
      <c r="A2417">
        <v>120800</v>
      </c>
      <c r="B2417" t="s">
        <v>47099</v>
      </c>
      <c r="C2417" t="s">
        <v>47100</v>
      </c>
      <c r="D2417" t="s">
        <v>47101</v>
      </c>
      <c r="E2417" t="s">
        <v>47102</v>
      </c>
      <c r="F2417" t="s">
        <v>47103</v>
      </c>
      <c r="G2417" t="s">
        <v>47104</v>
      </c>
      <c r="H2417">
        <f>-520.385039522362 -33.2534195712765 -819.259540005846</f>
        <v>-1372.8979990994844</v>
      </c>
      <c r="I2417">
        <f>-469.341663189792 -61.3951666496253 -902.839520717326</f>
        <v>-1433.5763505567434</v>
      </c>
      <c r="J2417" t="s">
        <v>47105</v>
      </c>
      <c r="K2417" t="s">
        <v>47106</v>
      </c>
      <c r="L2417" t="s">
        <v>47107</v>
      </c>
      <c r="M2417" t="s">
        <v>47108</v>
      </c>
      <c r="N2417">
        <f>-539.407324295113 -42.2781961304149 -747.777899359294</f>
        <v>-1329.4634197848218</v>
      </c>
      <c r="O2417">
        <f>-562.000774847434 -174.450471692778 -687.404896614809</f>
        <v>-1423.8561431550211</v>
      </c>
      <c r="P2417">
        <f>-598.270420636334 -130.729610840989 -376.022162987037</f>
        <v>-1105.0221944643602</v>
      </c>
      <c r="Q2417" t="s">
        <v>47109</v>
      </c>
      <c r="R2417" t="s">
        <v>47110</v>
      </c>
      <c r="S2417" t="s">
        <v>47111</v>
      </c>
      <c r="T2417" t="s">
        <v>47112</v>
      </c>
      <c r="U2417" t="s">
        <v>47113</v>
      </c>
      <c r="V2417" t="s">
        <v>47114</v>
      </c>
      <c r="W2417" t="s">
        <v>47115</v>
      </c>
      <c r="X2417" t="s">
        <v>47116</v>
      </c>
      <c r="Y2417" t="s">
        <v>47117</v>
      </c>
    </row>
    <row r="2418" spans="1:25" x14ac:dyDescent="0.3">
      <c r="A2418">
        <v>120850</v>
      </c>
      <c r="B2418" t="s">
        <v>47118</v>
      </c>
      <c r="C2418" t="s">
        <v>47119</v>
      </c>
      <c r="D2418" t="s">
        <v>47120</v>
      </c>
      <c r="E2418" t="s">
        <v>47121</v>
      </c>
      <c r="F2418" t="s">
        <v>47122</v>
      </c>
      <c r="G2418" t="s">
        <v>47123</v>
      </c>
      <c r="H2418">
        <f>-524.660512482509 -25.6261830316935 -822.031367294863</f>
        <v>-1372.3180628090654</v>
      </c>
      <c r="I2418">
        <f>-474.426757998402 -51.0193578110648 -906.970934852792</f>
        <v>-1432.4170506622588</v>
      </c>
      <c r="J2418" t="s">
        <v>47124</v>
      </c>
      <c r="K2418" t="s">
        <v>47125</v>
      </c>
      <c r="L2418" t="s">
        <v>47126</v>
      </c>
      <c r="M2418" t="s">
        <v>47127</v>
      </c>
      <c r="N2418">
        <f>-542.826399861379 -35.960122764697 -750.504195242355</f>
        <v>-1329.2907178684309</v>
      </c>
      <c r="O2418">
        <f>-563.571465100506 -169.183326648835 -691.867709205204</f>
        <v>-1424.6225009545451</v>
      </c>
      <c r="P2418">
        <f>-598.572978486099 -129.255378971794 -379.831164066242</f>
        <v>-1107.659521524135</v>
      </c>
      <c r="Q2418" t="s">
        <v>47128</v>
      </c>
      <c r="R2418" t="s">
        <v>47129</v>
      </c>
      <c r="S2418" t="s">
        <v>47130</v>
      </c>
      <c r="T2418" t="s">
        <v>47131</v>
      </c>
      <c r="U2418" t="s">
        <v>47132</v>
      </c>
      <c r="V2418" t="s">
        <v>47133</v>
      </c>
      <c r="W2418" t="s">
        <v>47134</v>
      </c>
      <c r="X2418" t="s">
        <v>47135</v>
      </c>
      <c r="Y2418" t="s">
        <v>47136</v>
      </c>
    </row>
    <row r="2419" spans="1:25" x14ac:dyDescent="0.3">
      <c r="A2419">
        <v>120900</v>
      </c>
      <c r="B2419" t="s">
        <v>47137</v>
      </c>
      <c r="C2419" t="s">
        <v>47138</v>
      </c>
      <c r="D2419" t="s">
        <v>47139</v>
      </c>
      <c r="E2419" t="s">
        <v>47140</v>
      </c>
      <c r="F2419" t="s">
        <v>47141</v>
      </c>
      <c r="G2419" t="s">
        <v>47142</v>
      </c>
      <c r="H2419">
        <f>-527.055956933089 -21.756653171135 -823.36522805823</f>
        <v>-1372.177838162454</v>
      </c>
      <c r="I2419">
        <f>-477.090569088348 -46.0436696406357 -908.785244214873</f>
        <v>-1431.9194829438568</v>
      </c>
      <c r="J2419" t="s">
        <v>47143</v>
      </c>
      <c r="K2419" t="s">
        <v>47144</v>
      </c>
      <c r="L2419" t="s">
        <v>47145</v>
      </c>
      <c r="M2419" t="s">
        <v>47146</v>
      </c>
      <c r="N2419">
        <f>-544.808657771407 -32.6678728274665 -751.820073917352</f>
        <v>-1329.2966045162254</v>
      </c>
      <c r="O2419">
        <f>-564.626883594911 -166.37218550513 -693.900172900708</f>
        <v>-1424.8992420007489</v>
      </c>
      <c r="P2419">
        <f>-598.826831734411 -127.963182075454 -381.584290934982</f>
        <v>-1108.374304744847</v>
      </c>
      <c r="Q2419" t="s">
        <v>47147</v>
      </c>
      <c r="R2419" t="s">
        <v>47148</v>
      </c>
      <c r="S2419" t="s">
        <v>47149</v>
      </c>
      <c r="T2419" t="s">
        <v>47150</v>
      </c>
      <c r="U2419" t="s">
        <v>47151</v>
      </c>
      <c r="V2419" t="s">
        <v>47152</v>
      </c>
      <c r="W2419" t="s">
        <v>47153</v>
      </c>
      <c r="X2419" t="s">
        <v>47154</v>
      </c>
      <c r="Y2419" t="s">
        <v>47155</v>
      </c>
    </row>
    <row r="2420" spans="1:25" x14ac:dyDescent="0.3">
      <c r="A2420">
        <v>120950</v>
      </c>
      <c r="B2420" t="s">
        <v>47156</v>
      </c>
      <c r="C2420" t="s">
        <v>47157</v>
      </c>
      <c r="D2420" t="s">
        <v>47158</v>
      </c>
      <c r="E2420" t="s">
        <v>47159</v>
      </c>
      <c r="F2420" t="s">
        <v>47160</v>
      </c>
      <c r="G2420" t="s">
        <v>47161</v>
      </c>
      <c r="H2420">
        <f>-531.703161153197 -13.9598307544911 -825.714867240452</f>
        <v>-1371.37785914814</v>
      </c>
      <c r="I2420">
        <f>-482.050631884642 -36.5775581814473 -911.773164541959</f>
        <v>-1430.4013546080482</v>
      </c>
      <c r="J2420" t="s">
        <v>47162</v>
      </c>
      <c r="K2420" t="s">
        <v>47163</v>
      </c>
      <c r="L2420" t="s">
        <v>47164</v>
      </c>
      <c r="M2420" t="s">
        <v>47165</v>
      </c>
      <c r="N2420">
        <f>-548.773088308576 -25.7684520732055 -754.146005306781</f>
        <v>-1328.6875456885625</v>
      </c>
      <c r="O2420">
        <f>-566.836827319322 -160.20519468279 -697.385288520501</f>
        <v>-1424.427310522613</v>
      </c>
      <c r="P2420">
        <f>-599.669729355026 -123.763114295374 -384.687097119635</f>
        <v>-1108.1199407700349</v>
      </c>
      <c r="Q2420" t="s">
        <v>47166</v>
      </c>
      <c r="R2420" t="s">
        <v>47167</v>
      </c>
      <c r="S2420" t="s">
        <v>47168</v>
      </c>
      <c r="T2420" t="s">
        <v>47169</v>
      </c>
      <c r="U2420" t="s">
        <v>47170</v>
      </c>
      <c r="V2420" t="s">
        <v>47171</v>
      </c>
      <c r="W2420" t="s">
        <v>47172</v>
      </c>
      <c r="X2420" t="s">
        <v>47173</v>
      </c>
      <c r="Y2420" t="s">
        <v>47174</v>
      </c>
    </row>
    <row r="2421" spans="1:25" x14ac:dyDescent="0.3">
      <c r="A2421">
        <v>121000</v>
      </c>
      <c r="B2421" t="s">
        <v>47175</v>
      </c>
      <c r="C2421" t="s">
        <v>47176</v>
      </c>
      <c r="D2421" t="s">
        <v>47177</v>
      </c>
      <c r="E2421" t="s">
        <v>47178</v>
      </c>
      <c r="F2421" t="s">
        <v>47179</v>
      </c>
      <c r="G2421" t="s">
        <v>47180</v>
      </c>
      <c r="H2421">
        <f>-534.097007861835 -10.3466876033817 -826.67940246346</f>
        <v>-1371.1230979286765</v>
      </c>
      <c r="I2421">
        <f>-484.544058508002 -32.4100786473155 -912.938966283466</f>
        <v>-1429.8931034387836</v>
      </c>
      <c r="J2421" t="s">
        <v>47181</v>
      </c>
      <c r="K2421" t="s">
        <v>47182</v>
      </c>
      <c r="L2421" t="s">
        <v>47183</v>
      </c>
      <c r="M2421" t="s">
        <v>47184</v>
      </c>
      <c r="N2421">
        <f>-550.876561166232 -22.4476302620374 -755.090825007507</f>
        <v>-1328.4150164357764</v>
      </c>
      <c r="O2421">
        <f>-568.411321355672 -157.104280868194 -698.688141024562</f>
        <v>-1424.2037432484281</v>
      </c>
      <c r="P2421">
        <f>-600.444518032096 -121.237026786623 -385.840626504408</f>
        <v>-1107.5221713231269</v>
      </c>
      <c r="Q2421" t="s">
        <v>47185</v>
      </c>
      <c r="R2421" t="s">
        <v>47186</v>
      </c>
      <c r="S2421" t="s">
        <v>47187</v>
      </c>
      <c r="T2421" t="s">
        <v>47188</v>
      </c>
      <c r="U2421" t="s">
        <v>47189</v>
      </c>
      <c r="V2421" t="s">
        <v>47190</v>
      </c>
      <c r="W2421" t="s">
        <v>47191</v>
      </c>
      <c r="X2421" t="s">
        <v>47192</v>
      </c>
      <c r="Y2421" t="s">
        <v>47193</v>
      </c>
    </row>
    <row r="2422" spans="1:25" x14ac:dyDescent="0.3">
      <c r="A2422">
        <v>121050</v>
      </c>
      <c r="B2422" t="s">
        <v>47194</v>
      </c>
      <c r="C2422" t="s">
        <v>47195</v>
      </c>
      <c r="D2422" t="s">
        <v>47196</v>
      </c>
      <c r="E2422" t="s">
        <v>47197</v>
      </c>
      <c r="F2422" t="s">
        <v>47198</v>
      </c>
      <c r="G2422" t="s">
        <v>47199</v>
      </c>
      <c r="H2422">
        <f>-538.225261697243 -4.38298638282754 -827.917822378739</f>
        <v>-1370.5260704588095</v>
      </c>
      <c r="I2422">
        <f>-488.822347166984 -25.851504096587 -914.413189648916</f>
        <v>-1429.0870409124871</v>
      </c>
      <c r="J2422" t="s">
        <v>47200</v>
      </c>
      <c r="K2422" t="s">
        <v>47201</v>
      </c>
      <c r="L2422" t="s">
        <v>47202</v>
      </c>
      <c r="M2422" t="s">
        <v>47203</v>
      </c>
      <c r="N2422">
        <f>-554.606981688363 -16.7264868653035 -756.278577876873</f>
        <v>-1327.6120464305395</v>
      </c>
      <c r="O2422">
        <f>-571.673112514335 -151.629545430186 -700.29299468155</f>
        <v>-1423.5956526260711</v>
      </c>
      <c r="P2422">
        <f>-602.546916331442 -116.518981377247 -387.243072959487</f>
        <v>-1106.308970668176</v>
      </c>
      <c r="Q2422" t="s">
        <v>47204</v>
      </c>
      <c r="R2422" t="s">
        <v>47205</v>
      </c>
      <c r="S2422" t="s">
        <v>47206</v>
      </c>
      <c r="T2422" t="s">
        <v>47207</v>
      </c>
      <c r="U2422" t="s">
        <v>47208</v>
      </c>
      <c r="V2422" t="s">
        <v>47209</v>
      </c>
      <c r="W2422" t="s">
        <v>47210</v>
      </c>
      <c r="X2422" t="s">
        <v>47211</v>
      </c>
      <c r="Y2422" t="s">
        <v>47212</v>
      </c>
    </row>
    <row r="2423" spans="1:25" x14ac:dyDescent="0.3">
      <c r="A2423">
        <v>121100</v>
      </c>
      <c r="B2423" t="s">
        <v>47213</v>
      </c>
      <c r="C2423" t="s">
        <v>47214</v>
      </c>
      <c r="D2423" t="s">
        <v>47215</v>
      </c>
      <c r="E2423" t="s">
        <v>47216</v>
      </c>
      <c r="F2423" t="s">
        <v>47217</v>
      </c>
      <c r="G2423" t="s">
        <v>47218</v>
      </c>
      <c r="H2423">
        <f>-539.901565370327 -1.77139120245943 -828.38606956519</f>
        <v>-1370.0590261379766</v>
      </c>
      <c r="I2423">
        <f>-490.553224018649 -23.1147689403715 -914.943431073237</f>
        <v>-1428.6114240322574</v>
      </c>
      <c r="J2423" t="s">
        <v>47219</v>
      </c>
      <c r="K2423" t="s">
        <v>47220</v>
      </c>
      <c r="L2423" t="s">
        <v>47221</v>
      </c>
      <c r="M2423" t="s">
        <v>47222</v>
      </c>
      <c r="N2423">
        <f>-556.187110879525 -14.1243322625837 -756.726374209056</f>
        <v>-1327.0378173511647</v>
      </c>
      <c r="O2423">
        <f>-573.276770914098 -149.042101527034 -700.805709731239</f>
        <v>-1423.124582172371</v>
      </c>
      <c r="P2423">
        <f>-603.71306483471 -113.998294888667 -387.705545247305</f>
        <v>-1105.416904970682</v>
      </c>
      <c r="Q2423" t="s">
        <v>47223</v>
      </c>
      <c r="R2423" t="s">
        <v>47224</v>
      </c>
      <c r="S2423" t="s">
        <v>47225</v>
      </c>
      <c r="T2423" t="s">
        <v>47226</v>
      </c>
      <c r="U2423" t="s">
        <v>47227</v>
      </c>
      <c r="V2423" t="s">
        <v>47228</v>
      </c>
      <c r="W2423" t="s">
        <v>47229</v>
      </c>
      <c r="X2423" t="s">
        <v>47230</v>
      </c>
      <c r="Y2423" t="s">
        <v>47231</v>
      </c>
    </row>
    <row r="2424" spans="1:25" x14ac:dyDescent="0.3">
      <c r="A2424">
        <v>121150</v>
      </c>
      <c r="B2424" t="s">
        <v>47232</v>
      </c>
      <c r="C2424" t="s">
        <v>47233</v>
      </c>
      <c r="D2424" t="s">
        <v>47234</v>
      </c>
      <c r="E2424" t="s">
        <v>47235</v>
      </c>
      <c r="F2424" t="s">
        <v>47236</v>
      </c>
      <c r="G2424" t="s">
        <v>47237</v>
      </c>
      <c r="H2424" t="s">
        <v>47238</v>
      </c>
      <c r="I2424">
        <f>-493.93830674935 -19.1376944380684 -915.408029342382</f>
        <v>-1428.4840305298003</v>
      </c>
      <c r="J2424" t="s">
        <v>47239</v>
      </c>
      <c r="K2424" t="s">
        <v>47240</v>
      </c>
      <c r="L2424" t="s">
        <v>47241</v>
      </c>
      <c r="M2424" t="s">
        <v>47242</v>
      </c>
      <c r="N2424">
        <f>-559.291933293976 -9.95427407870693 -757.057881785486</f>
        <v>-1326.3040891581688</v>
      </c>
      <c r="O2424">
        <f>-576.694006511163 -144.787754910793 -701.014607824445</f>
        <v>-1422.4963692464009</v>
      </c>
      <c r="P2424">
        <f>-606.7518899145 -109.499848323799 -387.905278930989</f>
        <v>-1104.1570171692881</v>
      </c>
      <c r="Q2424" t="s">
        <v>47243</v>
      </c>
      <c r="R2424" t="s">
        <v>47244</v>
      </c>
      <c r="S2424" t="s">
        <v>47245</v>
      </c>
      <c r="T2424" t="s">
        <v>47246</v>
      </c>
      <c r="U2424" t="s">
        <v>47247</v>
      </c>
      <c r="V2424" t="s">
        <v>47248</v>
      </c>
      <c r="W2424" t="s">
        <v>47249</v>
      </c>
      <c r="X2424" t="s">
        <v>47250</v>
      </c>
      <c r="Y2424" t="s">
        <v>47251</v>
      </c>
    </row>
    <row r="2425" spans="1:25" x14ac:dyDescent="0.3">
      <c r="A2425">
        <v>121200</v>
      </c>
      <c r="B2425" t="s">
        <v>47252</v>
      </c>
      <c r="C2425" t="s">
        <v>47253</v>
      </c>
      <c r="D2425" t="s">
        <v>47254</v>
      </c>
      <c r="E2425" t="s">
        <v>47255</v>
      </c>
      <c r="F2425" t="s">
        <v>47256</v>
      </c>
      <c r="G2425" t="s">
        <v>47257</v>
      </c>
      <c r="H2425" t="s">
        <v>47258</v>
      </c>
      <c r="I2425">
        <f>-495.53959933039 -17.5126566877088 -915.560967872215</f>
        <v>-1428.6132238903137</v>
      </c>
      <c r="J2425" t="s">
        <v>47259</v>
      </c>
      <c r="K2425" t="s">
        <v>47260</v>
      </c>
      <c r="L2425" t="s">
        <v>47261</v>
      </c>
      <c r="M2425" t="s">
        <v>47262</v>
      </c>
      <c r="N2425">
        <f>-560.764741626727 -8.15647736401434 -757.152083300977</f>
        <v>-1326.0733022917184</v>
      </c>
      <c r="O2425">
        <f>-578.459089186945 -142.933503081661 -701.040716881879</f>
        <v>-1422.433309150485</v>
      </c>
      <c r="P2425">
        <f>-608.352272821628 -107.40200457327 -387.943211803712</f>
        <v>-1103.6974891986101</v>
      </c>
      <c r="Q2425" t="s">
        <v>47263</v>
      </c>
      <c r="R2425" t="s">
        <v>47264</v>
      </c>
      <c r="S2425" t="s">
        <v>47265</v>
      </c>
      <c r="T2425" t="s">
        <v>47266</v>
      </c>
      <c r="U2425" t="s">
        <v>47267</v>
      </c>
      <c r="V2425" t="s">
        <v>47268</v>
      </c>
      <c r="W2425" t="s">
        <v>47269</v>
      </c>
      <c r="X2425" t="s">
        <v>47270</v>
      </c>
      <c r="Y2425" t="s">
        <v>47271</v>
      </c>
    </row>
    <row r="2426" spans="1:25" x14ac:dyDescent="0.3">
      <c r="A2426">
        <v>121250</v>
      </c>
      <c r="B2426" t="s">
        <v>47272</v>
      </c>
      <c r="C2426" t="s">
        <v>47273</v>
      </c>
      <c r="D2426" t="s">
        <v>47274</v>
      </c>
      <c r="E2426" t="s">
        <v>47275</v>
      </c>
      <c r="F2426" t="s">
        <v>47276</v>
      </c>
      <c r="G2426" t="s">
        <v>47277</v>
      </c>
      <c r="H2426" t="s">
        <v>47278</v>
      </c>
      <c r="I2426">
        <f>-498.205799167683 -14.8059399541701 -916.006233528606</f>
        <v>-1429.0179726504591</v>
      </c>
      <c r="J2426" t="s">
        <v>47279</v>
      </c>
      <c r="K2426" t="s">
        <v>47280</v>
      </c>
      <c r="L2426" t="s">
        <v>47281</v>
      </c>
      <c r="M2426" t="s">
        <v>47282</v>
      </c>
      <c r="N2426">
        <f>-563.146465865304 -5.11990203347887 -757.492916294387</f>
        <v>-1325.7592841931698</v>
      </c>
      <c r="O2426">
        <f>-581.416691556772 -139.745619041091 -701.204697183947</f>
        <v>-1422.3670077818101</v>
      </c>
      <c r="P2426">
        <f>-610.792980960866 -103.48568646477 -388.141570179447</f>
        <v>-1102.420237605083</v>
      </c>
      <c r="Q2426" t="s">
        <v>47283</v>
      </c>
      <c r="R2426" t="s">
        <v>47284</v>
      </c>
      <c r="S2426" t="s">
        <v>47285</v>
      </c>
      <c r="T2426" t="s">
        <v>47286</v>
      </c>
      <c r="U2426" t="s">
        <v>47287</v>
      </c>
      <c r="V2426" t="s">
        <v>47288</v>
      </c>
      <c r="W2426" t="s">
        <v>47289</v>
      </c>
      <c r="X2426" t="s">
        <v>47290</v>
      </c>
      <c r="Y2426" t="s">
        <v>47291</v>
      </c>
    </row>
    <row r="2427" spans="1:25" x14ac:dyDescent="0.3">
      <c r="A2427">
        <v>121300</v>
      </c>
      <c r="B2427" t="s">
        <v>47292</v>
      </c>
      <c r="C2427" t="s">
        <v>47293</v>
      </c>
      <c r="D2427" t="s">
        <v>47294</v>
      </c>
      <c r="E2427" t="s">
        <v>47295</v>
      </c>
      <c r="F2427" t="s">
        <v>47296</v>
      </c>
      <c r="G2427" t="s">
        <v>47297</v>
      </c>
      <c r="H2427" t="s">
        <v>47298</v>
      </c>
      <c r="I2427">
        <f>-499.593082574709 -13.0974055509225 -916.192025008132</f>
        <v>-1428.8825131337635</v>
      </c>
      <c r="J2427" t="s">
        <v>47299</v>
      </c>
      <c r="K2427" t="s">
        <v>47300</v>
      </c>
      <c r="L2427" t="s">
        <v>47301</v>
      </c>
      <c r="M2427" t="s">
        <v>47302</v>
      </c>
      <c r="N2427">
        <f>-564.278801598906 -3.22515215460817 -757.589041309747</f>
        <v>-1325.0929950632612</v>
      </c>
      <c r="O2427">
        <f>-582.734872263536 -137.786334622677 -701.209888209958</f>
        <v>-1421.731095096171</v>
      </c>
      <c r="P2427">
        <f>-612.055460963555 -101.170351662755 -388.183057544637</f>
        <v>-1101.408870170947</v>
      </c>
      <c r="Q2427" t="s">
        <v>47303</v>
      </c>
      <c r="R2427" t="s">
        <v>47304</v>
      </c>
      <c r="S2427" t="s">
        <v>47305</v>
      </c>
      <c r="T2427" t="s">
        <v>47306</v>
      </c>
      <c r="U2427" t="s">
        <v>47307</v>
      </c>
      <c r="V2427" t="s">
        <v>47308</v>
      </c>
      <c r="W2427" t="s">
        <v>47309</v>
      </c>
      <c r="X2427" t="s">
        <v>47310</v>
      </c>
      <c r="Y2427" t="s">
        <v>47311</v>
      </c>
    </row>
    <row r="2428" spans="1:25" x14ac:dyDescent="0.3">
      <c r="A2428">
        <v>121350</v>
      </c>
      <c r="B2428" t="s">
        <v>47312</v>
      </c>
      <c r="C2428" t="s">
        <v>47313</v>
      </c>
      <c r="D2428" t="s">
        <v>47314</v>
      </c>
      <c r="E2428" t="s">
        <v>47315</v>
      </c>
      <c r="F2428" t="s">
        <v>47316</v>
      </c>
      <c r="G2428" t="s">
        <v>47317</v>
      </c>
      <c r="H2428" t="s">
        <v>47318</v>
      </c>
      <c r="I2428">
        <f>-501.364797311883 -7.79444643171723 -916.655074244499</f>
        <v>-1425.8143179880992</v>
      </c>
      <c r="J2428" t="s">
        <v>47319</v>
      </c>
      <c r="K2428" t="s">
        <v>47320</v>
      </c>
      <c r="L2428" t="s">
        <v>47321</v>
      </c>
      <c r="M2428" t="s">
        <v>47322</v>
      </c>
      <c r="N2428" t="s">
        <v>47323</v>
      </c>
      <c r="O2428">
        <f>-584.373174296928 -132.301527371057 -701.47481928525</f>
        <v>-1418.149520953235</v>
      </c>
      <c r="P2428">
        <f>-613.11996484297 -95.1769541520546 -388.454674134802</f>
        <v>-1096.7515931298267</v>
      </c>
      <c r="Q2428" t="s">
        <v>47324</v>
      </c>
      <c r="R2428" t="s">
        <v>47325</v>
      </c>
      <c r="S2428" t="s">
        <v>47326</v>
      </c>
      <c r="T2428" t="s">
        <v>47327</v>
      </c>
      <c r="U2428" t="s">
        <v>47328</v>
      </c>
      <c r="V2428" t="s">
        <v>47329</v>
      </c>
      <c r="W2428" t="s">
        <v>47330</v>
      </c>
      <c r="X2428" t="s">
        <v>47331</v>
      </c>
      <c r="Y2428" t="s">
        <v>47332</v>
      </c>
    </row>
    <row r="2429" spans="1:25" x14ac:dyDescent="0.3">
      <c r="A2429">
        <v>121400</v>
      </c>
      <c r="B2429" t="s">
        <v>47333</v>
      </c>
      <c r="C2429" t="s">
        <v>47334</v>
      </c>
      <c r="D2429" t="s">
        <v>47335</v>
      </c>
      <c r="E2429" t="s">
        <v>47336</v>
      </c>
      <c r="F2429" t="s">
        <v>47337</v>
      </c>
      <c r="G2429" t="s">
        <v>47338</v>
      </c>
      <c r="H2429" t="s">
        <v>47339</v>
      </c>
      <c r="I2429">
        <f>-501.802679448419 -5.35396136932195 -916.807848049775</f>
        <v>-1423.9644888675159</v>
      </c>
      <c r="J2429" t="s">
        <v>47340</v>
      </c>
      <c r="K2429" t="s">
        <v>47341</v>
      </c>
      <c r="L2429" t="s">
        <v>47342</v>
      </c>
      <c r="M2429" t="s">
        <v>47343</v>
      </c>
      <c r="N2429" t="s">
        <v>47344</v>
      </c>
      <c r="O2429">
        <f>-584.672749907409 -129.713540442742 -701.508836122712</f>
        <v>-1415.895126472863</v>
      </c>
      <c r="P2429">
        <f>-613.65046751537 -92.6549168593822 -388.502226252589</f>
        <v>-1094.8076106273411</v>
      </c>
      <c r="Q2429" t="s">
        <v>47345</v>
      </c>
      <c r="R2429" t="s">
        <v>47346</v>
      </c>
      <c r="S2429" t="s">
        <v>47347</v>
      </c>
      <c r="T2429" t="s">
        <v>47348</v>
      </c>
      <c r="U2429" t="s">
        <v>47349</v>
      </c>
      <c r="V2429" t="s">
        <v>47350</v>
      </c>
      <c r="W2429" t="s">
        <v>47351</v>
      </c>
      <c r="X2429" t="s">
        <v>47352</v>
      </c>
      <c r="Y2429" t="s">
        <v>47353</v>
      </c>
    </row>
    <row r="2430" spans="1:25" x14ac:dyDescent="0.3">
      <c r="A2430">
        <v>121450</v>
      </c>
      <c r="B2430" t="s">
        <v>47354</v>
      </c>
      <c r="C2430" t="s">
        <v>47355</v>
      </c>
      <c r="D2430" t="s">
        <v>47356</v>
      </c>
      <c r="E2430" t="s">
        <v>47357</v>
      </c>
      <c r="F2430" t="s">
        <v>47358</v>
      </c>
      <c r="G2430" t="s">
        <v>47359</v>
      </c>
      <c r="H2430" t="s">
        <v>47360</v>
      </c>
      <c r="I2430">
        <f>-502.057082507872 -1.39464640164306 -917.203021983356</f>
        <v>-1420.6547508928711</v>
      </c>
      <c r="J2430" t="s">
        <v>47361</v>
      </c>
      <c r="K2430" t="s">
        <v>47362</v>
      </c>
      <c r="L2430" t="s">
        <v>47363</v>
      </c>
      <c r="M2430" t="s">
        <v>47364</v>
      </c>
      <c r="N2430" t="s">
        <v>47365</v>
      </c>
      <c r="O2430">
        <f>-584.906036598257 -125.655857224399 -701.765174793818</f>
        <v>-1412.327068616474</v>
      </c>
      <c r="P2430">
        <f>-613.071471903982 -88.5162911644936 -388.694111485309</f>
        <v>-1090.2818745537847</v>
      </c>
      <c r="Q2430" t="s">
        <v>47366</v>
      </c>
      <c r="R2430" t="s">
        <v>47367</v>
      </c>
      <c r="S2430" t="s">
        <v>47368</v>
      </c>
      <c r="T2430" t="s">
        <v>47369</v>
      </c>
      <c r="U2430" t="s">
        <v>47370</v>
      </c>
      <c r="V2430" t="s">
        <v>47371</v>
      </c>
      <c r="W2430" t="s">
        <v>47372</v>
      </c>
      <c r="X2430" t="s">
        <v>47373</v>
      </c>
      <c r="Y2430" t="s">
        <v>47374</v>
      </c>
    </row>
    <row r="2431" spans="1:25" x14ac:dyDescent="0.3">
      <c r="A2431">
        <v>121500</v>
      </c>
      <c r="B2431" t="s">
        <v>47375</v>
      </c>
      <c r="C2431" t="s">
        <v>47376</v>
      </c>
      <c r="D2431" t="s">
        <v>47377</v>
      </c>
      <c r="E2431" t="s">
        <v>47378</v>
      </c>
      <c r="F2431" t="s">
        <v>47379</v>
      </c>
      <c r="G2431" t="s">
        <v>47380</v>
      </c>
      <c r="H2431" t="s">
        <v>47381</v>
      </c>
      <c r="I2431" t="s">
        <v>47382</v>
      </c>
      <c r="J2431" t="s">
        <v>47383</v>
      </c>
      <c r="K2431" t="s">
        <v>47384</v>
      </c>
      <c r="L2431" t="s">
        <v>47385</v>
      </c>
      <c r="M2431" t="s">
        <v>47386</v>
      </c>
      <c r="N2431" t="s">
        <v>47387</v>
      </c>
      <c r="O2431">
        <f>-585.136643765982 -123.828668117848 -701.862080016565</f>
        <v>-1410.827391900395</v>
      </c>
      <c r="P2431">
        <f>-612.919176243185 -86.8284264453846 -388.740271030179</f>
        <v>-1088.4878737187487</v>
      </c>
      <c r="Q2431" t="s">
        <v>47388</v>
      </c>
      <c r="R2431" t="s">
        <v>47389</v>
      </c>
      <c r="S2431" t="s">
        <v>47390</v>
      </c>
      <c r="T2431" t="s">
        <v>47391</v>
      </c>
      <c r="U2431" t="s">
        <v>47392</v>
      </c>
      <c r="V2431" t="s">
        <v>47393</v>
      </c>
      <c r="W2431" t="s">
        <v>47394</v>
      </c>
      <c r="X2431" t="s">
        <v>47395</v>
      </c>
      <c r="Y2431" t="s">
        <v>47396</v>
      </c>
    </row>
    <row r="2432" spans="1:25" x14ac:dyDescent="0.3">
      <c r="A2432">
        <v>121550</v>
      </c>
      <c r="B2432" t="s">
        <v>47397</v>
      </c>
      <c r="C2432" t="s">
        <v>47398</v>
      </c>
      <c r="D2432" t="s">
        <v>47399</v>
      </c>
      <c r="E2432" t="s">
        <v>47400</v>
      </c>
      <c r="F2432" t="s">
        <v>47401</v>
      </c>
      <c r="G2432" t="s">
        <v>47402</v>
      </c>
      <c r="H2432" t="s">
        <v>47403</v>
      </c>
      <c r="I2432" t="s">
        <v>47404</v>
      </c>
      <c r="J2432" t="s">
        <v>47405</v>
      </c>
      <c r="K2432" t="s">
        <v>47406</v>
      </c>
      <c r="L2432" t="s">
        <v>47407</v>
      </c>
      <c r="M2432" t="s">
        <v>47408</v>
      </c>
      <c r="N2432" t="s">
        <v>47409</v>
      </c>
      <c r="O2432">
        <f>-585.626213881387 -120.670088221851 -702.142495936075</f>
        <v>-1408.438798039313</v>
      </c>
      <c r="P2432">
        <f>-611.546624495721 -82.192966499902 -389.038969175788</f>
        <v>-1082.7785601714108</v>
      </c>
      <c r="Q2432" t="s">
        <v>47410</v>
      </c>
      <c r="R2432" t="s">
        <v>47411</v>
      </c>
      <c r="S2432" t="s">
        <v>47412</v>
      </c>
      <c r="T2432" t="s">
        <v>47413</v>
      </c>
      <c r="U2432" t="s">
        <v>47414</v>
      </c>
      <c r="V2432" t="s">
        <v>47415</v>
      </c>
      <c r="W2432" t="s">
        <v>47416</v>
      </c>
      <c r="X2432" t="s">
        <v>47417</v>
      </c>
      <c r="Y2432" t="s">
        <v>47418</v>
      </c>
    </row>
    <row r="2433" spans="1:25" x14ac:dyDescent="0.3">
      <c r="A2433">
        <v>121600</v>
      </c>
      <c r="B2433" t="s">
        <v>47419</v>
      </c>
      <c r="C2433" t="s">
        <v>47420</v>
      </c>
      <c r="D2433" t="s">
        <v>47421</v>
      </c>
      <c r="E2433" t="s">
        <v>47422</v>
      </c>
      <c r="F2433" t="s">
        <v>47423</v>
      </c>
      <c r="G2433" t="s">
        <v>47424</v>
      </c>
      <c r="H2433" t="s">
        <v>47425</v>
      </c>
      <c r="I2433" t="s">
        <v>47426</v>
      </c>
      <c r="J2433" t="s">
        <v>47427</v>
      </c>
      <c r="K2433" t="s">
        <v>47428</v>
      </c>
      <c r="L2433" t="s">
        <v>47429</v>
      </c>
      <c r="M2433" t="s">
        <v>47430</v>
      </c>
      <c r="N2433" t="s">
        <v>47431</v>
      </c>
      <c r="O2433">
        <f>-585.676356920396 -119.605589897039 -702.15536771822</f>
        <v>-1407.4373145356549</v>
      </c>
      <c r="P2433">
        <f>-611.798387447336 -80.366807117548 -389.163089510576</f>
        <v>-1081.32828407546</v>
      </c>
      <c r="Q2433" t="s">
        <v>47432</v>
      </c>
      <c r="R2433" t="s">
        <v>47433</v>
      </c>
      <c r="S2433" t="s">
        <v>47434</v>
      </c>
      <c r="T2433" t="s">
        <v>47435</v>
      </c>
      <c r="U2433" t="s">
        <v>47436</v>
      </c>
      <c r="V2433" t="s">
        <v>47437</v>
      </c>
      <c r="W2433" t="s">
        <v>47438</v>
      </c>
      <c r="X2433" t="s">
        <v>47439</v>
      </c>
      <c r="Y2433" t="s">
        <v>47440</v>
      </c>
    </row>
    <row r="2434" spans="1:25" x14ac:dyDescent="0.3">
      <c r="A2434">
        <v>121650</v>
      </c>
      <c r="B2434" t="s">
        <v>47441</v>
      </c>
      <c r="C2434" t="s">
        <v>47442</v>
      </c>
      <c r="D2434" t="s">
        <v>47443</v>
      </c>
      <c r="E2434" t="s">
        <v>47444</v>
      </c>
      <c r="F2434" t="s">
        <v>47445</v>
      </c>
      <c r="G2434" t="s">
        <v>47446</v>
      </c>
      <c r="H2434" t="s">
        <v>47447</v>
      </c>
      <c r="I2434" t="s">
        <v>47448</v>
      </c>
      <c r="J2434" t="s">
        <v>47449</v>
      </c>
      <c r="K2434" t="s">
        <v>47450</v>
      </c>
      <c r="L2434" t="s">
        <v>47451</v>
      </c>
      <c r="M2434" t="s">
        <v>47452</v>
      </c>
      <c r="N2434" t="s">
        <v>47453</v>
      </c>
      <c r="O2434">
        <f>-585.161187163122 -117.488517028916 -702.568747044406</f>
        <v>-1405.218451236444</v>
      </c>
      <c r="P2434">
        <f>-611.457103854415 -77.4119268366233 -389.69726533952</f>
        <v>-1078.5662960305583</v>
      </c>
      <c r="Q2434" t="s">
        <v>47454</v>
      </c>
      <c r="R2434" t="s">
        <v>47455</v>
      </c>
      <c r="S2434" t="s">
        <v>47456</v>
      </c>
      <c r="T2434" t="s">
        <v>47457</v>
      </c>
      <c r="U2434" t="s">
        <v>47458</v>
      </c>
      <c r="V2434" t="s">
        <v>47459</v>
      </c>
      <c r="W2434" t="s">
        <v>47460</v>
      </c>
      <c r="X2434" t="s">
        <v>47461</v>
      </c>
      <c r="Y2434" t="s">
        <v>47462</v>
      </c>
    </row>
    <row r="2435" spans="1:25" x14ac:dyDescent="0.3">
      <c r="A2435">
        <v>121700</v>
      </c>
      <c r="B2435" t="s">
        <v>47463</v>
      </c>
      <c r="C2435" t="s">
        <v>47464</v>
      </c>
      <c r="D2435" t="s">
        <v>47465</v>
      </c>
      <c r="E2435" t="s">
        <v>47466</v>
      </c>
      <c r="F2435" t="s">
        <v>47467</v>
      </c>
      <c r="G2435" t="s">
        <v>47468</v>
      </c>
      <c r="H2435" t="s">
        <v>47469</v>
      </c>
      <c r="I2435" t="s">
        <v>47470</v>
      </c>
      <c r="J2435" t="s">
        <v>47471</v>
      </c>
      <c r="K2435" t="s">
        <v>47472</v>
      </c>
      <c r="L2435" t="s">
        <v>47473</v>
      </c>
      <c r="M2435" t="s">
        <v>47474</v>
      </c>
      <c r="N2435" t="s">
        <v>47475</v>
      </c>
      <c r="O2435">
        <f>-584.906298431524 -116.627697521471 -702.850116816223</f>
        <v>-1404.3841127692181</v>
      </c>
      <c r="P2435">
        <f>-611.52957281591 -76.8710452190587 -389.965372909551</f>
        <v>-1078.3659909445196</v>
      </c>
      <c r="Q2435" t="s">
        <v>47476</v>
      </c>
      <c r="R2435" t="s">
        <v>47477</v>
      </c>
      <c r="S2435" t="s">
        <v>47478</v>
      </c>
      <c r="T2435" t="s">
        <v>47479</v>
      </c>
      <c r="U2435" t="s">
        <v>47480</v>
      </c>
      <c r="V2435" t="s">
        <v>47481</v>
      </c>
      <c r="W2435" t="s">
        <v>47482</v>
      </c>
      <c r="X2435" t="s">
        <v>47483</v>
      </c>
      <c r="Y2435" t="s">
        <v>47484</v>
      </c>
    </row>
    <row r="2436" spans="1:25" x14ac:dyDescent="0.3">
      <c r="A2436">
        <v>121750</v>
      </c>
      <c r="B2436" t="s">
        <v>47485</v>
      </c>
      <c r="C2436" t="s">
        <v>47486</v>
      </c>
      <c r="D2436" t="s">
        <v>47487</v>
      </c>
      <c r="E2436" t="s">
        <v>47488</v>
      </c>
      <c r="F2436" t="s">
        <v>47489</v>
      </c>
      <c r="G2436" t="s">
        <v>47490</v>
      </c>
      <c r="H2436" t="s">
        <v>47491</v>
      </c>
      <c r="I2436" t="s">
        <v>47492</v>
      </c>
      <c r="J2436" t="s">
        <v>47493</v>
      </c>
      <c r="K2436" t="s">
        <v>47494</v>
      </c>
      <c r="L2436" t="s">
        <v>47495</v>
      </c>
      <c r="M2436" t="s">
        <v>47496</v>
      </c>
      <c r="N2436" t="s">
        <v>47497</v>
      </c>
      <c r="O2436">
        <f>-584.784030112498 -115.625347725533 -703.190054155397</f>
        <v>-1403.599431993428</v>
      </c>
      <c r="P2436">
        <f>-612.000980746652 -75.8900811332328 -390.35380909876</f>
        <v>-1078.2448709786447</v>
      </c>
      <c r="Q2436" t="s">
        <v>47498</v>
      </c>
      <c r="R2436" t="s">
        <v>47499</v>
      </c>
      <c r="S2436" t="s">
        <v>47500</v>
      </c>
      <c r="T2436" t="s">
        <v>47501</v>
      </c>
      <c r="U2436" t="s">
        <v>47502</v>
      </c>
      <c r="V2436" t="s">
        <v>47503</v>
      </c>
      <c r="W2436" t="s">
        <v>47504</v>
      </c>
      <c r="X2436" t="s">
        <v>47505</v>
      </c>
      <c r="Y2436" t="s">
        <v>47506</v>
      </c>
    </row>
    <row r="2437" spans="1:25" x14ac:dyDescent="0.3">
      <c r="A2437">
        <v>121800</v>
      </c>
      <c r="B2437" t="s">
        <v>47507</v>
      </c>
      <c r="C2437" t="s">
        <v>47508</v>
      </c>
      <c r="D2437" t="s">
        <v>47509</v>
      </c>
      <c r="E2437" t="s">
        <v>47510</v>
      </c>
      <c r="F2437" t="s">
        <v>47511</v>
      </c>
      <c r="G2437" t="s">
        <v>47512</v>
      </c>
      <c r="H2437" t="s">
        <v>47513</v>
      </c>
      <c r="I2437" t="s">
        <v>47514</v>
      </c>
      <c r="J2437" t="s">
        <v>47515</v>
      </c>
      <c r="K2437" t="s">
        <v>47516</v>
      </c>
      <c r="L2437" t="s">
        <v>47517</v>
      </c>
      <c r="M2437" t="s">
        <v>47518</v>
      </c>
      <c r="N2437" t="s">
        <v>47519</v>
      </c>
      <c r="O2437">
        <f>-584.746515909324 -115.49230068447 -703.242874524121</f>
        <v>-1403.481691117915</v>
      </c>
      <c r="P2437">
        <f>-612.205984500715 -76.0027281641658 -390.396678057751</f>
        <v>-1078.6053907226317</v>
      </c>
      <c r="Q2437" t="s">
        <v>47520</v>
      </c>
      <c r="R2437" t="s">
        <v>47521</v>
      </c>
      <c r="S2437" t="s">
        <v>47522</v>
      </c>
      <c r="T2437" t="s">
        <v>47523</v>
      </c>
      <c r="U2437" t="s">
        <v>47524</v>
      </c>
      <c r="V2437" t="s">
        <v>47525</v>
      </c>
      <c r="W2437" t="s">
        <v>47526</v>
      </c>
      <c r="X2437" t="s">
        <v>47527</v>
      </c>
      <c r="Y2437" t="s">
        <v>47528</v>
      </c>
    </row>
    <row r="2438" spans="1:25" x14ac:dyDescent="0.3">
      <c r="A2438">
        <v>121850</v>
      </c>
      <c r="B2438" t="s">
        <v>47529</v>
      </c>
      <c r="C2438" t="s">
        <v>47530</v>
      </c>
      <c r="D2438" t="s">
        <v>47531</v>
      </c>
      <c r="E2438" t="s">
        <v>47532</v>
      </c>
      <c r="F2438" t="s">
        <v>47533</v>
      </c>
      <c r="G2438" t="s">
        <v>47534</v>
      </c>
      <c r="H2438" t="s">
        <v>47535</v>
      </c>
      <c r="I2438" t="s">
        <v>47536</v>
      </c>
      <c r="J2438" t="s">
        <v>47537</v>
      </c>
      <c r="K2438" t="s">
        <v>47538</v>
      </c>
      <c r="L2438" t="s">
        <v>47539</v>
      </c>
      <c r="M2438" t="s">
        <v>47540</v>
      </c>
      <c r="N2438" t="s">
        <v>47541</v>
      </c>
      <c r="O2438">
        <f>-584.631484208966 -114.828847517912 -703.415694639413</f>
        <v>-1402.8760263662909</v>
      </c>
      <c r="P2438">
        <f>-612.774095489632 -73.8940521265738 -390.815985102236</f>
        <v>-1077.4841327184417</v>
      </c>
      <c r="Q2438" t="s">
        <v>47542</v>
      </c>
      <c r="R2438" t="s">
        <v>47543</v>
      </c>
      <c r="S2438" t="s">
        <v>47544</v>
      </c>
      <c r="T2438" t="s">
        <v>47545</v>
      </c>
      <c r="U2438" t="s">
        <v>47546</v>
      </c>
      <c r="V2438" t="s">
        <v>47547</v>
      </c>
      <c r="W2438" t="s">
        <v>47548</v>
      </c>
      <c r="X2438" t="s">
        <v>47549</v>
      </c>
      <c r="Y2438" t="s">
        <v>47550</v>
      </c>
    </row>
    <row r="2439" spans="1:25" x14ac:dyDescent="0.3">
      <c r="A2439">
        <v>121900</v>
      </c>
      <c r="B2439" t="s">
        <v>47551</v>
      </c>
      <c r="C2439" t="s">
        <v>47552</v>
      </c>
      <c r="D2439" t="s">
        <v>47553</v>
      </c>
      <c r="E2439" t="s">
        <v>47554</v>
      </c>
      <c r="F2439" t="s">
        <v>47555</v>
      </c>
      <c r="G2439" t="s">
        <v>47556</v>
      </c>
      <c r="H2439" t="s">
        <v>47557</v>
      </c>
      <c r="I2439" t="s">
        <v>47558</v>
      </c>
      <c r="J2439" t="s">
        <v>47559</v>
      </c>
      <c r="K2439" t="s">
        <v>47560</v>
      </c>
      <c r="L2439" t="s">
        <v>47561</v>
      </c>
      <c r="M2439" t="s">
        <v>47562</v>
      </c>
      <c r="N2439" t="s">
        <v>47563</v>
      </c>
      <c r="O2439">
        <f>-584.223025983602 -114.841577945816 -703.403020911542</f>
        <v>-1402.4676248409601</v>
      </c>
      <c r="P2439">
        <f>-612.674311851559 -73.738802726469 -390.853318335199</f>
        <v>-1077.2664329132269</v>
      </c>
      <c r="Q2439" t="s">
        <v>47564</v>
      </c>
      <c r="R2439" t="s">
        <v>47565</v>
      </c>
      <c r="S2439" t="s">
        <v>47566</v>
      </c>
      <c r="T2439" t="s">
        <v>47567</v>
      </c>
      <c r="U2439" t="s">
        <v>47568</v>
      </c>
      <c r="V2439" t="s">
        <v>47569</v>
      </c>
      <c r="W2439" t="s">
        <v>47570</v>
      </c>
      <c r="X2439" t="s">
        <v>47571</v>
      </c>
      <c r="Y2439" t="s">
        <v>47572</v>
      </c>
    </row>
    <row r="2440" spans="1:25" x14ac:dyDescent="0.3">
      <c r="A2440">
        <v>121950</v>
      </c>
      <c r="B2440" t="s">
        <v>47573</v>
      </c>
      <c r="C2440" t="s">
        <v>47574</v>
      </c>
      <c r="D2440" t="s">
        <v>47575</v>
      </c>
      <c r="E2440" t="s">
        <v>47576</v>
      </c>
      <c r="F2440" t="s">
        <v>47577</v>
      </c>
      <c r="G2440" t="s">
        <v>47578</v>
      </c>
      <c r="H2440" t="s">
        <v>47579</v>
      </c>
      <c r="I2440" t="s">
        <v>47580</v>
      </c>
      <c r="J2440" t="s">
        <v>47581</v>
      </c>
      <c r="K2440" t="s">
        <v>47582</v>
      </c>
      <c r="L2440" t="s">
        <v>47583</v>
      </c>
      <c r="M2440" t="s">
        <v>47584</v>
      </c>
      <c r="N2440" t="s">
        <v>47585</v>
      </c>
      <c r="O2440">
        <f>-583.979993729992 -114.932332606466 -703.605642661718</f>
        <v>-1402.517968998176</v>
      </c>
      <c r="P2440">
        <f>-612.509832380972 -73.489108632901 -391.108057383013</f>
        <v>-1077.106998396886</v>
      </c>
      <c r="Q2440" t="s">
        <v>47586</v>
      </c>
      <c r="R2440" t="s">
        <v>47587</v>
      </c>
      <c r="S2440" t="s">
        <v>47588</v>
      </c>
      <c r="T2440" t="s">
        <v>47589</v>
      </c>
      <c r="U2440" t="s">
        <v>47590</v>
      </c>
      <c r="V2440" t="s">
        <v>47591</v>
      </c>
      <c r="W2440" t="s">
        <v>47592</v>
      </c>
      <c r="X2440" t="s">
        <v>47593</v>
      </c>
      <c r="Y2440" t="s">
        <v>47594</v>
      </c>
    </row>
    <row r="2441" spans="1:25" x14ac:dyDescent="0.3">
      <c r="A2441">
        <v>122000</v>
      </c>
      <c r="B2441" t="s">
        <v>47595</v>
      </c>
      <c r="C2441" t="s">
        <v>47596</v>
      </c>
      <c r="D2441" t="s">
        <v>47597</v>
      </c>
      <c r="E2441" t="s">
        <v>47598</v>
      </c>
      <c r="F2441" t="s">
        <v>47599</v>
      </c>
      <c r="G2441" t="s">
        <v>47600</v>
      </c>
      <c r="H2441" t="s">
        <v>47601</v>
      </c>
      <c r="I2441" t="s">
        <v>47602</v>
      </c>
      <c r="J2441" t="s">
        <v>47603</v>
      </c>
      <c r="K2441" t="s">
        <v>47604</v>
      </c>
      <c r="L2441" t="s">
        <v>47605</v>
      </c>
      <c r="M2441" t="s">
        <v>47606</v>
      </c>
      <c r="N2441" t="s">
        <v>47607</v>
      </c>
      <c r="O2441">
        <f>-583.727546283514 -114.859618040714 -703.795234321862</f>
        <v>-1402.3823986460902</v>
      </c>
      <c r="P2441">
        <f>-612.35957659882 -73.543103965502 -391.290251858118</f>
        <v>-1077.19293242244</v>
      </c>
      <c r="Q2441" t="s">
        <v>47608</v>
      </c>
      <c r="R2441" t="s">
        <v>47609</v>
      </c>
      <c r="S2441" t="s">
        <v>47610</v>
      </c>
      <c r="T2441" t="s">
        <v>47611</v>
      </c>
      <c r="U2441" t="s">
        <v>47612</v>
      </c>
      <c r="V2441" t="s">
        <v>47613</v>
      </c>
      <c r="W2441" t="s">
        <v>47614</v>
      </c>
      <c r="X2441" t="s">
        <v>47615</v>
      </c>
      <c r="Y2441" t="s">
        <v>47616</v>
      </c>
    </row>
    <row r="2442" spans="1:25" x14ac:dyDescent="0.3">
      <c r="A2442">
        <v>122050</v>
      </c>
      <c r="B2442" t="s">
        <v>47617</v>
      </c>
      <c r="C2442" t="s">
        <v>47618</v>
      </c>
      <c r="D2442" t="s">
        <v>47619</v>
      </c>
      <c r="E2442" t="s">
        <v>47620</v>
      </c>
      <c r="F2442" t="s">
        <v>47621</v>
      </c>
      <c r="G2442" t="s">
        <v>47622</v>
      </c>
      <c r="H2442" t="s">
        <v>47623</v>
      </c>
      <c r="I2442" t="s">
        <v>47624</v>
      </c>
      <c r="J2442" t="s">
        <v>47625</v>
      </c>
      <c r="K2442" t="s">
        <v>47626</v>
      </c>
      <c r="L2442" t="s">
        <v>47627</v>
      </c>
      <c r="M2442" t="s">
        <v>47628</v>
      </c>
      <c r="N2442" t="s">
        <v>47629</v>
      </c>
      <c r="O2442">
        <f>-582.692498516773 -114.964951523115 -704.06732765541</f>
        <v>-1401.7247776952981</v>
      </c>
      <c r="P2442">
        <f>-611.626367888517 -73.992903062521 -391.544733014384</f>
        <v>-1077.1640039654221</v>
      </c>
      <c r="Q2442" t="s">
        <v>47630</v>
      </c>
      <c r="R2442" t="s">
        <v>47631</v>
      </c>
      <c r="S2442" t="s">
        <v>47632</v>
      </c>
      <c r="T2442" t="s">
        <v>47633</v>
      </c>
      <c r="U2442" t="s">
        <v>47634</v>
      </c>
      <c r="V2442" t="s">
        <v>47635</v>
      </c>
      <c r="W2442" t="s">
        <v>47636</v>
      </c>
      <c r="X2442" t="s">
        <v>47637</v>
      </c>
      <c r="Y2442" t="s">
        <v>47638</v>
      </c>
    </row>
    <row r="2443" spans="1:25" x14ac:dyDescent="0.3">
      <c r="A2443">
        <v>122100</v>
      </c>
      <c r="B2443" t="s">
        <v>47639</v>
      </c>
      <c r="C2443" t="s">
        <v>47640</v>
      </c>
      <c r="D2443" t="s">
        <v>47641</v>
      </c>
      <c r="E2443" t="s">
        <v>47642</v>
      </c>
      <c r="F2443" t="s">
        <v>47643</v>
      </c>
      <c r="G2443" t="s">
        <v>47644</v>
      </c>
      <c r="H2443" t="s">
        <v>47645</v>
      </c>
      <c r="I2443" t="s">
        <v>47646</v>
      </c>
      <c r="J2443" t="s">
        <v>47647</v>
      </c>
      <c r="K2443" t="s">
        <v>47648</v>
      </c>
      <c r="L2443" t="s">
        <v>47649</v>
      </c>
      <c r="M2443" t="s">
        <v>47650</v>
      </c>
      <c r="N2443" t="s">
        <v>47651</v>
      </c>
      <c r="O2443">
        <f>-582.052464305783 -115.066405596624 -704.201454702722</f>
        <v>-1401.3203246051289</v>
      </c>
      <c r="P2443">
        <f>-611.117414969063 -74.2332737361803 -391.672965575633</f>
        <v>-1077.0236542808764</v>
      </c>
      <c r="Q2443" t="s">
        <v>47652</v>
      </c>
      <c r="R2443" t="s">
        <v>47653</v>
      </c>
      <c r="S2443" t="s">
        <v>47654</v>
      </c>
      <c r="T2443" t="s">
        <v>47655</v>
      </c>
      <c r="U2443" t="s">
        <v>47656</v>
      </c>
      <c r="V2443" t="s">
        <v>47657</v>
      </c>
      <c r="W2443" t="s">
        <v>47658</v>
      </c>
      <c r="X2443" t="s">
        <v>47659</v>
      </c>
      <c r="Y2443" t="s">
        <v>47660</v>
      </c>
    </row>
    <row r="2444" spans="1:25" x14ac:dyDescent="0.3">
      <c r="A2444">
        <v>122150</v>
      </c>
      <c r="B2444" t="s">
        <v>47661</v>
      </c>
      <c r="C2444" t="s">
        <v>47662</v>
      </c>
      <c r="D2444" t="s">
        <v>47663</v>
      </c>
      <c r="E2444" t="s">
        <v>47664</v>
      </c>
      <c r="F2444" t="s">
        <v>47665</v>
      </c>
      <c r="G2444" t="s">
        <v>47666</v>
      </c>
      <c r="H2444" t="s">
        <v>47667</v>
      </c>
      <c r="I2444" t="s">
        <v>47668</v>
      </c>
      <c r="J2444" t="s">
        <v>47669</v>
      </c>
      <c r="K2444" t="s">
        <v>47670</v>
      </c>
      <c r="L2444" t="s">
        <v>47671</v>
      </c>
      <c r="M2444" t="s">
        <v>47672</v>
      </c>
      <c r="N2444" t="s">
        <v>47673</v>
      </c>
      <c r="O2444">
        <f>-581.031269204869 -115.750599682583 -704.243282980208</f>
        <v>-1401.02515186766</v>
      </c>
      <c r="P2444">
        <f>-610.564579276851 -74.9647974784234 -391.75249867727</f>
        <v>-1077.2818754325444</v>
      </c>
      <c r="Q2444" t="s">
        <v>47674</v>
      </c>
      <c r="R2444" t="s">
        <v>47675</v>
      </c>
      <c r="S2444" t="s">
        <v>47676</v>
      </c>
      <c r="T2444" t="s">
        <v>47677</v>
      </c>
      <c r="U2444" t="s">
        <v>47678</v>
      </c>
      <c r="V2444" t="s">
        <v>47679</v>
      </c>
      <c r="W2444" t="s">
        <v>47680</v>
      </c>
      <c r="X2444" t="s">
        <v>47681</v>
      </c>
      <c r="Y2444" t="s">
        <v>47682</v>
      </c>
    </row>
    <row r="2445" spans="1:25" x14ac:dyDescent="0.3">
      <c r="A2445">
        <v>122200</v>
      </c>
      <c r="B2445" t="s">
        <v>47683</v>
      </c>
      <c r="C2445" t="s">
        <v>47684</v>
      </c>
      <c r="D2445" t="s">
        <v>47685</v>
      </c>
      <c r="E2445" t="s">
        <v>47686</v>
      </c>
      <c r="F2445" t="s">
        <v>47687</v>
      </c>
      <c r="G2445" t="s">
        <v>47688</v>
      </c>
      <c r="H2445" t="s">
        <v>47689</v>
      </c>
      <c r="I2445" t="s">
        <v>47690</v>
      </c>
      <c r="J2445" t="s">
        <v>47691</v>
      </c>
      <c r="K2445" t="s">
        <v>47692</v>
      </c>
      <c r="L2445" t="s">
        <v>47693</v>
      </c>
      <c r="M2445" t="s">
        <v>47694</v>
      </c>
      <c r="N2445" t="s">
        <v>47695</v>
      </c>
      <c r="O2445">
        <f>-580.740604421913 -116.169871010629 -704.246380900294</f>
        <v>-1401.156856332836</v>
      </c>
      <c r="P2445">
        <f>-610.406226653663 -75.2160797566323 -391.790140258447</f>
        <v>-1077.4124466687424</v>
      </c>
      <c r="Q2445" t="s">
        <v>47696</v>
      </c>
      <c r="R2445" t="s">
        <v>47697</v>
      </c>
      <c r="S2445" t="s">
        <v>47698</v>
      </c>
      <c r="T2445" t="s">
        <v>47699</v>
      </c>
      <c r="U2445" t="s">
        <v>47700</v>
      </c>
      <c r="V2445" t="s">
        <v>47701</v>
      </c>
      <c r="W2445" t="s">
        <v>47702</v>
      </c>
      <c r="X2445" t="s">
        <v>47703</v>
      </c>
      <c r="Y2445" t="s">
        <v>47704</v>
      </c>
    </row>
    <row r="2446" spans="1:25" x14ac:dyDescent="0.3">
      <c r="A2446">
        <v>122250</v>
      </c>
      <c r="B2446" t="s">
        <v>47705</v>
      </c>
      <c r="C2446" t="s">
        <v>47706</v>
      </c>
      <c r="D2446" t="s">
        <v>47707</v>
      </c>
      <c r="E2446" t="s">
        <v>47708</v>
      </c>
      <c r="F2446" t="s">
        <v>47709</v>
      </c>
      <c r="G2446" t="s">
        <v>47710</v>
      </c>
      <c r="H2446" t="s">
        <v>47711</v>
      </c>
      <c r="I2446" t="s">
        <v>47712</v>
      </c>
      <c r="J2446" t="s">
        <v>47713</v>
      </c>
      <c r="K2446" t="s">
        <v>47714</v>
      </c>
      <c r="L2446" t="s">
        <v>47715</v>
      </c>
      <c r="M2446" t="s">
        <v>47716</v>
      </c>
      <c r="N2446" t="s">
        <v>47717</v>
      </c>
      <c r="O2446">
        <f>-579.990841348303 -116.997655783044 -704.108808566275</f>
        <v>-1401.097305697622</v>
      </c>
      <c r="P2446">
        <f>-610.058742279205 -76.0003315503275 -391.696632647038</f>
        <v>-1077.7557064765706</v>
      </c>
      <c r="Q2446" t="s">
        <v>47718</v>
      </c>
      <c r="R2446" t="s">
        <v>47719</v>
      </c>
      <c r="S2446" t="s">
        <v>47720</v>
      </c>
      <c r="T2446" t="s">
        <v>47721</v>
      </c>
      <c r="U2446" t="s">
        <v>47722</v>
      </c>
      <c r="V2446" t="s">
        <v>47723</v>
      </c>
      <c r="W2446" t="s">
        <v>47724</v>
      </c>
      <c r="X2446" t="s">
        <v>47725</v>
      </c>
      <c r="Y2446" t="s">
        <v>47726</v>
      </c>
    </row>
    <row r="2447" spans="1:25" x14ac:dyDescent="0.3">
      <c r="A2447">
        <v>122300</v>
      </c>
      <c r="B2447" t="s">
        <v>47727</v>
      </c>
      <c r="C2447" t="s">
        <v>47728</v>
      </c>
      <c r="D2447" t="s">
        <v>47729</v>
      </c>
      <c r="E2447" t="s">
        <v>47730</v>
      </c>
      <c r="F2447" t="s">
        <v>47731</v>
      </c>
      <c r="G2447" t="s">
        <v>47732</v>
      </c>
      <c r="H2447" t="s">
        <v>47733</v>
      </c>
      <c r="I2447" t="s">
        <v>47734</v>
      </c>
      <c r="J2447" t="s">
        <v>47735</v>
      </c>
      <c r="K2447" t="s">
        <v>47736</v>
      </c>
      <c r="L2447" t="s">
        <v>47737</v>
      </c>
      <c r="M2447" t="s">
        <v>47738</v>
      </c>
      <c r="N2447" t="s">
        <v>47739</v>
      </c>
      <c r="O2447">
        <f>-579.836543626168 -117.371314623531 -704.114974948489</f>
        <v>-1401.3228331981882</v>
      </c>
      <c r="P2447">
        <f>-609.961162057061 -76.2852539231744 -391.719966613233</f>
        <v>-1077.9663825934683</v>
      </c>
      <c r="Q2447" t="s">
        <v>47740</v>
      </c>
      <c r="R2447" t="s">
        <v>47741</v>
      </c>
      <c r="S2447" t="s">
        <v>47742</v>
      </c>
      <c r="T2447" t="s">
        <v>47743</v>
      </c>
      <c r="U2447" t="s">
        <v>47744</v>
      </c>
      <c r="V2447" t="s">
        <v>47745</v>
      </c>
      <c r="W2447" t="s">
        <v>47746</v>
      </c>
      <c r="X2447" t="s">
        <v>47747</v>
      </c>
      <c r="Y2447" t="s">
        <v>47748</v>
      </c>
    </row>
    <row r="2448" spans="1:25" x14ac:dyDescent="0.3">
      <c r="A2448">
        <v>122350</v>
      </c>
      <c r="B2448" t="s">
        <v>47749</v>
      </c>
      <c r="C2448" t="s">
        <v>47750</v>
      </c>
      <c r="D2448" t="s">
        <v>47751</v>
      </c>
      <c r="E2448" t="s">
        <v>47752</v>
      </c>
      <c r="F2448" t="s">
        <v>47753</v>
      </c>
      <c r="G2448" t="s">
        <v>47754</v>
      </c>
      <c r="H2448" t="s">
        <v>47755</v>
      </c>
      <c r="I2448" t="s">
        <v>47756</v>
      </c>
      <c r="J2448" t="s">
        <v>47757</v>
      </c>
      <c r="K2448" t="s">
        <v>47758</v>
      </c>
      <c r="L2448" t="s">
        <v>47759</v>
      </c>
      <c r="M2448" t="s">
        <v>47760</v>
      </c>
      <c r="N2448" t="s">
        <v>47761</v>
      </c>
      <c r="O2448">
        <f>-579.411607862831 -118.077546697806 -704.003719161887</f>
        <v>-1401.4928737225241</v>
      </c>
      <c r="P2448">
        <f>-609.416421336748 -77.1648947880881 -391.574453093166</f>
        <v>-1078.1557692180022</v>
      </c>
      <c r="Q2448" t="s">
        <v>47762</v>
      </c>
      <c r="R2448" t="s">
        <v>47763</v>
      </c>
      <c r="S2448" t="s">
        <v>47764</v>
      </c>
      <c r="T2448" t="s">
        <v>47765</v>
      </c>
      <c r="U2448" t="s">
        <v>47766</v>
      </c>
      <c r="V2448" t="s">
        <v>47767</v>
      </c>
      <c r="W2448" t="s">
        <v>47768</v>
      </c>
      <c r="X2448" t="s">
        <v>47769</v>
      </c>
      <c r="Y2448" t="s">
        <v>47770</v>
      </c>
    </row>
    <row r="2449" spans="1:25" x14ac:dyDescent="0.3">
      <c r="A2449">
        <v>122400</v>
      </c>
      <c r="B2449" t="s">
        <v>47771</v>
      </c>
      <c r="C2449" t="s">
        <v>47772</v>
      </c>
      <c r="D2449" t="s">
        <v>47773</v>
      </c>
      <c r="E2449" t="s">
        <v>47774</v>
      </c>
      <c r="F2449" t="s">
        <v>47775</v>
      </c>
      <c r="G2449" t="s">
        <v>47776</v>
      </c>
      <c r="H2449" t="s">
        <v>47777</v>
      </c>
      <c r="I2449" t="s">
        <v>47778</v>
      </c>
      <c r="J2449" t="s">
        <v>47779</v>
      </c>
      <c r="K2449" t="s">
        <v>47780</v>
      </c>
      <c r="L2449" t="s">
        <v>47781</v>
      </c>
      <c r="M2449" t="s">
        <v>47782</v>
      </c>
      <c r="N2449" t="s">
        <v>47783</v>
      </c>
      <c r="O2449">
        <f>-579.207191087015 -118.380486344421 -703.941154174606</f>
        <v>-1401.5288316060419</v>
      </c>
      <c r="P2449">
        <f>-609.140042261831 -77.4992812280339 -391.500805939675</f>
        <v>-1078.1401294295399</v>
      </c>
      <c r="Q2449" t="s">
        <v>47784</v>
      </c>
      <c r="R2449" t="s">
        <v>47785</v>
      </c>
      <c r="S2449" t="s">
        <v>47786</v>
      </c>
      <c r="T2449" t="s">
        <v>47787</v>
      </c>
      <c r="U2449" t="s">
        <v>47788</v>
      </c>
      <c r="V2449" t="s">
        <v>47789</v>
      </c>
      <c r="W2449" t="s">
        <v>47790</v>
      </c>
      <c r="X2449" t="s">
        <v>47791</v>
      </c>
      <c r="Y2449" t="s">
        <v>47792</v>
      </c>
    </row>
    <row r="2450" spans="1:25" x14ac:dyDescent="0.3">
      <c r="A2450">
        <v>122450</v>
      </c>
      <c r="B2450" t="s">
        <v>47793</v>
      </c>
      <c r="C2450" t="s">
        <v>47794</v>
      </c>
      <c r="D2450" t="s">
        <v>47795</v>
      </c>
      <c r="E2450" t="s">
        <v>47796</v>
      </c>
      <c r="F2450" t="s">
        <v>47797</v>
      </c>
      <c r="G2450" t="s">
        <v>47798</v>
      </c>
      <c r="H2450" t="s">
        <v>47799</v>
      </c>
      <c r="I2450" t="s">
        <v>47800</v>
      </c>
      <c r="J2450" t="s">
        <v>47801</v>
      </c>
      <c r="K2450" t="s">
        <v>47802</v>
      </c>
      <c r="L2450" t="s">
        <v>47803</v>
      </c>
      <c r="M2450" t="s">
        <v>47804</v>
      </c>
      <c r="N2450" t="s">
        <v>47805</v>
      </c>
      <c r="O2450">
        <f>-579.076325688129 -118.936473355983 -703.776006545585</f>
        <v>-1401.7888055896969</v>
      </c>
      <c r="P2450">
        <f>-608.921310701474 -78.0367965877692 -391.329649375442</f>
        <v>-1078.2877566646853</v>
      </c>
      <c r="Q2450" t="s">
        <v>47806</v>
      </c>
      <c r="R2450" t="s">
        <v>47807</v>
      </c>
      <c r="S2450" t="s">
        <v>47808</v>
      </c>
      <c r="T2450" t="s">
        <v>47809</v>
      </c>
      <c r="U2450" t="s">
        <v>47810</v>
      </c>
      <c r="V2450" t="s">
        <v>47811</v>
      </c>
      <c r="W2450" t="s">
        <v>47812</v>
      </c>
      <c r="X2450" t="s">
        <v>47813</v>
      </c>
      <c r="Y2450" t="s">
        <v>47814</v>
      </c>
    </row>
    <row r="2451" spans="1:25" x14ac:dyDescent="0.3">
      <c r="A2451">
        <v>122500</v>
      </c>
      <c r="B2451" t="s">
        <v>47815</v>
      </c>
      <c r="C2451" t="s">
        <v>47816</v>
      </c>
      <c r="D2451" t="s">
        <v>47817</v>
      </c>
      <c r="E2451" t="s">
        <v>47818</v>
      </c>
      <c r="F2451" t="s">
        <v>47819</v>
      </c>
      <c r="G2451" t="s">
        <v>47820</v>
      </c>
      <c r="H2451" t="s">
        <v>47821</v>
      </c>
      <c r="I2451" t="s">
        <v>47822</v>
      </c>
      <c r="J2451" t="s">
        <v>47823</v>
      </c>
      <c r="K2451" t="s">
        <v>47824</v>
      </c>
      <c r="L2451" t="s">
        <v>47825</v>
      </c>
      <c r="M2451" t="s">
        <v>47826</v>
      </c>
      <c r="N2451" t="s">
        <v>47827</v>
      </c>
      <c r="O2451">
        <f>-579.058297459592 -119.139722235924 -703.707163091202</f>
        <v>-1401.9051827867179</v>
      </c>
      <c r="P2451">
        <f>-608.947934547436 -78.0903800060166 -391.284891939555</f>
        <v>-1078.3232064930075</v>
      </c>
      <c r="Q2451" t="s">
        <v>47828</v>
      </c>
      <c r="R2451" t="s">
        <v>47829</v>
      </c>
      <c r="S2451" t="s">
        <v>47830</v>
      </c>
      <c r="T2451" t="s">
        <v>47831</v>
      </c>
      <c r="U2451" t="s">
        <v>47832</v>
      </c>
      <c r="V2451" t="s">
        <v>47833</v>
      </c>
      <c r="W2451" t="s">
        <v>47834</v>
      </c>
      <c r="X2451" t="s">
        <v>47835</v>
      </c>
      <c r="Y2451" t="s">
        <v>47836</v>
      </c>
    </row>
    <row r="2452" spans="1:25" x14ac:dyDescent="0.3">
      <c r="A2452">
        <v>122550</v>
      </c>
      <c r="B2452" t="s">
        <v>47837</v>
      </c>
      <c r="C2452" t="s">
        <v>47838</v>
      </c>
      <c r="D2452" t="s">
        <v>47839</v>
      </c>
      <c r="E2452" t="s">
        <v>47840</v>
      </c>
      <c r="F2452" t="s">
        <v>47841</v>
      </c>
      <c r="G2452" t="s">
        <v>47842</v>
      </c>
      <c r="H2452" t="s">
        <v>47843</v>
      </c>
      <c r="I2452" t="s">
        <v>47844</v>
      </c>
      <c r="J2452" t="s">
        <v>47845</v>
      </c>
      <c r="K2452" t="s">
        <v>47846</v>
      </c>
      <c r="L2452" t="s">
        <v>47847</v>
      </c>
      <c r="M2452" t="s">
        <v>47848</v>
      </c>
      <c r="N2452" t="s">
        <v>47849</v>
      </c>
      <c r="O2452">
        <f>-579.040024870282 -119.699721303534 -703.480680283719</f>
        <v>-1402.220426457535</v>
      </c>
      <c r="P2452">
        <f>-609.033095711035 -78.3815114899267 -391.103755413307</f>
        <v>-1078.5183626142687</v>
      </c>
      <c r="Q2452" t="s">
        <v>47850</v>
      </c>
      <c r="R2452" t="s">
        <v>47851</v>
      </c>
      <c r="S2452" t="s">
        <v>47852</v>
      </c>
      <c r="T2452" t="s">
        <v>47853</v>
      </c>
      <c r="U2452" t="s">
        <v>47854</v>
      </c>
      <c r="V2452" t="s">
        <v>47855</v>
      </c>
      <c r="W2452" t="s">
        <v>47856</v>
      </c>
      <c r="X2452" t="s">
        <v>47857</v>
      </c>
      <c r="Y2452" t="s">
        <v>47858</v>
      </c>
    </row>
    <row r="2453" spans="1:25" x14ac:dyDescent="0.3">
      <c r="A2453">
        <v>122600</v>
      </c>
      <c r="B2453" t="s">
        <v>47859</v>
      </c>
      <c r="C2453" t="s">
        <v>47860</v>
      </c>
      <c r="D2453" t="s">
        <v>47861</v>
      </c>
      <c r="E2453" t="s">
        <v>47862</v>
      </c>
      <c r="F2453" t="s">
        <v>47863</v>
      </c>
      <c r="G2453" t="s">
        <v>47864</v>
      </c>
      <c r="H2453" t="s">
        <v>47865</v>
      </c>
      <c r="I2453" t="s">
        <v>47866</v>
      </c>
      <c r="J2453" t="s">
        <v>47867</v>
      </c>
      <c r="K2453" t="s">
        <v>47868</v>
      </c>
      <c r="L2453" t="s">
        <v>47869</v>
      </c>
      <c r="M2453" t="s">
        <v>47870</v>
      </c>
      <c r="N2453" t="s">
        <v>47871</v>
      </c>
      <c r="O2453">
        <f>-579.264790638695 -119.885112890916 -703.397802064521</f>
        <v>-1402.5477055941319</v>
      </c>
      <c r="P2453">
        <f>-609.253852794438 -78.4562133658719 -391.034960114114</f>
        <v>-1078.7450262744239</v>
      </c>
      <c r="Q2453" t="s">
        <v>47872</v>
      </c>
      <c r="R2453" t="s">
        <v>47873</v>
      </c>
      <c r="S2453" t="s">
        <v>47874</v>
      </c>
      <c r="T2453" t="s">
        <v>47875</v>
      </c>
      <c r="U2453" t="s">
        <v>47876</v>
      </c>
      <c r="V2453" t="s">
        <v>47877</v>
      </c>
      <c r="W2453" t="s">
        <v>47878</v>
      </c>
      <c r="X2453" t="s">
        <v>47879</v>
      </c>
      <c r="Y2453" t="s">
        <v>47880</v>
      </c>
    </row>
    <row r="2454" spans="1:25" x14ac:dyDescent="0.3">
      <c r="A2454">
        <v>122650</v>
      </c>
      <c r="B2454" t="s">
        <v>47881</v>
      </c>
      <c r="C2454" t="s">
        <v>47882</v>
      </c>
      <c r="D2454" t="s">
        <v>47883</v>
      </c>
      <c r="E2454" t="s">
        <v>47884</v>
      </c>
      <c r="F2454" t="s">
        <v>47885</v>
      </c>
      <c r="G2454" t="s">
        <v>47886</v>
      </c>
      <c r="H2454" t="s">
        <v>47887</v>
      </c>
      <c r="I2454" t="s">
        <v>47888</v>
      </c>
      <c r="J2454" t="s">
        <v>47889</v>
      </c>
      <c r="K2454" t="s">
        <v>47890</v>
      </c>
      <c r="L2454" t="s">
        <v>47891</v>
      </c>
      <c r="M2454" t="s">
        <v>47892</v>
      </c>
      <c r="N2454" t="s">
        <v>47893</v>
      </c>
      <c r="O2454">
        <f>-579.971126283793 -120.336359644214 -703.122996490146</f>
        <v>-1403.4304824181529</v>
      </c>
      <c r="P2454">
        <f>-609.887300277888 -78.7404651789172 -390.775330828674</f>
        <v>-1079.4030962854793</v>
      </c>
      <c r="Q2454" t="s">
        <v>47894</v>
      </c>
      <c r="R2454" t="s">
        <v>47895</v>
      </c>
      <c r="S2454" t="s">
        <v>47896</v>
      </c>
      <c r="T2454" t="s">
        <v>47897</v>
      </c>
      <c r="U2454" t="s">
        <v>47898</v>
      </c>
      <c r="V2454" t="s">
        <v>47899</v>
      </c>
      <c r="W2454" t="s">
        <v>47900</v>
      </c>
      <c r="X2454" t="s">
        <v>47901</v>
      </c>
      <c r="Y2454" t="s">
        <v>47902</v>
      </c>
    </row>
    <row r="2455" spans="1:25" x14ac:dyDescent="0.3">
      <c r="A2455">
        <v>122700</v>
      </c>
      <c r="B2455" t="s">
        <v>47903</v>
      </c>
      <c r="C2455" t="s">
        <v>47904</v>
      </c>
      <c r="D2455" t="s">
        <v>47905</v>
      </c>
      <c r="E2455" t="s">
        <v>47906</v>
      </c>
      <c r="F2455" t="s">
        <v>47907</v>
      </c>
      <c r="G2455" t="s">
        <v>47908</v>
      </c>
      <c r="H2455" t="s">
        <v>47909</v>
      </c>
      <c r="I2455" t="s">
        <v>47910</v>
      </c>
      <c r="J2455" t="s">
        <v>47911</v>
      </c>
      <c r="K2455" t="s">
        <v>47912</v>
      </c>
      <c r="L2455" t="s">
        <v>47913</v>
      </c>
      <c r="M2455" t="s">
        <v>47914</v>
      </c>
      <c r="N2455" t="s">
        <v>47915</v>
      </c>
      <c r="O2455">
        <f>-580.3165210075 -120.504130332165 -703.011652767233</f>
        <v>-1403.8323041068979</v>
      </c>
      <c r="P2455">
        <f>-610.245293718674 -78.7823177734854 -390.682137820935</f>
        <v>-1079.7097493130943</v>
      </c>
      <c r="Q2455" t="s">
        <v>47916</v>
      </c>
      <c r="R2455" t="s">
        <v>47917</v>
      </c>
      <c r="S2455" t="s">
        <v>47918</v>
      </c>
      <c r="T2455" t="s">
        <v>47919</v>
      </c>
      <c r="U2455" t="s">
        <v>47920</v>
      </c>
      <c r="V2455" t="s">
        <v>47921</v>
      </c>
      <c r="W2455" t="s">
        <v>47922</v>
      </c>
      <c r="X2455" t="s">
        <v>47923</v>
      </c>
      <c r="Y2455" t="s">
        <v>47924</v>
      </c>
    </row>
    <row r="2456" spans="1:25" x14ac:dyDescent="0.3">
      <c r="A2456">
        <v>122750</v>
      </c>
      <c r="B2456" t="s">
        <v>47925</v>
      </c>
      <c r="C2456" t="s">
        <v>47926</v>
      </c>
      <c r="D2456" t="s">
        <v>47927</v>
      </c>
      <c r="E2456" t="s">
        <v>47928</v>
      </c>
      <c r="F2456" t="s">
        <v>47929</v>
      </c>
      <c r="G2456" t="s">
        <v>47930</v>
      </c>
      <c r="H2456" t="s">
        <v>47931</v>
      </c>
      <c r="I2456" t="s">
        <v>47932</v>
      </c>
      <c r="J2456" t="s">
        <v>47933</v>
      </c>
      <c r="K2456" t="s">
        <v>47934</v>
      </c>
      <c r="L2456" t="s">
        <v>47935</v>
      </c>
      <c r="M2456" t="s">
        <v>47936</v>
      </c>
      <c r="N2456" t="s">
        <v>47937</v>
      </c>
      <c r="O2456">
        <f>-580.99993386663 -120.692763873032 -702.809914784207</f>
        <v>-1404.5026125238692</v>
      </c>
      <c r="P2456">
        <f>-611.052914870249 -78.9930218876466 -390.489205190796</f>
        <v>-1080.5351419486915</v>
      </c>
      <c r="Q2456" t="s">
        <v>47938</v>
      </c>
      <c r="R2456" t="s">
        <v>47939</v>
      </c>
      <c r="S2456" t="s">
        <v>47940</v>
      </c>
      <c r="T2456" t="s">
        <v>47941</v>
      </c>
      <c r="U2456" t="s">
        <v>47942</v>
      </c>
      <c r="V2456" t="s">
        <v>47943</v>
      </c>
      <c r="W2456" t="s">
        <v>47944</v>
      </c>
      <c r="X2456" t="s">
        <v>47945</v>
      </c>
      <c r="Y2456" t="s">
        <v>47946</v>
      </c>
    </row>
    <row r="2457" spans="1:25" x14ac:dyDescent="0.3">
      <c r="A2457">
        <v>122800</v>
      </c>
      <c r="B2457" t="s">
        <v>47947</v>
      </c>
      <c r="C2457" t="s">
        <v>47948</v>
      </c>
      <c r="D2457" t="s">
        <v>47949</v>
      </c>
      <c r="E2457" t="s">
        <v>47950</v>
      </c>
      <c r="F2457" t="s">
        <v>47951</v>
      </c>
      <c r="G2457" t="s">
        <v>47952</v>
      </c>
      <c r="H2457" t="s">
        <v>47953</v>
      </c>
      <c r="I2457" t="s">
        <v>47954</v>
      </c>
      <c r="J2457" t="s">
        <v>47955</v>
      </c>
      <c r="K2457" t="s">
        <v>47956</v>
      </c>
      <c r="L2457" t="s">
        <v>47957</v>
      </c>
      <c r="M2457" t="s">
        <v>47958</v>
      </c>
      <c r="N2457" t="s">
        <v>47959</v>
      </c>
      <c r="O2457">
        <f>-581.405062522309 -120.845023823995 -702.724719765222</f>
        <v>-1404.974806111526</v>
      </c>
      <c r="P2457">
        <f>-611.58142318676 -79.3876010790007 -390.383764578561</f>
        <v>-1081.3527888443218</v>
      </c>
      <c r="Q2457" t="s">
        <v>47960</v>
      </c>
      <c r="R2457" t="s">
        <v>47961</v>
      </c>
      <c r="S2457" t="s">
        <v>47962</v>
      </c>
      <c r="T2457" t="s">
        <v>47963</v>
      </c>
      <c r="U2457" t="s">
        <v>47964</v>
      </c>
      <c r="V2457" t="s">
        <v>47965</v>
      </c>
      <c r="W2457" t="s">
        <v>47966</v>
      </c>
      <c r="X2457" t="s">
        <v>47967</v>
      </c>
      <c r="Y2457" t="s">
        <v>47968</v>
      </c>
    </row>
    <row r="2458" spans="1:25" x14ac:dyDescent="0.3">
      <c r="A2458">
        <v>122850</v>
      </c>
      <c r="B2458" t="s">
        <v>47969</v>
      </c>
      <c r="C2458" t="s">
        <v>47970</v>
      </c>
      <c r="D2458" t="s">
        <v>47971</v>
      </c>
      <c r="E2458" t="s">
        <v>47972</v>
      </c>
      <c r="F2458" t="s">
        <v>47973</v>
      </c>
      <c r="G2458" t="s">
        <v>47974</v>
      </c>
      <c r="H2458" t="s">
        <v>47975</v>
      </c>
      <c r="I2458" t="s">
        <v>47976</v>
      </c>
      <c r="J2458" t="s">
        <v>47977</v>
      </c>
      <c r="K2458" t="s">
        <v>47978</v>
      </c>
      <c r="L2458" t="s">
        <v>47979</v>
      </c>
      <c r="M2458" t="s">
        <v>47980</v>
      </c>
      <c r="N2458" t="s">
        <v>47981</v>
      </c>
      <c r="O2458">
        <f>-582.463510424295 -120.880253611365 -702.706546102348</f>
        <v>-1406.0503101380082</v>
      </c>
      <c r="P2458">
        <f>-612.486892251076 -79.4326836770156 -390.349680687199</f>
        <v>-1082.2692566152905</v>
      </c>
      <c r="Q2458" t="s">
        <v>47982</v>
      </c>
      <c r="R2458" t="s">
        <v>47983</v>
      </c>
      <c r="S2458" t="s">
        <v>47984</v>
      </c>
      <c r="T2458" t="s">
        <v>47985</v>
      </c>
      <c r="U2458" t="s">
        <v>47986</v>
      </c>
      <c r="V2458" t="s">
        <v>47987</v>
      </c>
      <c r="W2458" t="s">
        <v>47988</v>
      </c>
      <c r="X2458" t="s">
        <v>47989</v>
      </c>
      <c r="Y2458" t="s">
        <v>47990</v>
      </c>
    </row>
    <row r="2459" spans="1:25" x14ac:dyDescent="0.3">
      <c r="A2459">
        <v>122900</v>
      </c>
      <c r="B2459" t="s">
        <v>47991</v>
      </c>
      <c r="C2459" t="s">
        <v>47992</v>
      </c>
      <c r="D2459" t="s">
        <v>47993</v>
      </c>
      <c r="E2459" t="s">
        <v>47994</v>
      </c>
      <c r="F2459" t="s">
        <v>47995</v>
      </c>
      <c r="G2459" t="s">
        <v>47996</v>
      </c>
      <c r="H2459" t="s">
        <v>47997</v>
      </c>
      <c r="I2459" t="s">
        <v>47998</v>
      </c>
      <c r="J2459" t="s">
        <v>47999</v>
      </c>
      <c r="K2459" t="s">
        <v>48000</v>
      </c>
      <c r="L2459" t="s">
        <v>48001</v>
      </c>
      <c r="M2459" t="s">
        <v>48002</v>
      </c>
      <c r="N2459" t="s">
        <v>48003</v>
      </c>
      <c r="O2459">
        <f>-582.953154556899 -121.054786239303 -702.626162496798</f>
        <v>-1406.634103293</v>
      </c>
      <c r="P2459">
        <f>-613.114273406748 -79.7015519647528 -390.269878680225</f>
        <v>-1083.0857040517258</v>
      </c>
      <c r="Q2459" t="s">
        <v>48004</v>
      </c>
      <c r="R2459" t="s">
        <v>48005</v>
      </c>
      <c r="S2459" t="s">
        <v>48006</v>
      </c>
      <c r="T2459" t="s">
        <v>48007</v>
      </c>
      <c r="U2459" t="s">
        <v>48008</v>
      </c>
      <c r="V2459" t="s">
        <v>48009</v>
      </c>
      <c r="W2459" t="s">
        <v>48010</v>
      </c>
      <c r="X2459" t="s">
        <v>48011</v>
      </c>
      <c r="Y2459" t="s">
        <v>48012</v>
      </c>
    </row>
    <row r="2460" spans="1:25" x14ac:dyDescent="0.3">
      <c r="A2460">
        <v>122950</v>
      </c>
      <c r="B2460" t="s">
        <v>48013</v>
      </c>
      <c r="C2460" t="s">
        <v>48014</v>
      </c>
      <c r="D2460" t="s">
        <v>48015</v>
      </c>
      <c r="E2460" t="s">
        <v>48016</v>
      </c>
      <c r="F2460" t="s">
        <v>48017</v>
      </c>
      <c r="G2460" t="s">
        <v>48018</v>
      </c>
      <c r="H2460" t="s">
        <v>48019</v>
      </c>
      <c r="I2460" t="s">
        <v>48020</v>
      </c>
      <c r="J2460" t="s">
        <v>48021</v>
      </c>
      <c r="K2460" t="s">
        <v>48022</v>
      </c>
      <c r="L2460" t="s">
        <v>48023</v>
      </c>
      <c r="M2460" t="s">
        <v>48024</v>
      </c>
      <c r="N2460" t="s">
        <v>48025</v>
      </c>
      <c r="O2460">
        <f>-583.975488413842 -121.231879841519 -702.573042988943</f>
        <v>-1407.7804112443041</v>
      </c>
      <c r="P2460">
        <f>-614.524387322129 -79.212997813848 -390.343350801134</f>
        <v>-1084.0807359371111</v>
      </c>
      <c r="Q2460" t="s">
        <v>48026</v>
      </c>
      <c r="R2460" t="s">
        <v>48027</v>
      </c>
      <c r="S2460" t="s">
        <v>48028</v>
      </c>
      <c r="T2460" t="s">
        <v>48029</v>
      </c>
      <c r="U2460" t="s">
        <v>48030</v>
      </c>
      <c r="V2460" t="s">
        <v>48031</v>
      </c>
      <c r="W2460" t="s">
        <v>48032</v>
      </c>
      <c r="X2460" t="s">
        <v>48033</v>
      </c>
      <c r="Y2460" t="s">
        <v>48034</v>
      </c>
    </row>
    <row r="2461" spans="1:25" x14ac:dyDescent="0.3">
      <c r="A2461">
        <v>123000</v>
      </c>
      <c r="B2461" t="s">
        <v>48035</v>
      </c>
      <c r="C2461" t="s">
        <v>48036</v>
      </c>
      <c r="D2461" t="s">
        <v>48037</v>
      </c>
      <c r="E2461" t="s">
        <v>48038</v>
      </c>
      <c r="F2461" t="s">
        <v>48039</v>
      </c>
      <c r="G2461" t="s">
        <v>48040</v>
      </c>
      <c r="H2461" t="s">
        <v>48041</v>
      </c>
      <c r="I2461" t="s">
        <v>48042</v>
      </c>
      <c r="J2461" t="s">
        <v>48043</v>
      </c>
      <c r="K2461" t="s">
        <v>48044</v>
      </c>
      <c r="L2461" t="s">
        <v>48045</v>
      </c>
      <c r="M2461" t="s">
        <v>48046</v>
      </c>
      <c r="N2461" t="s">
        <v>48047</v>
      </c>
      <c r="O2461">
        <f>-584.474994569461 -121.226334211388 -702.539229930639</f>
        <v>-1408.2405587114881</v>
      </c>
      <c r="P2461">
        <f>-615.268383523598 -79.1071171633071 -390.347062727641</f>
        <v>-1084.7225634145461</v>
      </c>
      <c r="Q2461" t="s">
        <v>48048</v>
      </c>
      <c r="R2461" t="s">
        <v>48049</v>
      </c>
      <c r="S2461" t="s">
        <v>48050</v>
      </c>
      <c r="T2461" t="s">
        <v>48051</v>
      </c>
      <c r="U2461" t="s">
        <v>48052</v>
      </c>
      <c r="V2461" t="s">
        <v>48053</v>
      </c>
      <c r="W2461" t="s">
        <v>48054</v>
      </c>
      <c r="X2461" t="s">
        <v>48055</v>
      </c>
      <c r="Y2461" t="s">
        <v>48056</v>
      </c>
    </row>
    <row r="2462" spans="1:25" x14ac:dyDescent="0.3">
      <c r="A2462">
        <v>123050</v>
      </c>
      <c r="B2462" t="s">
        <v>48057</v>
      </c>
      <c r="C2462" t="s">
        <v>48058</v>
      </c>
      <c r="D2462" t="s">
        <v>48059</v>
      </c>
      <c r="E2462" t="s">
        <v>48060</v>
      </c>
      <c r="F2462" t="s">
        <v>48061</v>
      </c>
      <c r="G2462" t="s">
        <v>48062</v>
      </c>
      <c r="H2462" t="s">
        <v>48063</v>
      </c>
      <c r="I2462" t="s">
        <v>48064</v>
      </c>
      <c r="J2462" t="s">
        <v>48065</v>
      </c>
      <c r="K2462" t="s">
        <v>48066</v>
      </c>
      <c r="L2462" t="s">
        <v>48067</v>
      </c>
      <c r="M2462" t="s">
        <v>48068</v>
      </c>
      <c r="N2462" t="s">
        <v>48069</v>
      </c>
      <c r="O2462">
        <f>-585.344468653213 -121.186645843443 -702.625889333084</f>
        <v>-1409.15700382974</v>
      </c>
      <c r="P2462">
        <f>-616.029877236249 -78.9466955137416 -390.439342967104</f>
        <v>-1085.4159157170945</v>
      </c>
      <c r="Q2462" t="s">
        <v>48070</v>
      </c>
      <c r="R2462" t="s">
        <v>48071</v>
      </c>
      <c r="S2462" t="s">
        <v>48072</v>
      </c>
      <c r="T2462" t="s">
        <v>48073</v>
      </c>
      <c r="U2462" t="s">
        <v>48074</v>
      </c>
      <c r="V2462" t="s">
        <v>48075</v>
      </c>
      <c r="W2462" t="s">
        <v>48076</v>
      </c>
      <c r="X2462" t="s">
        <v>48077</v>
      </c>
      <c r="Y2462" t="s">
        <v>48078</v>
      </c>
    </row>
    <row r="2463" spans="1:25" x14ac:dyDescent="0.3">
      <c r="A2463">
        <v>123100</v>
      </c>
      <c r="B2463" t="s">
        <v>48079</v>
      </c>
      <c r="C2463" t="s">
        <v>48080</v>
      </c>
      <c r="D2463" t="s">
        <v>48081</v>
      </c>
      <c r="E2463" t="s">
        <v>48082</v>
      </c>
      <c r="F2463" t="s">
        <v>48083</v>
      </c>
      <c r="G2463" t="s">
        <v>48084</v>
      </c>
      <c r="H2463" t="s">
        <v>48085</v>
      </c>
      <c r="I2463" t="s">
        <v>48086</v>
      </c>
      <c r="J2463" t="s">
        <v>48087</v>
      </c>
      <c r="K2463" t="s">
        <v>48088</v>
      </c>
      <c r="L2463" t="s">
        <v>48089</v>
      </c>
      <c r="M2463" t="s">
        <v>48090</v>
      </c>
      <c r="N2463" t="s">
        <v>48091</v>
      </c>
      <c r="O2463">
        <f>-585.707036126622 -121.210130649944 -702.729940923733</f>
        <v>-1409.6471077002991</v>
      </c>
      <c r="P2463">
        <f>-616.264740051181 -79.0986572310958 -390.513564274695</f>
        <v>-1085.8769615569718</v>
      </c>
      <c r="Q2463" t="s">
        <v>48092</v>
      </c>
      <c r="R2463" t="s">
        <v>48093</v>
      </c>
      <c r="S2463" t="s">
        <v>48094</v>
      </c>
      <c r="T2463" t="s">
        <v>48095</v>
      </c>
      <c r="U2463" t="s">
        <v>48096</v>
      </c>
      <c r="V2463" t="s">
        <v>48097</v>
      </c>
      <c r="W2463" t="s">
        <v>48098</v>
      </c>
      <c r="X2463" t="s">
        <v>48099</v>
      </c>
      <c r="Y2463" t="s">
        <v>48100</v>
      </c>
    </row>
    <row r="2464" spans="1:25" x14ac:dyDescent="0.3">
      <c r="A2464">
        <v>123150</v>
      </c>
      <c r="B2464" t="s">
        <v>48101</v>
      </c>
      <c r="C2464" t="s">
        <v>48102</v>
      </c>
      <c r="D2464" t="s">
        <v>48103</v>
      </c>
      <c r="E2464" t="s">
        <v>48104</v>
      </c>
      <c r="F2464" t="s">
        <v>48105</v>
      </c>
      <c r="G2464" t="s">
        <v>48106</v>
      </c>
      <c r="H2464" t="s">
        <v>48107</v>
      </c>
      <c r="I2464" t="s">
        <v>48108</v>
      </c>
      <c r="J2464" t="s">
        <v>48109</v>
      </c>
      <c r="K2464" t="s">
        <v>48110</v>
      </c>
      <c r="L2464" t="s">
        <v>48111</v>
      </c>
      <c r="M2464" t="s">
        <v>48112</v>
      </c>
      <c r="N2464" t="s">
        <v>48113</v>
      </c>
      <c r="O2464">
        <f>-586.438834143855 -121.194737462804 -702.846720375864</f>
        <v>-1410.4802919825231</v>
      </c>
      <c r="P2464">
        <f>-616.529496440197 -79.2605728324781 -390.561084349406</f>
        <v>-1086.3511536220813</v>
      </c>
      <c r="Q2464" t="s">
        <v>48114</v>
      </c>
      <c r="R2464" t="s">
        <v>48115</v>
      </c>
      <c r="S2464" t="s">
        <v>48116</v>
      </c>
      <c r="T2464" t="s">
        <v>48117</v>
      </c>
      <c r="U2464" t="s">
        <v>48118</v>
      </c>
      <c r="V2464" t="s">
        <v>48119</v>
      </c>
      <c r="W2464" t="s">
        <v>48120</v>
      </c>
      <c r="X2464" t="s">
        <v>48121</v>
      </c>
      <c r="Y2464" t="s">
        <v>48122</v>
      </c>
    </row>
    <row r="2465" spans="1:25" x14ac:dyDescent="0.3">
      <c r="A2465">
        <v>123200</v>
      </c>
      <c r="B2465" t="s">
        <v>48123</v>
      </c>
      <c r="C2465" t="s">
        <v>48124</v>
      </c>
      <c r="D2465" t="s">
        <v>48125</v>
      </c>
      <c r="E2465" t="s">
        <v>48126</v>
      </c>
      <c r="F2465" t="s">
        <v>48127</v>
      </c>
      <c r="G2465" t="s">
        <v>48128</v>
      </c>
      <c r="H2465" t="s">
        <v>48129</v>
      </c>
      <c r="I2465" t="s">
        <v>48130</v>
      </c>
      <c r="J2465" t="s">
        <v>48131</v>
      </c>
      <c r="K2465" t="s">
        <v>48132</v>
      </c>
      <c r="L2465" t="s">
        <v>48133</v>
      </c>
      <c r="M2465" t="s">
        <v>48134</v>
      </c>
      <c r="N2465" t="s">
        <v>48135</v>
      </c>
      <c r="O2465">
        <f>-586.842739540642 -121.129985837881 -702.902364737044</f>
        <v>-1410.875090115567</v>
      </c>
      <c r="P2465">
        <f>-616.759916485758 -79.3628873228793 -390.577781578074</f>
        <v>-1086.7005853867113</v>
      </c>
      <c r="Q2465" t="s">
        <v>48136</v>
      </c>
      <c r="R2465" t="s">
        <v>48137</v>
      </c>
      <c r="S2465" t="s">
        <v>48138</v>
      </c>
      <c r="T2465" t="s">
        <v>48139</v>
      </c>
      <c r="U2465" t="s">
        <v>48140</v>
      </c>
      <c r="V2465" t="s">
        <v>48141</v>
      </c>
      <c r="W2465" t="s">
        <v>48142</v>
      </c>
      <c r="X2465" t="s">
        <v>48143</v>
      </c>
      <c r="Y2465" t="s">
        <v>48144</v>
      </c>
    </row>
    <row r="2466" spans="1:25" x14ac:dyDescent="0.3">
      <c r="A2466">
        <v>123250</v>
      </c>
      <c r="B2466" t="s">
        <v>48145</v>
      </c>
      <c r="C2466" t="s">
        <v>48146</v>
      </c>
      <c r="D2466" t="s">
        <v>48147</v>
      </c>
      <c r="E2466" t="s">
        <v>48148</v>
      </c>
      <c r="F2466" t="s">
        <v>48149</v>
      </c>
      <c r="G2466" t="s">
        <v>48150</v>
      </c>
      <c r="H2466" t="s">
        <v>48151</v>
      </c>
      <c r="I2466" t="s">
        <v>48152</v>
      </c>
      <c r="J2466" t="s">
        <v>48153</v>
      </c>
      <c r="K2466" t="s">
        <v>48154</v>
      </c>
      <c r="L2466" t="s">
        <v>48155</v>
      </c>
      <c r="M2466" t="s">
        <v>48156</v>
      </c>
      <c r="N2466" t="s">
        <v>48157</v>
      </c>
      <c r="O2466">
        <f>-587.397401029804 -120.965710983636 -703.016872373564</f>
        <v>-1411.3799843870038</v>
      </c>
      <c r="P2466">
        <f>-617.185180554281 -78.9300642778587 -390.715829012991</f>
        <v>-1086.8310738451307</v>
      </c>
      <c r="Q2466" t="s">
        <v>48158</v>
      </c>
      <c r="R2466" t="s">
        <v>48159</v>
      </c>
      <c r="S2466" t="s">
        <v>48160</v>
      </c>
      <c r="T2466" t="s">
        <v>48161</v>
      </c>
      <c r="U2466" t="s">
        <v>48162</v>
      </c>
      <c r="V2466" t="s">
        <v>48163</v>
      </c>
      <c r="W2466" t="s">
        <v>48164</v>
      </c>
      <c r="X2466" t="s">
        <v>48165</v>
      </c>
      <c r="Y2466" t="s">
        <v>48166</v>
      </c>
    </row>
    <row r="2467" spans="1:25" x14ac:dyDescent="0.3">
      <c r="A2467">
        <v>123300</v>
      </c>
      <c r="B2467" t="s">
        <v>48167</v>
      </c>
      <c r="C2467" t="s">
        <v>48168</v>
      </c>
      <c r="D2467" t="s">
        <v>48169</v>
      </c>
      <c r="E2467" t="s">
        <v>48170</v>
      </c>
      <c r="F2467" t="s">
        <v>48171</v>
      </c>
      <c r="G2467" t="s">
        <v>48172</v>
      </c>
      <c r="H2467" t="s">
        <v>48173</v>
      </c>
      <c r="I2467" t="s">
        <v>48174</v>
      </c>
      <c r="J2467" t="s">
        <v>48175</v>
      </c>
      <c r="K2467" t="s">
        <v>48176</v>
      </c>
      <c r="L2467" t="s">
        <v>48177</v>
      </c>
      <c r="M2467" t="s">
        <v>48178</v>
      </c>
      <c r="N2467" t="s">
        <v>48179</v>
      </c>
      <c r="O2467">
        <f>-587.616303862698 -121.019051126567 -703.027592382169</f>
        <v>-1411.662947371434</v>
      </c>
      <c r="P2467">
        <f>-617.387753053067 -78.9174594066089 -390.733861115859</f>
        <v>-1087.039073575535</v>
      </c>
      <c r="Q2467" t="s">
        <v>48180</v>
      </c>
      <c r="R2467" t="s">
        <v>48181</v>
      </c>
      <c r="S2467" t="s">
        <v>48182</v>
      </c>
      <c r="T2467" t="s">
        <v>48183</v>
      </c>
      <c r="U2467" t="s">
        <v>48184</v>
      </c>
      <c r="V2467" t="s">
        <v>48185</v>
      </c>
      <c r="W2467" t="s">
        <v>48186</v>
      </c>
      <c r="X2467" t="s">
        <v>48187</v>
      </c>
      <c r="Y2467" t="s">
        <v>48188</v>
      </c>
    </row>
    <row r="2468" spans="1:25" x14ac:dyDescent="0.3">
      <c r="A2468">
        <v>123350</v>
      </c>
      <c r="B2468" t="s">
        <v>48189</v>
      </c>
      <c r="C2468" t="s">
        <v>48190</v>
      </c>
      <c r="D2468" t="s">
        <v>48191</v>
      </c>
      <c r="E2468" t="s">
        <v>48192</v>
      </c>
      <c r="F2468" t="s">
        <v>48193</v>
      </c>
      <c r="G2468" t="s">
        <v>48194</v>
      </c>
      <c r="H2468" t="s">
        <v>48195</v>
      </c>
      <c r="I2468" t="s">
        <v>48196</v>
      </c>
      <c r="J2468" t="s">
        <v>48197</v>
      </c>
      <c r="K2468" t="s">
        <v>48198</v>
      </c>
      <c r="L2468" t="s">
        <v>48199</v>
      </c>
      <c r="M2468" t="s">
        <v>48200</v>
      </c>
      <c r="N2468" t="s">
        <v>48201</v>
      </c>
      <c r="O2468">
        <f>-587.995759449204 -120.934819139226 -703.075403052002</f>
        <v>-1412.0059816404319</v>
      </c>
      <c r="P2468">
        <f>-617.645343097674 -78.806610244086 -390.773750831986</f>
        <v>-1087.225704173746</v>
      </c>
      <c r="Q2468" t="s">
        <v>48202</v>
      </c>
      <c r="R2468" t="s">
        <v>48203</v>
      </c>
      <c r="S2468" t="s">
        <v>48204</v>
      </c>
      <c r="T2468" t="s">
        <v>48205</v>
      </c>
      <c r="U2468" t="s">
        <v>48206</v>
      </c>
      <c r="V2468" t="s">
        <v>48207</v>
      </c>
      <c r="W2468" t="s">
        <v>48208</v>
      </c>
      <c r="X2468" t="s">
        <v>48209</v>
      </c>
      <c r="Y2468" t="s">
        <v>48210</v>
      </c>
    </row>
    <row r="2469" spans="1:25" x14ac:dyDescent="0.3">
      <c r="A2469">
        <v>123400</v>
      </c>
      <c r="B2469" t="s">
        <v>48211</v>
      </c>
      <c r="C2469" t="s">
        <v>48212</v>
      </c>
      <c r="D2469" t="s">
        <v>48213</v>
      </c>
      <c r="E2469" t="s">
        <v>48214</v>
      </c>
      <c r="F2469" t="s">
        <v>48215</v>
      </c>
      <c r="G2469" t="s">
        <v>48216</v>
      </c>
      <c r="H2469" t="s">
        <v>48217</v>
      </c>
      <c r="I2469" t="s">
        <v>48218</v>
      </c>
      <c r="J2469" t="s">
        <v>48219</v>
      </c>
      <c r="K2469" t="s">
        <v>48220</v>
      </c>
      <c r="L2469" t="s">
        <v>48221</v>
      </c>
      <c r="M2469" t="s">
        <v>48222</v>
      </c>
      <c r="N2469" t="s">
        <v>48223</v>
      </c>
      <c r="O2469">
        <f>-588.114184426857 -120.918804030385 -703.068723606127</f>
        <v>-1412.1017120633692</v>
      </c>
      <c r="P2469">
        <f>-617.772017223842 -78.8051284951907 -390.765939624414</f>
        <v>-1087.3430853434468</v>
      </c>
      <c r="Q2469" t="s">
        <v>48224</v>
      </c>
      <c r="R2469" t="s">
        <v>48225</v>
      </c>
      <c r="S2469" t="s">
        <v>48226</v>
      </c>
      <c r="T2469" t="s">
        <v>48227</v>
      </c>
      <c r="U2469" t="s">
        <v>48228</v>
      </c>
      <c r="V2469" t="s">
        <v>48229</v>
      </c>
      <c r="W2469" t="s">
        <v>48230</v>
      </c>
      <c r="X2469" t="s">
        <v>48231</v>
      </c>
      <c r="Y2469" t="s">
        <v>48232</v>
      </c>
    </row>
    <row r="2470" spans="1:25" x14ac:dyDescent="0.3">
      <c r="A2470">
        <v>123450</v>
      </c>
      <c r="B2470" t="s">
        <v>48233</v>
      </c>
      <c r="C2470" t="s">
        <v>48234</v>
      </c>
      <c r="D2470" t="s">
        <v>48235</v>
      </c>
      <c r="E2470" t="s">
        <v>48236</v>
      </c>
      <c r="F2470" t="s">
        <v>48237</v>
      </c>
      <c r="G2470" t="s">
        <v>48238</v>
      </c>
      <c r="H2470" t="s">
        <v>48239</v>
      </c>
      <c r="I2470" t="s">
        <v>48240</v>
      </c>
      <c r="J2470" t="s">
        <v>48241</v>
      </c>
      <c r="K2470" t="s">
        <v>48242</v>
      </c>
      <c r="L2470" t="s">
        <v>48243</v>
      </c>
      <c r="M2470" t="s">
        <v>48244</v>
      </c>
      <c r="N2470" t="s">
        <v>48245</v>
      </c>
      <c r="O2470">
        <f>-588.461869824668 -120.955364072481 -703.071199112644</f>
        <v>-1412.488433009793</v>
      </c>
      <c r="P2470">
        <f>-617.986034166151 -78.9310561743839 -390.743657778438</f>
        <v>-1087.6607481189728</v>
      </c>
      <c r="Q2470" t="s">
        <v>48246</v>
      </c>
      <c r="R2470" t="s">
        <v>48247</v>
      </c>
      <c r="S2470" t="s">
        <v>48248</v>
      </c>
      <c r="T2470" t="s">
        <v>48249</v>
      </c>
      <c r="U2470" t="s">
        <v>48250</v>
      </c>
      <c r="V2470" t="s">
        <v>48251</v>
      </c>
      <c r="W2470" t="s">
        <v>48252</v>
      </c>
      <c r="X2470" t="s">
        <v>48253</v>
      </c>
      <c r="Y2470" t="s">
        <v>48254</v>
      </c>
    </row>
    <row r="2471" spans="1:25" x14ac:dyDescent="0.3">
      <c r="A2471">
        <v>123500</v>
      </c>
      <c r="B2471" t="s">
        <v>48255</v>
      </c>
      <c r="C2471" t="s">
        <v>48256</v>
      </c>
      <c r="D2471" t="s">
        <v>48257</v>
      </c>
      <c r="E2471" t="s">
        <v>48258</v>
      </c>
      <c r="F2471" t="s">
        <v>48259</v>
      </c>
      <c r="G2471" t="s">
        <v>48260</v>
      </c>
      <c r="H2471" t="s">
        <v>48261</v>
      </c>
      <c r="I2471" t="s">
        <v>48262</v>
      </c>
      <c r="J2471" t="s">
        <v>48263</v>
      </c>
      <c r="K2471" t="s">
        <v>48264</v>
      </c>
      <c r="L2471" t="s">
        <v>48265</v>
      </c>
      <c r="M2471" t="s">
        <v>48266</v>
      </c>
      <c r="N2471" t="s">
        <v>48267</v>
      </c>
      <c r="O2471">
        <f>-588.706884663294 -120.923937838132 -703.089796001032</f>
        <v>-1412.7206185024579</v>
      </c>
      <c r="P2471">
        <f>-618.069009489012 -78.8773919962148 -390.750010251317</f>
        <v>-1087.6964117365437</v>
      </c>
      <c r="Q2471" t="s">
        <v>48268</v>
      </c>
      <c r="R2471" t="s">
        <v>48269</v>
      </c>
      <c r="S2471" t="s">
        <v>48270</v>
      </c>
      <c r="T2471" t="s">
        <v>48271</v>
      </c>
      <c r="U2471" t="s">
        <v>48272</v>
      </c>
      <c r="V2471" t="s">
        <v>48273</v>
      </c>
      <c r="W2471" t="s">
        <v>48274</v>
      </c>
      <c r="X2471" t="s">
        <v>48275</v>
      </c>
      <c r="Y2471" t="s">
        <v>48276</v>
      </c>
    </row>
    <row r="2472" spans="1:25" x14ac:dyDescent="0.3">
      <c r="A2472">
        <v>123550</v>
      </c>
      <c r="B2472" t="s">
        <v>48277</v>
      </c>
      <c r="C2472" t="s">
        <v>48278</v>
      </c>
      <c r="D2472" t="s">
        <v>48279</v>
      </c>
      <c r="E2472" t="s">
        <v>48280</v>
      </c>
      <c r="F2472" t="s">
        <v>48281</v>
      </c>
      <c r="G2472" t="s">
        <v>48282</v>
      </c>
      <c r="H2472" t="s">
        <v>48283</v>
      </c>
      <c r="I2472" t="s">
        <v>48284</v>
      </c>
      <c r="J2472" t="s">
        <v>48285</v>
      </c>
      <c r="K2472" t="s">
        <v>48286</v>
      </c>
      <c r="L2472" t="s">
        <v>48287</v>
      </c>
      <c r="M2472" t="s">
        <v>48288</v>
      </c>
      <c r="N2472" t="s">
        <v>48289</v>
      </c>
      <c r="O2472">
        <f>-588.715731986728 -121.074968713108 -702.874548633055</f>
        <v>-1412.6652493328911</v>
      </c>
      <c r="P2472">
        <f>-617.883402094819 -78.9882670802067 -390.52188928862</f>
        <v>-1087.3935584636456</v>
      </c>
      <c r="Q2472" t="s">
        <v>48290</v>
      </c>
      <c r="R2472" t="s">
        <v>48291</v>
      </c>
      <c r="S2472" t="s">
        <v>48292</v>
      </c>
      <c r="T2472" t="s">
        <v>48293</v>
      </c>
      <c r="U2472" t="s">
        <v>48294</v>
      </c>
      <c r="V2472" t="s">
        <v>48295</v>
      </c>
      <c r="W2472" t="s">
        <v>48296</v>
      </c>
      <c r="X2472" t="s">
        <v>48297</v>
      </c>
      <c r="Y2472" t="s">
        <v>48298</v>
      </c>
    </row>
    <row r="2473" spans="1:25" x14ac:dyDescent="0.3">
      <c r="A2473">
        <v>123600</v>
      </c>
      <c r="B2473" t="s">
        <v>48299</v>
      </c>
      <c r="C2473" t="s">
        <v>48300</v>
      </c>
      <c r="D2473" t="s">
        <v>48301</v>
      </c>
      <c r="E2473" t="s">
        <v>48302</v>
      </c>
      <c r="F2473" t="s">
        <v>48303</v>
      </c>
      <c r="G2473" t="s">
        <v>48304</v>
      </c>
      <c r="H2473" t="s">
        <v>48305</v>
      </c>
      <c r="I2473" t="s">
        <v>48306</v>
      </c>
      <c r="J2473" t="s">
        <v>48307</v>
      </c>
      <c r="K2473" t="s">
        <v>48308</v>
      </c>
      <c r="L2473" t="s">
        <v>48309</v>
      </c>
      <c r="M2473" t="s">
        <v>48310</v>
      </c>
      <c r="N2473" t="s">
        <v>48311</v>
      </c>
      <c r="O2473">
        <f>-588.739554772943 -121.13784977759 -702.815855626126</f>
        <v>-1412.6932601766589</v>
      </c>
      <c r="P2473">
        <f>-617.858541366768 -79.0418260391755 -390.459993368803</f>
        <v>-1087.3603607747464</v>
      </c>
      <c r="Q2473" t="s">
        <v>48312</v>
      </c>
      <c r="R2473" t="s">
        <v>48313</v>
      </c>
      <c r="S2473" t="s">
        <v>48314</v>
      </c>
      <c r="T2473" t="s">
        <v>48315</v>
      </c>
      <c r="U2473" t="s">
        <v>48316</v>
      </c>
      <c r="V2473" t="s">
        <v>48317</v>
      </c>
      <c r="W2473" t="s">
        <v>48318</v>
      </c>
      <c r="X2473" t="s">
        <v>48319</v>
      </c>
      <c r="Y2473" t="s">
        <v>48320</v>
      </c>
    </row>
    <row r="2474" spans="1:25" x14ac:dyDescent="0.3">
      <c r="A2474">
        <v>123650</v>
      </c>
      <c r="B2474" t="s">
        <v>48321</v>
      </c>
      <c r="C2474" t="s">
        <v>48322</v>
      </c>
      <c r="D2474" t="s">
        <v>48323</v>
      </c>
      <c r="E2474" t="s">
        <v>48324</v>
      </c>
      <c r="F2474" t="s">
        <v>48325</v>
      </c>
      <c r="G2474" t="s">
        <v>48326</v>
      </c>
      <c r="H2474" t="s">
        <v>48327</v>
      </c>
      <c r="I2474" t="s">
        <v>48328</v>
      </c>
      <c r="J2474" t="s">
        <v>48329</v>
      </c>
      <c r="K2474" t="s">
        <v>48330</v>
      </c>
      <c r="L2474" t="s">
        <v>48331</v>
      </c>
      <c r="M2474" t="s">
        <v>48332</v>
      </c>
      <c r="N2474" t="s">
        <v>48333</v>
      </c>
      <c r="O2474">
        <f>-588.51199492023 -121.518846982127 -702.609852707991</f>
        <v>-1412.640694610348</v>
      </c>
      <c r="P2474">
        <f>-617.736157815826 -79.4465330969413 -390.26048846222</f>
        <v>-1087.4431793749873</v>
      </c>
      <c r="Q2474" t="s">
        <v>48334</v>
      </c>
      <c r="R2474" t="s">
        <v>48335</v>
      </c>
      <c r="S2474" t="s">
        <v>48336</v>
      </c>
      <c r="T2474" t="s">
        <v>48337</v>
      </c>
      <c r="U2474" t="s">
        <v>48338</v>
      </c>
      <c r="V2474" t="s">
        <v>48339</v>
      </c>
      <c r="W2474" t="s">
        <v>48340</v>
      </c>
      <c r="X2474" t="s">
        <v>48341</v>
      </c>
      <c r="Y2474" t="s">
        <v>48342</v>
      </c>
    </row>
    <row r="2475" spans="1:25" x14ac:dyDescent="0.3">
      <c r="A2475">
        <v>123700</v>
      </c>
      <c r="B2475" t="s">
        <v>48343</v>
      </c>
      <c r="C2475" t="s">
        <v>48344</v>
      </c>
      <c r="D2475" t="s">
        <v>48345</v>
      </c>
      <c r="E2475" t="s">
        <v>48346</v>
      </c>
      <c r="F2475" t="s">
        <v>48347</v>
      </c>
      <c r="G2475" t="s">
        <v>48348</v>
      </c>
      <c r="H2475" t="s">
        <v>48349</v>
      </c>
      <c r="I2475">
        <f>-499.979972472031 -0.417020834929872 -917.478707111818</f>
        <v>-1417.8757004187789</v>
      </c>
      <c r="J2475" t="s">
        <v>48350</v>
      </c>
      <c r="K2475" t="s">
        <v>48351</v>
      </c>
      <c r="L2475" t="s">
        <v>48352</v>
      </c>
      <c r="M2475" t="s">
        <v>48353</v>
      </c>
      <c r="N2475" t="s">
        <v>48354</v>
      </c>
      <c r="O2475">
        <f>-588.455326142415 -121.75039077849 -702.525785158177</f>
        <v>-1412.731502079082</v>
      </c>
      <c r="P2475">
        <f>-617.845935372914 -79.6021113339443 -390.202393735785</f>
        <v>-1087.6504404426432</v>
      </c>
      <c r="Q2475" t="s">
        <v>48355</v>
      </c>
      <c r="R2475" t="s">
        <v>48356</v>
      </c>
      <c r="S2475" t="s">
        <v>48357</v>
      </c>
      <c r="T2475" t="s">
        <v>48358</v>
      </c>
      <c r="U2475" t="s">
        <v>48359</v>
      </c>
      <c r="V2475" t="s">
        <v>48360</v>
      </c>
      <c r="W2475" t="s">
        <v>48361</v>
      </c>
      <c r="X2475" t="s">
        <v>48362</v>
      </c>
      <c r="Y2475" t="s">
        <v>48363</v>
      </c>
    </row>
    <row r="2476" spans="1:25" x14ac:dyDescent="0.3">
      <c r="A2476">
        <v>123750</v>
      </c>
      <c r="B2476" t="s">
        <v>48364</v>
      </c>
      <c r="C2476" t="s">
        <v>48365</v>
      </c>
      <c r="D2476" t="s">
        <v>48366</v>
      </c>
      <c r="E2476" t="s">
        <v>48367</v>
      </c>
      <c r="F2476" t="s">
        <v>48368</v>
      </c>
      <c r="G2476" t="s">
        <v>48369</v>
      </c>
      <c r="H2476" t="s">
        <v>48370</v>
      </c>
      <c r="I2476">
        <f>-499.874747532055 -1.12047302557153 -917.252738077082</f>
        <v>-1418.2479586347085</v>
      </c>
      <c r="J2476" t="s">
        <v>48371</v>
      </c>
      <c r="K2476" t="s">
        <v>48372</v>
      </c>
      <c r="L2476" t="s">
        <v>48373</v>
      </c>
      <c r="M2476" t="s">
        <v>48374</v>
      </c>
      <c r="N2476" t="s">
        <v>48375</v>
      </c>
      <c r="O2476">
        <f>-588.286608627795 -122.074357593941 -702.302868286376</f>
        <v>-1412.6638345081119</v>
      </c>
      <c r="P2476">
        <f>-617.852777549772 -79.723634491957 -390.023491498302</f>
        <v>-1087.5999035400309</v>
      </c>
      <c r="Q2476" t="s">
        <v>48376</v>
      </c>
      <c r="R2476" t="s">
        <v>48377</v>
      </c>
      <c r="S2476" t="s">
        <v>48378</v>
      </c>
      <c r="T2476" t="s">
        <v>48379</v>
      </c>
      <c r="U2476" t="s">
        <v>48380</v>
      </c>
      <c r="V2476" t="s">
        <v>48381</v>
      </c>
      <c r="W2476" t="s">
        <v>48382</v>
      </c>
      <c r="X2476" t="s">
        <v>48383</v>
      </c>
      <c r="Y2476" t="s">
        <v>48384</v>
      </c>
    </row>
    <row r="2477" spans="1:25" x14ac:dyDescent="0.3">
      <c r="A2477">
        <v>123800</v>
      </c>
      <c r="B2477" t="s">
        <v>48385</v>
      </c>
      <c r="C2477" t="s">
        <v>48386</v>
      </c>
      <c r="D2477" t="s">
        <v>48387</v>
      </c>
      <c r="E2477" t="s">
        <v>48388</v>
      </c>
      <c r="F2477" t="s">
        <v>48389</v>
      </c>
      <c r="G2477" t="s">
        <v>48390</v>
      </c>
      <c r="H2477" t="s">
        <v>48391</v>
      </c>
      <c r="I2477">
        <f>-499.839425610153 -1.36989542237848 -917.15636967369</f>
        <v>-1418.3656907062216</v>
      </c>
      <c r="J2477" t="s">
        <v>48392</v>
      </c>
      <c r="K2477" t="s">
        <v>48393</v>
      </c>
      <c r="L2477" t="s">
        <v>48394</v>
      </c>
      <c r="M2477" t="s">
        <v>48395</v>
      </c>
      <c r="N2477" t="s">
        <v>48396</v>
      </c>
      <c r="O2477">
        <f>-588.233235213219 -122.134479646968 -702.179740422144</f>
        <v>-1412.5474552823312</v>
      </c>
      <c r="P2477">
        <f>-617.744286983283 -79.672868323396 -389.910128198683</f>
        <v>-1087.3272835053619</v>
      </c>
      <c r="Q2477" t="s">
        <v>48397</v>
      </c>
      <c r="R2477" t="s">
        <v>48398</v>
      </c>
      <c r="S2477" t="s">
        <v>48399</v>
      </c>
      <c r="T2477" t="s">
        <v>48400</v>
      </c>
      <c r="U2477" t="s">
        <v>48401</v>
      </c>
      <c r="V2477" t="s">
        <v>48402</v>
      </c>
      <c r="W2477" t="s">
        <v>48403</v>
      </c>
      <c r="X2477" t="s">
        <v>48404</v>
      </c>
      <c r="Y2477" t="s">
        <v>48405</v>
      </c>
    </row>
    <row r="2478" spans="1:25" x14ac:dyDescent="0.3">
      <c r="A2478">
        <v>123850</v>
      </c>
      <c r="B2478" t="s">
        <v>48406</v>
      </c>
      <c r="C2478" t="s">
        <v>48407</v>
      </c>
      <c r="D2478" t="s">
        <v>48408</v>
      </c>
      <c r="E2478" t="s">
        <v>48409</v>
      </c>
      <c r="F2478" t="s">
        <v>48410</v>
      </c>
      <c r="G2478" t="s">
        <v>48411</v>
      </c>
      <c r="H2478" t="s">
        <v>48412</v>
      </c>
      <c r="I2478">
        <f>-499.561114938225 -1.9202160450684 -917.051982723101</f>
        <v>-1418.5333137063944</v>
      </c>
      <c r="J2478" t="s">
        <v>48413</v>
      </c>
      <c r="K2478" t="s">
        <v>48414</v>
      </c>
      <c r="L2478" t="s">
        <v>48415</v>
      </c>
      <c r="M2478" t="s">
        <v>48416</v>
      </c>
      <c r="N2478" t="s">
        <v>48417</v>
      </c>
      <c r="O2478">
        <f>-587.868311888268 -122.400160803204 -702.044764464699</f>
        <v>-1412.313237156171</v>
      </c>
      <c r="P2478">
        <f>-617.551526482649 -79.9363351576833 -389.791671835244</f>
        <v>-1087.2795334755763</v>
      </c>
      <c r="Q2478" t="s">
        <v>48418</v>
      </c>
      <c r="R2478" t="s">
        <v>48419</v>
      </c>
      <c r="S2478" t="s">
        <v>48420</v>
      </c>
      <c r="T2478" t="s">
        <v>48421</v>
      </c>
      <c r="U2478" t="s">
        <v>48422</v>
      </c>
      <c r="V2478" t="s">
        <v>48423</v>
      </c>
      <c r="W2478" t="s">
        <v>48424</v>
      </c>
      <c r="X2478" t="s">
        <v>48425</v>
      </c>
      <c r="Y2478" t="s">
        <v>48426</v>
      </c>
    </row>
    <row r="2479" spans="1:25" x14ac:dyDescent="0.3">
      <c r="A2479">
        <v>123900</v>
      </c>
      <c r="B2479" t="s">
        <v>48427</v>
      </c>
      <c r="C2479" t="s">
        <v>48428</v>
      </c>
      <c r="D2479" t="s">
        <v>48429</v>
      </c>
      <c r="E2479" t="s">
        <v>48430</v>
      </c>
      <c r="F2479" t="s">
        <v>48431</v>
      </c>
      <c r="G2479" t="s">
        <v>48432</v>
      </c>
      <c r="H2479" t="s">
        <v>48433</v>
      </c>
      <c r="I2479">
        <f>-499.312600177082 -1.98710167112858 -917.048892582856</f>
        <v>-1418.3485944310664</v>
      </c>
      <c r="J2479" t="s">
        <v>48434</v>
      </c>
      <c r="K2479" t="s">
        <v>48435</v>
      </c>
      <c r="L2479" t="s">
        <v>48436</v>
      </c>
      <c r="M2479" t="s">
        <v>48437</v>
      </c>
      <c r="N2479" t="s">
        <v>48438</v>
      </c>
      <c r="O2479">
        <f>-587.518039957372 -122.414472636264 -702.00802634931</f>
        <v>-1411.940538942946</v>
      </c>
      <c r="P2479">
        <f>-617.363726794467 -79.9354391255042 -389.772597852484</f>
        <v>-1087.0717637724551</v>
      </c>
      <c r="Q2479" t="s">
        <v>48439</v>
      </c>
      <c r="R2479" t="s">
        <v>48440</v>
      </c>
      <c r="S2479" t="s">
        <v>48441</v>
      </c>
      <c r="T2479" t="s">
        <v>48442</v>
      </c>
      <c r="U2479" t="s">
        <v>48443</v>
      </c>
      <c r="V2479" t="s">
        <v>48444</v>
      </c>
      <c r="W2479" t="s">
        <v>48445</v>
      </c>
      <c r="X2479" t="s">
        <v>48446</v>
      </c>
      <c r="Y2479" t="s">
        <v>48447</v>
      </c>
    </row>
    <row r="2480" spans="1:25" x14ac:dyDescent="0.3">
      <c r="A2480">
        <v>123950</v>
      </c>
      <c r="B2480" t="s">
        <v>48448</v>
      </c>
      <c r="C2480" t="s">
        <v>48449</v>
      </c>
      <c r="D2480" t="s">
        <v>48450</v>
      </c>
      <c r="E2480" t="s">
        <v>48451</v>
      </c>
      <c r="F2480" t="s">
        <v>48452</v>
      </c>
      <c r="G2480" t="s">
        <v>48453</v>
      </c>
      <c r="H2480" t="s">
        <v>48454</v>
      </c>
      <c r="I2480">
        <f>-499.156653326251 -2.00757787762382 -917.223918056153</f>
        <v>-1418.3881492600278</v>
      </c>
      <c r="J2480" t="s">
        <v>48455</v>
      </c>
      <c r="K2480" t="s">
        <v>48456</v>
      </c>
      <c r="L2480" t="s">
        <v>48457</v>
      </c>
      <c r="M2480" t="s">
        <v>48458</v>
      </c>
      <c r="N2480" t="s">
        <v>48459</v>
      </c>
      <c r="O2480">
        <f>-587.030840846362 -122.416269449868 -702.132159305787</f>
        <v>-1411.5792696020171</v>
      </c>
      <c r="P2480">
        <f>-617.013419360168 -79.9950846421868 -389.90189810789</f>
        <v>-1086.9104021102448</v>
      </c>
      <c r="Q2480" t="s">
        <v>48460</v>
      </c>
      <c r="R2480" t="s">
        <v>48461</v>
      </c>
      <c r="S2480" t="s">
        <v>48462</v>
      </c>
      <c r="T2480" t="s">
        <v>48463</v>
      </c>
      <c r="U2480" t="s">
        <v>48464</v>
      </c>
      <c r="V2480" t="s">
        <v>48465</v>
      </c>
      <c r="W2480" t="s">
        <v>48466</v>
      </c>
      <c r="X2480" t="s">
        <v>48467</v>
      </c>
      <c r="Y2480" t="s">
        <v>48468</v>
      </c>
    </row>
    <row r="2481" spans="1:25" x14ac:dyDescent="0.3">
      <c r="A2481">
        <v>124000</v>
      </c>
      <c r="B2481" t="s">
        <v>48469</v>
      </c>
      <c r="C2481" t="s">
        <v>48470</v>
      </c>
      <c r="D2481" t="s">
        <v>48471</v>
      </c>
      <c r="E2481" t="s">
        <v>48472</v>
      </c>
      <c r="F2481" t="s">
        <v>48473</v>
      </c>
      <c r="G2481" t="s">
        <v>48474</v>
      </c>
      <c r="H2481" t="s">
        <v>48475</v>
      </c>
      <c r="I2481">
        <f>-499.178471203497 -1.86039899254297 -917.317773610065</f>
        <v>-1418.356643806105</v>
      </c>
      <c r="J2481" t="s">
        <v>48476</v>
      </c>
      <c r="K2481" t="s">
        <v>48477</v>
      </c>
      <c r="L2481" t="s">
        <v>48478</v>
      </c>
      <c r="M2481" t="s">
        <v>48479</v>
      </c>
      <c r="N2481" t="s">
        <v>48480</v>
      </c>
      <c r="O2481">
        <f>-586.843742485825 -122.389820244246 -702.209352473671</f>
        <v>-1411.4429152037419</v>
      </c>
      <c r="P2481">
        <f>-616.778441352035 -79.9986991077333 -389.970500258393</f>
        <v>-1086.7476407181612</v>
      </c>
      <c r="Q2481" t="s">
        <v>48481</v>
      </c>
      <c r="R2481" t="s">
        <v>48482</v>
      </c>
      <c r="S2481" t="s">
        <v>48483</v>
      </c>
      <c r="T2481" t="s">
        <v>48484</v>
      </c>
      <c r="U2481" t="s">
        <v>48485</v>
      </c>
      <c r="V2481" t="s">
        <v>48486</v>
      </c>
      <c r="W2481" t="s">
        <v>48487</v>
      </c>
      <c r="X2481" t="s">
        <v>48488</v>
      </c>
      <c r="Y2481" t="s">
        <v>48489</v>
      </c>
    </row>
    <row r="2482" spans="1:25" x14ac:dyDescent="0.3">
      <c r="A2482">
        <v>124050</v>
      </c>
      <c r="B2482" t="s">
        <v>48490</v>
      </c>
      <c r="C2482" t="s">
        <v>48491</v>
      </c>
      <c r="D2482" t="s">
        <v>48492</v>
      </c>
      <c r="E2482" t="s">
        <v>48493</v>
      </c>
      <c r="F2482" t="s">
        <v>48494</v>
      </c>
      <c r="G2482" t="s">
        <v>48495</v>
      </c>
      <c r="H2482" t="s">
        <v>48496</v>
      </c>
      <c r="I2482">
        <f>-499.313409508679 -1.50073907272485 -917.490815166007</f>
        <v>-1418.304963747411</v>
      </c>
      <c r="J2482" t="s">
        <v>48497</v>
      </c>
      <c r="K2482" t="s">
        <v>48498</v>
      </c>
      <c r="L2482" t="s">
        <v>48499</v>
      </c>
      <c r="M2482" t="s">
        <v>48500</v>
      </c>
      <c r="N2482" t="s">
        <v>48501</v>
      </c>
      <c r="O2482">
        <f>-586.560698994938 -122.345135984524 -702.344591794629</f>
        <v>-1411.250426774091</v>
      </c>
      <c r="P2482">
        <f>-616.487958216048 -80.1989901027614 -390.071795304987</f>
        <v>-1086.7587436237964</v>
      </c>
      <c r="Q2482" t="s">
        <v>48502</v>
      </c>
      <c r="R2482" t="s">
        <v>48503</v>
      </c>
      <c r="S2482" t="s">
        <v>48504</v>
      </c>
      <c r="T2482" t="s">
        <v>48505</v>
      </c>
      <c r="U2482" t="s">
        <v>48506</v>
      </c>
      <c r="V2482" t="s">
        <v>48507</v>
      </c>
      <c r="W2482" t="s">
        <v>48508</v>
      </c>
      <c r="X2482" t="s">
        <v>48509</v>
      </c>
      <c r="Y2482" t="s">
        <v>48510</v>
      </c>
    </row>
    <row r="2483" spans="1:25" x14ac:dyDescent="0.3">
      <c r="A2483">
        <v>124100</v>
      </c>
      <c r="B2483" t="s">
        <v>48511</v>
      </c>
      <c r="C2483" t="s">
        <v>48512</v>
      </c>
      <c r="D2483" t="s">
        <v>48513</v>
      </c>
      <c r="E2483" t="s">
        <v>48514</v>
      </c>
      <c r="F2483" t="s">
        <v>48515</v>
      </c>
      <c r="G2483" t="s">
        <v>48516</v>
      </c>
      <c r="H2483" t="s">
        <v>48517</v>
      </c>
      <c r="I2483">
        <f>-499.512214423104 -1.16314494357766 -917.647402099934</f>
        <v>-1418.3227614666157</v>
      </c>
      <c r="J2483" t="s">
        <v>48518</v>
      </c>
      <c r="K2483" t="s">
        <v>48519</v>
      </c>
      <c r="L2483" t="s">
        <v>48520</v>
      </c>
      <c r="M2483" t="s">
        <v>48521</v>
      </c>
      <c r="N2483" t="s">
        <v>48522</v>
      </c>
      <c r="O2483">
        <f>-586.494006691795 -122.216008171213 -702.483740671575</f>
        <v>-1411.193755534583</v>
      </c>
      <c r="P2483">
        <f>-616.400817872906 -80.2293260411029 -390.187483752848</f>
        <v>-1086.8176276668569</v>
      </c>
      <c r="Q2483" t="s">
        <v>48523</v>
      </c>
      <c r="R2483" t="s">
        <v>48524</v>
      </c>
      <c r="S2483" t="s">
        <v>48525</v>
      </c>
      <c r="T2483" t="s">
        <v>48526</v>
      </c>
      <c r="U2483" t="s">
        <v>48527</v>
      </c>
      <c r="V2483" t="s">
        <v>48528</v>
      </c>
      <c r="W2483" t="s">
        <v>48529</v>
      </c>
      <c r="X2483" t="s">
        <v>48530</v>
      </c>
      <c r="Y2483" t="s">
        <v>48531</v>
      </c>
    </row>
    <row r="2484" spans="1:25" x14ac:dyDescent="0.3">
      <c r="A2484">
        <v>124150</v>
      </c>
      <c r="B2484" t="s">
        <v>48532</v>
      </c>
      <c r="C2484" t="s">
        <v>48533</v>
      </c>
      <c r="D2484" t="s">
        <v>48534</v>
      </c>
      <c r="E2484" t="s">
        <v>48535</v>
      </c>
      <c r="F2484" t="s">
        <v>48536</v>
      </c>
      <c r="G2484" t="s">
        <v>48537</v>
      </c>
      <c r="H2484" t="s">
        <v>48538</v>
      </c>
      <c r="I2484">
        <f>-499.940422731647 -0.121541297356771 -917.980669904759</f>
        <v>-1418.0426339337628</v>
      </c>
      <c r="J2484" t="s">
        <v>48539</v>
      </c>
      <c r="K2484" t="s">
        <v>48540</v>
      </c>
      <c r="L2484" t="s">
        <v>48541</v>
      </c>
      <c r="M2484" t="s">
        <v>48542</v>
      </c>
      <c r="N2484" t="s">
        <v>48543</v>
      </c>
      <c r="O2484">
        <f>-586.385080877781 -121.696313306874 -702.822914148074</f>
        <v>-1410.904308332729</v>
      </c>
      <c r="P2484">
        <f>-616.434980280798 -80.2627150055014 -390.466613782105</f>
        <v>-1087.1643090684042</v>
      </c>
      <c r="Q2484" t="s">
        <v>48544</v>
      </c>
      <c r="R2484" t="s">
        <v>48545</v>
      </c>
      <c r="S2484" t="s">
        <v>48546</v>
      </c>
      <c r="T2484" t="s">
        <v>48547</v>
      </c>
      <c r="U2484" t="s">
        <v>48548</v>
      </c>
      <c r="V2484" t="s">
        <v>48549</v>
      </c>
      <c r="W2484" t="s">
        <v>48550</v>
      </c>
      <c r="X2484" t="s">
        <v>48551</v>
      </c>
      <c r="Y2484" t="s">
        <v>48552</v>
      </c>
    </row>
    <row r="2485" spans="1:25" x14ac:dyDescent="0.3">
      <c r="A2485">
        <v>124200</v>
      </c>
      <c r="B2485" t="s">
        <v>48553</v>
      </c>
      <c r="C2485" t="s">
        <v>48554</v>
      </c>
      <c r="D2485" t="s">
        <v>48555</v>
      </c>
      <c r="E2485" t="s">
        <v>48556</v>
      </c>
      <c r="F2485" t="s">
        <v>48557</v>
      </c>
      <c r="G2485" t="s">
        <v>48558</v>
      </c>
      <c r="H2485" t="s">
        <v>48559</v>
      </c>
      <c r="I2485" t="s">
        <v>48560</v>
      </c>
      <c r="J2485" t="s">
        <v>48561</v>
      </c>
      <c r="K2485" t="s">
        <v>48562</v>
      </c>
      <c r="L2485" t="s">
        <v>48563</v>
      </c>
      <c r="M2485" t="s">
        <v>48564</v>
      </c>
      <c r="N2485" t="s">
        <v>48565</v>
      </c>
      <c r="O2485">
        <f>-586.421588718449 -121.544710780307 -703.025227801717</f>
        <v>-1410.9915273004731</v>
      </c>
      <c r="P2485">
        <f>-616.443352142907 -80.2342082115115 -390.650044538298</f>
        <v>-1087.3276048927164</v>
      </c>
      <c r="Q2485" t="s">
        <v>48566</v>
      </c>
      <c r="R2485" t="s">
        <v>48567</v>
      </c>
      <c r="S2485" t="s">
        <v>48568</v>
      </c>
      <c r="T2485" t="s">
        <v>48569</v>
      </c>
      <c r="U2485" t="s">
        <v>48570</v>
      </c>
      <c r="V2485" t="s">
        <v>48571</v>
      </c>
      <c r="W2485" t="s">
        <v>48572</v>
      </c>
      <c r="X2485" t="s">
        <v>48573</v>
      </c>
      <c r="Y2485" t="s">
        <v>48574</v>
      </c>
    </row>
    <row r="2486" spans="1:25" x14ac:dyDescent="0.3">
      <c r="A2486">
        <v>124250</v>
      </c>
      <c r="B2486" t="s">
        <v>48575</v>
      </c>
      <c r="C2486" t="s">
        <v>48576</v>
      </c>
      <c r="D2486" t="s">
        <v>48577</v>
      </c>
      <c r="E2486" t="s">
        <v>48578</v>
      </c>
      <c r="F2486" t="s">
        <v>48579</v>
      </c>
      <c r="G2486" t="s">
        <v>48580</v>
      </c>
      <c r="H2486" t="s">
        <v>48581</v>
      </c>
      <c r="I2486" t="s">
        <v>48582</v>
      </c>
      <c r="J2486" t="s">
        <v>48583</v>
      </c>
      <c r="K2486" t="s">
        <v>48584</v>
      </c>
      <c r="L2486" t="s">
        <v>48585</v>
      </c>
      <c r="M2486" t="s">
        <v>48586</v>
      </c>
      <c r="N2486" t="s">
        <v>48587</v>
      </c>
      <c r="O2486">
        <f>-586.547974581784 -121.14454652491 -703.416550739608</f>
        <v>-1411.109071846302</v>
      </c>
      <c r="P2486">
        <f>-616.410429258279 -80.3009293676537 -390.964671343786</f>
        <v>-1087.6760299697187</v>
      </c>
      <c r="Q2486" t="s">
        <v>48588</v>
      </c>
      <c r="R2486" t="s">
        <v>48589</v>
      </c>
      <c r="S2486" t="s">
        <v>48590</v>
      </c>
      <c r="T2486" t="s">
        <v>48591</v>
      </c>
      <c r="U2486" t="s">
        <v>48592</v>
      </c>
      <c r="V2486" t="s">
        <v>48593</v>
      </c>
      <c r="W2486" t="s">
        <v>48594</v>
      </c>
      <c r="X2486" t="s">
        <v>48595</v>
      </c>
      <c r="Y2486" t="s">
        <v>48596</v>
      </c>
    </row>
    <row r="2487" spans="1:25" x14ac:dyDescent="0.3">
      <c r="A2487">
        <v>124300</v>
      </c>
      <c r="B2487" t="s">
        <v>48597</v>
      </c>
      <c r="C2487" t="s">
        <v>48598</v>
      </c>
      <c r="D2487" t="s">
        <v>48599</v>
      </c>
      <c r="E2487" t="s">
        <v>48600</v>
      </c>
      <c r="F2487" t="s">
        <v>48601</v>
      </c>
      <c r="G2487" t="s">
        <v>48602</v>
      </c>
      <c r="H2487" t="s">
        <v>48603</v>
      </c>
      <c r="I2487" t="s">
        <v>48604</v>
      </c>
      <c r="J2487" t="s">
        <v>48605</v>
      </c>
      <c r="K2487" t="s">
        <v>48606</v>
      </c>
      <c r="L2487" t="s">
        <v>48607</v>
      </c>
      <c r="M2487" t="s">
        <v>48608</v>
      </c>
      <c r="N2487" t="s">
        <v>48609</v>
      </c>
      <c r="O2487">
        <f>-586.503907026561 -120.939438074102 -703.622008645611</f>
        <v>-1411.065353746274</v>
      </c>
      <c r="P2487">
        <f>-616.315694523587 -80.3561404065463 -391.131333989191</f>
        <v>-1087.8031689193242</v>
      </c>
      <c r="Q2487" t="s">
        <v>48610</v>
      </c>
      <c r="R2487" t="s">
        <v>48611</v>
      </c>
      <c r="S2487" t="s">
        <v>48612</v>
      </c>
      <c r="T2487" t="s">
        <v>48613</v>
      </c>
      <c r="U2487" t="s">
        <v>48614</v>
      </c>
      <c r="V2487" t="s">
        <v>48615</v>
      </c>
      <c r="W2487" t="s">
        <v>48616</v>
      </c>
      <c r="X2487" t="s">
        <v>48617</v>
      </c>
      <c r="Y2487" t="s">
        <v>48618</v>
      </c>
    </row>
    <row r="2488" spans="1:25" x14ac:dyDescent="0.3">
      <c r="A2488">
        <v>124350</v>
      </c>
      <c r="B2488" t="s">
        <v>48619</v>
      </c>
      <c r="C2488" t="s">
        <v>48620</v>
      </c>
      <c r="D2488" t="s">
        <v>48621</v>
      </c>
      <c r="E2488" t="s">
        <v>48622</v>
      </c>
      <c r="F2488" t="s">
        <v>48623</v>
      </c>
      <c r="G2488" t="s">
        <v>48624</v>
      </c>
      <c r="H2488" t="s">
        <v>48625</v>
      </c>
      <c r="I2488" t="s">
        <v>48626</v>
      </c>
      <c r="J2488" t="s">
        <v>48627</v>
      </c>
      <c r="K2488" t="s">
        <v>48628</v>
      </c>
      <c r="L2488" t="s">
        <v>48629</v>
      </c>
      <c r="M2488" t="s">
        <v>48630</v>
      </c>
      <c r="N2488" t="s">
        <v>48631</v>
      </c>
      <c r="O2488">
        <f>-586.588681896161 -120.354268949974 -704.040317110969</f>
        <v>-1410.9832679571041</v>
      </c>
      <c r="P2488">
        <f>-616.431105176869 -80.4405529435942 -391.466370354502</f>
        <v>-1088.3380284749651</v>
      </c>
      <c r="Q2488" t="s">
        <v>48632</v>
      </c>
      <c r="R2488" t="s">
        <v>48633</v>
      </c>
      <c r="S2488" t="s">
        <v>48634</v>
      </c>
      <c r="T2488" t="s">
        <v>48635</v>
      </c>
      <c r="U2488" t="s">
        <v>48636</v>
      </c>
      <c r="V2488" t="s">
        <v>48637</v>
      </c>
      <c r="W2488" t="s">
        <v>48638</v>
      </c>
      <c r="X2488" t="s">
        <v>48639</v>
      </c>
      <c r="Y2488" t="s">
        <v>48640</v>
      </c>
    </row>
    <row r="2489" spans="1:25" x14ac:dyDescent="0.3">
      <c r="A2489">
        <v>124400</v>
      </c>
      <c r="B2489" t="s">
        <v>48641</v>
      </c>
      <c r="C2489" t="s">
        <v>48642</v>
      </c>
      <c r="D2489" t="s">
        <v>48643</v>
      </c>
      <c r="E2489" t="s">
        <v>48644</v>
      </c>
      <c r="F2489" t="s">
        <v>48645</v>
      </c>
      <c r="G2489" t="s">
        <v>48646</v>
      </c>
      <c r="H2489" t="s">
        <v>48647</v>
      </c>
      <c r="I2489" t="s">
        <v>48648</v>
      </c>
      <c r="J2489" t="s">
        <v>48649</v>
      </c>
      <c r="K2489" t="s">
        <v>48650</v>
      </c>
      <c r="L2489" t="s">
        <v>48651</v>
      </c>
      <c r="M2489" t="s">
        <v>48652</v>
      </c>
      <c r="N2489" t="s">
        <v>48653</v>
      </c>
      <c r="O2489">
        <f>-586.772441761629 -119.975119352246 -704.168021108258</f>
        <v>-1410.915582222133</v>
      </c>
      <c r="P2489">
        <f>-616.647357358121 -80.3165179199787 -391.564596290555</f>
        <v>-1088.5284715686546</v>
      </c>
      <c r="Q2489" t="s">
        <v>48654</v>
      </c>
      <c r="R2489" t="s">
        <v>48655</v>
      </c>
      <c r="S2489" t="s">
        <v>48656</v>
      </c>
      <c r="T2489" t="s">
        <v>48657</v>
      </c>
      <c r="U2489" t="s">
        <v>48658</v>
      </c>
      <c r="V2489" t="s">
        <v>48659</v>
      </c>
      <c r="W2489" t="s">
        <v>48660</v>
      </c>
      <c r="X2489" t="s">
        <v>48661</v>
      </c>
      <c r="Y2489" t="s">
        <v>48662</v>
      </c>
    </row>
    <row r="2490" spans="1:25" x14ac:dyDescent="0.3">
      <c r="A2490">
        <v>124450</v>
      </c>
      <c r="B2490" t="s">
        <v>48663</v>
      </c>
      <c r="C2490" t="s">
        <v>48664</v>
      </c>
      <c r="D2490" t="s">
        <v>48665</v>
      </c>
      <c r="E2490" t="s">
        <v>48666</v>
      </c>
      <c r="F2490" t="s">
        <v>48667</v>
      </c>
      <c r="G2490" t="s">
        <v>48668</v>
      </c>
      <c r="H2490" t="s">
        <v>48669</v>
      </c>
      <c r="I2490" t="s">
        <v>48670</v>
      </c>
      <c r="J2490" t="s">
        <v>48671</v>
      </c>
      <c r="K2490" t="s">
        <v>48672</v>
      </c>
      <c r="L2490" t="s">
        <v>48673</v>
      </c>
      <c r="M2490" t="s">
        <v>48674</v>
      </c>
      <c r="N2490" t="s">
        <v>48675</v>
      </c>
      <c r="O2490">
        <f>-587.027763366889 -119.294401020841 -704.30522940299</f>
        <v>-1410.6273937907199</v>
      </c>
      <c r="P2490">
        <f>-616.91231159474 -79.7591050406952 -391.687094991446</f>
        <v>-1088.3585116268812</v>
      </c>
      <c r="Q2490" t="s">
        <v>48676</v>
      </c>
      <c r="R2490" t="s">
        <v>48677</v>
      </c>
      <c r="S2490" t="s">
        <v>48678</v>
      </c>
      <c r="T2490" t="s">
        <v>48679</v>
      </c>
      <c r="U2490" t="s">
        <v>48680</v>
      </c>
      <c r="V2490" t="s">
        <v>48681</v>
      </c>
      <c r="W2490" t="s">
        <v>48682</v>
      </c>
      <c r="X2490" t="s">
        <v>48683</v>
      </c>
      <c r="Y2490" t="s">
        <v>48684</v>
      </c>
    </row>
    <row r="2491" spans="1:25" x14ac:dyDescent="0.3">
      <c r="A2491">
        <v>124500</v>
      </c>
      <c r="B2491" t="s">
        <v>48685</v>
      </c>
      <c r="C2491" t="s">
        <v>48686</v>
      </c>
      <c r="D2491" t="s">
        <v>48687</v>
      </c>
      <c r="E2491" t="s">
        <v>48688</v>
      </c>
      <c r="F2491" t="s">
        <v>48689</v>
      </c>
      <c r="G2491" t="s">
        <v>48690</v>
      </c>
      <c r="H2491" t="s">
        <v>48691</v>
      </c>
      <c r="I2491" t="s">
        <v>48692</v>
      </c>
      <c r="J2491" t="s">
        <v>48693</v>
      </c>
      <c r="K2491" t="s">
        <v>48694</v>
      </c>
      <c r="L2491" t="s">
        <v>48695</v>
      </c>
      <c r="M2491" t="s">
        <v>48696</v>
      </c>
      <c r="N2491" t="s">
        <v>48697</v>
      </c>
      <c r="O2491">
        <f>-587.173921105262 -119.007904371174 -704.325199116054</f>
        <v>-1410.5070245924901</v>
      </c>
      <c r="P2491">
        <f>-617.11872783132 -79.4604938996843 -391.714418451629</f>
        <v>-1088.2936401826332</v>
      </c>
      <c r="Q2491" t="s">
        <v>48698</v>
      </c>
      <c r="R2491" t="s">
        <v>48699</v>
      </c>
      <c r="S2491" t="s">
        <v>48700</v>
      </c>
      <c r="T2491" t="s">
        <v>48701</v>
      </c>
      <c r="U2491" t="s">
        <v>48702</v>
      </c>
      <c r="V2491" t="s">
        <v>48703</v>
      </c>
      <c r="W2491" t="s">
        <v>48704</v>
      </c>
      <c r="X2491" t="s">
        <v>48705</v>
      </c>
      <c r="Y2491" t="s">
        <v>48706</v>
      </c>
    </row>
    <row r="2492" spans="1:25" x14ac:dyDescent="0.3">
      <c r="A2492">
        <v>124550</v>
      </c>
      <c r="B2492" t="s">
        <v>48707</v>
      </c>
      <c r="C2492" t="s">
        <v>48708</v>
      </c>
      <c r="D2492" t="s">
        <v>48709</v>
      </c>
      <c r="E2492" t="s">
        <v>48710</v>
      </c>
      <c r="F2492" t="s">
        <v>48711</v>
      </c>
      <c r="G2492" t="s">
        <v>48712</v>
      </c>
      <c r="H2492" t="s">
        <v>48713</v>
      </c>
      <c r="I2492" t="s">
        <v>48714</v>
      </c>
      <c r="J2492" t="s">
        <v>48715</v>
      </c>
      <c r="K2492" t="s">
        <v>48716</v>
      </c>
      <c r="L2492" t="s">
        <v>48717</v>
      </c>
      <c r="M2492" t="s">
        <v>48718</v>
      </c>
      <c r="N2492" t="s">
        <v>48719</v>
      </c>
      <c r="O2492">
        <f>-587.343724252555 -118.347749581957 -704.523907135977</f>
        <v>-1410.2153809704892</v>
      </c>
      <c r="P2492">
        <f>-617.342559446741 -78.9548397138929 -391.898792020207</f>
        <v>-1088.1961911808407</v>
      </c>
      <c r="Q2492" t="s">
        <v>48720</v>
      </c>
      <c r="R2492" t="s">
        <v>48721</v>
      </c>
      <c r="S2492" t="s">
        <v>48722</v>
      </c>
      <c r="T2492" t="s">
        <v>48723</v>
      </c>
      <c r="U2492" t="s">
        <v>48724</v>
      </c>
      <c r="V2492" t="s">
        <v>48725</v>
      </c>
      <c r="W2492" t="s">
        <v>48726</v>
      </c>
      <c r="X2492" t="s">
        <v>48727</v>
      </c>
      <c r="Y2492" t="s">
        <v>48728</v>
      </c>
    </row>
    <row r="2493" spans="1:25" x14ac:dyDescent="0.3">
      <c r="A2493">
        <v>124600</v>
      </c>
      <c r="B2493" t="s">
        <v>48729</v>
      </c>
      <c r="C2493" t="s">
        <v>48730</v>
      </c>
      <c r="D2493" t="s">
        <v>48731</v>
      </c>
      <c r="E2493" t="s">
        <v>48732</v>
      </c>
      <c r="F2493" t="s">
        <v>48733</v>
      </c>
      <c r="G2493" t="s">
        <v>48734</v>
      </c>
      <c r="H2493" t="s">
        <v>48735</v>
      </c>
      <c r="I2493" t="s">
        <v>48736</v>
      </c>
      <c r="J2493" t="s">
        <v>48737</v>
      </c>
      <c r="K2493" t="s">
        <v>48738</v>
      </c>
      <c r="L2493" t="s">
        <v>48739</v>
      </c>
      <c r="M2493" t="s">
        <v>48740</v>
      </c>
      <c r="N2493" t="s">
        <v>48741</v>
      </c>
      <c r="O2493">
        <f>-587.265158333996 -117.991134971682 -704.577388491728</f>
        <v>-1409.8336817974059</v>
      </c>
      <c r="P2493">
        <f>-617.327602437755 -78.6794536160394 -391.94806775588</f>
        <v>-1087.9551238096744</v>
      </c>
      <c r="Q2493" t="s">
        <v>48742</v>
      </c>
      <c r="R2493" t="s">
        <v>48743</v>
      </c>
      <c r="S2493" t="s">
        <v>48744</v>
      </c>
      <c r="T2493" t="s">
        <v>48745</v>
      </c>
      <c r="U2493" t="s">
        <v>48746</v>
      </c>
      <c r="V2493" t="s">
        <v>48747</v>
      </c>
      <c r="W2493" t="s">
        <v>48748</v>
      </c>
      <c r="X2493" t="s">
        <v>48749</v>
      </c>
      <c r="Y2493" t="s">
        <v>48750</v>
      </c>
    </row>
    <row r="2494" spans="1:25" x14ac:dyDescent="0.3">
      <c r="A2494">
        <v>124650</v>
      </c>
      <c r="B2494" t="s">
        <v>48751</v>
      </c>
      <c r="C2494" t="s">
        <v>48752</v>
      </c>
      <c r="D2494" t="s">
        <v>48753</v>
      </c>
      <c r="E2494" t="s">
        <v>48754</v>
      </c>
      <c r="F2494" t="s">
        <v>48755</v>
      </c>
      <c r="G2494" t="s">
        <v>48756</v>
      </c>
      <c r="H2494" t="s">
        <v>48757</v>
      </c>
      <c r="I2494" t="s">
        <v>48758</v>
      </c>
      <c r="J2494" t="s">
        <v>48759</v>
      </c>
      <c r="K2494" t="s">
        <v>48760</v>
      </c>
      <c r="L2494" t="s">
        <v>48761</v>
      </c>
      <c r="M2494" t="s">
        <v>48762</v>
      </c>
      <c r="N2494" t="s">
        <v>48763</v>
      </c>
      <c r="O2494">
        <f>-587.260514105276 -117.186238141881 -704.578750724487</f>
        <v>-1409.0255029716441</v>
      </c>
      <c r="P2494">
        <f>-617.548760822646 -77.672771925528 -391.996804536744</f>
        <v>-1087.2183372849181</v>
      </c>
      <c r="Q2494" t="s">
        <v>48764</v>
      </c>
      <c r="R2494" t="s">
        <v>48765</v>
      </c>
      <c r="S2494" t="s">
        <v>48766</v>
      </c>
      <c r="T2494" t="s">
        <v>48767</v>
      </c>
      <c r="U2494" t="s">
        <v>48768</v>
      </c>
      <c r="V2494" t="s">
        <v>48769</v>
      </c>
      <c r="W2494" t="s">
        <v>48770</v>
      </c>
      <c r="X2494" t="s">
        <v>48771</v>
      </c>
      <c r="Y2494" t="s">
        <v>48772</v>
      </c>
    </row>
    <row r="2495" spans="1:25" x14ac:dyDescent="0.3">
      <c r="A2495">
        <v>124700</v>
      </c>
      <c r="B2495" t="s">
        <v>48773</v>
      </c>
      <c r="C2495" t="s">
        <v>48774</v>
      </c>
      <c r="D2495" t="s">
        <v>48775</v>
      </c>
      <c r="E2495" t="s">
        <v>48776</v>
      </c>
      <c r="F2495" t="s">
        <v>48777</v>
      </c>
      <c r="G2495" t="s">
        <v>48778</v>
      </c>
      <c r="H2495" t="s">
        <v>48779</v>
      </c>
      <c r="I2495" t="s">
        <v>48780</v>
      </c>
      <c r="J2495" t="s">
        <v>48781</v>
      </c>
      <c r="K2495" t="s">
        <v>48782</v>
      </c>
      <c r="L2495" t="s">
        <v>48783</v>
      </c>
      <c r="M2495" t="s">
        <v>48784</v>
      </c>
      <c r="N2495" t="s">
        <v>48785</v>
      </c>
      <c r="O2495">
        <f>-587.286115546068 -116.908577815878 -704.563374926014</f>
        <v>-1408.7580682879602</v>
      </c>
      <c r="P2495">
        <f>-617.545480382579 -77.2933227249 -391.991520616279</f>
        <v>-1086.8303237237578</v>
      </c>
      <c r="Q2495" t="s">
        <v>48786</v>
      </c>
      <c r="R2495" t="s">
        <v>48787</v>
      </c>
      <c r="S2495" t="s">
        <v>48788</v>
      </c>
      <c r="T2495" t="s">
        <v>48789</v>
      </c>
      <c r="U2495" t="s">
        <v>48790</v>
      </c>
      <c r="V2495" t="s">
        <v>48791</v>
      </c>
      <c r="W2495" t="s">
        <v>48792</v>
      </c>
      <c r="X2495" t="s">
        <v>48793</v>
      </c>
      <c r="Y2495" t="s">
        <v>48794</v>
      </c>
    </row>
    <row r="2496" spans="1:25" x14ac:dyDescent="0.3">
      <c r="A2496">
        <v>124750</v>
      </c>
      <c r="B2496" t="s">
        <v>48795</v>
      </c>
      <c r="C2496" t="s">
        <v>48796</v>
      </c>
      <c r="D2496" t="s">
        <v>48797</v>
      </c>
      <c r="E2496" t="s">
        <v>48798</v>
      </c>
      <c r="F2496" t="s">
        <v>48799</v>
      </c>
      <c r="G2496" t="s">
        <v>48800</v>
      </c>
      <c r="H2496" t="s">
        <v>48801</v>
      </c>
      <c r="I2496" t="s">
        <v>48802</v>
      </c>
      <c r="J2496" t="s">
        <v>48803</v>
      </c>
      <c r="K2496" t="s">
        <v>48804</v>
      </c>
      <c r="L2496" t="s">
        <v>48805</v>
      </c>
      <c r="M2496" t="s">
        <v>48806</v>
      </c>
      <c r="N2496" t="s">
        <v>48807</v>
      </c>
      <c r="O2496">
        <f>-587.226126807228 -116.701331629438 -704.502475512195</f>
        <v>-1408.4299339488609</v>
      </c>
      <c r="P2496">
        <f>-617.247911817706 -76.7081180092671 -391.955724863509</f>
        <v>-1085.9117546904822</v>
      </c>
      <c r="Q2496" t="s">
        <v>48808</v>
      </c>
      <c r="R2496" t="s">
        <v>48809</v>
      </c>
      <c r="S2496" t="s">
        <v>48810</v>
      </c>
      <c r="T2496" t="s">
        <v>48811</v>
      </c>
      <c r="U2496" t="s">
        <v>48812</v>
      </c>
      <c r="V2496" t="s">
        <v>48813</v>
      </c>
      <c r="W2496" t="s">
        <v>48814</v>
      </c>
      <c r="X2496" t="s">
        <v>48815</v>
      </c>
      <c r="Y2496" t="s">
        <v>48816</v>
      </c>
    </row>
    <row r="2497" spans="1:25" x14ac:dyDescent="0.3">
      <c r="A2497">
        <v>124800</v>
      </c>
      <c r="B2497" t="s">
        <v>48817</v>
      </c>
      <c r="C2497" t="s">
        <v>48818</v>
      </c>
      <c r="D2497" t="s">
        <v>48819</v>
      </c>
      <c r="E2497" t="s">
        <v>48820</v>
      </c>
      <c r="F2497" t="s">
        <v>48821</v>
      </c>
      <c r="G2497" t="s">
        <v>48822</v>
      </c>
      <c r="H2497" t="s">
        <v>48823</v>
      </c>
      <c r="I2497" t="s">
        <v>48824</v>
      </c>
      <c r="J2497" t="s">
        <v>48825</v>
      </c>
      <c r="K2497" t="s">
        <v>48826</v>
      </c>
      <c r="L2497" t="s">
        <v>48827</v>
      </c>
      <c r="M2497" t="s">
        <v>48828</v>
      </c>
      <c r="N2497" t="s">
        <v>48829</v>
      </c>
      <c r="O2497">
        <f>-587.276944658497 -116.598991137092 -704.436975979537</f>
        <v>-1408.3129117751259</v>
      </c>
      <c r="P2497">
        <f>-617.218391330958 -76.5453867209742 -391.890352664592</f>
        <v>-1085.6541307165242</v>
      </c>
      <c r="Q2497" t="s">
        <v>48830</v>
      </c>
      <c r="R2497" t="s">
        <v>48831</v>
      </c>
      <c r="S2497" t="s">
        <v>48832</v>
      </c>
      <c r="T2497" t="s">
        <v>48833</v>
      </c>
      <c r="U2497" t="s">
        <v>48834</v>
      </c>
      <c r="V2497" t="s">
        <v>48835</v>
      </c>
      <c r="W2497" t="s">
        <v>48836</v>
      </c>
      <c r="X2497" t="s">
        <v>48837</v>
      </c>
      <c r="Y2497" t="s">
        <v>48838</v>
      </c>
    </row>
    <row r="2498" spans="1:25" x14ac:dyDescent="0.3">
      <c r="A2498">
        <v>124850</v>
      </c>
      <c r="B2498" t="s">
        <v>48839</v>
      </c>
      <c r="C2498" t="s">
        <v>48840</v>
      </c>
      <c r="D2498" t="s">
        <v>48841</v>
      </c>
      <c r="E2498" t="s">
        <v>48842</v>
      </c>
      <c r="F2498" t="s">
        <v>48843</v>
      </c>
      <c r="G2498" t="s">
        <v>48844</v>
      </c>
      <c r="H2498" t="s">
        <v>48845</v>
      </c>
      <c r="I2498" t="s">
        <v>48846</v>
      </c>
      <c r="J2498" t="s">
        <v>48847</v>
      </c>
      <c r="K2498" t="s">
        <v>48848</v>
      </c>
      <c r="L2498" t="s">
        <v>48849</v>
      </c>
      <c r="M2498" t="s">
        <v>48850</v>
      </c>
      <c r="N2498" t="s">
        <v>48851</v>
      </c>
      <c r="O2498">
        <f>-587.52722633888 -116.311477597533 -704.435860262834</f>
        <v>-1408.2745641992469</v>
      </c>
      <c r="P2498">
        <f>-617.309204671594 -76.0885577212393 -391.895643639394</f>
        <v>-1085.2934060322273</v>
      </c>
      <c r="Q2498" t="s">
        <v>48852</v>
      </c>
      <c r="R2498" t="s">
        <v>48853</v>
      </c>
      <c r="S2498" t="s">
        <v>48854</v>
      </c>
      <c r="T2498" t="s">
        <v>48855</v>
      </c>
      <c r="U2498" t="s">
        <v>48856</v>
      </c>
      <c r="V2498" t="s">
        <v>48857</v>
      </c>
      <c r="W2498" t="s">
        <v>48858</v>
      </c>
      <c r="X2498" t="s">
        <v>48859</v>
      </c>
      <c r="Y2498" t="s">
        <v>48860</v>
      </c>
    </row>
    <row r="2499" spans="1:25" x14ac:dyDescent="0.3">
      <c r="A2499">
        <v>124900</v>
      </c>
      <c r="B2499" t="s">
        <v>48861</v>
      </c>
      <c r="C2499" t="s">
        <v>48862</v>
      </c>
      <c r="D2499" t="s">
        <v>48863</v>
      </c>
      <c r="E2499" t="s">
        <v>48864</v>
      </c>
      <c r="F2499" t="s">
        <v>48865</v>
      </c>
      <c r="G2499" t="s">
        <v>48866</v>
      </c>
      <c r="H2499" t="s">
        <v>48867</v>
      </c>
      <c r="I2499" t="s">
        <v>48868</v>
      </c>
      <c r="J2499" t="s">
        <v>48869</v>
      </c>
      <c r="K2499" t="s">
        <v>48870</v>
      </c>
      <c r="L2499" t="s">
        <v>48871</v>
      </c>
      <c r="M2499" t="s">
        <v>48872</v>
      </c>
      <c r="N2499" t="s">
        <v>48873</v>
      </c>
      <c r="O2499">
        <f>-587.76834575854 -116.253277907538 -704.418103793601</f>
        <v>-1408.439727459679</v>
      </c>
      <c r="P2499">
        <f>-617.409153811925 -75.9660959662974 -391.87290375936</f>
        <v>-1085.2481535375823</v>
      </c>
      <c r="Q2499" t="s">
        <v>48874</v>
      </c>
      <c r="R2499" t="s">
        <v>48875</v>
      </c>
      <c r="S2499" t="s">
        <v>48876</v>
      </c>
      <c r="T2499" t="s">
        <v>48877</v>
      </c>
      <c r="U2499" t="s">
        <v>48878</v>
      </c>
      <c r="V2499" t="s">
        <v>48879</v>
      </c>
      <c r="W2499" t="s">
        <v>48880</v>
      </c>
      <c r="X2499" t="s">
        <v>48881</v>
      </c>
      <c r="Y2499" t="s">
        <v>48882</v>
      </c>
    </row>
    <row r="2500" spans="1:25" x14ac:dyDescent="0.3">
      <c r="A2500">
        <v>124950</v>
      </c>
      <c r="B2500" t="s">
        <v>48883</v>
      </c>
      <c r="C2500" t="s">
        <v>48884</v>
      </c>
      <c r="D2500" t="s">
        <v>48885</v>
      </c>
      <c r="E2500" t="s">
        <v>48886</v>
      </c>
      <c r="F2500" t="s">
        <v>48887</v>
      </c>
      <c r="G2500" t="s">
        <v>48888</v>
      </c>
      <c r="H2500" t="s">
        <v>48889</v>
      </c>
      <c r="I2500" t="s">
        <v>48890</v>
      </c>
      <c r="J2500" t="s">
        <v>48891</v>
      </c>
      <c r="K2500" t="s">
        <v>48892</v>
      </c>
      <c r="L2500" t="s">
        <v>48893</v>
      </c>
      <c r="M2500" t="s">
        <v>48894</v>
      </c>
      <c r="N2500" t="s">
        <v>48895</v>
      </c>
      <c r="O2500">
        <f>-587.968672981506 -116.283268229321 -704.243594452149</f>
        <v>-1408.495535662976</v>
      </c>
      <c r="P2500">
        <f>-617.384616552855 -75.5904899419352 -391.729715350185</f>
        <v>-1084.7048218449752</v>
      </c>
      <c r="Q2500" t="s">
        <v>48896</v>
      </c>
      <c r="R2500" t="s">
        <v>48897</v>
      </c>
      <c r="S2500" t="s">
        <v>48898</v>
      </c>
      <c r="T2500" t="s">
        <v>48899</v>
      </c>
      <c r="U2500" t="s">
        <v>48900</v>
      </c>
      <c r="V2500" t="s">
        <v>48901</v>
      </c>
      <c r="W2500" t="s">
        <v>48902</v>
      </c>
      <c r="X2500" t="s">
        <v>48903</v>
      </c>
      <c r="Y2500" t="s">
        <v>48904</v>
      </c>
    </row>
    <row r="2501" spans="1:25" x14ac:dyDescent="0.3">
      <c r="A2501">
        <v>125000</v>
      </c>
      <c r="B2501" t="s">
        <v>48905</v>
      </c>
      <c r="C2501" t="s">
        <v>48906</v>
      </c>
      <c r="D2501" t="s">
        <v>48907</v>
      </c>
      <c r="E2501" t="s">
        <v>48908</v>
      </c>
      <c r="F2501" t="s">
        <v>48909</v>
      </c>
      <c r="G2501" t="s">
        <v>48910</v>
      </c>
      <c r="H2501" t="s">
        <v>48911</v>
      </c>
      <c r="I2501" t="s">
        <v>48912</v>
      </c>
      <c r="J2501" t="s">
        <v>48913</v>
      </c>
      <c r="K2501" t="s">
        <v>48914</v>
      </c>
      <c r="L2501" t="s">
        <v>48915</v>
      </c>
      <c r="M2501" t="s">
        <v>48916</v>
      </c>
      <c r="N2501" t="s">
        <v>48917</v>
      </c>
      <c r="O2501">
        <f>-588.094446216004 -116.200463488517 -704.117940280647</f>
        <v>-1408.4128499851681</v>
      </c>
      <c r="P2501">
        <f>-617.556193409917 -75.4611416773762 -391.614226677503</f>
        <v>-1084.6315617647961</v>
      </c>
      <c r="Q2501" t="s">
        <v>48918</v>
      </c>
      <c r="R2501" t="s">
        <v>48919</v>
      </c>
      <c r="S2501" t="s">
        <v>48920</v>
      </c>
      <c r="T2501" t="s">
        <v>48921</v>
      </c>
      <c r="U2501" t="s">
        <v>48922</v>
      </c>
      <c r="V2501" t="s">
        <v>48923</v>
      </c>
      <c r="W2501" t="s">
        <v>48924</v>
      </c>
      <c r="X2501" t="s">
        <v>48925</v>
      </c>
      <c r="Y2501" t="s">
        <v>48926</v>
      </c>
    </row>
    <row r="2502" spans="1:25" x14ac:dyDescent="0.3">
      <c r="A2502">
        <v>125050</v>
      </c>
      <c r="B2502" t="s">
        <v>48927</v>
      </c>
      <c r="C2502" t="s">
        <v>48928</v>
      </c>
      <c r="D2502" t="s">
        <v>48929</v>
      </c>
      <c r="E2502" t="s">
        <v>48930</v>
      </c>
      <c r="F2502" t="s">
        <v>48931</v>
      </c>
      <c r="G2502" t="s">
        <v>48932</v>
      </c>
      <c r="H2502" t="s">
        <v>48933</v>
      </c>
      <c r="I2502" t="s">
        <v>48934</v>
      </c>
      <c r="J2502" t="s">
        <v>48935</v>
      </c>
      <c r="K2502" t="s">
        <v>48936</v>
      </c>
      <c r="L2502" t="s">
        <v>48937</v>
      </c>
      <c r="M2502" t="s">
        <v>48938</v>
      </c>
      <c r="N2502" t="s">
        <v>48939</v>
      </c>
      <c r="O2502">
        <f>-588.009297184758 -116.221740460263 -703.876156044287</f>
        <v>-1408.1071936893081</v>
      </c>
      <c r="P2502">
        <f>-617.270492604126 -75.0967242000174 -391.404260695353</f>
        <v>-1083.7714774994965</v>
      </c>
      <c r="Q2502" t="s">
        <v>48940</v>
      </c>
      <c r="R2502" t="s">
        <v>48941</v>
      </c>
      <c r="S2502" t="s">
        <v>48942</v>
      </c>
      <c r="T2502" t="s">
        <v>48943</v>
      </c>
      <c r="U2502" t="s">
        <v>48944</v>
      </c>
      <c r="V2502" t="s">
        <v>48945</v>
      </c>
      <c r="W2502" t="s">
        <v>48946</v>
      </c>
      <c r="X2502" t="s">
        <v>48947</v>
      </c>
      <c r="Y2502" t="s">
        <v>48948</v>
      </c>
    </row>
    <row r="2503" spans="1:25" x14ac:dyDescent="0.3">
      <c r="A2503">
        <v>125100</v>
      </c>
      <c r="B2503" t="s">
        <v>48949</v>
      </c>
      <c r="C2503" t="s">
        <v>48950</v>
      </c>
      <c r="D2503" t="s">
        <v>48951</v>
      </c>
      <c r="E2503" t="s">
        <v>48952</v>
      </c>
      <c r="F2503" t="s">
        <v>48953</v>
      </c>
      <c r="G2503" t="s">
        <v>48954</v>
      </c>
      <c r="H2503" t="s">
        <v>48955</v>
      </c>
      <c r="I2503" t="s">
        <v>48956</v>
      </c>
      <c r="J2503" t="s">
        <v>48957</v>
      </c>
      <c r="K2503" t="s">
        <v>48958</v>
      </c>
      <c r="L2503" t="s">
        <v>48959</v>
      </c>
      <c r="M2503" t="s">
        <v>48960</v>
      </c>
      <c r="N2503" t="s">
        <v>48961</v>
      </c>
      <c r="O2503">
        <f>-587.871281177304 -116.375790419681 -703.780450488447</f>
        <v>-1408.0275220854319</v>
      </c>
      <c r="P2503">
        <f>-617.140986729517 -75.1269626755327 -391.325575481379</f>
        <v>-1083.5935248864287</v>
      </c>
      <c r="Q2503" t="s">
        <v>48962</v>
      </c>
      <c r="R2503" t="s">
        <v>48963</v>
      </c>
      <c r="S2503" t="s">
        <v>48964</v>
      </c>
      <c r="T2503" t="s">
        <v>48965</v>
      </c>
      <c r="U2503" t="s">
        <v>48966</v>
      </c>
      <c r="V2503" t="s">
        <v>48967</v>
      </c>
      <c r="W2503" t="s">
        <v>48968</v>
      </c>
      <c r="X2503" t="s">
        <v>48969</v>
      </c>
      <c r="Y2503" t="s">
        <v>48970</v>
      </c>
    </row>
    <row r="2504" spans="1:25" x14ac:dyDescent="0.3">
      <c r="A2504">
        <v>125150</v>
      </c>
      <c r="B2504" t="s">
        <v>48971</v>
      </c>
      <c r="C2504" t="s">
        <v>48972</v>
      </c>
      <c r="D2504" t="s">
        <v>48973</v>
      </c>
      <c r="E2504" t="s">
        <v>48974</v>
      </c>
      <c r="F2504" t="s">
        <v>48975</v>
      </c>
      <c r="G2504" t="s">
        <v>48976</v>
      </c>
      <c r="H2504" t="s">
        <v>48977</v>
      </c>
      <c r="I2504" t="s">
        <v>48978</v>
      </c>
      <c r="J2504" t="s">
        <v>48979</v>
      </c>
      <c r="K2504" t="s">
        <v>48980</v>
      </c>
      <c r="L2504" t="s">
        <v>48981</v>
      </c>
      <c r="M2504" t="s">
        <v>48982</v>
      </c>
      <c r="N2504" t="s">
        <v>48983</v>
      </c>
      <c r="O2504">
        <f>-587.893318495619 -116.895128737057 -703.457883924047</f>
        <v>-1408.246331156723</v>
      </c>
      <c r="P2504">
        <f>-616.998201798834 -75.37668066383 -391.023536379364</f>
        <v>-1083.3984188420279</v>
      </c>
      <c r="Q2504" t="s">
        <v>48984</v>
      </c>
      <c r="R2504" t="s">
        <v>48985</v>
      </c>
      <c r="S2504" t="s">
        <v>48986</v>
      </c>
      <c r="T2504" t="s">
        <v>48987</v>
      </c>
      <c r="U2504" t="s">
        <v>48988</v>
      </c>
      <c r="V2504" t="s">
        <v>48989</v>
      </c>
      <c r="W2504" t="s">
        <v>48990</v>
      </c>
      <c r="X2504" t="s">
        <v>48991</v>
      </c>
      <c r="Y2504" t="s">
        <v>48992</v>
      </c>
    </row>
    <row r="2505" spans="1:25" x14ac:dyDescent="0.3">
      <c r="A2505">
        <v>125200</v>
      </c>
      <c r="B2505" t="s">
        <v>48993</v>
      </c>
      <c r="C2505" t="s">
        <v>48994</v>
      </c>
      <c r="D2505" t="s">
        <v>48995</v>
      </c>
      <c r="E2505" t="s">
        <v>48996</v>
      </c>
      <c r="F2505" t="s">
        <v>48997</v>
      </c>
      <c r="G2505" t="s">
        <v>48998</v>
      </c>
      <c r="H2505" t="s">
        <v>48999</v>
      </c>
      <c r="I2505" t="s">
        <v>49000</v>
      </c>
      <c r="J2505" t="s">
        <v>49001</v>
      </c>
      <c r="K2505" t="s">
        <v>49002</v>
      </c>
      <c r="L2505" t="s">
        <v>49003</v>
      </c>
      <c r="M2505" t="s">
        <v>49004</v>
      </c>
      <c r="N2505" t="s">
        <v>49005</v>
      </c>
      <c r="O2505">
        <f>-587.874759963901 -116.994590429706 -703.392203579722</f>
        <v>-1408.2615539733292</v>
      </c>
      <c r="P2505">
        <f>-616.861461380459 -75.2642132964274 -390.974978852985</f>
        <v>-1083.1006535298714</v>
      </c>
      <c r="Q2505" t="s">
        <v>49006</v>
      </c>
      <c r="R2505" t="s">
        <v>49007</v>
      </c>
      <c r="S2505" t="s">
        <v>49008</v>
      </c>
      <c r="T2505" t="s">
        <v>49009</v>
      </c>
      <c r="U2505" t="s">
        <v>49010</v>
      </c>
      <c r="V2505" t="s">
        <v>49011</v>
      </c>
      <c r="W2505" t="s">
        <v>49012</v>
      </c>
      <c r="X2505" t="s">
        <v>49013</v>
      </c>
      <c r="Y2505" t="s">
        <v>49014</v>
      </c>
    </row>
    <row r="2506" spans="1:25" x14ac:dyDescent="0.3">
      <c r="A2506">
        <v>125250</v>
      </c>
      <c r="B2506" t="s">
        <v>49015</v>
      </c>
      <c r="C2506" t="s">
        <v>49016</v>
      </c>
      <c r="D2506" t="s">
        <v>49017</v>
      </c>
      <c r="E2506" t="s">
        <v>49018</v>
      </c>
      <c r="F2506" t="s">
        <v>49019</v>
      </c>
      <c r="G2506" t="s">
        <v>49020</v>
      </c>
      <c r="H2506" t="s">
        <v>49021</v>
      </c>
      <c r="I2506" t="s">
        <v>49022</v>
      </c>
      <c r="J2506" t="s">
        <v>49023</v>
      </c>
      <c r="K2506" t="s">
        <v>49024</v>
      </c>
      <c r="L2506" t="s">
        <v>49025</v>
      </c>
      <c r="M2506" t="s">
        <v>49026</v>
      </c>
      <c r="N2506" t="s">
        <v>49027</v>
      </c>
      <c r="O2506">
        <f>-587.633574076886 -117.183261278699 -703.303656384588</f>
        <v>-1408.1204917401728</v>
      </c>
      <c r="P2506">
        <f>-616.557937537095 -75.1734094104831 -390.918158190779</f>
        <v>-1082.6495051383572</v>
      </c>
      <c r="Q2506" t="s">
        <v>49028</v>
      </c>
      <c r="R2506" t="s">
        <v>49029</v>
      </c>
      <c r="S2506" t="s">
        <v>49030</v>
      </c>
      <c r="T2506" t="s">
        <v>49031</v>
      </c>
      <c r="U2506" t="s">
        <v>49032</v>
      </c>
      <c r="V2506" t="s">
        <v>49033</v>
      </c>
      <c r="W2506" t="s">
        <v>49034</v>
      </c>
      <c r="X2506" t="s">
        <v>49035</v>
      </c>
      <c r="Y2506" t="s">
        <v>49036</v>
      </c>
    </row>
    <row r="2507" spans="1:25" x14ac:dyDescent="0.3">
      <c r="A2507">
        <v>125300</v>
      </c>
      <c r="B2507" t="s">
        <v>49037</v>
      </c>
      <c r="C2507" t="s">
        <v>49038</v>
      </c>
      <c r="D2507" t="s">
        <v>49039</v>
      </c>
      <c r="E2507" t="s">
        <v>49040</v>
      </c>
      <c r="F2507" t="s">
        <v>49041</v>
      </c>
      <c r="G2507" t="s">
        <v>49042</v>
      </c>
      <c r="H2507" t="s">
        <v>49043</v>
      </c>
      <c r="I2507" t="s">
        <v>49044</v>
      </c>
      <c r="J2507" t="s">
        <v>49045</v>
      </c>
      <c r="K2507" t="s">
        <v>49046</v>
      </c>
      <c r="L2507" t="s">
        <v>49047</v>
      </c>
      <c r="M2507" t="s">
        <v>49048</v>
      </c>
      <c r="N2507" t="s">
        <v>49049</v>
      </c>
      <c r="O2507">
        <f>-587.282530559939 -117.204403652652 -703.390425814602</f>
        <v>-1407.8773600271929</v>
      </c>
      <c r="P2507">
        <f>-615.898630360053 -75.2424218613182 -390.970178742137</f>
        <v>-1082.1112309635082</v>
      </c>
      <c r="Q2507" t="s">
        <v>49050</v>
      </c>
      <c r="R2507" t="s">
        <v>49051</v>
      </c>
      <c r="S2507" t="s">
        <v>49052</v>
      </c>
      <c r="T2507" t="s">
        <v>49053</v>
      </c>
      <c r="U2507" t="s">
        <v>49054</v>
      </c>
      <c r="V2507" t="s">
        <v>49055</v>
      </c>
      <c r="W2507" t="s">
        <v>49056</v>
      </c>
      <c r="X2507" t="s">
        <v>49057</v>
      </c>
      <c r="Y2507" t="s">
        <v>49058</v>
      </c>
    </row>
    <row r="2508" spans="1:25" x14ac:dyDescent="0.3">
      <c r="A2508">
        <v>125350</v>
      </c>
      <c r="B2508" t="s">
        <v>49059</v>
      </c>
      <c r="C2508" t="s">
        <v>49060</v>
      </c>
      <c r="D2508" t="s">
        <v>49061</v>
      </c>
      <c r="E2508" t="s">
        <v>49062</v>
      </c>
      <c r="F2508" t="s">
        <v>49063</v>
      </c>
      <c r="G2508" t="s">
        <v>49064</v>
      </c>
      <c r="H2508" t="s">
        <v>49065</v>
      </c>
      <c r="I2508" t="s">
        <v>49066</v>
      </c>
      <c r="J2508" t="s">
        <v>49067</v>
      </c>
      <c r="K2508" t="s">
        <v>49068</v>
      </c>
      <c r="L2508" t="s">
        <v>49069</v>
      </c>
      <c r="M2508" t="s">
        <v>49070</v>
      </c>
      <c r="N2508" t="s">
        <v>49071</v>
      </c>
      <c r="O2508">
        <f>-586.04334966476 -117.051854174217 -703.909069208633</f>
        <v>-1407.0042730476098</v>
      </c>
      <c r="P2508">
        <f>-613.610842576348 -75.374372235797 -391.356383392609</f>
        <v>-1080.3415982047541</v>
      </c>
      <c r="Q2508" t="s">
        <v>49072</v>
      </c>
      <c r="R2508" t="s">
        <v>49073</v>
      </c>
      <c r="S2508" t="s">
        <v>49074</v>
      </c>
      <c r="T2508" t="s">
        <v>49075</v>
      </c>
      <c r="U2508" t="s">
        <v>49076</v>
      </c>
      <c r="V2508" t="s">
        <v>49077</v>
      </c>
      <c r="W2508" t="s">
        <v>49078</v>
      </c>
      <c r="X2508" t="s">
        <v>49079</v>
      </c>
      <c r="Y2508" t="s">
        <v>49080</v>
      </c>
    </row>
    <row r="2509" spans="1:25" x14ac:dyDescent="0.3">
      <c r="A2509">
        <v>125400</v>
      </c>
      <c r="B2509" t="s">
        <v>49081</v>
      </c>
      <c r="C2509" t="s">
        <v>49082</v>
      </c>
      <c r="D2509" t="s">
        <v>49083</v>
      </c>
      <c r="E2509" t="s">
        <v>49084</v>
      </c>
      <c r="F2509" t="s">
        <v>49085</v>
      </c>
      <c r="G2509" t="s">
        <v>49086</v>
      </c>
      <c r="H2509" t="s">
        <v>49087</v>
      </c>
      <c r="I2509" t="s">
        <v>49088</v>
      </c>
      <c r="J2509" t="s">
        <v>49089</v>
      </c>
      <c r="K2509" t="s">
        <v>49090</v>
      </c>
      <c r="L2509" t="s">
        <v>49091</v>
      </c>
      <c r="M2509" t="s">
        <v>49092</v>
      </c>
      <c r="N2509" t="s">
        <v>49093</v>
      </c>
      <c r="O2509">
        <f>-585.147482964648 -116.80972606596 -704.274340304097</f>
        <v>-1406.2315493347051</v>
      </c>
      <c r="P2509">
        <f>-612.183934533285 -75.5023875737299 -391.626098573981</f>
        <v>-1079.312420680996</v>
      </c>
      <c r="Q2509" t="s">
        <v>49094</v>
      </c>
      <c r="R2509" t="s">
        <v>49095</v>
      </c>
      <c r="S2509" t="s">
        <v>49096</v>
      </c>
      <c r="T2509" t="s">
        <v>49097</v>
      </c>
      <c r="U2509" t="s">
        <v>49098</v>
      </c>
      <c r="V2509" t="s">
        <v>49099</v>
      </c>
      <c r="W2509" t="s">
        <v>49100</v>
      </c>
      <c r="X2509" t="s">
        <v>49101</v>
      </c>
      <c r="Y2509" t="s">
        <v>49102</v>
      </c>
    </row>
    <row r="2510" spans="1:25" x14ac:dyDescent="0.3">
      <c r="A2510">
        <v>125450</v>
      </c>
      <c r="B2510" t="s">
        <v>49103</v>
      </c>
      <c r="C2510" t="s">
        <v>49104</v>
      </c>
      <c r="D2510" t="s">
        <v>49105</v>
      </c>
      <c r="E2510" t="s">
        <v>49106</v>
      </c>
      <c r="F2510" t="s">
        <v>49107</v>
      </c>
      <c r="G2510" t="s">
        <v>49108</v>
      </c>
      <c r="H2510" t="s">
        <v>49109</v>
      </c>
      <c r="I2510" t="s">
        <v>49110</v>
      </c>
      <c r="J2510" t="s">
        <v>49111</v>
      </c>
      <c r="K2510" t="s">
        <v>49112</v>
      </c>
      <c r="L2510" t="s">
        <v>49113</v>
      </c>
      <c r="M2510" t="s">
        <v>49114</v>
      </c>
      <c r="N2510" t="s">
        <v>49115</v>
      </c>
      <c r="O2510">
        <f>-583.921685572957 -116.467699955101 -704.960497797354</f>
        <v>-1405.3498833254121</v>
      </c>
      <c r="P2510">
        <f>-609.986166601729 -76.0160142283107 -392.117867147448</f>
        <v>-1078.1200479774877</v>
      </c>
      <c r="Q2510" t="s">
        <v>49116</v>
      </c>
      <c r="R2510" t="s">
        <v>49117</v>
      </c>
      <c r="S2510" t="s">
        <v>49118</v>
      </c>
      <c r="T2510" t="s">
        <v>49119</v>
      </c>
      <c r="U2510" t="s">
        <v>49120</v>
      </c>
      <c r="V2510" t="s">
        <v>49121</v>
      </c>
      <c r="W2510" t="s">
        <v>49122</v>
      </c>
      <c r="X2510" t="s">
        <v>49123</v>
      </c>
      <c r="Y2510" t="s">
        <v>49124</v>
      </c>
    </row>
    <row r="2511" spans="1:25" x14ac:dyDescent="0.3">
      <c r="A2511">
        <v>125500</v>
      </c>
      <c r="B2511" t="s">
        <v>49125</v>
      </c>
      <c r="C2511" t="s">
        <v>49126</v>
      </c>
      <c r="D2511" t="s">
        <v>49127</v>
      </c>
      <c r="E2511" t="s">
        <v>49128</v>
      </c>
      <c r="F2511" t="s">
        <v>49129</v>
      </c>
      <c r="G2511" t="s">
        <v>49130</v>
      </c>
      <c r="H2511" t="s">
        <v>49131</v>
      </c>
      <c r="I2511" t="s">
        <v>49132</v>
      </c>
      <c r="J2511" t="s">
        <v>49133</v>
      </c>
      <c r="K2511" t="s">
        <v>49134</v>
      </c>
      <c r="L2511" t="s">
        <v>49135</v>
      </c>
      <c r="M2511" t="s">
        <v>49136</v>
      </c>
      <c r="N2511" t="s">
        <v>49137</v>
      </c>
      <c r="O2511">
        <f>-583.403951991199 -116.110620748653 -705.402232998453</f>
        <v>-1404.9168057383049</v>
      </c>
      <c r="P2511">
        <f>-608.995564293137 -76.0211758910823 -392.473936049681</f>
        <v>-1077.4906762339003</v>
      </c>
      <c r="Q2511" t="s">
        <v>49138</v>
      </c>
      <c r="R2511" t="s">
        <v>49139</v>
      </c>
      <c r="S2511" t="s">
        <v>49140</v>
      </c>
      <c r="T2511" t="s">
        <v>49141</v>
      </c>
      <c r="U2511" t="s">
        <v>49142</v>
      </c>
      <c r="V2511" t="s">
        <v>49143</v>
      </c>
      <c r="W2511" t="s">
        <v>49144</v>
      </c>
      <c r="X2511" t="s">
        <v>49145</v>
      </c>
      <c r="Y2511" t="s">
        <v>49146</v>
      </c>
    </row>
    <row r="2512" spans="1:25" x14ac:dyDescent="0.3">
      <c r="A2512">
        <v>125550</v>
      </c>
      <c r="B2512" t="s">
        <v>49147</v>
      </c>
      <c r="C2512" t="s">
        <v>49148</v>
      </c>
      <c r="D2512" t="s">
        <v>49149</v>
      </c>
      <c r="E2512" t="s">
        <v>49150</v>
      </c>
      <c r="F2512" t="s">
        <v>49151</v>
      </c>
      <c r="G2512" t="s">
        <v>49152</v>
      </c>
      <c r="H2512" t="s">
        <v>49153</v>
      </c>
      <c r="I2512" t="s">
        <v>49154</v>
      </c>
      <c r="J2512" t="s">
        <v>49155</v>
      </c>
      <c r="K2512" t="s">
        <v>49156</v>
      </c>
      <c r="L2512" t="s">
        <v>49157</v>
      </c>
      <c r="M2512" t="s">
        <v>49158</v>
      </c>
      <c r="N2512" t="s">
        <v>49159</v>
      </c>
      <c r="O2512">
        <f>-581.981686930304 -115.571006617168 -706.188171733918</f>
        <v>-1403.7408652813901</v>
      </c>
      <c r="P2512">
        <f>-606.63380430532 -76.3481894842798 -393.074835105986</f>
        <v>-1076.0568288955858</v>
      </c>
      <c r="Q2512" t="s">
        <v>49160</v>
      </c>
      <c r="R2512" t="s">
        <v>49161</v>
      </c>
      <c r="S2512" t="s">
        <v>49162</v>
      </c>
      <c r="T2512" t="s">
        <v>49163</v>
      </c>
      <c r="U2512" t="s">
        <v>49164</v>
      </c>
      <c r="V2512" t="s">
        <v>49165</v>
      </c>
      <c r="W2512" t="s">
        <v>49166</v>
      </c>
      <c r="X2512" t="s">
        <v>49167</v>
      </c>
      <c r="Y2512" t="s">
        <v>49168</v>
      </c>
    </row>
    <row r="2513" spans="1:25" x14ac:dyDescent="0.3">
      <c r="A2513">
        <v>125600</v>
      </c>
      <c r="B2513" t="s">
        <v>49169</v>
      </c>
      <c r="C2513" t="s">
        <v>49170</v>
      </c>
      <c r="D2513" t="s">
        <v>49171</v>
      </c>
      <c r="E2513" t="s">
        <v>49172</v>
      </c>
      <c r="F2513" t="s">
        <v>49173</v>
      </c>
      <c r="G2513" t="s">
        <v>49174</v>
      </c>
      <c r="H2513" t="s">
        <v>49175</v>
      </c>
      <c r="I2513" t="s">
        <v>49176</v>
      </c>
      <c r="J2513" t="s">
        <v>49177</v>
      </c>
      <c r="K2513" t="s">
        <v>49178</v>
      </c>
      <c r="L2513" t="s">
        <v>49179</v>
      </c>
      <c r="M2513" t="s">
        <v>49180</v>
      </c>
      <c r="N2513" t="s">
        <v>49181</v>
      </c>
      <c r="O2513">
        <f>-581.090313851135 -115.211059568792 -706.505456850362</f>
        <v>-1402.8068302702889</v>
      </c>
      <c r="P2513">
        <f>-605.181987115069 -76.4546378767836 -393.290354744079</f>
        <v>-1074.9269797359316</v>
      </c>
      <c r="Q2513" t="s">
        <v>49182</v>
      </c>
      <c r="R2513" t="s">
        <v>49183</v>
      </c>
      <c r="S2513" t="s">
        <v>49184</v>
      </c>
      <c r="T2513" t="s">
        <v>49185</v>
      </c>
      <c r="U2513" t="s">
        <v>49186</v>
      </c>
      <c r="V2513" t="s">
        <v>49187</v>
      </c>
      <c r="W2513" t="s">
        <v>49188</v>
      </c>
      <c r="X2513" t="s">
        <v>49189</v>
      </c>
      <c r="Y2513" t="s">
        <v>49190</v>
      </c>
    </row>
    <row r="2514" spans="1:25" x14ac:dyDescent="0.3">
      <c r="A2514">
        <v>125650</v>
      </c>
      <c r="B2514" t="s">
        <v>49191</v>
      </c>
      <c r="C2514" t="s">
        <v>49192</v>
      </c>
      <c r="D2514" t="s">
        <v>49193</v>
      </c>
      <c r="E2514" t="s">
        <v>49194</v>
      </c>
      <c r="F2514" t="s">
        <v>49195</v>
      </c>
      <c r="G2514" t="s">
        <v>49196</v>
      </c>
      <c r="H2514" t="s">
        <v>49197</v>
      </c>
      <c r="I2514" t="s">
        <v>49198</v>
      </c>
      <c r="J2514" t="s">
        <v>49199</v>
      </c>
      <c r="K2514" t="s">
        <v>49200</v>
      </c>
      <c r="L2514" t="s">
        <v>49201</v>
      </c>
      <c r="M2514" t="s">
        <v>49202</v>
      </c>
      <c r="N2514" t="s">
        <v>49203</v>
      </c>
      <c r="O2514">
        <f>-580.072002855063 -114.448245185215 -707.100801494548</f>
        <v>-1401.6210495348259</v>
      </c>
      <c r="P2514">
        <f>-603.579337760815 -76.2458275143654 -393.773344347366</f>
        <v>-1073.5985096225463</v>
      </c>
      <c r="Q2514" t="s">
        <v>49204</v>
      </c>
      <c r="R2514" t="s">
        <v>49205</v>
      </c>
      <c r="S2514" t="s">
        <v>49206</v>
      </c>
      <c r="T2514" t="s">
        <v>49207</v>
      </c>
      <c r="U2514" t="s">
        <v>49208</v>
      </c>
      <c r="V2514" t="s">
        <v>49209</v>
      </c>
      <c r="W2514" t="s">
        <v>49210</v>
      </c>
      <c r="X2514" t="s">
        <v>49211</v>
      </c>
      <c r="Y2514" t="s">
        <v>49212</v>
      </c>
    </row>
    <row r="2515" spans="1:25" x14ac:dyDescent="0.3">
      <c r="A2515">
        <v>125700</v>
      </c>
      <c r="B2515" t="s">
        <v>49213</v>
      </c>
      <c r="C2515" t="s">
        <v>49214</v>
      </c>
      <c r="D2515" t="s">
        <v>49215</v>
      </c>
      <c r="E2515" t="s">
        <v>49216</v>
      </c>
      <c r="F2515" t="s">
        <v>49217</v>
      </c>
      <c r="G2515" t="s">
        <v>49218</v>
      </c>
      <c r="H2515" t="s">
        <v>49219</v>
      </c>
      <c r="I2515" t="s">
        <v>49220</v>
      </c>
      <c r="J2515" t="s">
        <v>49221</v>
      </c>
      <c r="K2515" t="s">
        <v>49222</v>
      </c>
      <c r="L2515" t="s">
        <v>49223</v>
      </c>
      <c r="M2515" t="s">
        <v>49224</v>
      </c>
      <c r="N2515" t="s">
        <v>49225</v>
      </c>
      <c r="O2515">
        <f>-579.823948103661 -113.966575231789 -707.303399876178</f>
        <v>-1401.093923211628</v>
      </c>
      <c r="P2515">
        <f>-602.854455406757 -75.9983401464956 -393.911990303212</f>
        <v>-1072.7647858564646</v>
      </c>
      <c r="Q2515" t="s">
        <v>49226</v>
      </c>
      <c r="R2515" t="s">
        <v>49227</v>
      </c>
      <c r="S2515" t="s">
        <v>49228</v>
      </c>
      <c r="T2515" t="s">
        <v>49229</v>
      </c>
      <c r="U2515" t="s">
        <v>49230</v>
      </c>
      <c r="V2515" t="s">
        <v>49231</v>
      </c>
      <c r="W2515" t="s">
        <v>49232</v>
      </c>
      <c r="X2515" t="s">
        <v>49233</v>
      </c>
      <c r="Y2515" t="s">
        <v>49234</v>
      </c>
    </row>
    <row r="2516" spans="1:25" x14ac:dyDescent="0.3">
      <c r="A2516">
        <v>125750</v>
      </c>
      <c r="B2516" t="s">
        <v>49235</v>
      </c>
      <c r="C2516" t="s">
        <v>49236</v>
      </c>
      <c r="D2516" t="s">
        <v>49237</v>
      </c>
      <c r="E2516" t="s">
        <v>49238</v>
      </c>
      <c r="F2516" t="s">
        <v>49239</v>
      </c>
      <c r="G2516" t="s">
        <v>49240</v>
      </c>
      <c r="H2516" t="s">
        <v>49241</v>
      </c>
      <c r="I2516" t="s">
        <v>49242</v>
      </c>
      <c r="J2516" t="s">
        <v>49243</v>
      </c>
      <c r="K2516" t="s">
        <v>49244</v>
      </c>
      <c r="L2516" t="s">
        <v>49245</v>
      </c>
      <c r="M2516" t="s">
        <v>49246</v>
      </c>
      <c r="N2516" t="s">
        <v>49247</v>
      </c>
      <c r="O2516">
        <f>-579.425472318806 -113.347914767505 -707.314710205976</f>
        <v>-1400.0880972922869</v>
      </c>
      <c r="P2516">
        <f>-602.225770764694 -75.3550870368517 -393.909463728435</f>
        <v>-1071.4903215299807</v>
      </c>
      <c r="Q2516" t="s">
        <v>49248</v>
      </c>
      <c r="R2516" t="s">
        <v>49249</v>
      </c>
      <c r="S2516" t="s">
        <v>49250</v>
      </c>
      <c r="T2516" t="s">
        <v>49251</v>
      </c>
      <c r="U2516" t="s">
        <v>49252</v>
      </c>
      <c r="V2516" t="s">
        <v>49253</v>
      </c>
      <c r="W2516" t="s">
        <v>49254</v>
      </c>
      <c r="X2516" t="s">
        <v>49255</v>
      </c>
      <c r="Y2516" t="s">
        <v>49256</v>
      </c>
    </row>
    <row r="2517" spans="1:25" x14ac:dyDescent="0.3">
      <c r="A2517">
        <v>125800</v>
      </c>
      <c r="B2517" t="s">
        <v>49257</v>
      </c>
      <c r="C2517" t="s">
        <v>49258</v>
      </c>
      <c r="D2517" t="s">
        <v>49259</v>
      </c>
      <c r="E2517" t="s">
        <v>49260</v>
      </c>
      <c r="F2517" t="s">
        <v>49261</v>
      </c>
      <c r="G2517" t="s">
        <v>49262</v>
      </c>
      <c r="H2517" t="s">
        <v>49263</v>
      </c>
      <c r="I2517" t="s">
        <v>49264</v>
      </c>
      <c r="J2517" t="s">
        <v>49265</v>
      </c>
      <c r="K2517" t="s">
        <v>49266</v>
      </c>
      <c r="L2517" t="s">
        <v>49267</v>
      </c>
      <c r="M2517" t="s">
        <v>49268</v>
      </c>
      <c r="N2517" t="s">
        <v>49269</v>
      </c>
      <c r="O2517">
        <f>-579.146470045658 -113.213999268705 -707.199682554925</f>
        <v>-1399.5601518692879</v>
      </c>
      <c r="P2517">
        <f>-601.891585661066 -75.104358721833 -393.80459193171</f>
        <v>-1070.800536314609</v>
      </c>
      <c r="Q2517" t="s">
        <v>49270</v>
      </c>
      <c r="R2517" t="s">
        <v>49271</v>
      </c>
      <c r="S2517" t="s">
        <v>49272</v>
      </c>
      <c r="T2517" t="s">
        <v>49273</v>
      </c>
      <c r="U2517" t="s">
        <v>49274</v>
      </c>
      <c r="V2517" t="s">
        <v>49275</v>
      </c>
      <c r="W2517" t="s">
        <v>49276</v>
      </c>
      <c r="X2517" t="s">
        <v>49277</v>
      </c>
      <c r="Y2517" t="s">
        <v>49278</v>
      </c>
    </row>
    <row r="2518" spans="1:25" x14ac:dyDescent="0.3">
      <c r="A2518">
        <v>125850</v>
      </c>
      <c r="B2518" t="s">
        <v>49279</v>
      </c>
      <c r="C2518" t="s">
        <v>49280</v>
      </c>
      <c r="D2518" t="s">
        <v>49281</v>
      </c>
      <c r="E2518" t="s">
        <v>49282</v>
      </c>
      <c r="F2518" t="s">
        <v>49283</v>
      </c>
      <c r="G2518" t="s">
        <v>49284</v>
      </c>
      <c r="H2518" t="s">
        <v>49285</v>
      </c>
      <c r="I2518" t="s">
        <v>49286</v>
      </c>
      <c r="J2518" t="s">
        <v>49287</v>
      </c>
      <c r="K2518" t="s">
        <v>49288</v>
      </c>
      <c r="L2518" t="s">
        <v>49289</v>
      </c>
      <c r="M2518" t="s">
        <v>49290</v>
      </c>
      <c r="N2518" t="s">
        <v>49291</v>
      </c>
      <c r="O2518">
        <f>-578.245342168309 -112.717868440374 -707.071006409745</f>
        <v>-1398.0342170184281</v>
      </c>
      <c r="P2518">
        <f>-601.048365353892 -74.4432411128691 -393.700157014663</f>
        <v>-1069.191763481424</v>
      </c>
      <c r="Q2518" t="s">
        <v>49292</v>
      </c>
      <c r="R2518" t="s">
        <v>49293</v>
      </c>
      <c r="S2518" t="s">
        <v>49294</v>
      </c>
      <c r="T2518" t="s">
        <v>49295</v>
      </c>
      <c r="U2518" t="s">
        <v>49296</v>
      </c>
      <c r="V2518" t="s">
        <v>49297</v>
      </c>
      <c r="W2518" t="s">
        <v>49298</v>
      </c>
      <c r="X2518" t="s">
        <v>49299</v>
      </c>
      <c r="Y2518" t="s">
        <v>49300</v>
      </c>
    </row>
    <row r="2519" spans="1:25" x14ac:dyDescent="0.3">
      <c r="A2519">
        <v>125900</v>
      </c>
      <c r="B2519" t="s">
        <v>49301</v>
      </c>
      <c r="C2519" t="s">
        <v>49302</v>
      </c>
      <c r="D2519" t="s">
        <v>49303</v>
      </c>
      <c r="E2519" t="s">
        <v>49304</v>
      </c>
      <c r="F2519" t="s">
        <v>49305</v>
      </c>
      <c r="G2519" t="s">
        <v>49306</v>
      </c>
      <c r="H2519" t="s">
        <v>49307</v>
      </c>
      <c r="I2519" t="s">
        <v>49308</v>
      </c>
      <c r="J2519" t="s">
        <v>49309</v>
      </c>
      <c r="K2519" t="s">
        <v>49310</v>
      </c>
      <c r="L2519" t="s">
        <v>49311</v>
      </c>
      <c r="M2519" t="s">
        <v>49312</v>
      </c>
      <c r="N2519" t="s">
        <v>49313</v>
      </c>
      <c r="O2519">
        <f>-577.866525388536 -113.01910036116 -706.721097936377</f>
        <v>-1397.6067236860731</v>
      </c>
      <c r="P2519">
        <f>-600.86064867251 -74.8997623281343 -393.345278228257</f>
        <v>-1069.1056892289014</v>
      </c>
      <c r="Q2519" t="s">
        <v>49314</v>
      </c>
      <c r="R2519" t="s">
        <v>49315</v>
      </c>
      <c r="S2519" t="s">
        <v>49316</v>
      </c>
      <c r="T2519" t="s">
        <v>49317</v>
      </c>
      <c r="U2519" t="s">
        <v>49318</v>
      </c>
      <c r="V2519" t="s">
        <v>49319</v>
      </c>
      <c r="W2519" t="s">
        <v>49320</v>
      </c>
      <c r="X2519" t="s">
        <v>49321</v>
      </c>
      <c r="Y2519" t="s">
        <v>49322</v>
      </c>
    </row>
    <row r="2520" spans="1:25" x14ac:dyDescent="0.3">
      <c r="A2520">
        <v>125950</v>
      </c>
      <c r="B2520" t="s">
        <v>49323</v>
      </c>
      <c r="C2520" t="s">
        <v>49324</v>
      </c>
      <c r="D2520" t="s">
        <v>49325</v>
      </c>
      <c r="E2520" t="s">
        <v>49326</v>
      </c>
      <c r="F2520" t="s">
        <v>49327</v>
      </c>
      <c r="G2520" t="s">
        <v>49328</v>
      </c>
      <c r="H2520" t="s">
        <v>49329</v>
      </c>
      <c r="I2520" t="s">
        <v>49330</v>
      </c>
      <c r="J2520" t="s">
        <v>49331</v>
      </c>
      <c r="K2520" t="s">
        <v>49332</v>
      </c>
      <c r="L2520" t="s">
        <v>49333</v>
      </c>
      <c r="M2520" t="s">
        <v>49334</v>
      </c>
      <c r="N2520" t="s">
        <v>49335</v>
      </c>
      <c r="O2520">
        <f>-577.386501938833 -113.716896458935 -705.889027073423</f>
        <v>-1396.9924254711909</v>
      </c>
      <c r="P2520">
        <f>-601.267427391818 -75.196059564576 -392.628742489522</f>
        <v>-1069.092229445916</v>
      </c>
      <c r="Q2520" t="s">
        <v>49336</v>
      </c>
      <c r="R2520" t="s">
        <v>49337</v>
      </c>
      <c r="S2520" t="s">
        <v>49338</v>
      </c>
      <c r="T2520" t="s">
        <v>49339</v>
      </c>
      <c r="U2520" t="s">
        <v>49340</v>
      </c>
      <c r="V2520" t="s">
        <v>49341</v>
      </c>
      <c r="W2520" t="s">
        <v>49342</v>
      </c>
      <c r="X2520" t="s">
        <v>49343</v>
      </c>
      <c r="Y2520" t="s">
        <v>49344</v>
      </c>
    </row>
    <row r="2521" spans="1:25" x14ac:dyDescent="0.3">
      <c r="A2521">
        <v>126000</v>
      </c>
      <c r="B2521" t="s">
        <v>49345</v>
      </c>
      <c r="C2521" t="s">
        <v>49346</v>
      </c>
      <c r="D2521" t="s">
        <v>49347</v>
      </c>
      <c r="E2521" t="s">
        <v>49348</v>
      </c>
      <c r="F2521" t="s">
        <v>49349</v>
      </c>
      <c r="G2521" t="s">
        <v>49350</v>
      </c>
      <c r="H2521" t="s">
        <v>49351</v>
      </c>
      <c r="I2521" t="s">
        <v>49352</v>
      </c>
      <c r="J2521" t="s">
        <v>49353</v>
      </c>
      <c r="K2521" t="s">
        <v>49354</v>
      </c>
      <c r="L2521" t="s">
        <v>49355</v>
      </c>
      <c r="M2521" t="s">
        <v>49356</v>
      </c>
      <c r="N2521" t="s">
        <v>49357</v>
      </c>
      <c r="O2521">
        <f>-577.278865566738 -113.929585821584 -705.473768353234</f>
        <v>-1396.6822197415559</v>
      </c>
      <c r="P2521">
        <f>-601.23680870953 -75.1690335150688 -392.249022569438</f>
        <v>-1068.6548647940367</v>
      </c>
      <c r="Q2521" t="s">
        <v>49358</v>
      </c>
      <c r="R2521" t="s">
        <v>49359</v>
      </c>
      <c r="S2521" t="s">
        <v>49360</v>
      </c>
      <c r="T2521" t="s">
        <v>49361</v>
      </c>
      <c r="U2521" t="s">
        <v>49362</v>
      </c>
      <c r="V2521" t="s">
        <v>49363</v>
      </c>
      <c r="W2521" t="s">
        <v>49364</v>
      </c>
      <c r="X2521" t="s">
        <v>49365</v>
      </c>
      <c r="Y2521" t="s">
        <v>49366</v>
      </c>
    </row>
    <row r="2522" spans="1:25" x14ac:dyDescent="0.3">
      <c r="A2522">
        <v>126050</v>
      </c>
      <c r="B2522" t="s">
        <v>49367</v>
      </c>
      <c r="C2522" t="s">
        <v>49368</v>
      </c>
      <c r="D2522" t="s">
        <v>49369</v>
      </c>
      <c r="E2522" t="s">
        <v>49370</v>
      </c>
      <c r="F2522" t="s">
        <v>49371</v>
      </c>
      <c r="G2522" t="s">
        <v>49372</v>
      </c>
      <c r="H2522" t="s">
        <v>49373</v>
      </c>
      <c r="I2522" t="s">
        <v>49374</v>
      </c>
      <c r="J2522" t="s">
        <v>49375</v>
      </c>
      <c r="K2522" t="s">
        <v>49376</v>
      </c>
      <c r="L2522" t="s">
        <v>49377</v>
      </c>
      <c r="M2522" t="s">
        <v>49378</v>
      </c>
      <c r="N2522" t="s">
        <v>49379</v>
      </c>
      <c r="O2522">
        <f>-576.99621232192 -113.974298005746 -704.866393850511</f>
        <v>-1395.8369041781771</v>
      </c>
      <c r="P2522">
        <f>-600.998170331645 -74.4298381986382 -391.742941083139</f>
        <v>-1067.1709496134222</v>
      </c>
      <c r="Q2522" t="s">
        <v>49380</v>
      </c>
      <c r="R2522" t="s">
        <v>49381</v>
      </c>
      <c r="S2522" t="s">
        <v>49382</v>
      </c>
      <c r="T2522" t="s">
        <v>49383</v>
      </c>
      <c r="U2522" t="s">
        <v>49384</v>
      </c>
      <c r="V2522" t="s">
        <v>49385</v>
      </c>
      <c r="W2522" t="s">
        <v>49386</v>
      </c>
      <c r="X2522" t="s">
        <v>49387</v>
      </c>
      <c r="Y2522" t="s">
        <v>49388</v>
      </c>
    </row>
    <row r="2523" spans="1:25" x14ac:dyDescent="0.3">
      <c r="A2523">
        <v>126100</v>
      </c>
      <c r="B2523" t="s">
        <v>49389</v>
      </c>
      <c r="C2523" t="s">
        <v>49390</v>
      </c>
      <c r="D2523" t="s">
        <v>49391</v>
      </c>
      <c r="E2523" t="s">
        <v>49392</v>
      </c>
      <c r="F2523" t="s">
        <v>49393</v>
      </c>
      <c r="G2523" t="s">
        <v>49394</v>
      </c>
      <c r="H2523" t="s">
        <v>49395</v>
      </c>
      <c r="I2523" t="s">
        <v>49396</v>
      </c>
      <c r="J2523" t="s">
        <v>49397</v>
      </c>
      <c r="K2523" t="s">
        <v>49398</v>
      </c>
      <c r="L2523" t="s">
        <v>49399</v>
      </c>
      <c r="M2523" t="s">
        <v>49400</v>
      </c>
      <c r="N2523" t="s">
        <v>49401</v>
      </c>
      <c r="O2523">
        <f>-576.781284361724 -114.195310104385 -704.664588219001</f>
        <v>-1395.6411826851099</v>
      </c>
      <c r="P2523">
        <f>-601.081763025125 -74.4871112442813 -391.584795906812</f>
        <v>-1067.1536701762184</v>
      </c>
      <c r="Q2523" t="s">
        <v>49402</v>
      </c>
      <c r="R2523" t="s">
        <v>49403</v>
      </c>
      <c r="S2523" t="s">
        <v>49404</v>
      </c>
      <c r="T2523" t="s">
        <v>49405</v>
      </c>
      <c r="U2523" t="s">
        <v>49406</v>
      </c>
      <c r="V2523" t="s">
        <v>49407</v>
      </c>
      <c r="W2523" t="s">
        <v>49408</v>
      </c>
      <c r="X2523" t="s">
        <v>49409</v>
      </c>
      <c r="Y2523" t="s">
        <v>49410</v>
      </c>
    </row>
    <row r="2524" spans="1:25" x14ac:dyDescent="0.3">
      <c r="A2524">
        <v>126150</v>
      </c>
      <c r="B2524" t="s">
        <v>49411</v>
      </c>
      <c r="C2524" t="s">
        <v>49412</v>
      </c>
      <c r="D2524" t="s">
        <v>49413</v>
      </c>
      <c r="E2524" t="s">
        <v>49414</v>
      </c>
      <c r="F2524" t="s">
        <v>49415</v>
      </c>
      <c r="G2524" t="s">
        <v>49416</v>
      </c>
      <c r="H2524" t="s">
        <v>49417</v>
      </c>
      <c r="I2524" t="s">
        <v>49418</v>
      </c>
      <c r="J2524" t="s">
        <v>49419</v>
      </c>
      <c r="K2524" t="s">
        <v>49420</v>
      </c>
      <c r="L2524" t="s">
        <v>49421</v>
      </c>
      <c r="M2524" t="s">
        <v>49422</v>
      </c>
      <c r="N2524" t="s">
        <v>49423</v>
      </c>
      <c r="O2524">
        <f>-576.913138780238 -114.48341464291 -704.502298262671</f>
        <v>-1395.898851685819</v>
      </c>
      <c r="P2524">
        <f>-601.456631917378 -74.7015894901233 -391.450877795361</f>
        <v>-1067.6090992028624</v>
      </c>
      <c r="Q2524" t="s">
        <v>49424</v>
      </c>
      <c r="R2524" t="s">
        <v>49425</v>
      </c>
      <c r="S2524" t="s">
        <v>49426</v>
      </c>
      <c r="T2524" t="s">
        <v>49427</v>
      </c>
      <c r="U2524" t="s">
        <v>49428</v>
      </c>
      <c r="V2524" t="s">
        <v>49429</v>
      </c>
      <c r="W2524" t="s">
        <v>49430</v>
      </c>
      <c r="X2524" t="s">
        <v>49431</v>
      </c>
      <c r="Y2524" t="s">
        <v>49432</v>
      </c>
    </row>
    <row r="2525" spans="1:25" x14ac:dyDescent="0.3">
      <c r="A2525">
        <v>126200</v>
      </c>
      <c r="B2525" t="s">
        <v>49433</v>
      </c>
      <c r="C2525" t="s">
        <v>49434</v>
      </c>
      <c r="D2525" t="s">
        <v>49435</v>
      </c>
      <c r="E2525" t="s">
        <v>49436</v>
      </c>
      <c r="F2525" t="s">
        <v>49437</v>
      </c>
      <c r="G2525" t="s">
        <v>49438</v>
      </c>
      <c r="H2525" t="s">
        <v>49439</v>
      </c>
      <c r="I2525" t="s">
        <v>49440</v>
      </c>
      <c r="J2525" t="s">
        <v>49441</v>
      </c>
      <c r="K2525" t="s">
        <v>49442</v>
      </c>
      <c r="L2525" t="s">
        <v>49443</v>
      </c>
      <c r="M2525" t="s">
        <v>49444</v>
      </c>
      <c r="N2525" t="s">
        <v>49445</v>
      </c>
      <c r="O2525">
        <f>-577.17805268244 -114.343703251552 -704.546790815133</f>
        <v>-1396.0685467491251</v>
      </c>
      <c r="P2525">
        <f>-601.467787733091 -74.5449406515017 -391.477770909686</f>
        <v>-1067.4904992942788</v>
      </c>
      <c r="Q2525" t="s">
        <v>49446</v>
      </c>
      <c r="R2525" t="s">
        <v>49447</v>
      </c>
      <c r="S2525" t="s">
        <v>49448</v>
      </c>
      <c r="T2525" t="s">
        <v>49449</v>
      </c>
      <c r="U2525" t="s">
        <v>49450</v>
      </c>
      <c r="V2525" t="s">
        <v>49451</v>
      </c>
      <c r="W2525" t="s">
        <v>49452</v>
      </c>
      <c r="X2525" t="s">
        <v>49453</v>
      </c>
      <c r="Y2525" t="s">
        <v>49454</v>
      </c>
    </row>
    <row r="2526" spans="1:25" x14ac:dyDescent="0.3">
      <c r="A2526">
        <v>126250</v>
      </c>
      <c r="B2526" t="s">
        <v>49455</v>
      </c>
      <c r="C2526" t="s">
        <v>49456</v>
      </c>
      <c r="D2526" t="s">
        <v>49457</v>
      </c>
      <c r="E2526" t="s">
        <v>49458</v>
      </c>
      <c r="F2526" t="s">
        <v>49459</v>
      </c>
      <c r="G2526" t="s">
        <v>49460</v>
      </c>
      <c r="H2526" t="s">
        <v>49461</v>
      </c>
      <c r="I2526" t="s">
        <v>49462</v>
      </c>
      <c r="J2526" t="s">
        <v>49463</v>
      </c>
      <c r="K2526" t="s">
        <v>49464</v>
      </c>
      <c r="L2526" t="s">
        <v>49465</v>
      </c>
      <c r="M2526" t="s">
        <v>49466</v>
      </c>
      <c r="N2526" t="s">
        <v>49467</v>
      </c>
      <c r="O2526">
        <f>-577.417618096668 -114.72850269058 -704.500557792837</f>
        <v>-1396.6466785800849</v>
      </c>
      <c r="P2526">
        <f>-601.037175138997 -74.9835584583291 -391.373368721297</f>
        <v>-1067.394102318623</v>
      </c>
      <c r="Q2526" t="s">
        <v>49468</v>
      </c>
      <c r="R2526" t="s">
        <v>49469</v>
      </c>
      <c r="S2526" t="s">
        <v>49470</v>
      </c>
      <c r="T2526" t="s">
        <v>49471</v>
      </c>
      <c r="U2526" t="s">
        <v>49472</v>
      </c>
      <c r="V2526" t="s">
        <v>49473</v>
      </c>
      <c r="W2526" t="s">
        <v>49474</v>
      </c>
      <c r="X2526" t="s">
        <v>49475</v>
      </c>
      <c r="Y2526" t="s">
        <v>49476</v>
      </c>
    </row>
    <row r="2527" spans="1:25" x14ac:dyDescent="0.3">
      <c r="A2527">
        <v>126300</v>
      </c>
      <c r="B2527" t="s">
        <v>49477</v>
      </c>
      <c r="C2527" t="s">
        <v>49478</v>
      </c>
      <c r="D2527" t="s">
        <v>49479</v>
      </c>
      <c r="E2527" t="s">
        <v>49480</v>
      </c>
      <c r="F2527" t="s">
        <v>49481</v>
      </c>
      <c r="G2527" t="s">
        <v>49482</v>
      </c>
      <c r="H2527" t="s">
        <v>49483</v>
      </c>
      <c r="I2527" t="s">
        <v>49484</v>
      </c>
      <c r="J2527" t="s">
        <v>49485</v>
      </c>
      <c r="K2527" t="s">
        <v>49486</v>
      </c>
      <c r="L2527" t="s">
        <v>49487</v>
      </c>
      <c r="M2527" t="s">
        <v>49488</v>
      </c>
      <c r="N2527" t="s">
        <v>49489</v>
      </c>
      <c r="O2527">
        <f>-577.596951009777 -114.916068251095 -704.529054900595</f>
        <v>-1397.0420741614671</v>
      </c>
      <c r="P2527">
        <f>-600.881919947087 -75.2334357908294 -391.368906049699</f>
        <v>-1067.4842617876154</v>
      </c>
      <c r="Q2527" t="s">
        <v>49490</v>
      </c>
      <c r="R2527" t="s">
        <v>49491</v>
      </c>
      <c r="S2527" t="s">
        <v>49492</v>
      </c>
      <c r="T2527" t="s">
        <v>49493</v>
      </c>
      <c r="U2527" t="s">
        <v>49494</v>
      </c>
      <c r="V2527" t="s">
        <v>49495</v>
      </c>
      <c r="W2527" t="s">
        <v>49496</v>
      </c>
      <c r="X2527" t="s">
        <v>49497</v>
      </c>
      <c r="Y2527" t="s">
        <v>49498</v>
      </c>
    </row>
    <row r="2528" spans="1:25" x14ac:dyDescent="0.3">
      <c r="A2528">
        <v>126350</v>
      </c>
      <c r="B2528" t="s">
        <v>49499</v>
      </c>
      <c r="C2528" t="s">
        <v>49500</v>
      </c>
      <c r="D2528" t="s">
        <v>49501</v>
      </c>
      <c r="E2528" t="s">
        <v>49502</v>
      </c>
      <c r="F2528" t="s">
        <v>49503</v>
      </c>
      <c r="G2528" t="s">
        <v>49504</v>
      </c>
      <c r="H2528" t="s">
        <v>49505</v>
      </c>
      <c r="I2528" t="s">
        <v>49506</v>
      </c>
      <c r="J2528" t="s">
        <v>49507</v>
      </c>
      <c r="K2528" t="s">
        <v>49508</v>
      </c>
      <c r="L2528" t="s">
        <v>49509</v>
      </c>
      <c r="M2528" t="s">
        <v>49510</v>
      </c>
      <c r="N2528" t="s">
        <v>49511</v>
      </c>
      <c r="O2528">
        <f>-577.7309991953 -114.999000954139 -704.75632327397</f>
        <v>-1397.486323423409</v>
      </c>
      <c r="P2528">
        <f>-601.014128990206 -76.08370436623 -391.499799109101</f>
        <v>-1068.5976324655371</v>
      </c>
      <c r="Q2528" t="s">
        <v>49512</v>
      </c>
      <c r="R2528" t="s">
        <v>49513</v>
      </c>
      <c r="S2528" t="s">
        <v>49514</v>
      </c>
      <c r="T2528" t="s">
        <v>49515</v>
      </c>
      <c r="U2528" t="s">
        <v>49516</v>
      </c>
      <c r="V2528" t="s">
        <v>49517</v>
      </c>
      <c r="W2528" t="s">
        <v>49518</v>
      </c>
      <c r="X2528" t="s">
        <v>49519</v>
      </c>
      <c r="Y2528" t="s">
        <v>49520</v>
      </c>
    </row>
    <row r="2529" spans="1:25" x14ac:dyDescent="0.3">
      <c r="A2529">
        <v>126400</v>
      </c>
      <c r="B2529" t="s">
        <v>49521</v>
      </c>
      <c r="C2529" t="s">
        <v>49522</v>
      </c>
      <c r="D2529" t="s">
        <v>49523</v>
      </c>
      <c r="E2529" t="s">
        <v>49524</v>
      </c>
      <c r="F2529" t="s">
        <v>49525</v>
      </c>
      <c r="G2529" t="s">
        <v>49526</v>
      </c>
      <c r="H2529" t="s">
        <v>49527</v>
      </c>
      <c r="I2529" t="s">
        <v>49528</v>
      </c>
      <c r="J2529" t="s">
        <v>49529</v>
      </c>
      <c r="K2529" t="s">
        <v>49530</v>
      </c>
      <c r="L2529" t="s">
        <v>49531</v>
      </c>
      <c r="M2529" t="s">
        <v>49532</v>
      </c>
      <c r="N2529" t="s">
        <v>49533</v>
      </c>
      <c r="O2529">
        <f>-578.038584233914 -115.009683353011 -704.934451143604</f>
        <v>-1397.9827187305291</v>
      </c>
      <c r="P2529">
        <f>-601.271789754882 -76.4599699402731 -391.628960808592</f>
        <v>-1069.3607205037472</v>
      </c>
      <c r="Q2529" t="s">
        <v>49534</v>
      </c>
      <c r="R2529" t="s">
        <v>49535</v>
      </c>
      <c r="S2529" t="s">
        <v>49536</v>
      </c>
      <c r="T2529" t="s">
        <v>49537</v>
      </c>
      <c r="U2529" t="s">
        <v>49538</v>
      </c>
      <c r="V2529" t="s">
        <v>49539</v>
      </c>
      <c r="W2529" t="s">
        <v>49540</v>
      </c>
      <c r="X2529" t="s">
        <v>49541</v>
      </c>
      <c r="Y2529" t="s">
        <v>49542</v>
      </c>
    </row>
    <row r="2530" spans="1:25" x14ac:dyDescent="0.3">
      <c r="A2530">
        <v>126450</v>
      </c>
      <c r="B2530" t="s">
        <v>49543</v>
      </c>
      <c r="C2530" t="s">
        <v>49544</v>
      </c>
      <c r="D2530" t="s">
        <v>49545</v>
      </c>
      <c r="E2530" t="s">
        <v>49546</v>
      </c>
      <c r="F2530" t="s">
        <v>49547</v>
      </c>
      <c r="G2530" t="s">
        <v>49548</v>
      </c>
      <c r="H2530" t="s">
        <v>49549</v>
      </c>
      <c r="I2530" t="s">
        <v>49550</v>
      </c>
      <c r="J2530" t="s">
        <v>49551</v>
      </c>
      <c r="K2530" t="s">
        <v>49552</v>
      </c>
      <c r="L2530" t="s">
        <v>49553</v>
      </c>
      <c r="M2530" t="s">
        <v>49554</v>
      </c>
      <c r="N2530" t="s">
        <v>49555</v>
      </c>
      <c r="O2530">
        <f>-578.278045467904 -114.7971690614 -705.12370704258</f>
        <v>-1398.1989215718841</v>
      </c>
      <c r="P2530">
        <f>-601.56168597859 -76.3783088472526 -391.80592909932</f>
        <v>-1069.7459239251625</v>
      </c>
      <c r="Q2530" t="s">
        <v>49556</v>
      </c>
      <c r="R2530" t="s">
        <v>49557</v>
      </c>
      <c r="S2530" t="s">
        <v>49558</v>
      </c>
      <c r="T2530" t="s">
        <v>49559</v>
      </c>
      <c r="U2530" t="s">
        <v>49560</v>
      </c>
      <c r="V2530" t="s">
        <v>49561</v>
      </c>
      <c r="W2530" t="s">
        <v>49562</v>
      </c>
      <c r="X2530" t="s">
        <v>49563</v>
      </c>
      <c r="Y2530" t="s">
        <v>49564</v>
      </c>
    </row>
    <row r="2531" spans="1:25" x14ac:dyDescent="0.3">
      <c r="A2531">
        <v>126500</v>
      </c>
      <c r="B2531" t="s">
        <v>49565</v>
      </c>
      <c r="C2531" t="s">
        <v>49566</v>
      </c>
      <c r="D2531" t="s">
        <v>49567</v>
      </c>
      <c r="E2531" t="s">
        <v>49568</v>
      </c>
      <c r="F2531" t="s">
        <v>49569</v>
      </c>
      <c r="G2531" t="s">
        <v>49570</v>
      </c>
      <c r="H2531" t="s">
        <v>49571</v>
      </c>
      <c r="I2531" t="s">
        <v>49572</v>
      </c>
      <c r="J2531" t="s">
        <v>49573</v>
      </c>
      <c r="K2531" t="s">
        <v>49574</v>
      </c>
      <c r="L2531" t="s">
        <v>49575</v>
      </c>
      <c r="M2531" t="s">
        <v>49576</v>
      </c>
      <c r="N2531" t="s">
        <v>49577</v>
      </c>
      <c r="O2531">
        <f>-578.5760718045 -114.752315437957 -705.208467732094</f>
        <v>-1398.536854974551</v>
      </c>
      <c r="P2531">
        <f>-601.863234525481 -76.3919281500348 -391.883641108828</f>
        <v>-1070.1388037843437</v>
      </c>
      <c r="Q2531" t="s">
        <v>49578</v>
      </c>
      <c r="R2531" t="s">
        <v>49579</v>
      </c>
      <c r="S2531" t="s">
        <v>49580</v>
      </c>
      <c r="T2531" t="s">
        <v>49581</v>
      </c>
      <c r="U2531" t="s">
        <v>49582</v>
      </c>
      <c r="V2531" t="s">
        <v>49583</v>
      </c>
      <c r="W2531" t="s">
        <v>49584</v>
      </c>
      <c r="X2531" t="s">
        <v>49585</v>
      </c>
      <c r="Y2531" t="s">
        <v>49586</v>
      </c>
    </row>
    <row r="2532" spans="1:25" x14ac:dyDescent="0.3">
      <c r="A2532">
        <v>126550</v>
      </c>
      <c r="B2532" t="s">
        <v>49587</v>
      </c>
      <c r="C2532" t="s">
        <v>49588</v>
      </c>
      <c r="D2532" t="s">
        <v>49589</v>
      </c>
      <c r="E2532" t="s">
        <v>49590</v>
      </c>
      <c r="F2532" t="s">
        <v>49591</v>
      </c>
      <c r="G2532" t="s">
        <v>49592</v>
      </c>
      <c r="H2532" t="s">
        <v>49593</v>
      </c>
      <c r="I2532" t="s">
        <v>49594</v>
      </c>
      <c r="J2532" t="s">
        <v>49595</v>
      </c>
      <c r="K2532" t="s">
        <v>49596</v>
      </c>
      <c r="L2532" t="s">
        <v>49597</v>
      </c>
      <c r="M2532" t="s">
        <v>49598</v>
      </c>
      <c r="N2532" t="s">
        <v>49599</v>
      </c>
      <c r="O2532">
        <f>-578.775519868575 -114.330766170935 -705.539479338123</f>
        <v>-1398.6457653776329</v>
      </c>
      <c r="P2532">
        <f>-602.945695201687 -77.0402278749732 -392.152549083753</f>
        <v>-1072.1384721604131</v>
      </c>
      <c r="Q2532" t="s">
        <v>49600</v>
      </c>
      <c r="R2532" t="s">
        <v>49601</v>
      </c>
      <c r="S2532" t="s">
        <v>49602</v>
      </c>
      <c r="T2532" t="s">
        <v>49603</v>
      </c>
      <c r="U2532" t="s">
        <v>49604</v>
      </c>
      <c r="V2532" t="s">
        <v>49605</v>
      </c>
      <c r="W2532" t="s">
        <v>49606</v>
      </c>
      <c r="X2532" t="s">
        <v>49607</v>
      </c>
      <c r="Y2532" t="s">
        <v>49608</v>
      </c>
    </row>
    <row r="2533" spans="1:25" x14ac:dyDescent="0.3">
      <c r="A2533">
        <v>126600</v>
      </c>
      <c r="B2533" t="s">
        <v>49609</v>
      </c>
      <c r="C2533" t="s">
        <v>49610</v>
      </c>
      <c r="D2533" t="s">
        <v>49611</v>
      </c>
      <c r="E2533" t="s">
        <v>49612</v>
      </c>
      <c r="F2533" t="s">
        <v>49613</v>
      </c>
      <c r="G2533" t="s">
        <v>49614</v>
      </c>
      <c r="H2533" t="s">
        <v>49615</v>
      </c>
      <c r="I2533" t="s">
        <v>49616</v>
      </c>
      <c r="J2533" t="s">
        <v>49617</v>
      </c>
      <c r="K2533" t="s">
        <v>49618</v>
      </c>
      <c r="L2533" t="s">
        <v>49619</v>
      </c>
      <c r="M2533" t="s">
        <v>49620</v>
      </c>
      <c r="N2533" t="s">
        <v>49621</v>
      </c>
      <c r="O2533">
        <f>-578.985485747495 -113.86182724445 -705.751542775991</f>
        <v>-1398.5988557679359</v>
      </c>
      <c r="P2533">
        <f>-603.231038751386 -77.1434286126378 -392.302804419089</f>
        <v>-1072.6772717831127</v>
      </c>
      <c r="Q2533" t="s">
        <v>49622</v>
      </c>
      <c r="R2533" t="s">
        <v>49623</v>
      </c>
      <c r="S2533" t="s">
        <v>49624</v>
      </c>
      <c r="T2533" t="s">
        <v>49625</v>
      </c>
      <c r="U2533" t="s">
        <v>49626</v>
      </c>
      <c r="V2533" t="s">
        <v>49627</v>
      </c>
      <c r="W2533" t="s">
        <v>49628</v>
      </c>
      <c r="X2533" t="s">
        <v>49629</v>
      </c>
      <c r="Y2533" t="s">
        <v>49630</v>
      </c>
    </row>
    <row r="2534" spans="1:25" x14ac:dyDescent="0.3">
      <c r="A2534">
        <v>126650</v>
      </c>
      <c r="B2534" t="s">
        <v>49631</v>
      </c>
      <c r="C2534" t="s">
        <v>49632</v>
      </c>
      <c r="D2534" t="s">
        <v>49633</v>
      </c>
      <c r="E2534" t="s">
        <v>49634</v>
      </c>
      <c r="F2534" t="s">
        <v>49635</v>
      </c>
      <c r="G2534" t="s">
        <v>49636</v>
      </c>
      <c r="H2534" t="s">
        <v>49637</v>
      </c>
      <c r="I2534" t="s">
        <v>49638</v>
      </c>
      <c r="J2534" t="s">
        <v>49639</v>
      </c>
      <c r="K2534" t="s">
        <v>49640</v>
      </c>
      <c r="L2534" t="s">
        <v>49641</v>
      </c>
      <c r="M2534" t="s">
        <v>49642</v>
      </c>
      <c r="N2534" t="s">
        <v>49643</v>
      </c>
      <c r="O2534">
        <f>-579.020516784674 -113.421705221469 -705.950321669247</f>
        <v>-1398.39254367539</v>
      </c>
      <c r="P2534">
        <f>-602.684119057499 -78.3955564199694 -392.263490642812</f>
        <v>-1073.3431661202803</v>
      </c>
      <c r="Q2534" t="s">
        <v>49644</v>
      </c>
      <c r="R2534" t="s">
        <v>49645</v>
      </c>
      <c r="S2534" t="s">
        <v>49646</v>
      </c>
      <c r="T2534" t="s">
        <v>49647</v>
      </c>
      <c r="U2534" t="s">
        <v>49648</v>
      </c>
      <c r="V2534" t="s">
        <v>49649</v>
      </c>
      <c r="W2534" t="s">
        <v>49650</v>
      </c>
      <c r="X2534" t="s">
        <v>49651</v>
      </c>
      <c r="Y2534" t="s">
        <v>49652</v>
      </c>
    </row>
    <row r="2535" spans="1:25" x14ac:dyDescent="0.3">
      <c r="A2535">
        <v>126700</v>
      </c>
      <c r="B2535" t="s">
        <v>49653</v>
      </c>
      <c r="C2535" t="s">
        <v>49654</v>
      </c>
      <c r="D2535" t="s">
        <v>49655</v>
      </c>
      <c r="E2535" t="s">
        <v>49656</v>
      </c>
      <c r="F2535" t="s">
        <v>49657</v>
      </c>
      <c r="G2535" t="s">
        <v>49658</v>
      </c>
      <c r="H2535" t="s">
        <v>49659</v>
      </c>
      <c r="I2535" t="s">
        <v>49660</v>
      </c>
      <c r="J2535" t="s">
        <v>49661</v>
      </c>
      <c r="K2535" t="s">
        <v>49662</v>
      </c>
      <c r="L2535" t="s">
        <v>49663</v>
      </c>
      <c r="M2535" t="s">
        <v>49664</v>
      </c>
      <c r="N2535" t="s">
        <v>49665</v>
      </c>
      <c r="O2535">
        <f>-579.146278686443 -113.176220747519 -706.208622669121</f>
        <v>-1398.5311221030829</v>
      </c>
      <c r="P2535">
        <f>-602.436924339989 -78.1349036119852 -392.495607268186</f>
        <v>-1073.0674352201602</v>
      </c>
      <c r="Q2535" t="s">
        <v>49666</v>
      </c>
      <c r="R2535" t="s">
        <v>49667</v>
      </c>
      <c r="S2535" t="s">
        <v>49668</v>
      </c>
      <c r="T2535" t="s">
        <v>49669</v>
      </c>
      <c r="U2535" t="s">
        <v>49670</v>
      </c>
      <c r="V2535" t="s">
        <v>49671</v>
      </c>
      <c r="W2535" t="s">
        <v>49672</v>
      </c>
      <c r="X2535" t="s">
        <v>49673</v>
      </c>
      <c r="Y2535" t="s">
        <v>49674</v>
      </c>
    </row>
    <row r="2536" spans="1:25" x14ac:dyDescent="0.3">
      <c r="A2536">
        <v>126750</v>
      </c>
      <c r="B2536" t="s">
        <v>49675</v>
      </c>
      <c r="C2536" t="s">
        <v>49676</v>
      </c>
      <c r="D2536" t="s">
        <v>49677</v>
      </c>
      <c r="E2536" t="s">
        <v>49678</v>
      </c>
      <c r="F2536" t="s">
        <v>49679</v>
      </c>
      <c r="G2536" t="s">
        <v>49680</v>
      </c>
      <c r="H2536" t="s">
        <v>49681</v>
      </c>
      <c r="I2536" t="s">
        <v>49682</v>
      </c>
      <c r="J2536" t="s">
        <v>49683</v>
      </c>
      <c r="K2536" t="s">
        <v>49684</v>
      </c>
      <c r="L2536" t="s">
        <v>49685</v>
      </c>
      <c r="M2536" t="s">
        <v>49686</v>
      </c>
      <c r="N2536" t="s">
        <v>49687</v>
      </c>
      <c r="O2536">
        <f>-579.152253594594 -113.009480114484 -706.269176455385</f>
        <v>-1398.4309101644631</v>
      </c>
      <c r="P2536">
        <f>-602.790610694285 -77.6686837801922 -392.615711573386</f>
        <v>-1073.0750060478631</v>
      </c>
      <c r="Q2536" t="s">
        <v>49688</v>
      </c>
      <c r="R2536" t="s">
        <v>49689</v>
      </c>
      <c r="S2536" t="s">
        <v>49690</v>
      </c>
      <c r="T2536" t="s">
        <v>49691</v>
      </c>
      <c r="U2536" t="s">
        <v>49692</v>
      </c>
      <c r="V2536" t="s">
        <v>49693</v>
      </c>
      <c r="W2536" t="s">
        <v>49694</v>
      </c>
      <c r="X2536" t="s">
        <v>49695</v>
      </c>
      <c r="Y2536" t="s">
        <v>49696</v>
      </c>
    </row>
    <row r="2537" spans="1:25" x14ac:dyDescent="0.3">
      <c r="A2537">
        <v>126800</v>
      </c>
      <c r="B2537" t="s">
        <v>49697</v>
      </c>
      <c r="C2537" t="s">
        <v>49698</v>
      </c>
      <c r="D2537" t="s">
        <v>49699</v>
      </c>
      <c r="E2537" t="s">
        <v>49700</v>
      </c>
      <c r="F2537" t="s">
        <v>49701</v>
      </c>
      <c r="G2537" t="s">
        <v>49702</v>
      </c>
      <c r="H2537" t="s">
        <v>49703</v>
      </c>
      <c r="I2537" t="s">
        <v>49704</v>
      </c>
      <c r="J2537" t="s">
        <v>49705</v>
      </c>
      <c r="K2537" t="s">
        <v>49706</v>
      </c>
      <c r="L2537" t="s">
        <v>49707</v>
      </c>
      <c r="M2537" t="s">
        <v>49708</v>
      </c>
      <c r="N2537" t="s">
        <v>49709</v>
      </c>
      <c r="O2537">
        <f>-579.093794260475 -113.057137427227 -706.110853699178</f>
        <v>-1398.2617853868801</v>
      </c>
      <c r="P2537">
        <f>-602.771600135052 -77.3545006451091 -392.501375869156</f>
        <v>-1072.627476649317</v>
      </c>
      <c r="Q2537" t="s">
        <v>49710</v>
      </c>
      <c r="R2537" t="s">
        <v>49711</v>
      </c>
      <c r="S2537" t="s">
        <v>49712</v>
      </c>
      <c r="T2537" t="s">
        <v>49713</v>
      </c>
      <c r="U2537" t="s">
        <v>49714</v>
      </c>
      <c r="V2537" t="s">
        <v>49715</v>
      </c>
      <c r="W2537" t="s">
        <v>49716</v>
      </c>
      <c r="X2537" t="s">
        <v>49717</v>
      </c>
      <c r="Y2537" t="s">
        <v>49718</v>
      </c>
    </row>
    <row r="2538" spans="1:25" x14ac:dyDescent="0.3">
      <c r="A2538">
        <v>126850</v>
      </c>
      <c r="B2538" t="s">
        <v>49719</v>
      </c>
      <c r="C2538" t="s">
        <v>49720</v>
      </c>
      <c r="D2538" t="s">
        <v>49721</v>
      </c>
      <c r="E2538" t="s">
        <v>49722</v>
      </c>
      <c r="F2538" t="s">
        <v>49723</v>
      </c>
      <c r="G2538" t="s">
        <v>49724</v>
      </c>
      <c r="H2538" t="s">
        <v>49725</v>
      </c>
      <c r="I2538" t="s">
        <v>49726</v>
      </c>
      <c r="J2538" t="s">
        <v>49727</v>
      </c>
      <c r="K2538" t="s">
        <v>49728</v>
      </c>
      <c r="L2538" t="s">
        <v>49729</v>
      </c>
      <c r="M2538" t="s">
        <v>49730</v>
      </c>
      <c r="N2538" t="s">
        <v>49731</v>
      </c>
      <c r="O2538">
        <f>-578.820915512163 -113.351362891804 -705.772198451745</f>
        <v>-1397.9444768557119</v>
      </c>
      <c r="P2538">
        <f>-605.031021590944 -76.0898445913258 -392.5457902653</f>
        <v>-1073.6666564475697</v>
      </c>
      <c r="Q2538" t="s">
        <v>49732</v>
      </c>
      <c r="R2538" t="s">
        <v>49733</v>
      </c>
      <c r="S2538" t="s">
        <v>49734</v>
      </c>
      <c r="T2538" t="s">
        <v>49735</v>
      </c>
      <c r="U2538" t="s">
        <v>49736</v>
      </c>
      <c r="V2538" t="s">
        <v>49737</v>
      </c>
      <c r="W2538" t="s">
        <v>49738</v>
      </c>
      <c r="X2538" t="s">
        <v>49739</v>
      </c>
      <c r="Y2538" t="s">
        <v>49740</v>
      </c>
    </row>
    <row r="2539" spans="1:25" x14ac:dyDescent="0.3">
      <c r="A2539">
        <v>126900</v>
      </c>
      <c r="B2539" t="s">
        <v>49741</v>
      </c>
      <c r="C2539" t="s">
        <v>49742</v>
      </c>
      <c r="D2539" t="s">
        <v>49743</v>
      </c>
      <c r="E2539" t="s">
        <v>49744</v>
      </c>
      <c r="F2539" t="s">
        <v>49745</v>
      </c>
      <c r="G2539" t="s">
        <v>49746</v>
      </c>
      <c r="H2539" t="s">
        <v>49747</v>
      </c>
      <c r="I2539" t="s">
        <v>49748</v>
      </c>
      <c r="J2539" t="s">
        <v>49749</v>
      </c>
      <c r="K2539" t="s">
        <v>49750</v>
      </c>
      <c r="L2539" t="s">
        <v>49751</v>
      </c>
      <c r="M2539" t="s">
        <v>49752</v>
      </c>
      <c r="N2539" t="s">
        <v>49753</v>
      </c>
      <c r="O2539">
        <f>-578.423096540272 -113.282670243548 -705.542802947851</f>
        <v>-1397.2485697316711</v>
      </c>
      <c r="P2539">
        <f>-606.418641975378 -74.7162032117806 -392.628948456794</f>
        <v>-1073.7637936439526</v>
      </c>
      <c r="Q2539" t="s">
        <v>49754</v>
      </c>
      <c r="R2539" t="s">
        <v>49755</v>
      </c>
      <c r="S2539" t="s">
        <v>49756</v>
      </c>
      <c r="T2539" t="s">
        <v>49757</v>
      </c>
      <c r="U2539" t="s">
        <v>49758</v>
      </c>
      <c r="V2539" t="s">
        <v>49759</v>
      </c>
      <c r="W2539" t="s">
        <v>49760</v>
      </c>
      <c r="X2539" t="s">
        <v>49761</v>
      </c>
      <c r="Y2539" t="s">
        <v>49762</v>
      </c>
    </row>
    <row r="2540" spans="1:25" x14ac:dyDescent="0.3">
      <c r="A2540">
        <v>126950</v>
      </c>
      <c r="B2540" t="s">
        <v>49763</v>
      </c>
      <c r="C2540" t="s">
        <v>49764</v>
      </c>
      <c r="D2540" t="s">
        <v>49765</v>
      </c>
      <c r="E2540" t="s">
        <v>49766</v>
      </c>
      <c r="F2540" t="s">
        <v>49767</v>
      </c>
      <c r="G2540" t="s">
        <v>49768</v>
      </c>
      <c r="H2540" t="s">
        <v>49769</v>
      </c>
      <c r="I2540" t="s">
        <v>49770</v>
      </c>
      <c r="J2540" t="s">
        <v>49771</v>
      </c>
      <c r="K2540" t="s">
        <v>49772</v>
      </c>
      <c r="L2540" t="s">
        <v>49773</v>
      </c>
      <c r="M2540" t="s">
        <v>49774</v>
      </c>
      <c r="N2540" t="s">
        <v>49775</v>
      </c>
      <c r="O2540">
        <f>-578.926977455652 -113.399268334997 -704.491629426633</f>
        <v>-1396.8178752172821</v>
      </c>
      <c r="P2540">
        <f>-609.338834948589 -71.4667527844999 -392.237004467364</f>
        <v>-1073.0425922004529</v>
      </c>
      <c r="Q2540" t="s">
        <v>49776</v>
      </c>
      <c r="R2540" t="s">
        <v>49777</v>
      </c>
      <c r="S2540" t="s">
        <v>49778</v>
      </c>
      <c r="T2540" t="s">
        <v>49779</v>
      </c>
      <c r="U2540" t="s">
        <v>49780</v>
      </c>
      <c r="V2540" t="s">
        <v>49781</v>
      </c>
      <c r="W2540" t="s">
        <v>49782</v>
      </c>
      <c r="X2540" t="s">
        <v>49783</v>
      </c>
      <c r="Y2540" t="s">
        <v>49784</v>
      </c>
    </row>
    <row r="2541" spans="1:25" x14ac:dyDescent="0.3">
      <c r="A2541">
        <v>127000</v>
      </c>
      <c r="B2541" t="s">
        <v>49785</v>
      </c>
      <c r="C2541" t="s">
        <v>49786</v>
      </c>
      <c r="D2541" t="s">
        <v>49787</v>
      </c>
      <c r="E2541" t="s">
        <v>49788</v>
      </c>
      <c r="F2541" t="s">
        <v>49789</v>
      </c>
      <c r="G2541" t="s">
        <v>49790</v>
      </c>
      <c r="H2541" t="s">
        <v>49791</v>
      </c>
      <c r="I2541" t="s">
        <v>49792</v>
      </c>
      <c r="J2541" t="s">
        <v>49793</v>
      </c>
      <c r="K2541" t="s">
        <v>49794</v>
      </c>
      <c r="L2541" t="s">
        <v>49795</v>
      </c>
      <c r="M2541" t="s">
        <v>49796</v>
      </c>
      <c r="N2541" t="s">
        <v>49797</v>
      </c>
      <c r="O2541">
        <f>-579.821664491412 -113.387588932274 -703.994775205428</f>
        <v>-1397.204028629114</v>
      </c>
      <c r="P2541">
        <f>-609.930991859613 -69.867720826569 -391.928025609595</f>
        <v>-1071.7267382957771</v>
      </c>
      <c r="Q2541" t="s">
        <v>49798</v>
      </c>
      <c r="R2541" t="s">
        <v>49799</v>
      </c>
      <c r="S2541" t="s">
        <v>49800</v>
      </c>
      <c r="T2541" t="s">
        <v>49801</v>
      </c>
      <c r="U2541" t="s">
        <v>49802</v>
      </c>
      <c r="V2541" t="s">
        <v>49803</v>
      </c>
      <c r="W2541" t="s">
        <v>49804</v>
      </c>
      <c r="X2541" t="s">
        <v>49805</v>
      </c>
      <c r="Y2541" t="s">
        <v>49806</v>
      </c>
    </row>
    <row r="2542" spans="1:25" x14ac:dyDescent="0.3">
      <c r="A2542">
        <v>127050</v>
      </c>
      <c r="B2542" t="s">
        <v>49807</v>
      </c>
      <c r="C2542" t="s">
        <v>49808</v>
      </c>
      <c r="D2542" t="s">
        <v>49809</v>
      </c>
      <c r="E2542" t="s">
        <v>49810</v>
      </c>
      <c r="F2542" t="s">
        <v>49811</v>
      </c>
      <c r="G2542" t="s">
        <v>49812</v>
      </c>
      <c r="H2542" t="s">
        <v>49813</v>
      </c>
      <c r="I2542" t="s">
        <v>49814</v>
      </c>
      <c r="J2542" t="s">
        <v>49815</v>
      </c>
      <c r="K2542" t="s">
        <v>49816</v>
      </c>
      <c r="L2542" t="s">
        <v>49817</v>
      </c>
      <c r="M2542" t="s">
        <v>49818</v>
      </c>
      <c r="N2542" t="s">
        <v>49819</v>
      </c>
      <c r="O2542">
        <f>-581.178521366539 -113.596086952482 -703.34761766669</f>
        <v>-1398.1222259857109</v>
      </c>
      <c r="P2542">
        <f>-611.52472010373 -68.3550094428683 -391.548708816604</f>
        <v>-1071.4284383632023</v>
      </c>
      <c r="Q2542" t="s">
        <v>49820</v>
      </c>
      <c r="R2542" t="s">
        <v>49821</v>
      </c>
      <c r="S2542" t="s">
        <v>49822</v>
      </c>
      <c r="T2542" t="s">
        <v>49823</v>
      </c>
      <c r="U2542" t="s">
        <v>49824</v>
      </c>
      <c r="V2542" t="s">
        <v>49825</v>
      </c>
      <c r="W2542" t="s">
        <v>49826</v>
      </c>
      <c r="X2542" t="s">
        <v>49827</v>
      </c>
      <c r="Y2542" t="s">
        <v>49828</v>
      </c>
    </row>
    <row r="2543" spans="1:25" x14ac:dyDescent="0.3">
      <c r="A2543">
        <v>127100</v>
      </c>
      <c r="B2543" t="s">
        <v>49829</v>
      </c>
      <c r="C2543" t="s">
        <v>49830</v>
      </c>
      <c r="D2543" t="s">
        <v>49831</v>
      </c>
      <c r="E2543" t="s">
        <v>49832</v>
      </c>
      <c r="F2543" t="s">
        <v>49833</v>
      </c>
      <c r="G2543" t="s">
        <v>49834</v>
      </c>
      <c r="H2543" t="s">
        <v>49835</v>
      </c>
      <c r="I2543" t="s">
        <v>49836</v>
      </c>
      <c r="J2543" t="s">
        <v>49837</v>
      </c>
      <c r="K2543" t="s">
        <v>49838</v>
      </c>
      <c r="L2543" t="s">
        <v>49839</v>
      </c>
      <c r="M2543" t="s">
        <v>49840</v>
      </c>
      <c r="N2543" t="s">
        <v>49841</v>
      </c>
      <c r="O2543">
        <f>-582.685204001276 -114.024873539524 -702.601754499249</f>
        <v>-1399.311832040049</v>
      </c>
      <c r="P2543">
        <f>-612.670586661226 -69.2878943867431 -390.695139159815</f>
        <v>-1072.6536202077841</v>
      </c>
      <c r="Q2543" t="s">
        <v>49842</v>
      </c>
      <c r="R2543" t="s">
        <v>49843</v>
      </c>
      <c r="S2543" t="s">
        <v>49844</v>
      </c>
      <c r="T2543" t="s">
        <v>49845</v>
      </c>
      <c r="U2543" t="s">
        <v>49846</v>
      </c>
      <c r="V2543" t="s">
        <v>49847</v>
      </c>
      <c r="W2543" t="s">
        <v>49848</v>
      </c>
      <c r="X2543" t="s">
        <v>49849</v>
      </c>
      <c r="Y2543" t="s">
        <v>49850</v>
      </c>
    </row>
    <row r="2544" spans="1:25" x14ac:dyDescent="0.3">
      <c r="A2544">
        <v>127150</v>
      </c>
      <c r="B2544" t="s">
        <v>49851</v>
      </c>
      <c r="C2544" t="s">
        <v>49852</v>
      </c>
      <c r="D2544" t="s">
        <v>49853</v>
      </c>
      <c r="E2544" t="s">
        <v>49854</v>
      </c>
      <c r="F2544" t="s">
        <v>49855</v>
      </c>
      <c r="G2544" t="s">
        <v>49856</v>
      </c>
      <c r="H2544" t="s">
        <v>49857</v>
      </c>
      <c r="I2544" t="s">
        <v>49858</v>
      </c>
      <c r="J2544" t="s">
        <v>49859</v>
      </c>
      <c r="K2544" t="s">
        <v>49860</v>
      </c>
      <c r="L2544" t="s">
        <v>49861</v>
      </c>
      <c r="M2544" t="s">
        <v>49862</v>
      </c>
      <c r="N2544" t="s">
        <v>49863</v>
      </c>
      <c r="O2544">
        <f>-585.011623625302 -113.598182537222 -702.436922789709</f>
        <v>-1401.046728952233</v>
      </c>
      <c r="P2544">
        <f>-614.691711983567 -70.5610379643165 -390.262202667823</f>
        <v>-1075.5149526157065</v>
      </c>
      <c r="Q2544" t="s">
        <v>49864</v>
      </c>
      <c r="R2544" t="s">
        <v>49865</v>
      </c>
      <c r="S2544" t="s">
        <v>49866</v>
      </c>
      <c r="T2544" t="s">
        <v>49867</v>
      </c>
      <c r="U2544" t="s">
        <v>49868</v>
      </c>
      <c r="V2544" t="s">
        <v>49869</v>
      </c>
      <c r="W2544" t="s">
        <v>49870</v>
      </c>
      <c r="X2544" t="s">
        <v>49871</v>
      </c>
      <c r="Y2544" t="s">
        <v>49872</v>
      </c>
    </row>
    <row r="2545" spans="1:25" x14ac:dyDescent="0.3">
      <c r="A2545">
        <v>127200</v>
      </c>
      <c r="B2545" t="s">
        <v>49873</v>
      </c>
      <c r="C2545" t="s">
        <v>49874</v>
      </c>
      <c r="D2545" t="s">
        <v>49875</v>
      </c>
      <c r="E2545" t="s">
        <v>49876</v>
      </c>
      <c r="F2545" t="s">
        <v>49877</v>
      </c>
      <c r="G2545" t="s">
        <v>49878</v>
      </c>
      <c r="H2545" t="s">
        <v>49879</v>
      </c>
      <c r="I2545" t="s">
        <v>49880</v>
      </c>
      <c r="J2545" t="s">
        <v>49881</v>
      </c>
      <c r="K2545" t="s">
        <v>49882</v>
      </c>
      <c r="L2545" t="s">
        <v>49883</v>
      </c>
      <c r="M2545" t="s">
        <v>49884</v>
      </c>
      <c r="N2545" t="s">
        <v>49885</v>
      </c>
      <c r="O2545">
        <f>-586.166803200326 -113.541134421308 -702.474680390838</f>
        <v>-1402.1826180124719</v>
      </c>
      <c r="P2545">
        <f>-615.766170197248 -70.7113784203907 -390.263751698711</f>
        <v>-1076.7413003163497</v>
      </c>
      <c r="Q2545" t="s">
        <v>49886</v>
      </c>
      <c r="R2545" t="s">
        <v>49887</v>
      </c>
      <c r="S2545" t="s">
        <v>49888</v>
      </c>
      <c r="T2545" t="s">
        <v>49889</v>
      </c>
      <c r="U2545" t="s">
        <v>49890</v>
      </c>
      <c r="V2545" t="s">
        <v>49891</v>
      </c>
      <c r="W2545" t="s">
        <v>49892</v>
      </c>
      <c r="X2545" t="s">
        <v>49893</v>
      </c>
      <c r="Y2545" t="s">
        <v>49894</v>
      </c>
    </row>
    <row r="2546" spans="1:25" x14ac:dyDescent="0.3">
      <c r="A2546">
        <v>127250</v>
      </c>
      <c r="B2546" t="s">
        <v>49895</v>
      </c>
      <c r="C2546" t="s">
        <v>49896</v>
      </c>
      <c r="D2546" t="s">
        <v>49897</v>
      </c>
      <c r="E2546" t="s">
        <v>49898</v>
      </c>
      <c r="F2546" t="s">
        <v>49899</v>
      </c>
      <c r="G2546" t="s">
        <v>49900</v>
      </c>
      <c r="H2546" t="s">
        <v>49901</v>
      </c>
      <c r="I2546" t="s">
        <v>49902</v>
      </c>
      <c r="J2546" t="s">
        <v>49903</v>
      </c>
      <c r="K2546" t="s">
        <v>49904</v>
      </c>
      <c r="L2546" t="s">
        <v>49905</v>
      </c>
      <c r="M2546" t="s">
        <v>49906</v>
      </c>
      <c r="N2546" t="s">
        <v>49907</v>
      </c>
      <c r="O2546">
        <f>-588.004225398674 -113.569537372888 -702.501174434077</f>
        <v>-1404.0749372056389</v>
      </c>
      <c r="P2546">
        <f>-617.550437142958 -70.3752200731733 -390.335457950402</f>
        <v>-1078.2611151665333</v>
      </c>
      <c r="Q2546" t="s">
        <v>49908</v>
      </c>
      <c r="R2546" t="s">
        <v>49909</v>
      </c>
      <c r="S2546" t="s">
        <v>49910</v>
      </c>
      <c r="T2546" t="s">
        <v>49911</v>
      </c>
      <c r="U2546" t="s">
        <v>49912</v>
      </c>
      <c r="V2546" t="s">
        <v>49913</v>
      </c>
      <c r="W2546" t="s">
        <v>49914</v>
      </c>
      <c r="X2546" t="s">
        <v>49915</v>
      </c>
      <c r="Y2546" t="s">
        <v>49916</v>
      </c>
    </row>
    <row r="2547" spans="1:25" x14ac:dyDescent="0.3">
      <c r="A2547">
        <v>127300</v>
      </c>
      <c r="B2547" t="s">
        <v>49917</v>
      </c>
      <c r="C2547" t="s">
        <v>49918</v>
      </c>
      <c r="D2547" t="s">
        <v>49919</v>
      </c>
      <c r="E2547" t="s">
        <v>49920</v>
      </c>
      <c r="F2547" t="s">
        <v>49921</v>
      </c>
      <c r="G2547" t="s">
        <v>49922</v>
      </c>
      <c r="H2547" t="s">
        <v>49923</v>
      </c>
      <c r="I2547" t="s">
        <v>49924</v>
      </c>
      <c r="J2547" t="s">
        <v>49925</v>
      </c>
      <c r="K2547" t="s">
        <v>49926</v>
      </c>
      <c r="L2547" t="s">
        <v>49927</v>
      </c>
      <c r="M2547" t="s">
        <v>49928</v>
      </c>
      <c r="N2547" t="s">
        <v>49929</v>
      </c>
      <c r="O2547">
        <f>-588.394712102362 -113.211641078695 -702.703608325611</f>
        <v>-1404.3099615066681</v>
      </c>
      <c r="P2547">
        <f>-617.878765607855 -69.294889508461 -390.632719250368</f>
        <v>-1077.8063743666839</v>
      </c>
      <c r="Q2547" t="s">
        <v>49930</v>
      </c>
      <c r="R2547" t="s">
        <v>49931</v>
      </c>
      <c r="S2547" t="s">
        <v>49932</v>
      </c>
      <c r="T2547" t="s">
        <v>49933</v>
      </c>
      <c r="U2547" t="s">
        <v>49934</v>
      </c>
      <c r="V2547" t="s">
        <v>49935</v>
      </c>
      <c r="W2547" t="s">
        <v>49936</v>
      </c>
      <c r="X2547" t="s">
        <v>49937</v>
      </c>
      <c r="Y2547" t="s">
        <v>49938</v>
      </c>
    </row>
    <row r="2548" spans="1:25" x14ac:dyDescent="0.3">
      <c r="A2548">
        <v>127350</v>
      </c>
      <c r="B2548" t="s">
        <v>49939</v>
      </c>
      <c r="C2548" t="s">
        <v>49940</v>
      </c>
      <c r="D2548" t="s">
        <v>49941</v>
      </c>
      <c r="E2548" t="s">
        <v>49942</v>
      </c>
      <c r="F2548" t="s">
        <v>49943</v>
      </c>
      <c r="G2548" t="s">
        <v>49944</v>
      </c>
      <c r="H2548" t="s">
        <v>49945</v>
      </c>
      <c r="I2548" t="s">
        <v>49946</v>
      </c>
      <c r="J2548" t="s">
        <v>49947</v>
      </c>
      <c r="K2548" t="s">
        <v>49948</v>
      </c>
      <c r="L2548" t="s">
        <v>49949</v>
      </c>
      <c r="M2548" t="s">
        <v>49950</v>
      </c>
      <c r="N2548" t="s">
        <v>49951</v>
      </c>
      <c r="O2548">
        <f>-588.58956677326 -112.83554812763 -702.932993472287</f>
        <v>-1404.3581083731769</v>
      </c>
      <c r="P2548">
        <f>-617.73307079739 -68.8616652460896 -390.838255668844</f>
        <v>-1077.4329917123237</v>
      </c>
      <c r="Q2548" t="s">
        <v>49952</v>
      </c>
      <c r="R2548" t="s">
        <v>49953</v>
      </c>
      <c r="S2548" t="s">
        <v>49954</v>
      </c>
      <c r="T2548" t="s">
        <v>49955</v>
      </c>
      <c r="U2548" t="s">
        <v>49956</v>
      </c>
      <c r="V2548" t="s">
        <v>49957</v>
      </c>
      <c r="W2548" t="s">
        <v>49958</v>
      </c>
      <c r="X2548" t="s">
        <v>49959</v>
      </c>
      <c r="Y2548" t="s">
        <v>49960</v>
      </c>
    </row>
    <row r="2549" spans="1:25" x14ac:dyDescent="0.3">
      <c r="A2549">
        <v>127400</v>
      </c>
      <c r="B2549" t="s">
        <v>49961</v>
      </c>
      <c r="C2549" t="s">
        <v>49962</v>
      </c>
      <c r="D2549" t="s">
        <v>49963</v>
      </c>
      <c r="E2549" t="s">
        <v>49964</v>
      </c>
      <c r="F2549" t="s">
        <v>49965</v>
      </c>
      <c r="G2549" t="s">
        <v>49966</v>
      </c>
      <c r="H2549" t="s">
        <v>49967</v>
      </c>
      <c r="I2549" t="s">
        <v>49968</v>
      </c>
      <c r="J2549" t="s">
        <v>49969</v>
      </c>
      <c r="K2549" t="s">
        <v>49970</v>
      </c>
      <c r="L2549" t="s">
        <v>49971</v>
      </c>
      <c r="M2549" t="s">
        <v>49972</v>
      </c>
      <c r="N2549" t="s">
        <v>49973</v>
      </c>
      <c r="O2549">
        <f>-587.992344560512 -112.690771928668 -702.905224847855</f>
        <v>-1403.5883413370352</v>
      </c>
      <c r="P2549">
        <f>-616.812014933067 -68.3343757135858 -390.834561661289</f>
        <v>-1075.9809523079418</v>
      </c>
      <c r="Q2549" t="s">
        <v>49974</v>
      </c>
      <c r="R2549" t="s">
        <v>49975</v>
      </c>
      <c r="S2549" t="s">
        <v>49976</v>
      </c>
      <c r="T2549" t="s">
        <v>49977</v>
      </c>
      <c r="U2549" t="s">
        <v>49978</v>
      </c>
      <c r="V2549" t="s">
        <v>49979</v>
      </c>
      <c r="W2549" t="s">
        <v>49980</v>
      </c>
      <c r="X2549" t="s">
        <v>49981</v>
      </c>
      <c r="Y2549" t="s">
        <v>49982</v>
      </c>
    </row>
    <row r="2550" spans="1:25" x14ac:dyDescent="0.3">
      <c r="A2550">
        <v>127450</v>
      </c>
      <c r="B2550" t="s">
        <v>49961</v>
      </c>
      <c r="C2550" t="s">
        <v>49962</v>
      </c>
      <c r="D2550" t="s">
        <v>49963</v>
      </c>
      <c r="E2550" t="s">
        <v>49964</v>
      </c>
      <c r="F2550" t="s">
        <v>49965</v>
      </c>
      <c r="G2550" t="s">
        <v>49966</v>
      </c>
      <c r="H2550" t="s">
        <v>49967</v>
      </c>
      <c r="I2550" t="s">
        <v>49968</v>
      </c>
      <c r="J2550" t="s">
        <v>49969</v>
      </c>
      <c r="K2550" t="s">
        <v>49970</v>
      </c>
      <c r="L2550" t="s">
        <v>49971</v>
      </c>
      <c r="M2550" t="s">
        <v>49972</v>
      </c>
      <c r="N2550" t="s">
        <v>49973</v>
      </c>
      <c r="O2550">
        <f>-587.992344560512 -112.690771928668 -702.905224847855</f>
        <v>-1403.5883413370352</v>
      </c>
      <c r="P2550">
        <f>-616.812014933067 -68.3343757135858 -390.834561661289</f>
        <v>-1075.9809523079418</v>
      </c>
      <c r="Q2550" t="s">
        <v>49974</v>
      </c>
      <c r="R2550" t="s">
        <v>49975</v>
      </c>
      <c r="S2550" t="s">
        <v>49976</v>
      </c>
      <c r="T2550" t="s">
        <v>49977</v>
      </c>
      <c r="U2550" t="s">
        <v>49978</v>
      </c>
      <c r="V2550" t="s">
        <v>49979</v>
      </c>
      <c r="W2550" t="s">
        <v>49980</v>
      </c>
      <c r="X2550" t="s">
        <v>49981</v>
      </c>
      <c r="Y2550" t="s">
        <v>49982</v>
      </c>
    </row>
    <row r="2551" spans="1:25" x14ac:dyDescent="0.3">
      <c r="A2551">
        <v>127500</v>
      </c>
      <c r="B2551" t="s">
        <v>49983</v>
      </c>
      <c r="C2551" t="s">
        <v>49984</v>
      </c>
      <c r="D2551" t="s">
        <v>49985</v>
      </c>
      <c r="E2551" t="s">
        <v>49986</v>
      </c>
      <c r="F2551" t="s">
        <v>49987</v>
      </c>
      <c r="G2551" t="s">
        <v>49988</v>
      </c>
      <c r="H2551" t="s">
        <v>49989</v>
      </c>
      <c r="I2551" t="s">
        <v>49990</v>
      </c>
      <c r="J2551" t="s">
        <v>49991</v>
      </c>
      <c r="K2551" t="s">
        <v>49992</v>
      </c>
      <c r="L2551" t="s">
        <v>49993</v>
      </c>
      <c r="M2551" t="s">
        <v>49994</v>
      </c>
      <c r="N2551" t="s">
        <v>49995</v>
      </c>
      <c r="O2551">
        <f>-587.336724226384 -112.538267509085 -703.024347953591</f>
        <v>-1402.8993396890601</v>
      </c>
      <c r="P2551">
        <f>-615.28663669434 -68.0885224344211 -390.887754919863</f>
        <v>-1074.2629140486242</v>
      </c>
      <c r="Q2551" t="s">
        <v>49996</v>
      </c>
      <c r="R2551" t="s">
        <v>49997</v>
      </c>
      <c r="S2551" t="s">
        <v>49998</v>
      </c>
      <c r="T2551" t="s">
        <v>49999</v>
      </c>
      <c r="U2551" t="s">
        <v>50000</v>
      </c>
      <c r="V2551" t="s">
        <v>50001</v>
      </c>
      <c r="W2551" t="s">
        <v>50002</v>
      </c>
      <c r="X2551" t="s">
        <v>50003</v>
      </c>
      <c r="Y2551" t="s">
        <v>50004</v>
      </c>
    </row>
    <row r="2552" spans="1:25" x14ac:dyDescent="0.3">
      <c r="A2552">
        <v>127550</v>
      </c>
      <c r="B2552" t="s">
        <v>50005</v>
      </c>
      <c r="C2552" t="s">
        <v>50006</v>
      </c>
      <c r="D2552" t="s">
        <v>50007</v>
      </c>
      <c r="E2552" t="s">
        <v>50008</v>
      </c>
      <c r="F2552" t="s">
        <v>50009</v>
      </c>
      <c r="G2552" t="s">
        <v>50010</v>
      </c>
      <c r="H2552" t="s">
        <v>50011</v>
      </c>
      <c r="I2552" t="s">
        <v>50012</v>
      </c>
      <c r="J2552" t="s">
        <v>50013</v>
      </c>
      <c r="K2552" t="s">
        <v>50014</v>
      </c>
      <c r="L2552" t="s">
        <v>50015</v>
      </c>
      <c r="M2552" t="s">
        <v>50016</v>
      </c>
      <c r="N2552" t="s">
        <v>50017</v>
      </c>
      <c r="O2552">
        <f>-587.735076531419 -110.853022394485 -705.171412194648</f>
        <v>-1403.7595111205521</v>
      </c>
      <c r="P2552">
        <f>-613.728880037295 -69.4524311038203 -392.447029388735</f>
        <v>-1075.6283405298504</v>
      </c>
      <c r="Q2552" t="s">
        <v>50018</v>
      </c>
      <c r="R2552" t="s">
        <v>50019</v>
      </c>
      <c r="S2552" t="s">
        <v>50020</v>
      </c>
      <c r="T2552" t="s">
        <v>50021</v>
      </c>
      <c r="U2552" t="s">
        <v>50022</v>
      </c>
      <c r="V2552" t="s">
        <v>50023</v>
      </c>
      <c r="W2552" t="s">
        <v>50024</v>
      </c>
      <c r="X2552" t="s">
        <v>50025</v>
      </c>
      <c r="Y2552" t="s">
        <v>50026</v>
      </c>
    </row>
    <row r="2553" spans="1:25" x14ac:dyDescent="0.3">
      <c r="A2553">
        <v>127600</v>
      </c>
      <c r="B2553" t="s">
        <v>50027</v>
      </c>
      <c r="C2553" t="s">
        <v>50028</v>
      </c>
      <c r="D2553" t="s">
        <v>50029</v>
      </c>
      <c r="E2553" t="s">
        <v>50030</v>
      </c>
      <c r="F2553" t="s">
        <v>50031</v>
      </c>
      <c r="G2553" t="s">
        <v>50032</v>
      </c>
      <c r="H2553" t="s">
        <v>50033</v>
      </c>
      <c r="I2553" t="s">
        <v>50034</v>
      </c>
      <c r="J2553" t="s">
        <v>50035</v>
      </c>
      <c r="K2553" t="s">
        <v>50036</v>
      </c>
      <c r="L2553" t="s">
        <v>50037</v>
      </c>
      <c r="M2553" t="s">
        <v>50038</v>
      </c>
      <c r="N2553" t="s">
        <v>50039</v>
      </c>
      <c r="O2553">
        <f>-587.897366103823 -110.424416829166 -705.532851404932</f>
        <v>-1403.854634337921</v>
      </c>
      <c r="P2553">
        <f>-613.549464327432 -69.2928627590263 -392.744808481624</f>
        <v>-1075.5871355680824</v>
      </c>
      <c r="Q2553" t="s">
        <v>50040</v>
      </c>
      <c r="R2553" t="s">
        <v>50041</v>
      </c>
      <c r="S2553" t="s">
        <v>50042</v>
      </c>
      <c r="T2553" t="s">
        <v>50043</v>
      </c>
      <c r="U2553" t="s">
        <v>50044</v>
      </c>
      <c r="V2553" t="s">
        <v>50045</v>
      </c>
      <c r="W2553" t="s">
        <v>50046</v>
      </c>
      <c r="X2553" t="s">
        <v>50047</v>
      </c>
      <c r="Y2553" t="s">
        <v>50048</v>
      </c>
    </row>
    <row r="2554" spans="1:25" x14ac:dyDescent="0.3">
      <c r="A2554">
        <v>127650</v>
      </c>
      <c r="B2554" t="s">
        <v>50049</v>
      </c>
      <c r="C2554" t="s">
        <v>50050</v>
      </c>
      <c r="D2554" t="s">
        <v>50051</v>
      </c>
      <c r="E2554" t="s">
        <v>50052</v>
      </c>
      <c r="F2554" t="s">
        <v>50053</v>
      </c>
      <c r="G2554" t="s">
        <v>50054</v>
      </c>
      <c r="H2554" t="s">
        <v>50055</v>
      </c>
      <c r="I2554" t="s">
        <v>50056</v>
      </c>
      <c r="J2554" t="s">
        <v>50057</v>
      </c>
      <c r="K2554" t="s">
        <v>50058</v>
      </c>
      <c r="L2554" t="s">
        <v>50059</v>
      </c>
      <c r="M2554" t="s">
        <v>50060</v>
      </c>
      <c r="N2554" t="s">
        <v>50061</v>
      </c>
      <c r="O2554">
        <f>-587.794673561468 -109.828193736511 -706.094090109036</f>
        <v>-1403.7169574070149</v>
      </c>
      <c r="P2554">
        <f>-612.58748503006 -68.9438709712222 -393.204435101528</f>
        <v>-1074.7357911028103</v>
      </c>
      <c r="Q2554" t="s">
        <v>50062</v>
      </c>
      <c r="R2554" t="s">
        <v>50063</v>
      </c>
      <c r="S2554" t="s">
        <v>50064</v>
      </c>
      <c r="T2554" t="s">
        <v>50065</v>
      </c>
      <c r="U2554" t="s">
        <v>50066</v>
      </c>
      <c r="V2554" t="s">
        <v>50067</v>
      </c>
      <c r="W2554" t="s">
        <v>50068</v>
      </c>
      <c r="X2554" t="s">
        <v>50069</v>
      </c>
      <c r="Y2554" t="s">
        <v>50070</v>
      </c>
    </row>
    <row r="2555" spans="1:25" x14ac:dyDescent="0.3">
      <c r="A2555">
        <v>127700</v>
      </c>
      <c r="B2555" t="s">
        <v>50071</v>
      </c>
      <c r="C2555" t="s">
        <v>50072</v>
      </c>
      <c r="D2555" t="s">
        <v>50073</v>
      </c>
      <c r="E2555" t="s">
        <v>50074</v>
      </c>
      <c r="F2555" t="s">
        <v>50075</v>
      </c>
      <c r="G2555" t="s">
        <v>50076</v>
      </c>
      <c r="H2555" t="s">
        <v>50077</v>
      </c>
      <c r="I2555" t="s">
        <v>50078</v>
      </c>
      <c r="J2555" t="s">
        <v>50079</v>
      </c>
      <c r="K2555" t="s">
        <v>50080</v>
      </c>
      <c r="L2555" t="s">
        <v>50081</v>
      </c>
      <c r="M2555" t="s">
        <v>50082</v>
      </c>
      <c r="N2555" t="s">
        <v>50083</v>
      </c>
      <c r="O2555">
        <f>-587.726361932638 -109.827387596891 -706.259486432297</f>
        <v>-1403.813235961826</v>
      </c>
      <c r="P2555">
        <f>-611.967774216682 -68.9817155408098 -393.321566398047</f>
        <v>-1074.2710561555386</v>
      </c>
      <c r="Q2555" t="s">
        <v>50084</v>
      </c>
      <c r="R2555" t="s">
        <v>50085</v>
      </c>
      <c r="S2555" t="s">
        <v>50086</v>
      </c>
      <c r="T2555" t="s">
        <v>50087</v>
      </c>
      <c r="U2555" t="s">
        <v>50088</v>
      </c>
      <c r="V2555" t="s">
        <v>50089</v>
      </c>
      <c r="W2555" t="s">
        <v>50090</v>
      </c>
      <c r="X2555" t="s">
        <v>50091</v>
      </c>
      <c r="Y2555" t="s">
        <v>50092</v>
      </c>
    </row>
    <row r="2556" spans="1:25" x14ac:dyDescent="0.3">
      <c r="A2556">
        <v>127750</v>
      </c>
      <c r="B2556" t="s">
        <v>50093</v>
      </c>
      <c r="C2556" t="s">
        <v>50094</v>
      </c>
      <c r="D2556" t="s">
        <v>50095</v>
      </c>
      <c r="E2556" t="s">
        <v>50096</v>
      </c>
      <c r="F2556" t="s">
        <v>50097</v>
      </c>
      <c r="G2556" t="s">
        <v>50098</v>
      </c>
      <c r="H2556" t="s">
        <v>50099</v>
      </c>
      <c r="I2556" t="s">
        <v>50100</v>
      </c>
      <c r="J2556" t="s">
        <v>50101</v>
      </c>
      <c r="K2556" t="s">
        <v>50102</v>
      </c>
      <c r="L2556" t="s">
        <v>50103</v>
      </c>
      <c r="M2556" t="s">
        <v>50104</v>
      </c>
      <c r="N2556" t="s">
        <v>50105</v>
      </c>
      <c r="O2556">
        <f>-587.812894034053 -109.86702065395 -706.548363493868</f>
        <v>-1404.228278181871</v>
      </c>
      <c r="P2556">
        <f>-610.436450620768 -69.0149077082829 -393.489969902778</f>
        <v>-1072.9413282318289</v>
      </c>
      <c r="Q2556" t="s">
        <v>50106</v>
      </c>
      <c r="R2556" t="s">
        <v>50107</v>
      </c>
      <c r="S2556" t="s">
        <v>50108</v>
      </c>
      <c r="T2556" t="s">
        <v>50109</v>
      </c>
      <c r="U2556" t="s">
        <v>50110</v>
      </c>
      <c r="V2556" t="s">
        <v>50111</v>
      </c>
      <c r="W2556" t="s">
        <v>50112</v>
      </c>
      <c r="X2556" t="s">
        <v>50113</v>
      </c>
      <c r="Y2556" t="s">
        <v>50114</v>
      </c>
    </row>
    <row r="2557" spans="1:25" x14ac:dyDescent="0.3">
      <c r="A2557">
        <v>127800</v>
      </c>
      <c r="B2557" t="s">
        <v>50115</v>
      </c>
      <c r="C2557" t="s">
        <v>50116</v>
      </c>
      <c r="D2557" t="s">
        <v>50117</v>
      </c>
      <c r="E2557" t="s">
        <v>50118</v>
      </c>
      <c r="F2557" t="s">
        <v>50119</v>
      </c>
      <c r="G2557" t="s">
        <v>50120</v>
      </c>
      <c r="H2557" t="s">
        <v>50121</v>
      </c>
      <c r="I2557" t="s">
        <v>50122</v>
      </c>
      <c r="J2557" t="s">
        <v>50123</v>
      </c>
      <c r="K2557" t="s">
        <v>50124</v>
      </c>
      <c r="L2557" t="s">
        <v>50125</v>
      </c>
      <c r="M2557" t="s">
        <v>50126</v>
      </c>
      <c r="N2557" t="s">
        <v>50127</v>
      </c>
      <c r="O2557">
        <f>-587.791839199788 -109.952682393319 -706.618972712573</f>
        <v>-1404.36349430568</v>
      </c>
      <c r="P2557">
        <f>-609.870003612138 -69.1878038278146 -393.510429435719</f>
        <v>-1072.5682368756716</v>
      </c>
      <c r="Q2557" t="s">
        <v>50128</v>
      </c>
      <c r="R2557" t="s">
        <v>50129</v>
      </c>
      <c r="S2557" t="s">
        <v>50130</v>
      </c>
      <c r="T2557" t="s">
        <v>50131</v>
      </c>
      <c r="U2557" t="s">
        <v>50132</v>
      </c>
      <c r="V2557" t="s">
        <v>50133</v>
      </c>
      <c r="W2557" t="s">
        <v>50134</v>
      </c>
      <c r="X2557" t="s">
        <v>50135</v>
      </c>
      <c r="Y2557" t="s">
        <v>50136</v>
      </c>
    </row>
    <row r="2558" spans="1:25" x14ac:dyDescent="0.3">
      <c r="A2558">
        <v>127850</v>
      </c>
      <c r="B2558" t="s">
        <v>50137</v>
      </c>
      <c r="C2558" t="s">
        <v>50138</v>
      </c>
      <c r="D2558" t="s">
        <v>50139</v>
      </c>
      <c r="E2558" t="s">
        <v>50140</v>
      </c>
      <c r="F2558" t="s">
        <v>50141</v>
      </c>
      <c r="G2558" t="s">
        <v>50142</v>
      </c>
      <c r="H2558" t="s">
        <v>50143</v>
      </c>
      <c r="I2558" t="s">
        <v>50144</v>
      </c>
      <c r="J2558" t="s">
        <v>50145</v>
      </c>
      <c r="K2558" t="s">
        <v>50146</v>
      </c>
      <c r="L2558" t="s">
        <v>50147</v>
      </c>
      <c r="M2558" t="s">
        <v>50148</v>
      </c>
      <c r="N2558" t="s">
        <v>50149</v>
      </c>
      <c r="O2558">
        <f>-587.650549490341 -109.978850934373 -706.708186798808</f>
        <v>-1404.337587223522</v>
      </c>
      <c r="P2558">
        <f>-608.675713288986 -69.8778475702754 -393.441480279419</f>
        <v>-1071.9950411386803</v>
      </c>
      <c r="Q2558" t="s">
        <v>50150</v>
      </c>
      <c r="R2558" t="s">
        <v>50151</v>
      </c>
      <c r="S2558" t="s">
        <v>50152</v>
      </c>
      <c r="T2558" t="s">
        <v>50153</v>
      </c>
      <c r="U2558" t="s">
        <v>50154</v>
      </c>
      <c r="V2558" t="s">
        <v>50155</v>
      </c>
      <c r="W2558" t="s">
        <v>50156</v>
      </c>
      <c r="X2558" t="s">
        <v>50157</v>
      </c>
      <c r="Y2558" t="s">
        <v>50158</v>
      </c>
    </row>
    <row r="2559" spans="1:25" x14ac:dyDescent="0.3">
      <c r="A2559">
        <v>127900</v>
      </c>
      <c r="B2559" t="s">
        <v>50159</v>
      </c>
      <c r="C2559" t="s">
        <v>50160</v>
      </c>
      <c r="D2559" t="s">
        <v>50161</v>
      </c>
      <c r="E2559" t="s">
        <v>50162</v>
      </c>
      <c r="F2559" t="s">
        <v>50163</v>
      </c>
      <c r="G2559" t="s">
        <v>50164</v>
      </c>
      <c r="H2559" t="s">
        <v>50165</v>
      </c>
      <c r="I2559" t="s">
        <v>50166</v>
      </c>
      <c r="J2559" t="s">
        <v>50167</v>
      </c>
      <c r="K2559" t="s">
        <v>50168</v>
      </c>
      <c r="L2559" t="s">
        <v>50169</v>
      </c>
      <c r="M2559" t="s">
        <v>50170</v>
      </c>
      <c r="N2559" t="s">
        <v>50171</v>
      </c>
      <c r="O2559">
        <f>-587.561092848498 -109.81906987903 -706.919500141272</f>
        <v>-1404.2996628687999</v>
      </c>
      <c r="P2559">
        <f>-607.878202058748 -69.9362818058999 -393.578128194912</f>
        <v>-1071.3926120595597</v>
      </c>
      <c r="Q2559" t="s">
        <v>50172</v>
      </c>
      <c r="R2559" t="s">
        <v>50173</v>
      </c>
      <c r="S2559" t="s">
        <v>50174</v>
      </c>
      <c r="T2559" t="s">
        <v>50175</v>
      </c>
      <c r="U2559" t="s">
        <v>50176</v>
      </c>
      <c r="V2559" t="s">
        <v>50177</v>
      </c>
      <c r="W2559" t="s">
        <v>50178</v>
      </c>
      <c r="X2559" t="s">
        <v>50179</v>
      </c>
      <c r="Y2559" t="s">
        <v>50180</v>
      </c>
    </row>
    <row r="2560" spans="1:25" x14ac:dyDescent="0.3">
      <c r="A2560">
        <v>127950</v>
      </c>
      <c r="B2560" t="s">
        <v>50181</v>
      </c>
      <c r="C2560" t="s">
        <v>50182</v>
      </c>
      <c r="D2560" t="s">
        <v>50183</v>
      </c>
      <c r="E2560" t="s">
        <v>50184</v>
      </c>
      <c r="F2560" t="s">
        <v>50185</v>
      </c>
      <c r="G2560" t="s">
        <v>50186</v>
      </c>
      <c r="H2560" t="s">
        <v>50187</v>
      </c>
      <c r="I2560" t="s">
        <v>50188</v>
      </c>
      <c r="J2560" t="s">
        <v>50189</v>
      </c>
      <c r="K2560" t="s">
        <v>50190</v>
      </c>
      <c r="L2560" t="s">
        <v>50191</v>
      </c>
      <c r="M2560" t="s">
        <v>50192</v>
      </c>
      <c r="N2560" t="s">
        <v>50193</v>
      </c>
      <c r="O2560">
        <f>-587.437548149291 -109.803284625765 -707.126534451266</f>
        <v>-1404.3673672263221</v>
      </c>
      <c r="P2560">
        <f>-607.281297216091 -70.1153717674486 -393.730112453609</f>
        <v>-1071.1267814371486</v>
      </c>
      <c r="Q2560" t="s">
        <v>50194</v>
      </c>
      <c r="R2560" t="s">
        <v>50195</v>
      </c>
      <c r="S2560" t="s">
        <v>50196</v>
      </c>
      <c r="T2560" t="s">
        <v>50197</v>
      </c>
      <c r="U2560" t="s">
        <v>50198</v>
      </c>
      <c r="V2560" t="s">
        <v>50199</v>
      </c>
      <c r="W2560" t="s">
        <v>50200</v>
      </c>
      <c r="X2560" t="s">
        <v>50201</v>
      </c>
      <c r="Y2560" t="s">
        <v>50202</v>
      </c>
    </row>
    <row r="2561" spans="1:25" x14ac:dyDescent="0.3">
      <c r="A2561">
        <v>128000</v>
      </c>
      <c r="B2561" t="s">
        <v>50203</v>
      </c>
      <c r="C2561" t="s">
        <v>50204</v>
      </c>
      <c r="D2561" t="s">
        <v>50205</v>
      </c>
      <c r="E2561" t="s">
        <v>50206</v>
      </c>
      <c r="F2561" t="s">
        <v>50207</v>
      </c>
      <c r="G2561" t="s">
        <v>50208</v>
      </c>
      <c r="H2561" t="s">
        <v>50209</v>
      </c>
      <c r="I2561" t="s">
        <v>50210</v>
      </c>
      <c r="J2561" t="s">
        <v>50211</v>
      </c>
      <c r="K2561" t="s">
        <v>50212</v>
      </c>
      <c r="L2561" t="s">
        <v>50213</v>
      </c>
      <c r="M2561" t="s">
        <v>50214</v>
      </c>
      <c r="N2561" t="s">
        <v>50215</v>
      </c>
      <c r="O2561">
        <f>-587.679573003024 -109.651443954708 -707.280008869613</f>
        <v>-1404.611025827345</v>
      </c>
      <c r="P2561">
        <f>-607.131314023392 -69.8656586511852 -393.87145003908</f>
        <v>-1070.8684227136571</v>
      </c>
      <c r="Q2561" t="s">
        <v>50216</v>
      </c>
      <c r="R2561" t="s">
        <v>50217</v>
      </c>
      <c r="S2561" t="s">
        <v>50218</v>
      </c>
      <c r="T2561" t="s">
        <v>50219</v>
      </c>
      <c r="U2561" t="s">
        <v>50220</v>
      </c>
      <c r="V2561" t="s">
        <v>50221</v>
      </c>
      <c r="W2561" t="s">
        <v>50222</v>
      </c>
      <c r="X2561" t="s">
        <v>50223</v>
      </c>
      <c r="Y2561" t="s">
        <v>50224</v>
      </c>
    </row>
    <row r="2562" spans="1:25" x14ac:dyDescent="0.3">
      <c r="A2562">
        <v>128050</v>
      </c>
      <c r="B2562" t="s">
        <v>50225</v>
      </c>
      <c r="C2562" t="s">
        <v>50226</v>
      </c>
      <c r="D2562" t="s">
        <v>50227</v>
      </c>
      <c r="E2562" t="s">
        <v>50228</v>
      </c>
      <c r="F2562" t="s">
        <v>50229</v>
      </c>
      <c r="G2562" t="s">
        <v>50230</v>
      </c>
      <c r="H2562" t="s">
        <v>50231</v>
      </c>
      <c r="I2562" t="s">
        <v>50232</v>
      </c>
      <c r="J2562" t="s">
        <v>50233</v>
      </c>
      <c r="K2562" t="s">
        <v>50234</v>
      </c>
      <c r="L2562" t="s">
        <v>50235</v>
      </c>
      <c r="M2562" t="s">
        <v>50236</v>
      </c>
      <c r="N2562" t="s">
        <v>50237</v>
      </c>
      <c r="O2562">
        <f>-587.386819954231 -109.524768084872 -707.314101621011</f>
        <v>-1404.2256896601139</v>
      </c>
      <c r="P2562">
        <f>-606.552637759828 -70.23015955603 -393.825957911818</f>
        <v>-1070.6087552276761</v>
      </c>
      <c r="Q2562" t="s">
        <v>50238</v>
      </c>
      <c r="R2562" t="s">
        <v>50239</v>
      </c>
      <c r="S2562" t="s">
        <v>50240</v>
      </c>
      <c r="T2562" t="s">
        <v>50241</v>
      </c>
      <c r="U2562" t="s">
        <v>50242</v>
      </c>
      <c r="V2562" t="s">
        <v>50243</v>
      </c>
      <c r="W2562" t="s">
        <v>50244</v>
      </c>
      <c r="X2562" t="s">
        <v>50245</v>
      </c>
      <c r="Y2562" t="s">
        <v>50246</v>
      </c>
    </row>
    <row r="2563" spans="1:25" x14ac:dyDescent="0.3">
      <c r="A2563">
        <v>128100</v>
      </c>
      <c r="B2563" t="s">
        <v>50247</v>
      </c>
      <c r="C2563" t="s">
        <v>50248</v>
      </c>
      <c r="D2563" t="s">
        <v>50249</v>
      </c>
      <c r="E2563" t="s">
        <v>50250</v>
      </c>
      <c r="F2563" t="s">
        <v>50251</v>
      </c>
      <c r="G2563" t="s">
        <v>50252</v>
      </c>
      <c r="H2563" t="s">
        <v>50253</v>
      </c>
      <c r="I2563" t="s">
        <v>50254</v>
      </c>
      <c r="J2563" t="s">
        <v>50255</v>
      </c>
      <c r="K2563" t="s">
        <v>50256</v>
      </c>
      <c r="L2563" t="s">
        <v>50257</v>
      </c>
      <c r="M2563" t="s">
        <v>50258</v>
      </c>
      <c r="N2563" t="s">
        <v>50259</v>
      </c>
      <c r="O2563">
        <f>-587.048794109144 -109.385014960852 -707.321993894166</f>
        <v>-1403.7558029641618</v>
      </c>
      <c r="P2563">
        <f>-606.464677974863 -70.04726968352 -393.854755711504</f>
        <v>-1070.3667033698871</v>
      </c>
      <c r="Q2563" t="s">
        <v>50260</v>
      </c>
      <c r="R2563" t="s">
        <v>50261</v>
      </c>
      <c r="S2563" t="s">
        <v>50262</v>
      </c>
      <c r="T2563" t="s">
        <v>50263</v>
      </c>
      <c r="U2563" t="s">
        <v>50264</v>
      </c>
      <c r="V2563" t="s">
        <v>50265</v>
      </c>
      <c r="W2563" t="s">
        <v>50266</v>
      </c>
      <c r="X2563" t="s">
        <v>50267</v>
      </c>
      <c r="Y2563" t="s">
        <v>50268</v>
      </c>
    </row>
    <row r="2564" spans="1:25" x14ac:dyDescent="0.3">
      <c r="A2564">
        <v>128150</v>
      </c>
      <c r="B2564" t="s">
        <v>50269</v>
      </c>
      <c r="C2564" t="s">
        <v>50270</v>
      </c>
      <c r="D2564" t="s">
        <v>50271</v>
      </c>
      <c r="E2564" t="s">
        <v>50272</v>
      </c>
      <c r="F2564" t="s">
        <v>50273</v>
      </c>
      <c r="G2564" t="s">
        <v>50274</v>
      </c>
      <c r="H2564" t="s">
        <v>50275</v>
      </c>
      <c r="I2564" t="s">
        <v>50276</v>
      </c>
      <c r="J2564" t="s">
        <v>50277</v>
      </c>
      <c r="K2564" t="s">
        <v>50278</v>
      </c>
      <c r="L2564" t="s">
        <v>50279</v>
      </c>
      <c r="M2564" t="s">
        <v>50280</v>
      </c>
      <c r="N2564" t="s">
        <v>50281</v>
      </c>
      <c r="O2564">
        <f>-586.105905265284 -109.420821951021 -707.14635866916</f>
        <v>-1402.6730858854651</v>
      </c>
      <c r="P2564">
        <f>-606.413160682988 -70.2664084582054 -393.712530577133</f>
        <v>-1070.3920997183263</v>
      </c>
      <c r="Q2564" t="s">
        <v>50282</v>
      </c>
      <c r="R2564" t="s">
        <v>50283</v>
      </c>
      <c r="S2564" t="s">
        <v>50284</v>
      </c>
      <c r="T2564" t="s">
        <v>50285</v>
      </c>
      <c r="U2564" t="s">
        <v>50286</v>
      </c>
      <c r="V2564" t="s">
        <v>50287</v>
      </c>
      <c r="W2564" t="s">
        <v>50288</v>
      </c>
      <c r="X2564" t="s">
        <v>50289</v>
      </c>
      <c r="Y2564" t="s">
        <v>50290</v>
      </c>
    </row>
    <row r="2565" spans="1:25" x14ac:dyDescent="0.3">
      <c r="A2565">
        <v>128200</v>
      </c>
      <c r="B2565" t="s">
        <v>50291</v>
      </c>
      <c r="C2565" t="s">
        <v>50292</v>
      </c>
      <c r="D2565" t="s">
        <v>50293</v>
      </c>
      <c r="E2565" t="s">
        <v>50294</v>
      </c>
      <c r="F2565" t="s">
        <v>50295</v>
      </c>
      <c r="G2565" t="s">
        <v>50296</v>
      </c>
      <c r="H2565" t="s">
        <v>50297</v>
      </c>
      <c r="I2565" t="s">
        <v>50298</v>
      </c>
      <c r="J2565" t="s">
        <v>50299</v>
      </c>
      <c r="K2565" t="s">
        <v>50300</v>
      </c>
      <c r="L2565" t="s">
        <v>50301</v>
      </c>
      <c r="M2565" t="s">
        <v>50302</v>
      </c>
      <c r="N2565" t="s">
        <v>50303</v>
      </c>
      <c r="O2565">
        <f>-585.961597034903 -109.353876946808 -707.245404387704</f>
        <v>-1402.5608783694149</v>
      </c>
      <c r="P2565">
        <f>-606.689972043403 -70.3359880261714 -393.822118858857</f>
        <v>-1070.8480789284315</v>
      </c>
      <c r="Q2565" t="s">
        <v>50304</v>
      </c>
      <c r="R2565" t="s">
        <v>50305</v>
      </c>
      <c r="S2565" t="s">
        <v>50306</v>
      </c>
      <c r="T2565" t="s">
        <v>50307</v>
      </c>
      <c r="U2565" t="s">
        <v>50308</v>
      </c>
      <c r="V2565" t="s">
        <v>50309</v>
      </c>
      <c r="W2565" t="s">
        <v>50310</v>
      </c>
      <c r="X2565" t="s">
        <v>50311</v>
      </c>
      <c r="Y2565" t="s">
        <v>50312</v>
      </c>
    </row>
    <row r="2566" spans="1:25" x14ac:dyDescent="0.3">
      <c r="A2566">
        <v>128250</v>
      </c>
      <c r="B2566" t="s">
        <v>50313</v>
      </c>
      <c r="C2566" t="s">
        <v>50314</v>
      </c>
      <c r="D2566" t="s">
        <v>50315</v>
      </c>
      <c r="E2566" t="s">
        <v>50316</v>
      </c>
      <c r="F2566" t="s">
        <v>50317</v>
      </c>
      <c r="G2566" t="s">
        <v>50318</v>
      </c>
      <c r="H2566" t="s">
        <v>50319</v>
      </c>
      <c r="I2566" t="s">
        <v>50320</v>
      </c>
      <c r="J2566" t="s">
        <v>50321</v>
      </c>
      <c r="K2566" t="s">
        <v>50322</v>
      </c>
      <c r="L2566" t="s">
        <v>50323</v>
      </c>
      <c r="M2566" t="s">
        <v>50324</v>
      </c>
      <c r="N2566" t="s">
        <v>50325</v>
      </c>
      <c r="O2566">
        <f>-586.859846534154 -109.091981342546 -707.604914880743</f>
        <v>-1403.5567427574429</v>
      </c>
      <c r="P2566">
        <f>-608.194722016412 -70.4291578227089 -394.178404285448</f>
        <v>-1072.8022841245688</v>
      </c>
      <c r="Q2566" t="s">
        <v>50326</v>
      </c>
      <c r="R2566" t="s">
        <v>50327</v>
      </c>
      <c r="S2566" t="s">
        <v>50328</v>
      </c>
      <c r="T2566" t="s">
        <v>50329</v>
      </c>
      <c r="U2566" t="s">
        <v>50330</v>
      </c>
      <c r="V2566" t="s">
        <v>50331</v>
      </c>
      <c r="W2566" t="s">
        <v>50332</v>
      </c>
      <c r="X2566" t="s">
        <v>50333</v>
      </c>
      <c r="Y2566" t="s">
        <v>50334</v>
      </c>
    </row>
    <row r="2567" spans="1:25" x14ac:dyDescent="0.3">
      <c r="A2567">
        <v>128300</v>
      </c>
      <c r="B2567" t="s">
        <v>50335</v>
      </c>
      <c r="C2567" t="s">
        <v>50336</v>
      </c>
      <c r="D2567" t="s">
        <v>50337</v>
      </c>
      <c r="E2567" t="s">
        <v>50338</v>
      </c>
      <c r="F2567" t="s">
        <v>50339</v>
      </c>
      <c r="G2567" t="s">
        <v>50340</v>
      </c>
      <c r="H2567" t="s">
        <v>50341</v>
      </c>
      <c r="I2567" t="s">
        <v>50342</v>
      </c>
      <c r="J2567" t="s">
        <v>50343</v>
      </c>
      <c r="K2567" t="s">
        <v>50344</v>
      </c>
      <c r="L2567" t="s">
        <v>50345</v>
      </c>
      <c r="M2567" t="s">
        <v>50346</v>
      </c>
      <c r="N2567" t="s">
        <v>50347</v>
      </c>
      <c r="O2567">
        <f>-587.335336339511 -108.690229600818 -707.887432719105</f>
        <v>-1403.9129986594339</v>
      </c>
      <c r="P2567">
        <f>-608.779066940554 -70.482262728905 -394.412536764647</f>
        <v>-1073.673866434106</v>
      </c>
      <c r="Q2567" t="s">
        <v>50348</v>
      </c>
      <c r="R2567" t="s">
        <v>50349</v>
      </c>
      <c r="S2567" t="s">
        <v>50350</v>
      </c>
      <c r="T2567" t="s">
        <v>50351</v>
      </c>
      <c r="U2567" t="s">
        <v>50352</v>
      </c>
      <c r="V2567" t="s">
        <v>50353</v>
      </c>
      <c r="W2567" t="s">
        <v>50354</v>
      </c>
      <c r="X2567" t="s">
        <v>50355</v>
      </c>
      <c r="Y2567" t="s">
        <v>50356</v>
      </c>
    </row>
    <row r="2568" spans="1:25" x14ac:dyDescent="0.3">
      <c r="A2568">
        <v>128350</v>
      </c>
      <c r="B2568" t="s">
        <v>50357</v>
      </c>
      <c r="C2568" t="s">
        <v>50358</v>
      </c>
      <c r="D2568" t="s">
        <v>50359</v>
      </c>
      <c r="E2568" t="s">
        <v>50360</v>
      </c>
      <c r="F2568" t="s">
        <v>50361</v>
      </c>
      <c r="G2568" t="s">
        <v>50362</v>
      </c>
      <c r="H2568" t="s">
        <v>50363</v>
      </c>
      <c r="I2568" t="s">
        <v>50364</v>
      </c>
      <c r="J2568" t="s">
        <v>50365</v>
      </c>
      <c r="K2568" t="s">
        <v>50366</v>
      </c>
      <c r="L2568" t="s">
        <v>50367</v>
      </c>
      <c r="M2568" t="s">
        <v>50368</v>
      </c>
      <c r="N2568" t="s">
        <v>50369</v>
      </c>
      <c r="O2568">
        <f>-588.509700223676 -108.331120352039 -708.506389760726</f>
        <v>-1405.3472103364411</v>
      </c>
      <c r="P2568">
        <f>-609.771906684868 -71.1244928415397 -394.898663698943</f>
        <v>-1075.7950632253505</v>
      </c>
      <c r="Q2568" t="s">
        <v>50370</v>
      </c>
      <c r="R2568" t="s">
        <v>50371</v>
      </c>
      <c r="S2568" t="s">
        <v>50372</v>
      </c>
      <c r="T2568" t="s">
        <v>50373</v>
      </c>
      <c r="U2568" t="s">
        <v>50374</v>
      </c>
      <c r="V2568" t="s">
        <v>50375</v>
      </c>
      <c r="W2568" t="s">
        <v>50376</v>
      </c>
      <c r="X2568" t="s">
        <v>50377</v>
      </c>
      <c r="Y2568" t="s">
        <v>50378</v>
      </c>
    </row>
    <row r="2569" spans="1:25" x14ac:dyDescent="0.3">
      <c r="A2569">
        <v>128400</v>
      </c>
      <c r="B2569" t="s">
        <v>50379</v>
      </c>
      <c r="C2569" t="s">
        <v>50380</v>
      </c>
      <c r="D2569" t="s">
        <v>50381</v>
      </c>
      <c r="E2569" t="s">
        <v>50382</v>
      </c>
      <c r="F2569" t="s">
        <v>50383</v>
      </c>
      <c r="G2569" t="s">
        <v>50384</v>
      </c>
      <c r="H2569" t="s">
        <v>50385</v>
      </c>
      <c r="I2569" t="s">
        <v>50386</v>
      </c>
      <c r="J2569" t="s">
        <v>50387</v>
      </c>
      <c r="K2569" t="s">
        <v>50388</v>
      </c>
      <c r="L2569" t="s">
        <v>50389</v>
      </c>
      <c r="M2569" t="s">
        <v>50390</v>
      </c>
      <c r="N2569" t="s">
        <v>50391</v>
      </c>
      <c r="O2569">
        <f>-589.421359336997 -108.061657004397 -708.864272441178</f>
        <v>-1406.3472887825719</v>
      </c>
      <c r="P2569">
        <f>-610.364949489218 -70.9664710028867 -395.221951321822</f>
        <v>-1076.5533718139268</v>
      </c>
      <c r="Q2569" t="s">
        <v>50392</v>
      </c>
      <c r="R2569" t="s">
        <v>50393</v>
      </c>
      <c r="S2569" t="s">
        <v>50394</v>
      </c>
      <c r="T2569" t="s">
        <v>50395</v>
      </c>
      <c r="U2569" t="s">
        <v>50396</v>
      </c>
      <c r="V2569" t="s">
        <v>50397</v>
      </c>
      <c r="W2569" t="s">
        <v>50398</v>
      </c>
      <c r="X2569" t="s">
        <v>50399</v>
      </c>
      <c r="Y2569" t="s">
        <v>50400</v>
      </c>
    </row>
    <row r="2570" spans="1:25" x14ac:dyDescent="0.3">
      <c r="A2570">
        <v>128450</v>
      </c>
      <c r="B2570" t="s">
        <v>50401</v>
      </c>
      <c r="C2570" t="s">
        <v>50402</v>
      </c>
      <c r="D2570" t="s">
        <v>50403</v>
      </c>
      <c r="E2570" t="s">
        <v>50404</v>
      </c>
      <c r="F2570" t="s">
        <v>50405</v>
      </c>
      <c r="G2570" t="s">
        <v>50406</v>
      </c>
      <c r="H2570" t="s">
        <v>50407</v>
      </c>
      <c r="I2570" t="s">
        <v>50408</v>
      </c>
      <c r="J2570" t="s">
        <v>50409</v>
      </c>
      <c r="K2570" t="s">
        <v>50410</v>
      </c>
      <c r="L2570" t="s">
        <v>50411</v>
      </c>
      <c r="M2570" t="s">
        <v>50412</v>
      </c>
      <c r="N2570" t="s">
        <v>50413</v>
      </c>
      <c r="O2570">
        <f>-590.816480527129 -107.872277876425 -709.506926906111</f>
        <v>-1408.1956853096649</v>
      </c>
      <c r="P2570">
        <f>-612.16577864617 -70.8723230866942 -395.880726910518</f>
        <v>-1078.9188286433823</v>
      </c>
      <c r="Q2570" t="s">
        <v>50414</v>
      </c>
      <c r="R2570" t="s">
        <v>50415</v>
      </c>
      <c r="S2570" t="s">
        <v>50416</v>
      </c>
      <c r="T2570" t="s">
        <v>50417</v>
      </c>
      <c r="U2570" t="s">
        <v>50418</v>
      </c>
      <c r="V2570" t="s">
        <v>50419</v>
      </c>
      <c r="W2570" t="s">
        <v>50420</v>
      </c>
      <c r="X2570" t="s">
        <v>50421</v>
      </c>
      <c r="Y2570" t="s">
        <v>50422</v>
      </c>
    </row>
    <row r="2571" spans="1:25" x14ac:dyDescent="0.3">
      <c r="A2571">
        <v>128500</v>
      </c>
      <c r="B2571" t="s">
        <v>50423</v>
      </c>
      <c r="C2571" t="s">
        <v>50424</v>
      </c>
      <c r="D2571" t="s">
        <v>50425</v>
      </c>
      <c r="E2571" t="s">
        <v>50426</v>
      </c>
      <c r="F2571" t="s">
        <v>50427</v>
      </c>
      <c r="G2571" t="s">
        <v>50428</v>
      </c>
      <c r="H2571" t="s">
        <v>50429</v>
      </c>
      <c r="I2571" t="s">
        <v>50430</v>
      </c>
      <c r="J2571" t="s">
        <v>50431</v>
      </c>
      <c r="K2571" t="s">
        <v>50432</v>
      </c>
      <c r="L2571" t="s">
        <v>50433</v>
      </c>
      <c r="M2571" t="s">
        <v>50434</v>
      </c>
      <c r="N2571" t="s">
        <v>50435</v>
      </c>
      <c r="O2571">
        <f>-591.499841289198 -107.933443717898 -709.747788139861</f>
        <v>-1409.1810731469568</v>
      </c>
      <c r="P2571">
        <f>-613.308083361327 -71.346914758067 -396.10474463695</f>
        <v>-1080.7597427563439</v>
      </c>
      <c r="Q2571" t="s">
        <v>50436</v>
      </c>
      <c r="R2571" t="s">
        <v>50437</v>
      </c>
      <c r="S2571" t="s">
        <v>50438</v>
      </c>
      <c r="T2571" t="s">
        <v>50439</v>
      </c>
      <c r="U2571" t="s">
        <v>50440</v>
      </c>
      <c r="V2571" t="s">
        <v>50441</v>
      </c>
      <c r="W2571" t="s">
        <v>50442</v>
      </c>
      <c r="X2571" t="s">
        <v>50443</v>
      </c>
      <c r="Y2571" t="s">
        <v>50444</v>
      </c>
    </row>
    <row r="2572" spans="1:25" x14ac:dyDescent="0.3">
      <c r="A2572">
        <v>128550</v>
      </c>
      <c r="B2572" t="s">
        <v>50445</v>
      </c>
      <c r="C2572" t="s">
        <v>50446</v>
      </c>
      <c r="D2572" t="s">
        <v>50447</v>
      </c>
      <c r="E2572" t="s">
        <v>50448</v>
      </c>
      <c r="F2572" t="s">
        <v>50449</v>
      </c>
      <c r="G2572" t="s">
        <v>50450</v>
      </c>
      <c r="H2572" t="s">
        <v>50451</v>
      </c>
      <c r="I2572" t="s">
        <v>50452</v>
      </c>
      <c r="J2572" t="s">
        <v>50453</v>
      </c>
      <c r="K2572" t="s">
        <v>50454</v>
      </c>
      <c r="L2572" t="s">
        <v>50455</v>
      </c>
      <c r="M2572" t="s">
        <v>50456</v>
      </c>
      <c r="N2572" t="s">
        <v>50457</v>
      </c>
      <c r="O2572">
        <f>-593.925452765938 -107.718234029471 -710.376447004274</f>
        <v>-1412.020133799683</v>
      </c>
      <c r="P2572">
        <f>-615.703003454573 -71.0340573319631 -396.742480064319</f>
        <v>-1083.4795408508553</v>
      </c>
      <c r="Q2572" t="s">
        <v>50458</v>
      </c>
      <c r="R2572" t="s">
        <v>50459</v>
      </c>
      <c r="S2572" t="s">
        <v>50460</v>
      </c>
      <c r="T2572" t="s">
        <v>50461</v>
      </c>
      <c r="U2572" t="s">
        <v>50462</v>
      </c>
      <c r="V2572" t="s">
        <v>50463</v>
      </c>
      <c r="W2572" t="s">
        <v>50464</v>
      </c>
      <c r="X2572" t="s">
        <v>50465</v>
      </c>
      <c r="Y2572" t="s">
        <v>50466</v>
      </c>
    </row>
    <row r="2573" spans="1:25" x14ac:dyDescent="0.3">
      <c r="A2573">
        <v>128600</v>
      </c>
      <c r="B2573" t="s">
        <v>50467</v>
      </c>
      <c r="C2573" t="s">
        <v>50468</v>
      </c>
      <c r="D2573" t="s">
        <v>50469</v>
      </c>
      <c r="E2573" t="s">
        <v>50470</v>
      </c>
      <c r="F2573" t="s">
        <v>50471</v>
      </c>
      <c r="G2573" t="s">
        <v>50472</v>
      </c>
      <c r="H2573" t="s">
        <v>50473</v>
      </c>
      <c r="I2573" t="s">
        <v>50474</v>
      </c>
      <c r="J2573" t="s">
        <v>50475</v>
      </c>
      <c r="K2573" t="s">
        <v>50476</v>
      </c>
      <c r="L2573" t="s">
        <v>50477</v>
      </c>
      <c r="M2573" t="s">
        <v>50478</v>
      </c>
      <c r="N2573" t="s">
        <v>50479</v>
      </c>
      <c r="O2573">
        <f>-594.64581818233 -107.622417322865 -710.502187037886</f>
        <v>-1412.7704225430809</v>
      </c>
      <c r="P2573">
        <f>-616.589608949027 -71.6246824268344 -396.800324489284</f>
        <v>-1085.0146158651455</v>
      </c>
      <c r="Q2573" t="s">
        <v>50480</v>
      </c>
      <c r="R2573" t="s">
        <v>50481</v>
      </c>
      <c r="S2573" t="s">
        <v>50482</v>
      </c>
      <c r="T2573" t="s">
        <v>50483</v>
      </c>
      <c r="U2573" t="s">
        <v>50484</v>
      </c>
      <c r="V2573" t="s">
        <v>50485</v>
      </c>
      <c r="W2573" t="s">
        <v>50486</v>
      </c>
      <c r="X2573" t="s">
        <v>50487</v>
      </c>
      <c r="Y2573" t="s">
        <v>50488</v>
      </c>
    </row>
    <row r="2574" spans="1:25" x14ac:dyDescent="0.3">
      <c r="A2574">
        <v>128650</v>
      </c>
      <c r="B2574" t="s">
        <v>50489</v>
      </c>
      <c r="C2574" t="s">
        <v>50490</v>
      </c>
      <c r="D2574" t="s">
        <v>50491</v>
      </c>
      <c r="E2574" t="s">
        <v>50492</v>
      </c>
      <c r="F2574" t="s">
        <v>50493</v>
      </c>
      <c r="G2574" t="s">
        <v>50494</v>
      </c>
      <c r="H2574" t="s">
        <v>50495</v>
      </c>
      <c r="I2574" t="s">
        <v>50496</v>
      </c>
      <c r="J2574" t="s">
        <v>50497</v>
      </c>
      <c r="K2574" t="s">
        <v>50498</v>
      </c>
      <c r="L2574" t="s">
        <v>50499</v>
      </c>
      <c r="M2574" t="s">
        <v>50500</v>
      </c>
      <c r="N2574" t="s">
        <v>50501</v>
      </c>
      <c r="O2574">
        <f>-595.480793404652 -107.658968993261 -710.846481698539</f>
        <v>-1413.9862440964521</v>
      </c>
      <c r="P2574">
        <f>-617.634872406272 -72.1157839743237 -397.107603056677</f>
        <v>-1086.8582594372729</v>
      </c>
      <c r="Q2574" t="s">
        <v>50502</v>
      </c>
      <c r="R2574" t="s">
        <v>50503</v>
      </c>
      <c r="S2574" t="s">
        <v>50504</v>
      </c>
      <c r="T2574" t="s">
        <v>50505</v>
      </c>
      <c r="U2574" t="s">
        <v>50506</v>
      </c>
      <c r="V2574" t="s">
        <v>50507</v>
      </c>
      <c r="W2574" t="s">
        <v>50508</v>
      </c>
      <c r="X2574" t="s">
        <v>50509</v>
      </c>
      <c r="Y2574" t="s">
        <v>50510</v>
      </c>
    </row>
    <row r="2575" spans="1:25" x14ac:dyDescent="0.3">
      <c r="A2575">
        <v>128700</v>
      </c>
      <c r="B2575" t="s">
        <v>50511</v>
      </c>
      <c r="C2575" t="s">
        <v>50512</v>
      </c>
      <c r="D2575" t="s">
        <v>50513</v>
      </c>
      <c r="E2575" t="s">
        <v>50514</v>
      </c>
      <c r="F2575" t="s">
        <v>50515</v>
      </c>
      <c r="G2575" t="s">
        <v>50516</v>
      </c>
      <c r="H2575" t="s">
        <v>50517</v>
      </c>
      <c r="I2575" t="s">
        <v>50518</v>
      </c>
      <c r="J2575" t="s">
        <v>50519</v>
      </c>
      <c r="K2575" t="s">
        <v>50520</v>
      </c>
      <c r="L2575" t="s">
        <v>50521</v>
      </c>
      <c r="M2575" t="s">
        <v>50522</v>
      </c>
      <c r="N2575" t="s">
        <v>50523</v>
      </c>
      <c r="O2575">
        <f>-596.166591164316 -107.533004067672 -711.00055672659</f>
        <v>-1414.7001519585779</v>
      </c>
      <c r="P2575">
        <f>-617.978443918163 -72.5066297997771 -397.179647175737</f>
        <v>-1087.664720893677</v>
      </c>
      <c r="Q2575" t="s">
        <v>50524</v>
      </c>
      <c r="R2575" t="s">
        <v>50525</v>
      </c>
      <c r="S2575" t="s">
        <v>50526</v>
      </c>
      <c r="T2575" t="s">
        <v>50527</v>
      </c>
      <c r="U2575" t="s">
        <v>50528</v>
      </c>
      <c r="V2575" t="s">
        <v>50529</v>
      </c>
      <c r="W2575" t="s">
        <v>50530</v>
      </c>
      <c r="X2575" t="s">
        <v>50531</v>
      </c>
      <c r="Y2575" t="s">
        <v>50532</v>
      </c>
    </row>
    <row r="2576" spans="1:25" x14ac:dyDescent="0.3">
      <c r="A2576">
        <v>128750</v>
      </c>
      <c r="B2576" t="s">
        <v>50533</v>
      </c>
      <c r="C2576" t="s">
        <v>50534</v>
      </c>
      <c r="D2576" t="s">
        <v>50535</v>
      </c>
      <c r="E2576" t="s">
        <v>50536</v>
      </c>
      <c r="F2576" t="s">
        <v>50537</v>
      </c>
      <c r="G2576" t="s">
        <v>50538</v>
      </c>
      <c r="H2576" t="s">
        <v>50539</v>
      </c>
      <c r="I2576" t="s">
        <v>50540</v>
      </c>
      <c r="J2576" t="s">
        <v>50541</v>
      </c>
      <c r="K2576" t="s">
        <v>50542</v>
      </c>
      <c r="L2576" t="s">
        <v>50543</v>
      </c>
      <c r="M2576" t="s">
        <v>50544</v>
      </c>
      <c r="N2576" t="s">
        <v>50545</v>
      </c>
      <c r="O2576">
        <f>-596.409992751047 -107.290457197162 -711.21069017375</f>
        <v>-1414.9111401219589</v>
      </c>
      <c r="P2576">
        <f>-617.954132227195 -72.1608880687731 -397.382838503919</f>
        <v>-1087.4978587998871</v>
      </c>
      <c r="Q2576" t="s">
        <v>50546</v>
      </c>
      <c r="R2576" t="s">
        <v>50547</v>
      </c>
      <c r="S2576" t="s">
        <v>50548</v>
      </c>
      <c r="T2576" t="s">
        <v>50549</v>
      </c>
      <c r="U2576" t="s">
        <v>50550</v>
      </c>
      <c r="V2576" t="s">
        <v>50551</v>
      </c>
      <c r="W2576" t="s">
        <v>50552</v>
      </c>
      <c r="X2576" t="s">
        <v>50553</v>
      </c>
      <c r="Y2576" t="s">
        <v>50554</v>
      </c>
    </row>
    <row r="2577" spans="1:25" x14ac:dyDescent="0.3">
      <c r="A2577">
        <v>128800</v>
      </c>
      <c r="B2577" t="s">
        <v>50555</v>
      </c>
      <c r="C2577" t="s">
        <v>50556</v>
      </c>
      <c r="D2577" t="s">
        <v>50557</v>
      </c>
      <c r="E2577" t="s">
        <v>50558</v>
      </c>
      <c r="F2577" t="s">
        <v>50559</v>
      </c>
      <c r="G2577" t="s">
        <v>50560</v>
      </c>
      <c r="H2577" t="s">
        <v>50561</v>
      </c>
      <c r="I2577" t="s">
        <v>50562</v>
      </c>
      <c r="J2577" t="s">
        <v>50563</v>
      </c>
      <c r="K2577" t="s">
        <v>50564</v>
      </c>
      <c r="L2577" t="s">
        <v>50565</v>
      </c>
      <c r="M2577" t="s">
        <v>50566</v>
      </c>
      <c r="N2577" t="s">
        <v>50567</v>
      </c>
      <c r="O2577">
        <f>-596.253762755324 -107.00025413227 -711.32916479864</f>
        <v>-1414.5831816862342</v>
      </c>
      <c r="P2577">
        <f>-617.623612565906 -71.9048150055369 -397.485554893679</f>
        <v>-1087.0139824651219</v>
      </c>
      <c r="Q2577" t="s">
        <v>50568</v>
      </c>
      <c r="R2577" t="s">
        <v>50569</v>
      </c>
      <c r="S2577" t="s">
        <v>50570</v>
      </c>
      <c r="T2577" t="s">
        <v>50571</v>
      </c>
      <c r="U2577" t="s">
        <v>50572</v>
      </c>
      <c r="V2577" t="s">
        <v>50573</v>
      </c>
      <c r="W2577" t="s">
        <v>50574</v>
      </c>
      <c r="X2577" t="s">
        <v>50575</v>
      </c>
      <c r="Y2577" t="s">
        <v>50576</v>
      </c>
    </row>
    <row r="2578" spans="1:25" x14ac:dyDescent="0.3">
      <c r="A2578">
        <v>128850</v>
      </c>
      <c r="B2578" t="s">
        <v>50577</v>
      </c>
      <c r="C2578" t="s">
        <v>50578</v>
      </c>
      <c r="D2578" t="s">
        <v>50579</v>
      </c>
      <c r="E2578" t="s">
        <v>50580</v>
      </c>
      <c r="F2578" t="s">
        <v>50581</v>
      </c>
      <c r="G2578" t="s">
        <v>50582</v>
      </c>
      <c r="H2578" t="s">
        <v>50583</v>
      </c>
      <c r="I2578" t="s">
        <v>50584</v>
      </c>
      <c r="J2578" t="s">
        <v>50585</v>
      </c>
      <c r="K2578" t="s">
        <v>50586</v>
      </c>
      <c r="L2578" t="s">
        <v>50587</v>
      </c>
      <c r="M2578" t="s">
        <v>50588</v>
      </c>
      <c r="N2578" t="s">
        <v>50589</v>
      </c>
      <c r="O2578">
        <f>-595.142829736818 -106.675350299799 -711.278781149131</f>
        <v>-1413.0969611857481</v>
      </c>
      <c r="P2578">
        <f>-616.592947253227 -70.6252011094937 -397.548897294246</f>
        <v>-1084.7670456569667</v>
      </c>
      <c r="Q2578" t="s">
        <v>50590</v>
      </c>
      <c r="R2578" t="s">
        <v>50591</v>
      </c>
      <c r="S2578" t="s">
        <v>50592</v>
      </c>
      <c r="T2578" t="s">
        <v>50593</v>
      </c>
      <c r="U2578" t="s">
        <v>50594</v>
      </c>
      <c r="V2578" t="s">
        <v>50595</v>
      </c>
      <c r="W2578" t="s">
        <v>50596</v>
      </c>
      <c r="X2578" t="s">
        <v>50597</v>
      </c>
      <c r="Y2578" t="s">
        <v>50598</v>
      </c>
    </row>
    <row r="2579" spans="1:25" x14ac:dyDescent="0.3">
      <c r="A2579">
        <v>128900</v>
      </c>
      <c r="B2579" t="s">
        <v>50599</v>
      </c>
      <c r="C2579" t="s">
        <v>50600</v>
      </c>
      <c r="D2579" t="s">
        <v>50601</v>
      </c>
      <c r="E2579" t="s">
        <v>50602</v>
      </c>
      <c r="F2579" t="s">
        <v>50603</v>
      </c>
      <c r="G2579" t="s">
        <v>50604</v>
      </c>
      <c r="H2579" t="s">
        <v>50605</v>
      </c>
      <c r="I2579" t="s">
        <v>50606</v>
      </c>
      <c r="J2579" t="s">
        <v>50607</v>
      </c>
      <c r="K2579" t="s">
        <v>50608</v>
      </c>
      <c r="L2579" t="s">
        <v>50609</v>
      </c>
      <c r="M2579" t="s">
        <v>50610</v>
      </c>
      <c r="N2579" t="s">
        <v>50611</v>
      </c>
      <c r="O2579">
        <f>-594.404603152788 -106.545322079949 -711.152458638016</f>
        <v>-1412.1023838707529</v>
      </c>
      <c r="P2579">
        <f>-615.967125899555 -69.8379878839676 -397.506410741603</f>
        <v>-1083.3115245251256</v>
      </c>
      <c r="Q2579" t="s">
        <v>50612</v>
      </c>
      <c r="R2579" t="s">
        <v>50613</v>
      </c>
      <c r="S2579" t="s">
        <v>50614</v>
      </c>
      <c r="T2579" t="s">
        <v>50615</v>
      </c>
      <c r="U2579" t="s">
        <v>50616</v>
      </c>
      <c r="V2579" t="s">
        <v>50617</v>
      </c>
      <c r="W2579" t="s">
        <v>50618</v>
      </c>
      <c r="X2579" t="s">
        <v>50619</v>
      </c>
      <c r="Y2579" t="s">
        <v>50620</v>
      </c>
    </row>
    <row r="2580" spans="1:25" x14ac:dyDescent="0.3">
      <c r="A2580">
        <v>128950</v>
      </c>
      <c r="B2580" t="s">
        <v>50621</v>
      </c>
      <c r="C2580" t="s">
        <v>50622</v>
      </c>
      <c r="D2580" t="s">
        <v>50623</v>
      </c>
      <c r="E2580" t="s">
        <v>50624</v>
      </c>
      <c r="F2580" t="s">
        <v>50625</v>
      </c>
      <c r="G2580" t="s">
        <v>50626</v>
      </c>
      <c r="H2580" t="s">
        <v>50627</v>
      </c>
      <c r="I2580" t="s">
        <v>50628</v>
      </c>
      <c r="J2580" t="s">
        <v>50629</v>
      </c>
      <c r="K2580" t="s">
        <v>50630</v>
      </c>
      <c r="L2580" t="s">
        <v>50631</v>
      </c>
      <c r="M2580" t="s">
        <v>50632</v>
      </c>
      <c r="N2580" t="s">
        <v>50633</v>
      </c>
      <c r="O2580">
        <f>-593.869453595355 -106.432586873188 -710.847197785767</f>
        <v>-1411.1492382543101</v>
      </c>
      <c r="P2580">
        <f>-615.449643554251 -68.8737659910503 -397.303180597718</f>
        <v>-1081.6265901430193</v>
      </c>
      <c r="Q2580" t="s">
        <v>50634</v>
      </c>
      <c r="R2580" t="s">
        <v>50635</v>
      </c>
      <c r="S2580" t="s">
        <v>50636</v>
      </c>
      <c r="T2580" t="s">
        <v>50637</v>
      </c>
      <c r="U2580" t="s">
        <v>50638</v>
      </c>
      <c r="V2580" t="s">
        <v>50639</v>
      </c>
      <c r="W2580" t="s">
        <v>50640</v>
      </c>
      <c r="X2580" t="s">
        <v>50641</v>
      </c>
      <c r="Y2580" t="s">
        <v>50642</v>
      </c>
    </row>
    <row r="2581" spans="1:25" x14ac:dyDescent="0.3">
      <c r="A2581">
        <v>129000</v>
      </c>
      <c r="B2581" t="s">
        <v>50643</v>
      </c>
      <c r="C2581" t="s">
        <v>50644</v>
      </c>
      <c r="D2581" t="s">
        <v>50645</v>
      </c>
      <c r="E2581" t="s">
        <v>50646</v>
      </c>
      <c r="F2581" t="s">
        <v>50647</v>
      </c>
      <c r="G2581" t="s">
        <v>50648</v>
      </c>
      <c r="H2581" t="s">
        <v>50649</v>
      </c>
      <c r="I2581" t="s">
        <v>50650</v>
      </c>
      <c r="J2581" t="s">
        <v>50651</v>
      </c>
      <c r="K2581" t="s">
        <v>50652</v>
      </c>
      <c r="L2581" t="s">
        <v>50653</v>
      </c>
      <c r="M2581" t="s">
        <v>50654</v>
      </c>
      <c r="N2581" t="s">
        <v>50655</v>
      </c>
      <c r="O2581">
        <f>-593.868387762208 -106.488597245707 -710.671148634611</f>
        <v>-1411.028133642526</v>
      </c>
      <c r="P2581">
        <f>-615.973050087739 -68.912699968711 -397.165914012578</f>
        <v>-1082.051664069028</v>
      </c>
      <c r="Q2581" t="s">
        <v>50656</v>
      </c>
      <c r="R2581" t="s">
        <v>50657</v>
      </c>
      <c r="S2581" t="s">
        <v>50658</v>
      </c>
      <c r="T2581" t="s">
        <v>50659</v>
      </c>
      <c r="U2581" t="s">
        <v>50660</v>
      </c>
      <c r="V2581" t="s">
        <v>50661</v>
      </c>
      <c r="W2581" t="s">
        <v>50662</v>
      </c>
      <c r="X2581" t="s">
        <v>50663</v>
      </c>
      <c r="Y2581" t="s">
        <v>50664</v>
      </c>
    </row>
    <row r="2582" spans="1:25" x14ac:dyDescent="0.3">
      <c r="A2582">
        <v>129050</v>
      </c>
      <c r="B2582" t="s">
        <v>50665</v>
      </c>
      <c r="C2582" t="s">
        <v>50666</v>
      </c>
      <c r="D2582" t="s">
        <v>50667</v>
      </c>
      <c r="E2582" t="s">
        <v>50668</v>
      </c>
      <c r="F2582" t="s">
        <v>50669</v>
      </c>
      <c r="G2582" t="s">
        <v>50670</v>
      </c>
      <c r="H2582" t="s">
        <v>50671</v>
      </c>
      <c r="I2582" t="s">
        <v>50672</v>
      </c>
      <c r="J2582" t="s">
        <v>50673</v>
      </c>
      <c r="K2582" t="s">
        <v>50674</v>
      </c>
      <c r="L2582" t="s">
        <v>50675</v>
      </c>
      <c r="M2582" t="s">
        <v>50676</v>
      </c>
      <c r="N2582" t="s">
        <v>50677</v>
      </c>
      <c r="O2582">
        <f>-594.606663360444 -106.000678058705 -710.729960428755</f>
        <v>-1411.3373018479042</v>
      </c>
      <c r="P2582">
        <f>-616.053992762206 -68.7102669057563 -397.144813092303</f>
        <v>-1081.9090727602652</v>
      </c>
      <c r="Q2582" t="s">
        <v>50678</v>
      </c>
      <c r="R2582" t="s">
        <v>50679</v>
      </c>
      <c r="S2582" t="s">
        <v>50680</v>
      </c>
      <c r="T2582" t="s">
        <v>50681</v>
      </c>
      <c r="U2582" t="s">
        <v>50682</v>
      </c>
      <c r="V2582" t="s">
        <v>50683</v>
      </c>
      <c r="W2582" t="s">
        <v>50684</v>
      </c>
      <c r="X2582" t="s">
        <v>50685</v>
      </c>
      <c r="Y2582" t="s">
        <v>50686</v>
      </c>
    </row>
    <row r="2583" spans="1:25" x14ac:dyDescent="0.3">
      <c r="A2583">
        <v>129100</v>
      </c>
      <c r="B2583" t="s">
        <v>50687</v>
      </c>
      <c r="C2583" t="s">
        <v>50688</v>
      </c>
      <c r="D2583" t="s">
        <v>50689</v>
      </c>
      <c r="E2583" t="s">
        <v>50690</v>
      </c>
      <c r="F2583" t="s">
        <v>50691</v>
      </c>
      <c r="G2583" t="s">
        <v>50692</v>
      </c>
      <c r="H2583" t="s">
        <v>50693</v>
      </c>
      <c r="I2583" t="s">
        <v>50694</v>
      </c>
      <c r="J2583" t="s">
        <v>50695</v>
      </c>
      <c r="K2583" t="s">
        <v>50696</v>
      </c>
      <c r="L2583" t="s">
        <v>50697</v>
      </c>
      <c r="M2583" t="s">
        <v>50698</v>
      </c>
      <c r="N2583" t="s">
        <v>50699</v>
      </c>
      <c r="O2583">
        <f>-594.875341807829 -106.098936055418 -710.618473617879</f>
        <v>-1411.592751481126</v>
      </c>
      <c r="P2583">
        <f>-616.412414018684 -68.7198825728171 -397.049948486947</f>
        <v>-1082.1822450784482</v>
      </c>
      <c r="Q2583" t="s">
        <v>50700</v>
      </c>
      <c r="R2583" t="s">
        <v>50701</v>
      </c>
      <c r="S2583" t="s">
        <v>50702</v>
      </c>
      <c r="T2583" t="s">
        <v>50703</v>
      </c>
      <c r="U2583" t="s">
        <v>50704</v>
      </c>
      <c r="V2583" t="s">
        <v>50705</v>
      </c>
      <c r="W2583" t="s">
        <v>50706</v>
      </c>
      <c r="X2583" t="s">
        <v>50707</v>
      </c>
      <c r="Y2583" t="s">
        <v>50708</v>
      </c>
    </row>
    <row r="2584" spans="1:25" x14ac:dyDescent="0.3">
      <c r="A2584">
        <v>129150</v>
      </c>
      <c r="B2584" t="s">
        <v>50709</v>
      </c>
      <c r="C2584" t="s">
        <v>50710</v>
      </c>
      <c r="D2584" t="s">
        <v>50711</v>
      </c>
      <c r="E2584" t="s">
        <v>50712</v>
      </c>
      <c r="F2584" t="s">
        <v>50713</v>
      </c>
      <c r="G2584" t="s">
        <v>50714</v>
      </c>
      <c r="H2584" t="s">
        <v>50715</v>
      </c>
      <c r="I2584" t="s">
        <v>50716</v>
      </c>
      <c r="J2584" t="s">
        <v>50717</v>
      </c>
      <c r="K2584" t="s">
        <v>50718</v>
      </c>
      <c r="L2584" t="s">
        <v>50719</v>
      </c>
      <c r="M2584" t="s">
        <v>50720</v>
      </c>
      <c r="N2584" t="s">
        <v>50721</v>
      </c>
      <c r="O2584">
        <f>-595.272759014227 -105.995558026971 -710.41394214925</f>
        <v>-1411.6822591904479</v>
      </c>
      <c r="P2584">
        <f>-616.468924775223 -69.6786658021738 -396.69748888528</f>
        <v>-1082.8450794626767</v>
      </c>
      <c r="Q2584" t="s">
        <v>50722</v>
      </c>
      <c r="R2584" t="s">
        <v>50723</v>
      </c>
      <c r="S2584" t="s">
        <v>50724</v>
      </c>
      <c r="T2584" t="s">
        <v>50725</v>
      </c>
      <c r="U2584" t="s">
        <v>50726</v>
      </c>
      <c r="V2584" t="s">
        <v>50727</v>
      </c>
      <c r="W2584" t="s">
        <v>50728</v>
      </c>
      <c r="X2584" t="s">
        <v>50729</v>
      </c>
      <c r="Y2584" t="s">
        <v>50730</v>
      </c>
    </row>
    <row r="2585" spans="1:25" x14ac:dyDescent="0.3">
      <c r="A2585">
        <v>129200</v>
      </c>
      <c r="B2585" t="s">
        <v>50731</v>
      </c>
      <c r="C2585" t="s">
        <v>50732</v>
      </c>
      <c r="D2585" t="s">
        <v>50733</v>
      </c>
      <c r="E2585" t="s">
        <v>50734</v>
      </c>
      <c r="F2585" t="s">
        <v>50735</v>
      </c>
      <c r="G2585" t="s">
        <v>50736</v>
      </c>
      <c r="H2585" t="s">
        <v>50737</v>
      </c>
      <c r="I2585" t="s">
        <v>50738</v>
      </c>
      <c r="J2585" t="s">
        <v>50739</v>
      </c>
      <c r="K2585" t="s">
        <v>50740</v>
      </c>
      <c r="L2585" t="s">
        <v>50741</v>
      </c>
      <c r="M2585" t="s">
        <v>50742</v>
      </c>
      <c r="N2585" t="s">
        <v>50743</v>
      </c>
      <c r="O2585">
        <f>-595.240873119739 -105.756440448873 -710.519860447638</f>
        <v>-1411.51717401625</v>
      </c>
      <c r="P2585">
        <f>-616.879728356469 -70.5160224064132 -396.710954226327</f>
        <v>-1084.106704989209</v>
      </c>
      <c r="Q2585" t="s">
        <v>50744</v>
      </c>
      <c r="R2585" t="s">
        <v>50745</v>
      </c>
      <c r="S2585" t="s">
        <v>50746</v>
      </c>
      <c r="T2585" t="s">
        <v>50747</v>
      </c>
      <c r="U2585" t="s">
        <v>50748</v>
      </c>
      <c r="V2585" t="s">
        <v>50749</v>
      </c>
      <c r="W2585" t="s">
        <v>50750</v>
      </c>
      <c r="X2585" t="s">
        <v>50751</v>
      </c>
      <c r="Y2585" t="s">
        <v>50752</v>
      </c>
    </row>
    <row r="2586" spans="1:25" x14ac:dyDescent="0.3">
      <c r="A2586">
        <v>129250</v>
      </c>
      <c r="B2586" t="s">
        <v>50753</v>
      </c>
      <c r="C2586" t="s">
        <v>50754</v>
      </c>
      <c r="D2586" t="s">
        <v>50755</v>
      </c>
      <c r="E2586" t="s">
        <v>50756</v>
      </c>
      <c r="F2586" t="s">
        <v>50757</v>
      </c>
      <c r="G2586" t="s">
        <v>50758</v>
      </c>
      <c r="H2586" t="s">
        <v>50759</v>
      </c>
      <c r="I2586" t="s">
        <v>50760</v>
      </c>
      <c r="J2586" t="s">
        <v>50761</v>
      </c>
      <c r="K2586" t="s">
        <v>50762</v>
      </c>
      <c r="L2586" t="s">
        <v>50763</v>
      </c>
      <c r="M2586" t="s">
        <v>50764</v>
      </c>
      <c r="N2586" t="s">
        <v>50765</v>
      </c>
      <c r="O2586">
        <f>-595.269142572658 -105.175011936632 -710.760201369743</f>
        <v>-1411.2043558790328</v>
      </c>
      <c r="P2586">
        <f>-617.040802224452 -69.9622981175662 -396.95721897849</f>
        <v>-1083.9603193205082</v>
      </c>
      <c r="Q2586" t="s">
        <v>50766</v>
      </c>
      <c r="R2586" t="s">
        <v>50767</v>
      </c>
      <c r="S2586" t="s">
        <v>50768</v>
      </c>
      <c r="T2586" t="s">
        <v>50769</v>
      </c>
      <c r="U2586" t="s">
        <v>50770</v>
      </c>
      <c r="V2586" t="s">
        <v>50771</v>
      </c>
      <c r="W2586" t="s">
        <v>50772</v>
      </c>
      <c r="X2586" t="s">
        <v>50773</v>
      </c>
      <c r="Y2586" t="s">
        <v>50774</v>
      </c>
    </row>
    <row r="2587" spans="1:25" x14ac:dyDescent="0.3">
      <c r="A2587">
        <v>129300</v>
      </c>
      <c r="B2587" t="s">
        <v>50775</v>
      </c>
      <c r="C2587" t="s">
        <v>50776</v>
      </c>
      <c r="D2587" t="s">
        <v>50777</v>
      </c>
      <c r="E2587" t="s">
        <v>50778</v>
      </c>
      <c r="F2587" t="s">
        <v>50779</v>
      </c>
      <c r="G2587" t="s">
        <v>50780</v>
      </c>
      <c r="H2587" t="s">
        <v>50781</v>
      </c>
      <c r="I2587" t="s">
        <v>50782</v>
      </c>
      <c r="J2587" t="s">
        <v>50783</v>
      </c>
      <c r="K2587" t="s">
        <v>50784</v>
      </c>
      <c r="L2587" t="s">
        <v>50785</v>
      </c>
      <c r="M2587" t="s">
        <v>50786</v>
      </c>
      <c r="N2587" t="s">
        <v>50787</v>
      </c>
      <c r="O2587">
        <f>-594.906874640219 -105.273537648091 -710.605754476874</f>
        <v>-1410.7861667651841</v>
      </c>
      <c r="P2587">
        <f>-617.251027565965 -69.3900977166816 -396.919123553757</f>
        <v>-1083.5602488364036</v>
      </c>
      <c r="Q2587" t="s">
        <v>50788</v>
      </c>
      <c r="R2587" t="s">
        <v>50789</v>
      </c>
      <c r="S2587" t="s">
        <v>50790</v>
      </c>
      <c r="T2587" t="s">
        <v>50791</v>
      </c>
      <c r="U2587" t="s">
        <v>50792</v>
      </c>
      <c r="V2587" t="s">
        <v>50793</v>
      </c>
      <c r="W2587" t="s">
        <v>50794</v>
      </c>
      <c r="X2587" t="s">
        <v>50795</v>
      </c>
      <c r="Y2587" t="s">
        <v>50796</v>
      </c>
    </row>
    <row r="2588" spans="1:25" x14ac:dyDescent="0.3">
      <c r="A2588">
        <v>129350</v>
      </c>
      <c r="B2588" t="s">
        <v>50797</v>
      </c>
      <c r="C2588" t="s">
        <v>50798</v>
      </c>
      <c r="D2588" t="s">
        <v>50799</v>
      </c>
      <c r="E2588" t="s">
        <v>50800</v>
      </c>
      <c r="F2588" t="s">
        <v>50801</v>
      </c>
      <c r="G2588" t="s">
        <v>50802</v>
      </c>
      <c r="H2588" t="s">
        <v>50803</v>
      </c>
      <c r="I2588" t="s">
        <v>50804</v>
      </c>
      <c r="J2588" t="s">
        <v>50805</v>
      </c>
      <c r="K2588" t="s">
        <v>50806</v>
      </c>
      <c r="L2588" t="s">
        <v>50807</v>
      </c>
      <c r="M2588" t="s">
        <v>50808</v>
      </c>
      <c r="N2588" t="s">
        <v>50809</v>
      </c>
      <c r="O2588">
        <f>-594.473618140739 -105.397002941753 -710.506328074383</f>
        <v>-1410.3769491568751</v>
      </c>
      <c r="P2588">
        <f>-616.941791938891 -69.2207767305313 -396.862097809002</f>
        <v>-1083.0246664784243</v>
      </c>
      <c r="Q2588" t="s">
        <v>50810</v>
      </c>
      <c r="R2588" t="s">
        <v>50811</v>
      </c>
      <c r="S2588" t="s">
        <v>50812</v>
      </c>
      <c r="T2588" t="s">
        <v>50813</v>
      </c>
      <c r="U2588" t="s">
        <v>50814</v>
      </c>
      <c r="V2588" t="s">
        <v>50815</v>
      </c>
      <c r="W2588" t="s">
        <v>50816</v>
      </c>
      <c r="X2588" t="s">
        <v>50817</v>
      </c>
      <c r="Y2588" t="s">
        <v>50818</v>
      </c>
    </row>
    <row r="2589" spans="1:25" x14ac:dyDescent="0.3">
      <c r="A2589">
        <v>129400</v>
      </c>
      <c r="B2589" t="s">
        <v>50819</v>
      </c>
      <c r="C2589" t="s">
        <v>50820</v>
      </c>
      <c r="D2589" t="s">
        <v>50821</v>
      </c>
      <c r="E2589" t="s">
        <v>50822</v>
      </c>
      <c r="F2589" t="s">
        <v>50823</v>
      </c>
      <c r="G2589" t="s">
        <v>50824</v>
      </c>
      <c r="H2589" t="s">
        <v>50825</v>
      </c>
      <c r="I2589" t="s">
        <v>50826</v>
      </c>
      <c r="J2589" t="s">
        <v>50827</v>
      </c>
      <c r="K2589" t="s">
        <v>50828</v>
      </c>
      <c r="L2589" t="s">
        <v>50829</v>
      </c>
      <c r="M2589" t="s">
        <v>50830</v>
      </c>
      <c r="N2589" t="s">
        <v>50831</v>
      </c>
      <c r="O2589">
        <f>-594.135006338072 -105.340800491131 -710.529184347222</f>
        <v>-1410.0049911764249</v>
      </c>
      <c r="P2589">
        <f>-616.349803709584 -69.7557774339878 -396.799346450031</f>
        <v>-1082.9049275936027</v>
      </c>
      <c r="Q2589" t="s">
        <v>50832</v>
      </c>
      <c r="R2589" t="s">
        <v>50833</v>
      </c>
      <c r="S2589" t="s">
        <v>50834</v>
      </c>
      <c r="T2589" t="s">
        <v>50835</v>
      </c>
      <c r="U2589" t="s">
        <v>50836</v>
      </c>
      <c r="V2589" t="s">
        <v>50837</v>
      </c>
      <c r="W2589" t="s">
        <v>50838</v>
      </c>
      <c r="X2589" t="s">
        <v>50839</v>
      </c>
      <c r="Y2589" t="s">
        <v>50840</v>
      </c>
    </row>
    <row r="2590" spans="1:25" x14ac:dyDescent="0.3">
      <c r="A2590">
        <v>129450</v>
      </c>
      <c r="B2590" t="s">
        <v>50841</v>
      </c>
      <c r="C2590" t="s">
        <v>50842</v>
      </c>
      <c r="D2590" t="s">
        <v>50843</v>
      </c>
      <c r="E2590" t="s">
        <v>50844</v>
      </c>
      <c r="F2590" t="s">
        <v>50845</v>
      </c>
      <c r="G2590" t="s">
        <v>50846</v>
      </c>
      <c r="H2590" t="s">
        <v>50847</v>
      </c>
      <c r="I2590" t="s">
        <v>50848</v>
      </c>
      <c r="J2590" t="s">
        <v>50849</v>
      </c>
      <c r="K2590" t="s">
        <v>50850</v>
      </c>
      <c r="L2590" t="s">
        <v>50851</v>
      </c>
      <c r="M2590" t="s">
        <v>50852</v>
      </c>
      <c r="N2590" t="s">
        <v>50853</v>
      </c>
      <c r="O2590">
        <f>-593.610271706359 -104.787675772708 -710.739285180843</f>
        <v>-1409.1372326599098</v>
      </c>
      <c r="P2590">
        <f>-614.774281830612 -71.0356621213818 -396.734328578122</f>
        <v>-1082.5442725301159</v>
      </c>
      <c r="Q2590" t="s">
        <v>50854</v>
      </c>
      <c r="R2590" t="s">
        <v>50855</v>
      </c>
      <c r="S2590" t="s">
        <v>50856</v>
      </c>
      <c r="T2590" t="s">
        <v>50857</v>
      </c>
      <c r="U2590" t="s">
        <v>50858</v>
      </c>
      <c r="V2590" t="s">
        <v>50859</v>
      </c>
      <c r="W2590" t="s">
        <v>50860</v>
      </c>
      <c r="X2590" t="s">
        <v>50861</v>
      </c>
      <c r="Y2590" t="s">
        <v>50862</v>
      </c>
    </row>
    <row r="2591" spans="1:25" x14ac:dyDescent="0.3">
      <c r="A2591">
        <v>129500</v>
      </c>
      <c r="B2591" t="s">
        <v>50863</v>
      </c>
      <c r="C2591" t="s">
        <v>50864</v>
      </c>
      <c r="D2591" t="s">
        <v>50865</v>
      </c>
      <c r="E2591" t="s">
        <v>50866</v>
      </c>
      <c r="F2591" t="s">
        <v>50867</v>
      </c>
      <c r="G2591" t="s">
        <v>50868</v>
      </c>
      <c r="H2591" t="s">
        <v>50869</v>
      </c>
      <c r="I2591" t="s">
        <v>50870</v>
      </c>
      <c r="J2591" t="s">
        <v>50871</v>
      </c>
      <c r="K2591" t="s">
        <v>50872</v>
      </c>
      <c r="L2591" t="s">
        <v>50873</v>
      </c>
      <c r="M2591" t="s">
        <v>50874</v>
      </c>
      <c r="N2591" t="s">
        <v>50875</v>
      </c>
      <c r="O2591">
        <f>-593.218430532356 -104.568045530071 -710.892860197117</f>
        <v>-1408.679336259544</v>
      </c>
      <c r="P2591">
        <f>-614.45557573896 -70.8649802096352 -396.887696390273</f>
        <v>-1082.2082523388681</v>
      </c>
      <c r="Q2591" t="s">
        <v>50876</v>
      </c>
      <c r="R2591" t="s">
        <v>50877</v>
      </c>
      <c r="S2591" t="s">
        <v>50878</v>
      </c>
      <c r="T2591" t="s">
        <v>50879</v>
      </c>
      <c r="U2591" t="s">
        <v>50880</v>
      </c>
      <c r="V2591" t="s">
        <v>50881</v>
      </c>
      <c r="W2591" t="s">
        <v>50882</v>
      </c>
      <c r="X2591" t="s">
        <v>50883</v>
      </c>
      <c r="Y2591" t="s">
        <v>50884</v>
      </c>
    </row>
    <row r="2592" spans="1:25" x14ac:dyDescent="0.3">
      <c r="A2592">
        <v>129550</v>
      </c>
      <c r="B2592" t="s">
        <v>50885</v>
      </c>
      <c r="C2592" t="s">
        <v>50886</v>
      </c>
      <c r="D2592" t="s">
        <v>50887</v>
      </c>
      <c r="E2592" t="s">
        <v>50888</v>
      </c>
      <c r="F2592" t="s">
        <v>50889</v>
      </c>
      <c r="G2592" t="s">
        <v>50890</v>
      </c>
      <c r="H2592" t="s">
        <v>50891</v>
      </c>
      <c r="I2592" t="s">
        <v>50892</v>
      </c>
      <c r="J2592" t="s">
        <v>50893</v>
      </c>
      <c r="K2592" t="s">
        <v>50894</v>
      </c>
      <c r="L2592" t="s">
        <v>50895</v>
      </c>
      <c r="M2592" t="s">
        <v>50896</v>
      </c>
      <c r="N2592" t="s">
        <v>50897</v>
      </c>
      <c r="O2592">
        <f>-592.435450128729 -104.340702371113 -711.061634869409</f>
        <v>-1407.8377873692511</v>
      </c>
      <c r="P2592">
        <f>-614.424126020091 -70.2858598756006 -397.145951251172</f>
        <v>-1081.8559371468637</v>
      </c>
      <c r="Q2592" t="s">
        <v>50898</v>
      </c>
      <c r="R2592" t="s">
        <v>50899</v>
      </c>
      <c r="S2592" t="s">
        <v>50900</v>
      </c>
      <c r="T2592" t="s">
        <v>50901</v>
      </c>
      <c r="U2592" t="s">
        <v>50902</v>
      </c>
      <c r="V2592" t="s">
        <v>50903</v>
      </c>
      <c r="W2592" t="s">
        <v>50904</v>
      </c>
      <c r="X2592" t="s">
        <v>50905</v>
      </c>
      <c r="Y2592" t="s">
        <v>50906</v>
      </c>
    </row>
    <row r="2593" spans="1:25" x14ac:dyDescent="0.3">
      <c r="A2593">
        <v>129600</v>
      </c>
      <c r="B2593" t="s">
        <v>50907</v>
      </c>
      <c r="C2593" t="s">
        <v>50908</v>
      </c>
      <c r="D2593" t="s">
        <v>50909</v>
      </c>
      <c r="E2593" t="s">
        <v>50910</v>
      </c>
      <c r="F2593" t="s">
        <v>50911</v>
      </c>
      <c r="G2593" t="s">
        <v>50912</v>
      </c>
      <c r="H2593" t="s">
        <v>50913</v>
      </c>
      <c r="I2593" t="s">
        <v>50914</v>
      </c>
      <c r="J2593" t="s">
        <v>50915</v>
      </c>
      <c r="K2593" t="s">
        <v>50916</v>
      </c>
      <c r="L2593" t="s">
        <v>50917</v>
      </c>
      <c r="M2593" t="s">
        <v>50918</v>
      </c>
      <c r="N2593" t="s">
        <v>50919</v>
      </c>
      <c r="O2593">
        <f>-592.163189588007 -104.284522754107 -711.069831810259</f>
        <v>-1407.5175441523729</v>
      </c>
      <c r="P2593">
        <f>-614.82221647094 -70.112912712656 -397.214703310043</f>
        <v>-1082.149832493639</v>
      </c>
      <c r="Q2593" t="s">
        <v>50920</v>
      </c>
      <c r="R2593" t="s">
        <v>50921</v>
      </c>
      <c r="S2593" t="s">
        <v>50922</v>
      </c>
      <c r="T2593" t="s">
        <v>50923</v>
      </c>
      <c r="U2593" t="s">
        <v>50924</v>
      </c>
      <c r="V2593" t="s">
        <v>50925</v>
      </c>
      <c r="W2593" t="s">
        <v>50926</v>
      </c>
      <c r="X2593" t="s">
        <v>50927</v>
      </c>
      <c r="Y2593" t="s">
        <v>50928</v>
      </c>
    </row>
    <row r="2594" spans="1:25" x14ac:dyDescent="0.3">
      <c r="A2594">
        <v>129650</v>
      </c>
      <c r="B2594" t="s">
        <v>50929</v>
      </c>
      <c r="C2594" t="s">
        <v>50930</v>
      </c>
      <c r="D2594" t="s">
        <v>50931</v>
      </c>
      <c r="E2594" t="s">
        <v>50932</v>
      </c>
      <c r="F2594" t="s">
        <v>50933</v>
      </c>
      <c r="G2594" t="s">
        <v>50934</v>
      </c>
      <c r="H2594" t="s">
        <v>50935</v>
      </c>
      <c r="I2594" t="s">
        <v>50936</v>
      </c>
      <c r="J2594" t="s">
        <v>50937</v>
      </c>
      <c r="K2594" t="s">
        <v>50938</v>
      </c>
      <c r="L2594" t="s">
        <v>50939</v>
      </c>
      <c r="M2594" t="s">
        <v>50940</v>
      </c>
      <c r="N2594" t="s">
        <v>50941</v>
      </c>
      <c r="O2594">
        <f>-591.457168442637 -104.204276590817 -711.07422395359</f>
        <v>-1406.7356689870439</v>
      </c>
      <c r="P2594">
        <f>-616.039890842943 -69.8961295659872 -397.378801454623</f>
        <v>-1083.3148218635531</v>
      </c>
      <c r="Q2594" t="s">
        <v>50942</v>
      </c>
      <c r="R2594" t="s">
        <v>50943</v>
      </c>
      <c r="S2594" t="s">
        <v>50944</v>
      </c>
      <c r="T2594" t="s">
        <v>50945</v>
      </c>
      <c r="U2594" t="s">
        <v>50946</v>
      </c>
      <c r="V2594" t="s">
        <v>50947</v>
      </c>
      <c r="W2594" t="s">
        <v>50948</v>
      </c>
      <c r="X2594" t="s">
        <v>50949</v>
      </c>
      <c r="Y2594" t="s">
        <v>50950</v>
      </c>
    </row>
    <row r="2595" spans="1:25" x14ac:dyDescent="0.3">
      <c r="A2595">
        <v>129700</v>
      </c>
      <c r="B2595" t="s">
        <v>50951</v>
      </c>
      <c r="C2595" t="s">
        <v>50952</v>
      </c>
      <c r="D2595" t="s">
        <v>50953</v>
      </c>
      <c r="E2595" t="s">
        <v>50954</v>
      </c>
      <c r="F2595" t="s">
        <v>50955</v>
      </c>
      <c r="G2595" t="s">
        <v>50956</v>
      </c>
      <c r="H2595" t="s">
        <v>50957</v>
      </c>
      <c r="I2595" t="s">
        <v>50958</v>
      </c>
      <c r="J2595" t="s">
        <v>50959</v>
      </c>
      <c r="K2595" t="s">
        <v>50960</v>
      </c>
      <c r="L2595" t="s">
        <v>50961</v>
      </c>
      <c r="M2595" t="s">
        <v>50962</v>
      </c>
      <c r="N2595" t="s">
        <v>50963</v>
      </c>
      <c r="O2595">
        <f>-591.348650028206 -104.062345336086 -711.130230993298</f>
        <v>-1406.5412263575899</v>
      </c>
      <c r="P2595">
        <f>-616.448744154075 -69.9565035524242 -397.453699664507</f>
        <v>-1083.8589473710063</v>
      </c>
      <c r="Q2595" t="s">
        <v>50964</v>
      </c>
      <c r="R2595" t="s">
        <v>50965</v>
      </c>
      <c r="S2595" t="s">
        <v>50966</v>
      </c>
      <c r="T2595" t="s">
        <v>50967</v>
      </c>
      <c r="U2595" t="s">
        <v>50968</v>
      </c>
      <c r="V2595" t="s">
        <v>50969</v>
      </c>
      <c r="W2595" t="s">
        <v>50970</v>
      </c>
      <c r="X2595" t="s">
        <v>50971</v>
      </c>
      <c r="Y2595" t="s">
        <v>50972</v>
      </c>
    </row>
    <row r="2596" spans="1:25" x14ac:dyDescent="0.3">
      <c r="A2596">
        <v>129750</v>
      </c>
      <c r="B2596" t="s">
        <v>50973</v>
      </c>
      <c r="C2596" t="s">
        <v>50974</v>
      </c>
      <c r="D2596" t="s">
        <v>50975</v>
      </c>
      <c r="E2596" t="s">
        <v>50976</v>
      </c>
      <c r="F2596" t="s">
        <v>50977</v>
      </c>
      <c r="G2596" t="s">
        <v>50978</v>
      </c>
      <c r="H2596" t="s">
        <v>50979</v>
      </c>
      <c r="I2596" t="s">
        <v>50980</v>
      </c>
      <c r="J2596" t="s">
        <v>50981</v>
      </c>
      <c r="K2596" t="s">
        <v>50982</v>
      </c>
      <c r="L2596" t="s">
        <v>50983</v>
      </c>
      <c r="M2596" t="s">
        <v>50984</v>
      </c>
      <c r="N2596" t="s">
        <v>50985</v>
      </c>
      <c r="O2596">
        <f>-591.305333448082 -104.005046335908 -711.205596804173</f>
        <v>-1406.5159765881631</v>
      </c>
      <c r="P2596">
        <f>-616.574555730312 -70.0808081429223 -397.52287653369</f>
        <v>-1084.1782404069243</v>
      </c>
      <c r="Q2596" t="s">
        <v>50986</v>
      </c>
      <c r="R2596" t="s">
        <v>50987</v>
      </c>
      <c r="S2596" t="s">
        <v>50988</v>
      </c>
      <c r="T2596" t="s">
        <v>50989</v>
      </c>
      <c r="U2596" t="s">
        <v>50990</v>
      </c>
      <c r="V2596" t="s">
        <v>50991</v>
      </c>
      <c r="W2596" t="s">
        <v>50992</v>
      </c>
      <c r="X2596" t="s">
        <v>50993</v>
      </c>
      <c r="Y2596" t="s">
        <v>50994</v>
      </c>
    </row>
    <row r="2597" spans="1:25" x14ac:dyDescent="0.3">
      <c r="A2597">
        <v>129800</v>
      </c>
      <c r="B2597" t="s">
        <v>50995</v>
      </c>
      <c r="C2597" t="s">
        <v>50996</v>
      </c>
      <c r="D2597" t="s">
        <v>50997</v>
      </c>
      <c r="E2597" t="s">
        <v>50998</v>
      </c>
      <c r="F2597" t="s">
        <v>50999</v>
      </c>
      <c r="G2597" t="s">
        <v>51000</v>
      </c>
      <c r="H2597" t="s">
        <v>51001</v>
      </c>
      <c r="I2597" t="s">
        <v>51002</v>
      </c>
      <c r="J2597" t="s">
        <v>51003</v>
      </c>
      <c r="K2597" t="s">
        <v>51004</v>
      </c>
      <c r="L2597" t="s">
        <v>51005</v>
      </c>
      <c r="M2597" t="s">
        <v>51006</v>
      </c>
      <c r="N2597" t="s">
        <v>51007</v>
      </c>
      <c r="O2597">
        <f>-591.900336432442 -104.13956298468 -711.24896607706</f>
        <v>-1407.2888654941821</v>
      </c>
      <c r="P2597">
        <f>-616.40713072432 -70.5677856289692 -397.467843939051</f>
        <v>-1084.4427602923402</v>
      </c>
      <c r="Q2597" t="s">
        <v>51008</v>
      </c>
      <c r="R2597" t="s">
        <v>51009</v>
      </c>
      <c r="S2597" t="s">
        <v>51010</v>
      </c>
      <c r="T2597" t="s">
        <v>51011</v>
      </c>
      <c r="U2597" t="s">
        <v>51012</v>
      </c>
      <c r="V2597" t="s">
        <v>51013</v>
      </c>
      <c r="W2597" t="s">
        <v>51014</v>
      </c>
      <c r="X2597" t="s">
        <v>51015</v>
      </c>
      <c r="Y2597" t="s">
        <v>51016</v>
      </c>
    </row>
    <row r="2598" spans="1:25" x14ac:dyDescent="0.3">
      <c r="A2598">
        <v>129850</v>
      </c>
      <c r="B2598" t="s">
        <v>51017</v>
      </c>
      <c r="C2598" t="s">
        <v>51018</v>
      </c>
      <c r="D2598" t="s">
        <v>51019</v>
      </c>
      <c r="E2598" t="s">
        <v>51020</v>
      </c>
      <c r="F2598" t="s">
        <v>51021</v>
      </c>
      <c r="G2598" t="s">
        <v>51022</v>
      </c>
      <c r="H2598" t="s">
        <v>51023</v>
      </c>
      <c r="I2598" t="s">
        <v>51024</v>
      </c>
      <c r="J2598" t="s">
        <v>51025</v>
      </c>
      <c r="K2598" t="s">
        <v>51026</v>
      </c>
      <c r="L2598" t="s">
        <v>51027</v>
      </c>
      <c r="M2598" t="s">
        <v>51028</v>
      </c>
      <c r="N2598" t="s">
        <v>51029</v>
      </c>
      <c r="O2598">
        <f>-592.912722336963 -104.533031756491 -711.44761459511</f>
        <v>-1408.8933686885641</v>
      </c>
      <c r="P2598">
        <f>-617.254368843484 -71.2780782122345 -397.61993263894</f>
        <v>-1086.1523796946585</v>
      </c>
      <c r="Q2598" t="s">
        <v>51030</v>
      </c>
      <c r="R2598" t="s">
        <v>51031</v>
      </c>
      <c r="S2598" t="s">
        <v>51032</v>
      </c>
      <c r="T2598" t="s">
        <v>51033</v>
      </c>
      <c r="U2598" t="s">
        <v>51034</v>
      </c>
      <c r="V2598" t="s">
        <v>51035</v>
      </c>
      <c r="W2598" t="s">
        <v>51036</v>
      </c>
      <c r="X2598" t="s">
        <v>51037</v>
      </c>
      <c r="Y2598" t="s">
        <v>51038</v>
      </c>
    </row>
    <row r="2599" spans="1:25" x14ac:dyDescent="0.3">
      <c r="A2599">
        <v>129900</v>
      </c>
      <c r="B2599" t="s">
        <v>51039</v>
      </c>
      <c r="C2599" t="s">
        <v>51040</v>
      </c>
      <c r="D2599" t="s">
        <v>51041</v>
      </c>
      <c r="E2599" t="s">
        <v>51042</v>
      </c>
      <c r="F2599" t="s">
        <v>51043</v>
      </c>
      <c r="G2599" t="s">
        <v>51044</v>
      </c>
      <c r="H2599" t="s">
        <v>51045</v>
      </c>
      <c r="I2599" t="s">
        <v>51046</v>
      </c>
      <c r="J2599" t="s">
        <v>51047</v>
      </c>
      <c r="K2599" t="s">
        <v>51048</v>
      </c>
      <c r="L2599" t="s">
        <v>51049</v>
      </c>
      <c r="M2599" t="s">
        <v>51050</v>
      </c>
      <c r="N2599" t="s">
        <v>51051</v>
      </c>
      <c r="O2599">
        <f>-593.202525507084 -104.8520580863 -711.389013691899</f>
        <v>-1409.443597285283</v>
      </c>
      <c r="P2599">
        <f>-617.563745343264 -71.6494644606937 -397.557292494285</f>
        <v>-1086.7705022982427</v>
      </c>
      <c r="Q2599" t="s">
        <v>51052</v>
      </c>
      <c r="R2599" t="s">
        <v>51053</v>
      </c>
      <c r="S2599" t="s">
        <v>51054</v>
      </c>
      <c r="T2599" t="s">
        <v>51055</v>
      </c>
      <c r="U2599" t="s">
        <v>51056</v>
      </c>
      <c r="V2599" t="s">
        <v>51057</v>
      </c>
      <c r="W2599" t="s">
        <v>51058</v>
      </c>
      <c r="X2599" t="s">
        <v>51059</v>
      </c>
      <c r="Y2599" t="s">
        <v>51060</v>
      </c>
    </row>
    <row r="2600" spans="1:25" x14ac:dyDescent="0.3">
      <c r="A2600">
        <v>129950</v>
      </c>
      <c r="B2600" t="s">
        <v>51061</v>
      </c>
      <c r="C2600" t="s">
        <v>51062</v>
      </c>
      <c r="D2600" t="s">
        <v>51063</v>
      </c>
      <c r="E2600" t="s">
        <v>51064</v>
      </c>
      <c r="F2600" t="s">
        <v>51065</v>
      </c>
      <c r="G2600" t="s">
        <v>51066</v>
      </c>
      <c r="H2600" t="s">
        <v>51067</v>
      </c>
      <c r="I2600" t="s">
        <v>51068</v>
      </c>
      <c r="J2600" t="s">
        <v>51069</v>
      </c>
      <c r="K2600" t="s">
        <v>51070</v>
      </c>
      <c r="L2600" t="s">
        <v>51071</v>
      </c>
      <c r="M2600" t="s">
        <v>51072</v>
      </c>
      <c r="N2600" t="s">
        <v>51073</v>
      </c>
      <c r="O2600">
        <f>-594.151156580132 -105.495546384717 -711.27796699285</f>
        <v>-1410.9246699576991</v>
      </c>
      <c r="P2600">
        <f>-619.098814219569 -72.194452815663 -397.502811494111</f>
        <v>-1088.796078529343</v>
      </c>
      <c r="Q2600" t="s">
        <v>51074</v>
      </c>
      <c r="R2600" t="s">
        <v>51075</v>
      </c>
      <c r="S2600" t="s">
        <v>51076</v>
      </c>
      <c r="T2600" t="s">
        <v>51077</v>
      </c>
      <c r="U2600" t="s">
        <v>51078</v>
      </c>
      <c r="V2600" t="s">
        <v>51079</v>
      </c>
      <c r="W2600" t="s">
        <v>51080</v>
      </c>
      <c r="X2600" t="s">
        <v>51081</v>
      </c>
      <c r="Y2600" t="s">
        <v>51082</v>
      </c>
    </row>
    <row r="2601" spans="1:25" x14ac:dyDescent="0.3">
      <c r="A2601">
        <v>130000</v>
      </c>
      <c r="B2601" t="s">
        <v>51083</v>
      </c>
      <c r="C2601" t="s">
        <v>51084</v>
      </c>
      <c r="D2601" t="s">
        <v>51085</v>
      </c>
      <c r="E2601" t="s">
        <v>51086</v>
      </c>
      <c r="F2601" t="s">
        <v>51087</v>
      </c>
      <c r="G2601" t="s">
        <v>51088</v>
      </c>
      <c r="H2601" t="s">
        <v>51089</v>
      </c>
      <c r="I2601" t="s">
        <v>51090</v>
      </c>
      <c r="J2601" t="s">
        <v>51091</v>
      </c>
      <c r="K2601" t="s">
        <v>51092</v>
      </c>
      <c r="L2601" t="s">
        <v>51093</v>
      </c>
      <c r="M2601" t="s">
        <v>51094</v>
      </c>
      <c r="N2601" t="s">
        <v>51095</v>
      </c>
      <c r="O2601">
        <f>-594.394591115442 -105.82318288329 -711.12156503038</f>
        <v>-1411.3393390291121</v>
      </c>
      <c r="P2601">
        <f>-619.322636087095 -71.8999132159911 -397.411644725898</f>
        <v>-1088.634194028984</v>
      </c>
      <c r="Q2601" t="s">
        <v>51096</v>
      </c>
      <c r="R2601" t="s">
        <v>51097</v>
      </c>
      <c r="S2601" t="s">
        <v>51098</v>
      </c>
      <c r="T2601" t="s">
        <v>51099</v>
      </c>
      <c r="U2601" t="s">
        <v>51100</v>
      </c>
      <c r="V2601" t="s">
        <v>51101</v>
      </c>
      <c r="W2601" t="s">
        <v>51102</v>
      </c>
      <c r="X2601" t="s">
        <v>51103</v>
      </c>
      <c r="Y2601" t="s">
        <v>51104</v>
      </c>
    </row>
    <row r="2602" spans="1:25" x14ac:dyDescent="0.3">
      <c r="A2602">
        <v>130050</v>
      </c>
      <c r="B2602" t="s">
        <v>51105</v>
      </c>
      <c r="C2602" t="s">
        <v>51106</v>
      </c>
      <c r="D2602" t="s">
        <v>51107</v>
      </c>
      <c r="E2602" t="s">
        <v>51108</v>
      </c>
      <c r="F2602" t="s">
        <v>51109</v>
      </c>
      <c r="G2602" t="s">
        <v>51110</v>
      </c>
      <c r="H2602" t="s">
        <v>51111</v>
      </c>
      <c r="I2602" t="s">
        <v>51112</v>
      </c>
      <c r="J2602" t="s">
        <v>51113</v>
      </c>
      <c r="K2602" t="s">
        <v>51114</v>
      </c>
      <c r="L2602" t="s">
        <v>51115</v>
      </c>
      <c r="M2602" t="s">
        <v>51116</v>
      </c>
      <c r="N2602" t="s">
        <v>51117</v>
      </c>
      <c r="O2602">
        <f>-594.707663872303 -106.528657392213 -710.69594799365</f>
        <v>-1411.9322692581659</v>
      </c>
      <c r="P2602">
        <f>-619.920215067769 -71.4031937904381 -397.140811266272</f>
        <v>-1088.4642201244792</v>
      </c>
      <c r="Q2602" t="s">
        <v>51118</v>
      </c>
      <c r="R2602" t="s">
        <v>51119</v>
      </c>
      <c r="S2602" t="s">
        <v>51120</v>
      </c>
      <c r="T2602" t="s">
        <v>51121</v>
      </c>
      <c r="U2602" t="s">
        <v>51122</v>
      </c>
      <c r="V2602" t="s">
        <v>51123</v>
      </c>
      <c r="W2602" t="s">
        <v>51124</v>
      </c>
      <c r="X2602" t="s">
        <v>51125</v>
      </c>
      <c r="Y2602" t="s">
        <v>51126</v>
      </c>
    </row>
    <row r="2603" spans="1:25" x14ac:dyDescent="0.3">
      <c r="A2603">
        <v>130100</v>
      </c>
      <c r="B2603" t="s">
        <v>51127</v>
      </c>
      <c r="C2603" t="s">
        <v>51128</v>
      </c>
      <c r="D2603" t="s">
        <v>51129</v>
      </c>
      <c r="E2603" t="s">
        <v>51130</v>
      </c>
      <c r="F2603" t="s">
        <v>51131</v>
      </c>
      <c r="G2603" t="s">
        <v>51132</v>
      </c>
      <c r="H2603" t="s">
        <v>51133</v>
      </c>
      <c r="I2603" t="s">
        <v>51134</v>
      </c>
      <c r="J2603" t="s">
        <v>51135</v>
      </c>
      <c r="K2603" t="s">
        <v>51136</v>
      </c>
      <c r="L2603" t="s">
        <v>51137</v>
      </c>
      <c r="M2603" t="s">
        <v>51138</v>
      </c>
      <c r="N2603" t="s">
        <v>51139</v>
      </c>
      <c r="O2603">
        <f>-594.672738545691 -106.729300200082 -710.662580216011</f>
        <v>-1412.0646189617839</v>
      </c>
      <c r="P2603">
        <f>-619.751335520602 -71.6857261695172 -397.087765923918</f>
        <v>-1088.5248276140373</v>
      </c>
      <c r="Q2603" t="s">
        <v>51140</v>
      </c>
      <c r="R2603" t="s">
        <v>51141</v>
      </c>
      <c r="S2603" t="s">
        <v>51142</v>
      </c>
      <c r="T2603" t="s">
        <v>51143</v>
      </c>
      <c r="U2603" t="s">
        <v>51144</v>
      </c>
      <c r="V2603" t="s">
        <v>51145</v>
      </c>
      <c r="W2603" t="s">
        <v>51146</v>
      </c>
      <c r="X2603" t="s">
        <v>51147</v>
      </c>
      <c r="Y2603" t="s">
        <v>51148</v>
      </c>
    </row>
    <row r="2604" spans="1:25" x14ac:dyDescent="0.3">
      <c r="A2604">
        <v>130150</v>
      </c>
      <c r="B2604" t="s">
        <v>51149</v>
      </c>
      <c r="C2604" t="s">
        <v>51150</v>
      </c>
      <c r="D2604" t="s">
        <v>51151</v>
      </c>
      <c r="E2604" t="s">
        <v>51152</v>
      </c>
      <c r="F2604" t="s">
        <v>51153</v>
      </c>
      <c r="G2604" t="s">
        <v>51154</v>
      </c>
      <c r="H2604" t="s">
        <v>51155</v>
      </c>
      <c r="I2604" t="s">
        <v>51156</v>
      </c>
      <c r="J2604" t="s">
        <v>51157</v>
      </c>
      <c r="K2604" t="s">
        <v>51158</v>
      </c>
      <c r="L2604" t="s">
        <v>51159</v>
      </c>
      <c r="M2604" t="s">
        <v>51160</v>
      </c>
      <c r="N2604" t="s">
        <v>51161</v>
      </c>
      <c r="O2604">
        <f>-595.124618254309 -107.068411225965 -710.716952275133</f>
        <v>-1412.909981755407</v>
      </c>
      <c r="P2604">
        <f>-619.544714789689 -72.5642763426554 -397.030286286564</f>
        <v>-1089.1392774189085</v>
      </c>
      <c r="Q2604" t="s">
        <v>51162</v>
      </c>
      <c r="R2604" t="s">
        <v>51163</v>
      </c>
      <c r="S2604" t="s">
        <v>51164</v>
      </c>
      <c r="T2604" t="s">
        <v>51165</v>
      </c>
      <c r="U2604" t="s">
        <v>51166</v>
      </c>
      <c r="V2604" t="s">
        <v>51167</v>
      </c>
      <c r="W2604" t="s">
        <v>51168</v>
      </c>
      <c r="X2604" t="s">
        <v>51169</v>
      </c>
      <c r="Y2604" t="s">
        <v>51170</v>
      </c>
    </row>
    <row r="2605" spans="1:25" x14ac:dyDescent="0.3">
      <c r="A2605">
        <v>130200</v>
      </c>
      <c r="B2605" t="s">
        <v>51171</v>
      </c>
      <c r="C2605" t="s">
        <v>51172</v>
      </c>
      <c r="D2605" t="s">
        <v>51173</v>
      </c>
      <c r="E2605" t="s">
        <v>51174</v>
      </c>
      <c r="F2605" t="s">
        <v>51175</v>
      </c>
      <c r="G2605" t="s">
        <v>51176</v>
      </c>
      <c r="H2605" t="s">
        <v>51177</v>
      </c>
      <c r="I2605" t="s">
        <v>51178</v>
      </c>
      <c r="J2605" t="s">
        <v>51179</v>
      </c>
      <c r="K2605" t="s">
        <v>51180</v>
      </c>
      <c r="L2605" t="s">
        <v>51181</v>
      </c>
      <c r="M2605" t="s">
        <v>51182</v>
      </c>
      <c r="N2605" t="s">
        <v>51183</v>
      </c>
      <c r="O2605">
        <f>-595.667760114974 -107.293408601164 -710.796579217784</f>
        <v>-1413.757747933922</v>
      </c>
      <c r="P2605">
        <f>-619.502357144611 -72.5472908631864 -397.09156106391</f>
        <v>-1089.1412090717074</v>
      </c>
      <c r="Q2605" t="s">
        <v>51184</v>
      </c>
      <c r="R2605" t="s">
        <v>51185</v>
      </c>
      <c r="S2605" t="s">
        <v>51186</v>
      </c>
      <c r="T2605" t="s">
        <v>51187</v>
      </c>
      <c r="U2605" t="s">
        <v>51188</v>
      </c>
      <c r="V2605" t="s">
        <v>51189</v>
      </c>
      <c r="W2605" t="s">
        <v>51190</v>
      </c>
      <c r="X2605" t="s">
        <v>51191</v>
      </c>
      <c r="Y2605" t="s">
        <v>51192</v>
      </c>
    </row>
    <row r="2606" spans="1:25" x14ac:dyDescent="0.3">
      <c r="A2606">
        <v>130250</v>
      </c>
      <c r="B2606" t="s">
        <v>51193</v>
      </c>
      <c r="C2606" t="s">
        <v>51194</v>
      </c>
      <c r="D2606" t="s">
        <v>51195</v>
      </c>
      <c r="E2606" t="s">
        <v>51196</v>
      </c>
      <c r="F2606" t="s">
        <v>51197</v>
      </c>
      <c r="G2606" t="s">
        <v>51198</v>
      </c>
      <c r="H2606" t="s">
        <v>51199</v>
      </c>
      <c r="I2606" t="s">
        <v>51200</v>
      </c>
      <c r="J2606" t="s">
        <v>51201</v>
      </c>
      <c r="K2606" t="s">
        <v>51202</v>
      </c>
      <c r="L2606" t="s">
        <v>51203</v>
      </c>
      <c r="M2606" t="s">
        <v>51204</v>
      </c>
      <c r="N2606" t="s">
        <v>51205</v>
      </c>
      <c r="O2606">
        <f>-596.853656269076 -108.101223775575 -710.796266734397</f>
        <v>-1415.7511467790482</v>
      </c>
      <c r="P2606">
        <f>-619.791828495346 -73.8135760496077 -396.974047997756</f>
        <v>-1090.5794525427095</v>
      </c>
      <c r="Q2606" t="s">
        <v>51206</v>
      </c>
      <c r="R2606" t="s">
        <v>51207</v>
      </c>
      <c r="S2606" t="s">
        <v>51208</v>
      </c>
      <c r="T2606" t="s">
        <v>51209</v>
      </c>
      <c r="U2606" t="s">
        <v>51210</v>
      </c>
      <c r="V2606" t="s">
        <v>51211</v>
      </c>
      <c r="W2606" t="s">
        <v>51212</v>
      </c>
      <c r="X2606" t="s">
        <v>51213</v>
      </c>
      <c r="Y2606" t="s">
        <v>51214</v>
      </c>
    </row>
    <row r="2607" spans="1:25" x14ac:dyDescent="0.3">
      <c r="A2607">
        <v>130300</v>
      </c>
      <c r="B2607" t="s">
        <v>51215</v>
      </c>
      <c r="C2607" t="s">
        <v>51216</v>
      </c>
      <c r="D2607" t="s">
        <v>51217</v>
      </c>
      <c r="E2607" t="s">
        <v>51218</v>
      </c>
      <c r="F2607" t="s">
        <v>51219</v>
      </c>
      <c r="G2607" t="s">
        <v>51220</v>
      </c>
      <c r="H2607" t="s">
        <v>51221</v>
      </c>
      <c r="I2607" t="s">
        <v>51222</v>
      </c>
      <c r="J2607" t="s">
        <v>51223</v>
      </c>
      <c r="K2607" t="s">
        <v>51224</v>
      </c>
      <c r="L2607" t="s">
        <v>51225</v>
      </c>
      <c r="M2607" t="s">
        <v>51226</v>
      </c>
      <c r="N2607" t="s">
        <v>51227</v>
      </c>
      <c r="O2607">
        <f>-597.703576582911 -108.383389382411 -710.883205279308</f>
        <v>-1416.9701712446299</v>
      </c>
      <c r="P2607">
        <f>-620.301077731677 -74.1701336345659 -397.028188775285</f>
        <v>-1091.499400141528</v>
      </c>
      <c r="Q2607" t="s">
        <v>51228</v>
      </c>
      <c r="R2607" t="s">
        <v>51229</v>
      </c>
      <c r="S2607" t="s">
        <v>51230</v>
      </c>
      <c r="T2607" t="s">
        <v>51231</v>
      </c>
      <c r="U2607" t="s">
        <v>51232</v>
      </c>
      <c r="V2607" t="s">
        <v>51233</v>
      </c>
      <c r="W2607" t="s">
        <v>51234</v>
      </c>
      <c r="X2607" t="s">
        <v>51235</v>
      </c>
      <c r="Y2607" t="s">
        <v>51236</v>
      </c>
    </row>
    <row r="2608" spans="1:25" x14ac:dyDescent="0.3">
      <c r="A2608">
        <v>130350</v>
      </c>
      <c r="B2608" t="s">
        <v>51237</v>
      </c>
      <c r="C2608" t="s">
        <v>51238</v>
      </c>
      <c r="D2608" t="s">
        <v>51239</v>
      </c>
      <c r="E2608" t="s">
        <v>51240</v>
      </c>
      <c r="F2608" t="s">
        <v>51241</v>
      </c>
      <c r="G2608" t="s">
        <v>51242</v>
      </c>
      <c r="H2608" t="s">
        <v>51243</v>
      </c>
      <c r="I2608" t="s">
        <v>51244</v>
      </c>
      <c r="J2608" t="s">
        <v>51245</v>
      </c>
      <c r="K2608" t="s">
        <v>51246</v>
      </c>
      <c r="L2608" t="s">
        <v>51247</v>
      </c>
      <c r="M2608" t="s">
        <v>51248</v>
      </c>
      <c r="N2608" t="s">
        <v>51249</v>
      </c>
      <c r="O2608">
        <f>-599.381959865532 -109.031657476718 -711.077531303843</f>
        <v>-1419.4911486460931</v>
      </c>
      <c r="P2608">
        <f>-621.0649558953 -75.2145347318915 -397.115043003821</f>
        <v>-1093.3945336310126</v>
      </c>
      <c r="Q2608" t="s">
        <v>51250</v>
      </c>
      <c r="R2608" t="s">
        <v>51251</v>
      </c>
      <c r="S2608" t="s">
        <v>51252</v>
      </c>
      <c r="T2608" t="s">
        <v>51253</v>
      </c>
      <c r="U2608" t="s">
        <v>51254</v>
      </c>
      <c r="V2608" t="s">
        <v>51255</v>
      </c>
      <c r="W2608" t="s">
        <v>51256</v>
      </c>
      <c r="X2608" t="s">
        <v>51257</v>
      </c>
      <c r="Y2608" t="s">
        <v>51258</v>
      </c>
    </row>
    <row r="2609" spans="1:25" x14ac:dyDescent="0.3">
      <c r="A2609">
        <v>130400</v>
      </c>
      <c r="B2609" t="s">
        <v>51259</v>
      </c>
      <c r="C2609" t="s">
        <v>51260</v>
      </c>
      <c r="D2609" t="s">
        <v>51261</v>
      </c>
      <c r="E2609" t="s">
        <v>51262</v>
      </c>
      <c r="F2609" t="s">
        <v>51263</v>
      </c>
      <c r="G2609" t="s">
        <v>51264</v>
      </c>
      <c r="H2609" t="s">
        <v>51265</v>
      </c>
      <c r="I2609" t="s">
        <v>51266</v>
      </c>
      <c r="J2609" t="s">
        <v>51267</v>
      </c>
      <c r="K2609" t="s">
        <v>51268</v>
      </c>
      <c r="L2609" t="s">
        <v>51269</v>
      </c>
      <c r="M2609" t="s">
        <v>51270</v>
      </c>
      <c r="N2609" t="s">
        <v>51271</v>
      </c>
      <c r="O2609">
        <f>-600.207866491413 -109.242524915428 -711.153120839941</f>
        <v>-1420.603512246782</v>
      </c>
      <c r="P2609">
        <f>-621.440293980004 -75.6005961540629 -397.141009070295</f>
        <v>-1094.1818992043618</v>
      </c>
      <c r="Q2609" t="s">
        <v>51272</v>
      </c>
      <c r="R2609" t="s">
        <v>51273</v>
      </c>
      <c r="S2609" t="s">
        <v>51274</v>
      </c>
      <c r="T2609" t="s">
        <v>51275</v>
      </c>
      <c r="U2609" t="s">
        <v>51276</v>
      </c>
      <c r="V2609" t="s">
        <v>51277</v>
      </c>
      <c r="W2609" t="s">
        <v>51278</v>
      </c>
      <c r="X2609" t="s">
        <v>51279</v>
      </c>
      <c r="Y2609" t="s">
        <v>51280</v>
      </c>
    </row>
    <row r="2610" spans="1:25" x14ac:dyDescent="0.3">
      <c r="A2610">
        <v>130450</v>
      </c>
      <c r="B2610" t="s">
        <v>51281</v>
      </c>
      <c r="C2610" t="s">
        <v>51282</v>
      </c>
      <c r="D2610" t="s">
        <v>51283</v>
      </c>
      <c r="E2610" t="s">
        <v>51284</v>
      </c>
      <c r="F2610" t="s">
        <v>51285</v>
      </c>
      <c r="G2610" t="s">
        <v>51286</v>
      </c>
      <c r="H2610" t="s">
        <v>51287</v>
      </c>
      <c r="I2610" t="s">
        <v>51288</v>
      </c>
      <c r="J2610" t="s">
        <v>51289</v>
      </c>
      <c r="K2610" t="s">
        <v>51290</v>
      </c>
      <c r="L2610" t="s">
        <v>51291</v>
      </c>
      <c r="M2610" t="s">
        <v>51292</v>
      </c>
      <c r="N2610" t="s">
        <v>51293</v>
      </c>
      <c r="O2610">
        <f>-601.649745021784 -109.502119824789 -711.37179707889</f>
        <v>-1422.5236619254631</v>
      </c>
      <c r="P2610">
        <f>-621.969685339804 -76.4733753079518 -397.234259642221</f>
        <v>-1095.6773202899767</v>
      </c>
      <c r="Q2610" t="s">
        <v>51294</v>
      </c>
      <c r="R2610" t="s">
        <v>51295</v>
      </c>
      <c r="S2610" t="s">
        <v>51296</v>
      </c>
      <c r="T2610" t="s">
        <v>51297</v>
      </c>
      <c r="U2610" t="s">
        <v>51298</v>
      </c>
      <c r="V2610" t="s">
        <v>51299</v>
      </c>
      <c r="W2610" t="s">
        <v>51300</v>
      </c>
      <c r="X2610" t="s">
        <v>51301</v>
      </c>
      <c r="Y2610" t="s">
        <v>51302</v>
      </c>
    </row>
    <row r="2611" spans="1:25" x14ac:dyDescent="0.3">
      <c r="A2611">
        <v>130500</v>
      </c>
      <c r="B2611" t="s">
        <v>51303</v>
      </c>
      <c r="C2611" t="s">
        <v>51304</v>
      </c>
      <c r="D2611" t="s">
        <v>51305</v>
      </c>
      <c r="E2611" t="s">
        <v>51306</v>
      </c>
      <c r="F2611" t="s">
        <v>51307</v>
      </c>
      <c r="G2611" t="s">
        <v>51308</v>
      </c>
      <c r="H2611" t="s">
        <v>51309</v>
      </c>
      <c r="I2611" t="s">
        <v>51310</v>
      </c>
      <c r="J2611" t="s">
        <v>51311</v>
      </c>
      <c r="K2611" t="s">
        <v>51312</v>
      </c>
      <c r="L2611" t="s">
        <v>51313</v>
      </c>
      <c r="M2611" t="s">
        <v>51314</v>
      </c>
      <c r="N2611" t="s">
        <v>51315</v>
      </c>
      <c r="O2611">
        <f>-602.169529250961 -109.703375621096 -711.450131793877</f>
        <v>-1423.3230366659341</v>
      </c>
      <c r="P2611">
        <f>-622.303403112465 -76.9920926527666 -397.267360826482</f>
        <v>-1096.5628565917136</v>
      </c>
      <c r="Q2611" t="s">
        <v>51316</v>
      </c>
      <c r="R2611" t="s">
        <v>51317</v>
      </c>
      <c r="S2611" t="s">
        <v>51318</v>
      </c>
      <c r="T2611" t="s">
        <v>51319</v>
      </c>
      <c r="U2611" t="s">
        <v>51320</v>
      </c>
      <c r="V2611" t="s">
        <v>51321</v>
      </c>
      <c r="W2611" t="s">
        <v>51322</v>
      </c>
      <c r="X2611" t="s">
        <v>51323</v>
      </c>
      <c r="Y2611" t="s">
        <v>51324</v>
      </c>
    </row>
    <row r="2612" spans="1:25" x14ac:dyDescent="0.3">
      <c r="A2612">
        <v>130550</v>
      </c>
      <c r="B2612" t="s">
        <v>51325</v>
      </c>
      <c r="C2612" t="s">
        <v>51326</v>
      </c>
      <c r="D2612" t="s">
        <v>51327</v>
      </c>
      <c r="E2612" t="s">
        <v>51328</v>
      </c>
      <c r="F2612" t="s">
        <v>51329</v>
      </c>
      <c r="G2612" t="s">
        <v>51330</v>
      </c>
      <c r="H2612" t="s">
        <v>51331</v>
      </c>
      <c r="I2612" t="s">
        <v>51332</v>
      </c>
      <c r="J2612" t="s">
        <v>51333</v>
      </c>
      <c r="K2612" t="s">
        <v>51334</v>
      </c>
      <c r="L2612" t="s">
        <v>51335</v>
      </c>
      <c r="M2612" t="s">
        <v>51336</v>
      </c>
      <c r="N2612" t="s">
        <v>51337</v>
      </c>
      <c r="O2612">
        <f>-602.901169993245 -109.626549414579 -711.7709928186</f>
        <v>-1424.298712226424</v>
      </c>
      <c r="P2612">
        <f>-622.710857367095 -77.5075677636182 -397.506527863721</f>
        <v>-1097.7249529944343</v>
      </c>
      <c r="Q2612" t="s">
        <v>51338</v>
      </c>
      <c r="R2612" t="s">
        <v>51339</v>
      </c>
      <c r="S2612" t="s">
        <v>51340</v>
      </c>
      <c r="T2612" t="s">
        <v>51341</v>
      </c>
      <c r="U2612" t="s">
        <v>51342</v>
      </c>
      <c r="V2612" t="s">
        <v>51343</v>
      </c>
      <c r="W2612" t="s">
        <v>51344</v>
      </c>
      <c r="X2612" t="s">
        <v>51345</v>
      </c>
      <c r="Y2612" t="s">
        <v>51346</v>
      </c>
    </row>
    <row r="2613" spans="1:25" x14ac:dyDescent="0.3">
      <c r="A2613">
        <v>130600</v>
      </c>
      <c r="B2613" t="s">
        <v>51347</v>
      </c>
      <c r="C2613" t="s">
        <v>51348</v>
      </c>
      <c r="D2613" t="s">
        <v>51349</v>
      </c>
      <c r="E2613" t="s">
        <v>51350</v>
      </c>
      <c r="F2613" t="s">
        <v>51351</v>
      </c>
      <c r="G2613" t="s">
        <v>51352</v>
      </c>
      <c r="H2613" t="s">
        <v>51353</v>
      </c>
      <c r="I2613" t="s">
        <v>51354</v>
      </c>
      <c r="J2613" t="s">
        <v>51355</v>
      </c>
      <c r="K2613" t="s">
        <v>51356</v>
      </c>
      <c r="L2613" t="s">
        <v>51357</v>
      </c>
      <c r="M2613" t="s">
        <v>51358</v>
      </c>
      <c r="N2613" t="s">
        <v>51359</v>
      </c>
      <c r="O2613">
        <f>-603.130315770368 -109.50037164369 -711.881283007859</f>
        <v>-1424.5119704219169</v>
      </c>
      <c r="P2613">
        <f>-623.020864243662 -77.5686494900797 -397.60282336585</f>
        <v>-1098.1923370995917</v>
      </c>
      <c r="Q2613" t="s">
        <v>51360</v>
      </c>
      <c r="R2613" t="s">
        <v>51361</v>
      </c>
      <c r="S2613" t="s">
        <v>51362</v>
      </c>
      <c r="T2613" t="s">
        <v>51363</v>
      </c>
      <c r="U2613" t="s">
        <v>51364</v>
      </c>
      <c r="V2613" t="s">
        <v>51365</v>
      </c>
      <c r="W2613" t="s">
        <v>51366</v>
      </c>
      <c r="X2613" t="s">
        <v>51367</v>
      </c>
      <c r="Y2613" t="s">
        <v>51368</v>
      </c>
    </row>
    <row r="2614" spans="1:25" x14ac:dyDescent="0.3">
      <c r="A2614">
        <v>130650</v>
      </c>
      <c r="B2614" t="s">
        <v>51369</v>
      </c>
      <c r="C2614" t="s">
        <v>51370</v>
      </c>
      <c r="D2614" t="s">
        <v>51371</v>
      </c>
      <c r="E2614" t="s">
        <v>51372</v>
      </c>
      <c r="F2614" t="s">
        <v>51373</v>
      </c>
      <c r="G2614" t="s">
        <v>51374</v>
      </c>
      <c r="H2614" t="s">
        <v>51375</v>
      </c>
      <c r="I2614" t="s">
        <v>51376</v>
      </c>
      <c r="J2614" t="s">
        <v>51377</v>
      </c>
      <c r="K2614" t="s">
        <v>51378</v>
      </c>
      <c r="L2614" t="s">
        <v>51379</v>
      </c>
      <c r="M2614" t="s">
        <v>51380</v>
      </c>
      <c r="N2614" t="s">
        <v>51381</v>
      </c>
      <c r="O2614">
        <f>-603.316437350949 -109.347794867701 -711.908805121645</f>
        <v>-1424.5730373402948</v>
      </c>
      <c r="P2614">
        <f>-623.227917203914 -77.0463938493328 -397.669550595024</f>
        <v>-1097.9438616482707</v>
      </c>
      <c r="Q2614" t="s">
        <v>51382</v>
      </c>
      <c r="R2614" t="s">
        <v>51383</v>
      </c>
      <c r="S2614" t="s">
        <v>51384</v>
      </c>
      <c r="T2614" t="s">
        <v>51385</v>
      </c>
      <c r="U2614" t="s">
        <v>51386</v>
      </c>
      <c r="V2614" t="s">
        <v>51387</v>
      </c>
      <c r="W2614" t="s">
        <v>51388</v>
      </c>
      <c r="X2614" t="s">
        <v>51389</v>
      </c>
      <c r="Y2614" t="s">
        <v>51390</v>
      </c>
    </row>
    <row r="2615" spans="1:25" x14ac:dyDescent="0.3">
      <c r="A2615">
        <v>130700</v>
      </c>
      <c r="B2615" t="s">
        <v>51391</v>
      </c>
      <c r="C2615" t="s">
        <v>51392</v>
      </c>
      <c r="D2615" t="s">
        <v>51393</v>
      </c>
      <c r="E2615" t="s">
        <v>51394</v>
      </c>
      <c r="F2615" t="s">
        <v>51395</v>
      </c>
      <c r="G2615" t="s">
        <v>51396</v>
      </c>
      <c r="H2615" t="s">
        <v>51397</v>
      </c>
      <c r="I2615" t="s">
        <v>51398</v>
      </c>
      <c r="J2615" t="s">
        <v>51399</v>
      </c>
      <c r="K2615" t="s">
        <v>51400</v>
      </c>
      <c r="L2615" t="s">
        <v>51401</v>
      </c>
      <c r="M2615" t="s">
        <v>51402</v>
      </c>
      <c r="N2615" t="s">
        <v>51403</v>
      </c>
      <c r="O2615">
        <f>-603.275906427458 -109.28436286234 -711.845425518407</f>
        <v>-1424.405694808205</v>
      </c>
      <c r="P2615">
        <f>-623.290420961103 -76.8964325673605 -397.621666256294</f>
        <v>-1097.8085197847577</v>
      </c>
      <c r="Q2615" t="s">
        <v>51404</v>
      </c>
      <c r="R2615" t="s">
        <v>51405</v>
      </c>
      <c r="S2615" t="s">
        <v>51406</v>
      </c>
      <c r="T2615" t="s">
        <v>51407</v>
      </c>
      <c r="U2615" t="s">
        <v>51408</v>
      </c>
      <c r="V2615" t="s">
        <v>51409</v>
      </c>
      <c r="W2615" t="s">
        <v>51410</v>
      </c>
      <c r="X2615" t="s">
        <v>51411</v>
      </c>
      <c r="Y2615" t="s">
        <v>51412</v>
      </c>
    </row>
    <row r="2616" spans="1:25" x14ac:dyDescent="0.3">
      <c r="A2616">
        <v>130750</v>
      </c>
      <c r="B2616" t="s">
        <v>51413</v>
      </c>
      <c r="C2616" t="s">
        <v>51414</v>
      </c>
      <c r="D2616" t="s">
        <v>51415</v>
      </c>
      <c r="E2616" t="s">
        <v>51416</v>
      </c>
      <c r="F2616" t="s">
        <v>51417</v>
      </c>
      <c r="G2616" t="s">
        <v>51418</v>
      </c>
      <c r="H2616" t="s">
        <v>51419</v>
      </c>
      <c r="I2616" t="s">
        <v>51420</v>
      </c>
      <c r="J2616" t="s">
        <v>51421</v>
      </c>
      <c r="K2616" t="s">
        <v>51422</v>
      </c>
      <c r="L2616" t="s">
        <v>51423</v>
      </c>
      <c r="M2616" t="s">
        <v>51424</v>
      </c>
      <c r="N2616" t="s">
        <v>51425</v>
      </c>
      <c r="O2616">
        <f>-602.737551375389 -108.919231573906 -711.853723833845</f>
        <v>-1423.51050678314</v>
      </c>
      <c r="P2616">
        <f>-622.852285916825 -76.8486353436178 -397.603687529323</f>
        <v>-1097.304608789766</v>
      </c>
      <c r="Q2616" t="s">
        <v>51426</v>
      </c>
      <c r="R2616" t="s">
        <v>51427</v>
      </c>
      <c r="S2616" t="s">
        <v>51428</v>
      </c>
      <c r="T2616" t="s">
        <v>51429</v>
      </c>
      <c r="U2616" t="s">
        <v>51430</v>
      </c>
      <c r="V2616" t="s">
        <v>51431</v>
      </c>
      <c r="W2616" t="s">
        <v>51432</v>
      </c>
      <c r="X2616" t="s">
        <v>51433</v>
      </c>
      <c r="Y2616" t="s">
        <v>51434</v>
      </c>
    </row>
    <row r="2617" spans="1:25" x14ac:dyDescent="0.3">
      <c r="A2617">
        <v>130800</v>
      </c>
      <c r="B2617" t="s">
        <v>51435</v>
      </c>
      <c r="C2617" t="s">
        <v>51436</v>
      </c>
      <c r="D2617" t="s">
        <v>51437</v>
      </c>
      <c r="E2617" t="s">
        <v>51438</v>
      </c>
      <c r="F2617" t="s">
        <v>51439</v>
      </c>
      <c r="G2617" t="s">
        <v>51440</v>
      </c>
      <c r="H2617" t="s">
        <v>51441</v>
      </c>
      <c r="I2617" t="s">
        <v>51442</v>
      </c>
      <c r="J2617" t="s">
        <v>51443</v>
      </c>
      <c r="K2617" t="s">
        <v>51444</v>
      </c>
      <c r="L2617" t="s">
        <v>51445</v>
      </c>
      <c r="M2617" t="s">
        <v>51446</v>
      </c>
      <c r="N2617" t="s">
        <v>51447</v>
      </c>
      <c r="O2617">
        <f>-602.324504807918 -108.833125294655 -711.818942661929</f>
        <v>-1422.976572764502</v>
      </c>
      <c r="P2617">
        <f>-622.764595771421 -76.8976849648241 -397.576108571569</f>
        <v>-1097.238389307814</v>
      </c>
      <c r="Q2617" t="s">
        <v>51448</v>
      </c>
      <c r="R2617" t="s">
        <v>51449</v>
      </c>
      <c r="S2617" t="s">
        <v>51450</v>
      </c>
      <c r="T2617" t="s">
        <v>51451</v>
      </c>
      <c r="U2617" t="s">
        <v>51452</v>
      </c>
      <c r="V2617" t="s">
        <v>51453</v>
      </c>
      <c r="W2617" t="s">
        <v>51454</v>
      </c>
      <c r="X2617" t="s">
        <v>51455</v>
      </c>
      <c r="Y2617" t="s">
        <v>51456</v>
      </c>
    </row>
    <row r="2618" spans="1:25" x14ac:dyDescent="0.3">
      <c r="A2618">
        <v>130850</v>
      </c>
      <c r="B2618" t="s">
        <v>51457</v>
      </c>
      <c r="C2618" t="s">
        <v>51458</v>
      </c>
      <c r="D2618" t="s">
        <v>51459</v>
      </c>
      <c r="E2618" t="s">
        <v>51460</v>
      </c>
      <c r="F2618" t="s">
        <v>51461</v>
      </c>
      <c r="G2618" t="s">
        <v>51462</v>
      </c>
      <c r="H2618" t="s">
        <v>51463</v>
      </c>
      <c r="I2618" t="s">
        <v>51464</v>
      </c>
      <c r="J2618" t="s">
        <v>51465</v>
      </c>
      <c r="K2618" t="s">
        <v>51466</v>
      </c>
      <c r="L2618" t="s">
        <v>51467</v>
      </c>
      <c r="M2618" t="s">
        <v>51468</v>
      </c>
      <c r="N2618" t="s">
        <v>51469</v>
      </c>
      <c r="O2618">
        <f>-601.650523248794 -108.38433347961 -711.662480094453</f>
        <v>-1421.6973368228571</v>
      </c>
      <c r="P2618">
        <f>-622.773145448097 -76.2320413479999 -397.486983856826</f>
        <v>-1096.4921706529231</v>
      </c>
      <c r="Q2618" t="s">
        <v>51470</v>
      </c>
      <c r="R2618" t="s">
        <v>51471</v>
      </c>
      <c r="S2618" t="s">
        <v>51472</v>
      </c>
      <c r="T2618" t="s">
        <v>51473</v>
      </c>
      <c r="U2618" t="s">
        <v>51474</v>
      </c>
      <c r="V2618" t="s">
        <v>51475</v>
      </c>
      <c r="W2618" t="s">
        <v>51476</v>
      </c>
      <c r="X2618" t="s">
        <v>51477</v>
      </c>
      <c r="Y2618" t="s">
        <v>51478</v>
      </c>
    </row>
    <row r="2619" spans="1:25" x14ac:dyDescent="0.3">
      <c r="A2619">
        <v>130900</v>
      </c>
      <c r="B2619" t="s">
        <v>51479</v>
      </c>
      <c r="C2619" t="s">
        <v>51480</v>
      </c>
      <c r="D2619" t="s">
        <v>51481</v>
      </c>
      <c r="E2619" t="s">
        <v>51482</v>
      </c>
      <c r="F2619" t="s">
        <v>51483</v>
      </c>
      <c r="G2619" t="s">
        <v>51484</v>
      </c>
      <c r="H2619" t="s">
        <v>51485</v>
      </c>
      <c r="I2619" t="s">
        <v>51486</v>
      </c>
      <c r="J2619" t="s">
        <v>51487</v>
      </c>
      <c r="K2619" t="s">
        <v>51488</v>
      </c>
      <c r="L2619" t="s">
        <v>51489</v>
      </c>
      <c r="M2619" t="s">
        <v>51490</v>
      </c>
      <c r="N2619" t="s">
        <v>51491</v>
      </c>
      <c r="O2619">
        <f>-601.352149237452 -108.304114584195 -711.556470798974</f>
        <v>-1421.2127346206209</v>
      </c>
      <c r="P2619">
        <f>-622.610006966369 -75.9002887285935 -397.415989408506</f>
        <v>-1095.9262851034687</v>
      </c>
      <c r="Q2619" t="s">
        <v>51492</v>
      </c>
      <c r="R2619" t="s">
        <v>51493</v>
      </c>
      <c r="S2619" t="s">
        <v>51494</v>
      </c>
      <c r="T2619" t="s">
        <v>51495</v>
      </c>
      <c r="U2619" t="s">
        <v>51496</v>
      </c>
      <c r="V2619" t="s">
        <v>51497</v>
      </c>
      <c r="W2619" t="s">
        <v>51498</v>
      </c>
      <c r="X2619" t="s">
        <v>51499</v>
      </c>
      <c r="Y2619" t="s">
        <v>51500</v>
      </c>
    </row>
    <row r="2620" spans="1:25" x14ac:dyDescent="0.3">
      <c r="A2620">
        <v>130950</v>
      </c>
      <c r="B2620" t="s">
        <v>51501</v>
      </c>
      <c r="C2620" t="s">
        <v>51502</v>
      </c>
      <c r="D2620" t="s">
        <v>51503</v>
      </c>
      <c r="E2620" t="s">
        <v>51504</v>
      </c>
      <c r="F2620" t="s">
        <v>51505</v>
      </c>
      <c r="G2620" t="s">
        <v>51506</v>
      </c>
      <c r="H2620" t="s">
        <v>51507</v>
      </c>
      <c r="I2620" t="s">
        <v>51508</v>
      </c>
      <c r="J2620" t="s">
        <v>51509</v>
      </c>
      <c r="K2620" t="s">
        <v>51510</v>
      </c>
      <c r="L2620" t="s">
        <v>51511</v>
      </c>
      <c r="M2620" t="s">
        <v>51512</v>
      </c>
      <c r="N2620" t="s">
        <v>51513</v>
      </c>
      <c r="O2620">
        <f>-600.795332860546 -108.284494001882 -711.394234216754</f>
        <v>-1420.4740610791819</v>
      </c>
      <c r="P2620">
        <f>-622.633011432129 -75.4229919869567 -397.341066268083</f>
        <v>-1095.3970696871688</v>
      </c>
      <c r="Q2620" t="s">
        <v>51514</v>
      </c>
      <c r="R2620" t="s">
        <v>51515</v>
      </c>
      <c r="S2620" t="s">
        <v>51516</v>
      </c>
      <c r="T2620" t="s">
        <v>51517</v>
      </c>
      <c r="U2620" t="s">
        <v>51518</v>
      </c>
      <c r="V2620" t="s">
        <v>51519</v>
      </c>
      <c r="W2620" t="s">
        <v>51520</v>
      </c>
      <c r="X2620" t="s">
        <v>51521</v>
      </c>
      <c r="Y2620" t="s">
        <v>51522</v>
      </c>
    </row>
    <row r="2621" spans="1:25" x14ac:dyDescent="0.3">
      <c r="A2621">
        <v>131000</v>
      </c>
      <c r="B2621" t="s">
        <v>51523</v>
      </c>
      <c r="C2621" t="s">
        <v>51524</v>
      </c>
      <c r="D2621" t="s">
        <v>51525</v>
      </c>
      <c r="E2621" t="s">
        <v>51526</v>
      </c>
      <c r="F2621" t="s">
        <v>51527</v>
      </c>
      <c r="G2621" t="s">
        <v>51528</v>
      </c>
      <c r="H2621" t="s">
        <v>51529</v>
      </c>
      <c r="I2621" t="s">
        <v>51530</v>
      </c>
      <c r="J2621" t="s">
        <v>51531</v>
      </c>
      <c r="K2621" t="s">
        <v>51532</v>
      </c>
      <c r="L2621" t="s">
        <v>51533</v>
      </c>
      <c r="M2621" t="s">
        <v>51534</v>
      </c>
      <c r="N2621" t="s">
        <v>51535</v>
      </c>
      <c r="O2621">
        <f>-600.757938576174 -108.009245181747 -711.46616104263</f>
        <v>-1420.2333448005511</v>
      </c>
      <c r="P2621">
        <f>-622.493667491399 -75.1810379376641 -397.40230274132</f>
        <v>-1095.0770081703831</v>
      </c>
      <c r="Q2621" t="s">
        <v>51536</v>
      </c>
      <c r="R2621" t="s">
        <v>51537</v>
      </c>
      <c r="S2621" t="s">
        <v>51538</v>
      </c>
      <c r="T2621" t="s">
        <v>51539</v>
      </c>
      <c r="U2621" t="s">
        <v>51540</v>
      </c>
      <c r="V2621" t="s">
        <v>51541</v>
      </c>
      <c r="W2621" t="s">
        <v>51542</v>
      </c>
      <c r="X2621" t="s">
        <v>51543</v>
      </c>
      <c r="Y2621" t="s">
        <v>51544</v>
      </c>
    </row>
    <row r="2622" spans="1:25" x14ac:dyDescent="0.3">
      <c r="A2622">
        <v>131050</v>
      </c>
      <c r="B2622" t="s">
        <v>51545</v>
      </c>
      <c r="C2622" t="s">
        <v>51546</v>
      </c>
      <c r="D2622" t="s">
        <v>51547</v>
      </c>
      <c r="E2622" t="s">
        <v>51548</v>
      </c>
      <c r="F2622" t="s">
        <v>51549</v>
      </c>
      <c r="G2622" t="s">
        <v>51550</v>
      </c>
      <c r="H2622" t="s">
        <v>51551</v>
      </c>
      <c r="I2622" t="s">
        <v>51552</v>
      </c>
      <c r="J2622" t="s">
        <v>51553</v>
      </c>
      <c r="K2622" t="s">
        <v>51554</v>
      </c>
      <c r="L2622" t="s">
        <v>51555</v>
      </c>
      <c r="M2622" t="s">
        <v>51556</v>
      </c>
      <c r="N2622" t="s">
        <v>51557</v>
      </c>
      <c r="O2622">
        <f>-600.915447628624 -107.379437948161 -711.76389108014</f>
        <v>-1420.0587766569249</v>
      </c>
      <c r="P2622">
        <f>-621.858270430792 -75.2775786380769 -397.571209331677</f>
        <v>-1094.707058400546</v>
      </c>
      <c r="Q2622" t="s">
        <v>51558</v>
      </c>
      <c r="R2622" t="s">
        <v>51559</v>
      </c>
      <c r="S2622" t="s">
        <v>51560</v>
      </c>
      <c r="T2622" t="s">
        <v>51561</v>
      </c>
      <c r="U2622" t="s">
        <v>51562</v>
      </c>
      <c r="V2622" t="s">
        <v>51563</v>
      </c>
      <c r="W2622" t="s">
        <v>51564</v>
      </c>
      <c r="X2622" t="s">
        <v>51565</v>
      </c>
      <c r="Y2622" t="s">
        <v>51566</v>
      </c>
    </row>
    <row r="2623" spans="1:25" x14ac:dyDescent="0.3">
      <c r="A2623">
        <v>131100</v>
      </c>
      <c r="B2623" t="s">
        <v>51567</v>
      </c>
      <c r="C2623" t="s">
        <v>51568</v>
      </c>
      <c r="D2623" t="s">
        <v>51569</v>
      </c>
      <c r="E2623" t="s">
        <v>51570</v>
      </c>
      <c r="F2623" t="s">
        <v>51571</v>
      </c>
      <c r="G2623" t="s">
        <v>51572</v>
      </c>
      <c r="H2623" t="s">
        <v>51573</v>
      </c>
      <c r="I2623" t="s">
        <v>51574</v>
      </c>
      <c r="J2623" t="s">
        <v>51575</v>
      </c>
      <c r="K2623" t="s">
        <v>51576</v>
      </c>
      <c r="L2623" t="s">
        <v>51577</v>
      </c>
      <c r="M2623" t="s">
        <v>51578</v>
      </c>
      <c r="N2623" t="s">
        <v>51579</v>
      </c>
      <c r="O2623">
        <f>-601.214039809417 -106.855787782092 -711.967717716</f>
        <v>-1420.0375453075089</v>
      </c>
      <c r="P2623">
        <f>-621.229723596571 -75.0056346891254 -397.688881132133</f>
        <v>-1093.9242394178295</v>
      </c>
      <c r="Q2623" t="s">
        <v>51580</v>
      </c>
      <c r="R2623" t="s">
        <v>51581</v>
      </c>
      <c r="S2623" t="s">
        <v>51582</v>
      </c>
      <c r="T2623" t="s">
        <v>51583</v>
      </c>
      <c r="U2623" t="s">
        <v>51584</v>
      </c>
      <c r="V2623" t="s">
        <v>51585</v>
      </c>
      <c r="W2623" t="s">
        <v>51586</v>
      </c>
      <c r="X2623" t="s">
        <v>51587</v>
      </c>
      <c r="Y2623" t="s">
        <v>51588</v>
      </c>
    </row>
    <row r="2624" spans="1:25" x14ac:dyDescent="0.3">
      <c r="A2624">
        <v>131150</v>
      </c>
      <c r="B2624" t="s">
        <v>51589</v>
      </c>
      <c r="C2624" t="s">
        <v>51590</v>
      </c>
      <c r="D2624" t="s">
        <v>51591</v>
      </c>
      <c r="E2624" t="s">
        <v>51592</v>
      </c>
      <c r="F2624" t="s">
        <v>51593</v>
      </c>
      <c r="G2624" t="s">
        <v>51594</v>
      </c>
      <c r="H2624" t="s">
        <v>51595</v>
      </c>
      <c r="I2624" t="s">
        <v>51596</v>
      </c>
      <c r="J2624" t="s">
        <v>51597</v>
      </c>
      <c r="K2624" t="s">
        <v>51598</v>
      </c>
      <c r="L2624" t="s">
        <v>51599</v>
      </c>
      <c r="M2624" t="s">
        <v>51600</v>
      </c>
      <c r="N2624" t="s">
        <v>51601</v>
      </c>
      <c r="O2624">
        <f>-600.914867902111 -106.39192816434 -712.240699822954</f>
        <v>-1419.5474958894051</v>
      </c>
      <c r="P2624">
        <f>-621.58735778293 -74.5283033562948 -398.005830412433</f>
        <v>-1094.1214915516578</v>
      </c>
      <c r="Q2624" t="s">
        <v>51602</v>
      </c>
      <c r="R2624" t="s">
        <v>51603</v>
      </c>
      <c r="S2624" t="s">
        <v>51604</v>
      </c>
      <c r="T2624" t="s">
        <v>51605</v>
      </c>
      <c r="U2624" t="s">
        <v>51606</v>
      </c>
      <c r="V2624" t="s">
        <v>51607</v>
      </c>
      <c r="W2624" t="s">
        <v>51608</v>
      </c>
      <c r="X2624" t="s">
        <v>51609</v>
      </c>
      <c r="Y2624" t="s">
        <v>51610</v>
      </c>
    </row>
    <row r="2625" spans="1:25" x14ac:dyDescent="0.3">
      <c r="A2625">
        <v>131200</v>
      </c>
      <c r="B2625" t="s">
        <v>51611</v>
      </c>
      <c r="C2625" t="s">
        <v>51612</v>
      </c>
      <c r="D2625" t="s">
        <v>51613</v>
      </c>
      <c r="E2625" t="s">
        <v>51614</v>
      </c>
      <c r="F2625" t="s">
        <v>51615</v>
      </c>
      <c r="G2625" t="s">
        <v>51616</v>
      </c>
      <c r="H2625" t="s">
        <v>51617</v>
      </c>
      <c r="I2625" t="s">
        <v>51618</v>
      </c>
      <c r="J2625" t="s">
        <v>51619</v>
      </c>
      <c r="K2625" t="s">
        <v>51620</v>
      </c>
      <c r="L2625" t="s">
        <v>51621</v>
      </c>
      <c r="M2625" t="s">
        <v>51622</v>
      </c>
      <c r="N2625" t="s">
        <v>51623</v>
      </c>
      <c r="O2625">
        <f>-600.611550930352 -106.195216876279 -712.220057184123</f>
        <v>-1419.026824990754</v>
      </c>
      <c r="P2625">
        <f>-622.660815421894 -73.723910010317 -398.141051150271</f>
        <v>-1094.525776582482</v>
      </c>
      <c r="Q2625" t="s">
        <v>51624</v>
      </c>
      <c r="R2625" t="s">
        <v>51625</v>
      </c>
      <c r="S2625" t="s">
        <v>51626</v>
      </c>
      <c r="T2625" t="s">
        <v>51627</v>
      </c>
      <c r="U2625" t="s">
        <v>51628</v>
      </c>
      <c r="V2625" t="s">
        <v>51629</v>
      </c>
      <c r="W2625" t="s">
        <v>51630</v>
      </c>
      <c r="X2625" t="s">
        <v>51631</v>
      </c>
      <c r="Y2625" t="s">
        <v>51632</v>
      </c>
    </row>
    <row r="2626" spans="1:25" x14ac:dyDescent="0.3">
      <c r="A2626">
        <v>131250</v>
      </c>
      <c r="B2626" t="s">
        <v>51633</v>
      </c>
      <c r="C2626" t="s">
        <v>51634</v>
      </c>
      <c r="D2626" t="s">
        <v>51635</v>
      </c>
      <c r="E2626" t="s">
        <v>51636</v>
      </c>
      <c r="F2626" t="s">
        <v>51637</v>
      </c>
      <c r="G2626" t="s">
        <v>51638</v>
      </c>
      <c r="H2626" t="s">
        <v>51639</v>
      </c>
      <c r="I2626" t="s">
        <v>51640</v>
      </c>
      <c r="J2626" t="s">
        <v>51641</v>
      </c>
      <c r="K2626" t="s">
        <v>51642</v>
      </c>
      <c r="L2626" t="s">
        <v>51643</v>
      </c>
      <c r="M2626" t="s">
        <v>51644</v>
      </c>
      <c r="N2626" t="s">
        <v>51645</v>
      </c>
      <c r="O2626">
        <f>-599.18098255116 -106.376826025182 -711.972620889394</f>
        <v>-1417.530429465736</v>
      </c>
      <c r="P2626">
        <f>-625.133979929718 -72.5750617845442 -398.332539042702</f>
        <v>-1096.0415807569643</v>
      </c>
      <c r="Q2626" t="s">
        <v>51646</v>
      </c>
      <c r="R2626" t="s">
        <v>51647</v>
      </c>
      <c r="S2626" t="s">
        <v>51648</v>
      </c>
      <c r="T2626" t="s">
        <v>51649</v>
      </c>
      <c r="U2626" t="s">
        <v>51650</v>
      </c>
      <c r="V2626" t="s">
        <v>51651</v>
      </c>
      <c r="W2626" t="s">
        <v>51652</v>
      </c>
      <c r="X2626" t="s">
        <v>51653</v>
      </c>
      <c r="Y2626" t="s">
        <v>51654</v>
      </c>
    </row>
    <row r="2627" spans="1:25" x14ac:dyDescent="0.3">
      <c r="A2627">
        <v>131300</v>
      </c>
      <c r="B2627" t="s">
        <v>51655</v>
      </c>
      <c r="C2627" t="s">
        <v>51656</v>
      </c>
      <c r="D2627" t="s">
        <v>51657</v>
      </c>
      <c r="E2627" t="s">
        <v>51658</v>
      </c>
      <c r="F2627" t="s">
        <v>51659</v>
      </c>
      <c r="G2627" t="s">
        <v>51660</v>
      </c>
      <c r="H2627" t="s">
        <v>51661</v>
      </c>
      <c r="I2627" t="s">
        <v>51662</v>
      </c>
      <c r="J2627" t="s">
        <v>51663</v>
      </c>
      <c r="K2627" t="s">
        <v>51664</v>
      </c>
      <c r="L2627" t="s">
        <v>51665</v>
      </c>
      <c r="M2627" t="s">
        <v>51666</v>
      </c>
      <c r="N2627" t="s">
        <v>51667</v>
      </c>
      <c r="O2627">
        <f>-599.184168103111 -106.215716250979 -711.88199658739</f>
        <v>-1417.2818809414798</v>
      </c>
      <c r="P2627">
        <f>-625.820171578618 -71.1500423459854 -398.438040071725</f>
        <v>-1095.4082539963283</v>
      </c>
      <c r="Q2627" t="s">
        <v>51668</v>
      </c>
      <c r="R2627" t="s">
        <v>51669</v>
      </c>
      <c r="S2627" t="s">
        <v>51670</v>
      </c>
      <c r="T2627" t="s">
        <v>51671</v>
      </c>
      <c r="U2627" t="s">
        <v>51672</v>
      </c>
      <c r="V2627" t="s">
        <v>51673</v>
      </c>
      <c r="W2627" t="s">
        <v>51674</v>
      </c>
      <c r="X2627" t="s">
        <v>51675</v>
      </c>
      <c r="Y2627" t="s">
        <v>51676</v>
      </c>
    </row>
    <row r="2628" spans="1:25" x14ac:dyDescent="0.3">
      <c r="A2628">
        <v>131350</v>
      </c>
      <c r="B2628" t="s">
        <v>51677</v>
      </c>
      <c r="C2628" t="s">
        <v>51678</v>
      </c>
      <c r="D2628" t="s">
        <v>51679</v>
      </c>
      <c r="E2628" t="s">
        <v>51680</v>
      </c>
      <c r="F2628" t="s">
        <v>51681</v>
      </c>
      <c r="G2628" t="s">
        <v>51682</v>
      </c>
      <c r="H2628" t="s">
        <v>51683</v>
      </c>
      <c r="I2628" t="s">
        <v>51684</v>
      </c>
      <c r="J2628" t="s">
        <v>51685</v>
      </c>
      <c r="K2628" t="s">
        <v>51686</v>
      </c>
      <c r="L2628" t="s">
        <v>51687</v>
      </c>
      <c r="M2628" t="s">
        <v>51688</v>
      </c>
      <c r="N2628" t="s">
        <v>51689</v>
      </c>
      <c r="O2628">
        <f>-599.374032522226 -106.168279128045 -711.607721749221</f>
        <v>-1417.150033399492</v>
      </c>
      <c r="P2628">
        <f>-625.965850652237 -68.7805700073179 -398.428481338728</f>
        <v>-1093.1749019982828</v>
      </c>
      <c r="Q2628" t="s">
        <v>51690</v>
      </c>
      <c r="R2628" t="s">
        <v>51691</v>
      </c>
      <c r="S2628" t="s">
        <v>51692</v>
      </c>
      <c r="T2628" t="s">
        <v>51693</v>
      </c>
      <c r="U2628" t="s">
        <v>51694</v>
      </c>
      <c r="V2628" t="s">
        <v>51695</v>
      </c>
      <c r="W2628" t="s">
        <v>51696</v>
      </c>
      <c r="X2628" t="s">
        <v>51697</v>
      </c>
      <c r="Y2628" t="s">
        <v>51698</v>
      </c>
    </row>
    <row r="2629" spans="1:25" x14ac:dyDescent="0.3">
      <c r="A2629">
        <v>131400</v>
      </c>
      <c r="B2629" t="s">
        <v>51699</v>
      </c>
      <c r="C2629" t="s">
        <v>51700</v>
      </c>
      <c r="D2629" t="s">
        <v>51701</v>
      </c>
      <c r="E2629" t="s">
        <v>51702</v>
      </c>
      <c r="F2629" t="s">
        <v>51703</v>
      </c>
      <c r="G2629" t="s">
        <v>51704</v>
      </c>
      <c r="H2629" t="s">
        <v>51705</v>
      </c>
      <c r="I2629" t="s">
        <v>51706</v>
      </c>
      <c r="J2629" t="s">
        <v>51707</v>
      </c>
      <c r="K2629" t="s">
        <v>51708</v>
      </c>
      <c r="L2629" t="s">
        <v>51709</v>
      </c>
      <c r="M2629" t="s">
        <v>51710</v>
      </c>
      <c r="N2629" t="s">
        <v>51711</v>
      </c>
      <c r="O2629">
        <f>-599.557835399452 -106.339220755026 -711.392961442481</f>
        <v>-1417.2900175969589</v>
      </c>
      <c r="P2629">
        <f>-625.718374714883 -68.3147899893502 -398.25423143611</f>
        <v>-1092.2873961403432</v>
      </c>
      <c r="Q2629" t="s">
        <v>51712</v>
      </c>
      <c r="R2629" t="s">
        <v>51713</v>
      </c>
      <c r="S2629" t="s">
        <v>51714</v>
      </c>
      <c r="T2629" t="s">
        <v>51715</v>
      </c>
      <c r="U2629" t="s">
        <v>51716</v>
      </c>
      <c r="V2629" t="s">
        <v>51717</v>
      </c>
      <c r="W2629" t="s">
        <v>51718</v>
      </c>
      <c r="X2629" t="s">
        <v>51719</v>
      </c>
      <c r="Y2629" t="s">
        <v>51720</v>
      </c>
    </row>
    <row r="2630" spans="1:25" x14ac:dyDescent="0.3">
      <c r="A2630">
        <v>131450</v>
      </c>
      <c r="B2630" t="s">
        <v>51721</v>
      </c>
      <c r="C2630" t="s">
        <v>51722</v>
      </c>
      <c r="D2630" t="s">
        <v>51723</v>
      </c>
      <c r="E2630" t="s">
        <v>51724</v>
      </c>
      <c r="F2630" t="s">
        <v>51725</v>
      </c>
      <c r="G2630" t="s">
        <v>51726</v>
      </c>
      <c r="H2630" t="s">
        <v>51727</v>
      </c>
      <c r="I2630" t="s">
        <v>51728</v>
      </c>
      <c r="J2630" t="s">
        <v>51729</v>
      </c>
      <c r="K2630" t="s">
        <v>51730</v>
      </c>
      <c r="L2630" t="s">
        <v>51731</v>
      </c>
      <c r="M2630" t="s">
        <v>51732</v>
      </c>
      <c r="N2630" t="s">
        <v>51733</v>
      </c>
      <c r="O2630">
        <f>-599.414373915045 -106.65623327764 -711.368120577612</f>
        <v>-1417.438727770297</v>
      </c>
      <c r="P2630">
        <f>-625.127249237396 -69.920107705206 -398.038374907351</f>
        <v>-1093.0857318499529</v>
      </c>
      <c r="Q2630" t="s">
        <v>51734</v>
      </c>
      <c r="R2630" t="s">
        <v>51735</v>
      </c>
      <c r="S2630" t="s">
        <v>51736</v>
      </c>
      <c r="T2630" t="s">
        <v>51737</v>
      </c>
      <c r="U2630" t="s">
        <v>51738</v>
      </c>
      <c r="V2630" t="s">
        <v>51739</v>
      </c>
      <c r="W2630" t="s">
        <v>51740</v>
      </c>
      <c r="X2630" t="s">
        <v>51741</v>
      </c>
      <c r="Y2630" t="s">
        <v>51742</v>
      </c>
    </row>
    <row r="2631" spans="1:25" x14ac:dyDescent="0.3">
      <c r="A2631">
        <v>131500</v>
      </c>
      <c r="B2631" t="s">
        <v>51743</v>
      </c>
      <c r="C2631" t="s">
        <v>51744</v>
      </c>
      <c r="D2631" t="s">
        <v>51745</v>
      </c>
      <c r="E2631" t="s">
        <v>51746</v>
      </c>
      <c r="F2631" t="s">
        <v>51747</v>
      </c>
      <c r="G2631" t="s">
        <v>51748</v>
      </c>
      <c r="H2631" t="s">
        <v>51749</v>
      </c>
      <c r="I2631" t="s">
        <v>51750</v>
      </c>
      <c r="J2631" t="s">
        <v>51751</v>
      </c>
      <c r="K2631" t="s">
        <v>51752</v>
      </c>
      <c r="L2631" t="s">
        <v>51753</v>
      </c>
      <c r="M2631" t="s">
        <v>51754</v>
      </c>
      <c r="N2631" t="s">
        <v>51755</v>
      </c>
      <c r="O2631">
        <f>-599.265554619621 -106.438325661494 -711.429589841389</f>
        <v>-1417.1334701225039</v>
      </c>
      <c r="P2631">
        <f>-625.105919095528 -70.63532860539 -398.002233311429</f>
        <v>-1093.7434810123468</v>
      </c>
      <c r="Q2631" t="s">
        <v>51756</v>
      </c>
      <c r="R2631" t="s">
        <v>51757</v>
      </c>
      <c r="S2631" t="s">
        <v>51758</v>
      </c>
      <c r="T2631" t="s">
        <v>51759</v>
      </c>
      <c r="U2631" t="s">
        <v>51760</v>
      </c>
      <c r="V2631" t="s">
        <v>51761</v>
      </c>
      <c r="W2631" t="s">
        <v>51762</v>
      </c>
      <c r="X2631" t="s">
        <v>51763</v>
      </c>
      <c r="Y2631" t="s">
        <v>51764</v>
      </c>
    </row>
    <row r="2632" spans="1:25" x14ac:dyDescent="0.3">
      <c r="A2632">
        <v>131550</v>
      </c>
      <c r="B2632" t="s">
        <v>51765</v>
      </c>
      <c r="C2632" t="s">
        <v>51766</v>
      </c>
      <c r="D2632" t="s">
        <v>51767</v>
      </c>
      <c r="E2632" t="s">
        <v>51768</v>
      </c>
      <c r="F2632" t="s">
        <v>51769</v>
      </c>
      <c r="G2632" t="s">
        <v>51770</v>
      </c>
      <c r="H2632" t="s">
        <v>51771</v>
      </c>
      <c r="I2632" t="s">
        <v>51772</v>
      </c>
      <c r="J2632" t="s">
        <v>51773</v>
      </c>
      <c r="K2632" t="s">
        <v>51774</v>
      </c>
      <c r="L2632" t="s">
        <v>51775</v>
      </c>
      <c r="M2632" t="s">
        <v>51776</v>
      </c>
      <c r="N2632" t="s">
        <v>51777</v>
      </c>
      <c r="O2632">
        <f>-599.084364720121 -106.752481439236 -711.405037409852</f>
        <v>-1417.241883569209</v>
      </c>
      <c r="P2632">
        <f>-624.158317011861 -71.027722452764 -397.906761228416</f>
        <v>-1093.092800693041</v>
      </c>
      <c r="Q2632" t="s">
        <v>51778</v>
      </c>
      <c r="R2632" t="s">
        <v>51779</v>
      </c>
      <c r="S2632" t="s">
        <v>51780</v>
      </c>
      <c r="T2632" t="s">
        <v>51781</v>
      </c>
      <c r="U2632" t="s">
        <v>51782</v>
      </c>
      <c r="V2632" t="s">
        <v>51783</v>
      </c>
      <c r="W2632" t="s">
        <v>51784</v>
      </c>
      <c r="X2632" t="s">
        <v>51785</v>
      </c>
      <c r="Y2632" t="s">
        <v>51786</v>
      </c>
    </row>
    <row r="2633" spans="1:25" x14ac:dyDescent="0.3">
      <c r="A2633">
        <v>131600</v>
      </c>
      <c r="B2633" t="s">
        <v>51787</v>
      </c>
      <c r="C2633" t="s">
        <v>51788</v>
      </c>
      <c r="D2633" t="s">
        <v>51789</v>
      </c>
      <c r="E2633" t="s">
        <v>51790</v>
      </c>
      <c r="F2633" t="s">
        <v>51791</v>
      </c>
      <c r="G2633" t="s">
        <v>51792</v>
      </c>
      <c r="H2633" t="s">
        <v>51793</v>
      </c>
      <c r="I2633" t="s">
        <v>51794</v>
      </c>
      <c r="J2633" t="s">
        <v>51795</v>
      </c>
      <c r="K2633" t="s">
        <v>51796</v>
      </c>
      <c r="L2633" t="s">
        <v>51797</v>
      </c>
      <c r="M2633" t="s">
        <v>51798</v>
      </c>
      <c r="N2633" t="s">
        <v>51799</v>
      </c>
      <c r="O2633">
        <f>-599.034378092796 -107.373382484605 -711.194670474301</f>
        <v>-1417.6024310517021</v>
      </c>
      <c r="P2633">
        <f>-623.724198686634 -71.5273786861146 -397.679665565519</f>
        <v>-1092.9312429382676</v>
      </c>
      <c r="Q2633" t="s">
        <v>51800</v>
      </c>
      <c r="R2633" t="s">
        <v>51801</v>
      </c>
      <c r="S2633" t="s">
        <v>51802</v>
      </c>
      <c r="T2633" t="s">
        <v>51803</v>
      </c>
      <c r="U2633" t="s">
        <v>51804</v>
      </c>
      <c r="V2633" t="s">
        <v>51805</v>
      </c>
      <c r="W2633" t="s">
        <v>51806</v>
      </c>
      <c r="X2633" t="s">
        <v>51807</v>
      </c>
      <c r="Y2633" t="s">
        <v>51808</v>
      </c>
    </row>
    <row r="2634" spans="1:25" x14ac:dyDescent="0.3">
      <c r="A2634">
        <v>131650</v>
      </c>
      <c r="B2634" t="s">
        <v>51809</v>
      </c>
      <c r="C2634" t="s">
        <v>51810</v>
      </c>
      <c r="D2634" t="s">
        <v>51811</v>
      </c>
      <c r="E2634" t="s">
        <v>51812</v>
      </c>
      <c r="F2634" t="s">
        <v>51813</v>
      </c>
      <c r="G2634" t="s">
        <v>51814</v>
      </c>
      <c r="H2634" t="s">
        <v>51815</v>
      </c>
      <c r="I2634" t="s">
        <v>51816</v>
      </c>
      <c r="J2634" t="s">
        <v>51817</v>
      </c>
      <c r="K2634" t="s">
        <v>51818</v>
      </c>
      <c r="L2634" t="s">
        <v>51819</v>
      </c>
      <c r="M2634" t="s">
        <v>51820</v>
      </c>
      <c r="N2634" t="s">
        <v>51821</v>
      </c>
      <c r="O2634">
        <f>-599.225185727555 -107.920776822184 -711.336530115174</f>
        <v>-1418.482492664913</v>
      </c>
      <c r="P2634">
        <f>-622.680853129784 -72.5595594521028 -397.671742393773</f>
        <v>-1092.9121549756599</v>
      </c>
      <c r="Q2634" t="s">
        <v>51822</v>
      </c>
      <c r="R2634" t="s">
        <v>51823</v>
      </c>
      <c r="S2634" t="s">
        <v>51824</v>
      </c>
      <c r="T2634" t="s">
        <v>51825</v>
      </c>
      <c r="U2634" t="s">
        <v>51826</v>
      </c>
      <c r="V2634" t="s">
        <v>51827</v>
      </c>
      <c r="W2634" t="s">
        <v>51828</v>
      </c>
      <c r="X2634" t="s">
        <v>51829</v>
      </c>
      <c r="Y2634" t="s">
        <v>51830</v>
      </c>
    </row>
    <row r="2635" spans="1:25" x14ac:dyDescent="0.3">
      <c r="A2635">
        <v>131700</v>
      </c>
      <c r="B2635" t="s">
        <v>51831</v>
      </c>
      <c r="C2635" t="s">
        <v>51832</v>
      </c>
      <c r="D2635" t="s">
        <v>51833</v>
      </c>
      <c r="E2635" t="s">
        <v>51834</v>
      </c>
      <c r="F2635" t="s">
        <v>51835</v>
      </c>
      <c r="G2635" t="s">
        <v>51836</v>
      </c>
      <c r="H2635" t="s">
        <v>51837</v>
      </c>
      <c r="I2635" t="s">
        <v>51838</v>
      </c>
      <c r="J2635" t="s">
        <v>51839</v>
      </c>
      <c r="K2635" t="s">
        <v>51840</v>
      </c>
      <c r="L2635" t="s">
        <v>51841</v>
      </c>
      <c r="M2635" t="s">
        <v>51842</v>
      </c>
      <c r="N2635" t="s">
        <v>51843</v>
      </c>
      <c r="O2635">
        <f>-599.535445148756 -108.097234624403 -711.425357324245</f>
        <v>-1419.0580370974039</v>
      </c>
      <c r="P2635">
        <f>-622.761767107762 -73.119692348472 -397.700448008243</f>
        <v>-1093.5819074644769</v>
      </c>
      <c r="Q2635" t="s">
        <v>51844</v>
      </c>
      <c r="R2635" t="s">
        <v>51845</v>
      </c>
      <c r="S2635" t="s">
        <v>51846</v>
      </c>
      <c r="T2635" t="s">
        <v>51847</v>
      </c>
      <c r="U2635" t="s">
        <v>51848</v>
      </c>
      <c r="V2635" t="s">
        <v>51849</v>
      </c>
      <c r="W2635" t="s">
        <v>51850</v>
      </c>
      <c r="X2635" t="s">
        <v>51851</v>
      </c>
      <c r="Y2635" t="s">
        <v>51852</v>
      </c>
    </row>
    <row r="2636" spans="1:25" x14ac:dyDescent="0.3">
      <c r="A2636">
        <v>131750</v>
      </c>
      <c r="B2636" t="s">
        <v>51853</v>
      </c>
      <c r="C2636" t="s">
        <v>51854</v>
      </c>
      <c r="D2636" t="s">
        <v>51855</v>
      </c>
      <c r="E2636" t="s">
        <v>51856</v>
      </c>
      <c r="F2636" t="s">
        <v>51857</v>
      </c>
      <c r="G2636" t="s">
        <v>51858</v>
      </c>
      <c r="H2636" t="s">
        <v>51859</v>
      </c>
      <c r="I2636" t="s">
        <v>51860</v>
      </c>
      <c r="J2636" t="s">
        <v>51861</v>
      </c>
      <c r="K2636" t="s">
        <v>51862</v>
      </c>
      <c r="L2636" t="s">
        <v>51863</v>
      </c>
      <c r="M2636" t="s">
        <v>51864</v>
      </c>
      <c r="N2636" t="s">
        <v>51865</v>
      </c>
      <c r="O2636">
        <f>-599.585623698283 -108.635545513361 -711.44919403266</f>
        <v>-1419.6703632443041</v>
      </c>
      <c r="P2636">
        <f>-622.879180543175 -74.1698872907452 -397.672662615536</f>
        <v>-1094.7217304494563</v>
      </c>
      <c r="Q2636" t="s">
        <v>51866</v>
      </c>
      <c r="R2636" t="s">
        <v>51867</v>
      </c>
      <c r="S2636" t="s">
        <v>51868</v>
      </c>
      <c r="T2636" t="s">
        <v>51869</v>
      </c>
      <c r="U2636" t="s">
        <v>51870</v>
      </c>
      <c r="V2636" t="s">
        <v>51871</v>
      </c>
      <c r="W2636" t="s">
        <v>51872</v>
      </c>
      <c r="X2636" t="s">
        <v>51873</v>
      </c>
      <c r="Y2636" t="s">
        <v>51874</v>
      </c>
    </row>
    <row r="2637" spans="1:25" x14ac:dyDescent="0.3">
      <c r="A2637">
        <v>131800</v>
      </c>
      <c r="B2637" t="s">
        <v>51875</v>
      </c>
      <c r="C2637" t="s">
        <v>51876</v>
      </c>
      <c r="D2637" t="s">
        <v>51877</v>
      </c>
      <c r="E2637" t="s">
        <v>51878</v>
      </c>
      <c r="F2637" t="s">
        <v>51879</v>
      </c>
      <c r="G2637" t="s">
        <v>51880</v>
      </c>
      <c r="H2637" t="s">
        <v>51881</v>
      </c>
      <c r="I2637" t="s">
        <v>51882</v>
      </c>
      <c r="J2637" t="s">
        <v>51883</v>
      </c>
      <c r="K2637" t="s">
        <v>51884</v>
      </c>
      <c r="L2637" t="s">
        <v>51885</v>
      </c>
      <c r="M2637" t="s">
        <v>51886</v>
      </c>
      <c r="N2637" t="s">
        <v>51887</v>
      </c>
      <c r="O2637">
        <f>-599.781625418829 -109.086341175503 -711.338482649649</f>
        <v>-1420.2064492439808</v>
      </c>
      <c r="P2637">
        <f>-622.901855878403 -74.2144079051677 -397.593931487768</f>
        <v>-1094.7101952713388</v>
      </c>
      <c r="Q2637" t="s">
        <v>51888</v>
      </c>
      <c r="R2637" t="s">
        <v>51889</v>
      </c>
      <c r="S2637" t="s">
        <v>51890</v>
      </c>
      <c r="T2637" t="s">
        <v>51891</v>
      </c>
      <c r="U2637" t="s">
        <v>51892</v>
      </c>
      <c r="V2637" t="s">
        <v>51893</v>
      </c>
      <c r="W2637" t="s">
        <v>51894</v>
      </c>
      <c r="X2637" t="s">
        <v>51895</v>
      </c>
      <c r="Y2637" t="s">
        <v>51896</v>
      </c>
    </row>
    <row r="2638" spans="1:25" x14ac:dyDescent="0.3">
      <c r="A2638">
        <v>131850</v>
      </c>
      <c r="B2638" t="s">
        <v>51897</v>
      </c>
      <c r="C2638" t="s">
        <v>51898</v>
      </c>
      <c r="D2638" t="s">
        <v>51899</v>
      </c>
      <c r="E2638" t="s">
        <v>51900</v>
      </c>
      <c r="F2638" t="s">
        <v>51901</v>
      </c>
      <c r="G2638" t="s">
        <v>51902</v>
      </c>
      <c r="H2638" t="s">
        <v>51903</v>
      </c>
      <c r="I2638" t="s">
        <v>51904</v>
      </c>
      <c r="J2638" t="s">
        <v>51905</v>
      </c>
      <c r="K2638" t="s">
        <v>51906</v>
      </c>
      <c r="L2638" t="s">
        <v>51907</v>
      </c>
      <c r="M2638" t="s">
        <v>51908</v>
      </c>
      <c r="N2638" t="s">
        <v>51909</v>
      </c>
      <c r="O2638">
        <f>-600.348890788036 -109.96772217342 -710.935610488476</f>
        <v>-1421.252223449932</v>
      </c>
      <c r="P2638">
        <f>-622.994772150978 -74.072035619949 -397.271968668333</f>
        <v>-1094.3387764392601</v>
      </c>
      <c r="Q2638" t="s">
        <v>51910</v>
      </c>
      <c r="R2638" t="s">
        <v>51911</v>
      </c>
      <c r="S2638" t="s">
        <v>51912</v>
      </c>
      <c r="T2638" t="s">
        <v>51913</v>
      </c>
      <c r="U2638" t="s">
        <v>51914</v>
      </c>
      <c r="V2638" t="s">
        <v>51915</v>
      </c>
      <c r="W2638" t="s">
        <v>51916</v>
      </c>
      <c r="X2638" t="s">
        <v>51917</v>
      </c>
      <c r="Y2638" t="s">
        <v>51918</v>
      </c>
    </row>
    <row r="2639" spans="1:25" x14ac:dyDescent="0.3">
      <c r="A2639">
        <v>131900</v>
      </c>
      <c r="B2639" t="s">
        <v>51919</v>
      </c>
      <c r="C2639" t="s">
        <v>51920</v>
      </c>
      <c r="D2639" t="s">
        <v>51921</v>
      </c>
      <c r="E2639" t="s">
        <v>51922</v>
      </c>
      <c r="F2639" t="s">
        <v>51923</v>
      </c>
      <c r="G2639" t="s">
        <v>51924</v>
      </c>
      <c r="H2639" t="s">
        <v>51925</v>
      </c>
      <c r="I2639" t="s">
        <v>51926</v>
      </c>
      <c r="J2639" t="s">
        <v>51927</v>
      </c>
      <c r="K2639" t="s">
        <v>51928</v>
      </c>
      <c r="L2639" t="s">
        <v>51929</v>
      </c>
      <c r="M2639" t="s">
        <v>51930</v>
      </c>
      <c r="N2639" t="s">
        <v>51931</v>
      </c>
      <c r="O2639">
        <f>-600.849872969867 -110.334672803664 -710.796251464464</f>
        <v>-1421.9807972379949</v>
      </c>
      <c r="P2639">
        <f>-623.484676561136 -74.3671635602939 -397.14024823154</f>
        <v>-1094.9920883529699</v>
      </c>
      <c r="Q2639" t="s">
        <v>51932</v>
      </c>
      <c r="R2639" t="s">
        <v>51933</v>
      </c>
      <c r="S2639" t="s">
        <v>51934</v>
      </c>
      <c r="T2639" t="s">
        <v>51935</v>
      </c>
      <c r="U2639" t="s">
        <v>51936</v>
      </c>
      <c r="V2639" t="s">
        <v>51937</v>
      </c>
      <c r="W2639" t="s">
        <v>51938</v>
      </c>
      <c r="X2639" t="s">
        <v>51939</v>
      </c>
      <c r="Y2639" t="s">
        <v>51940</v>
      </c>
    </row>
    <row r="2640" spans="1:25" x14ac:dyDescent="0.3">
      <c r="A2640">
        <v>131950</v>
      </c>
      <c r="B2640" t="s">
        <v>51941</v>
      </c>
      <c r="C2640" t="s">
        <v>51942</v>
      </c>
      <c r="D2640" t="s">
        <v>51943</v>
      </c>
      <c r="E2640" t="s">
        <v>51944</v>
      </c>
      <c r="F2640" t="s">
        <v>51945</v>
      </c>
      <c r="G2640" t="s">
        <v>51946</v>
      </c>
      <c r="H2640" t="s">
        <v>51947</v>
      </c>
      <c r="I2640" t="s">
        <v>51948</v>
      </c>
      <c r="J2640" t="s">
        <v>51949</v>
      </c>
      <c r="K2640" t="s">
        <v>51950</v>
      </c>
      <c r="L2640" t="s">
        <v>51951</v>
      </c>
      <c r="M2640" t="s">
        <v>51952</v>
      </c>
      <c r="N2640" t="s">
        <v>51953</v>
      </c>
      <c r="O2640">
        <f>-601.534956125733 -110.813712477428 -710.703315582736</f>
        <v>-1423.0519841858968</v>
      </c>
      <c r="P2640">
        <f>-624.526651736069 -74.5488848326518 -397.107222413904</f>
        <v>-1096.1827589826248</v>
      </c>
      <c r="Q2640" t="s">
        <v>51954</v>
      </c>
      <c r="R2640" t="s">
        <v>51955</v>
      </c>
      <c r="S2640" t="s">
        <v>51956</v>
      </c>
      <c r="T2640" t="s">
        <v>51957</v>
      </c>
      <c r="U2640" t="s">
        <v>51958</v>
      </c>
      <c r="V2640" t="s">
        <v>51959</v>
      </c>
      <c r="W2640" t="s">
        <v>51960</v>
      </c>
      <c r="X2640" t="s">
        <v>51961</v>
      </c>
      <c r="Y2640" t="s">
        <v>51962</v>
      </c>
    </row>
    <row r="2641" spans="1:25" x14ac:dyDescent="0.3">
      <c r="A2641">
        <v>132000</v>
      </c>
      <c r="B2641" t="s">
        <v>51963</v>
      </c>
      <c r="C2641" t="s">
        <v>51964</v>
      </c>
      <c r="D2641" t="s">
        <v>51965</v>
      </c>
      <c r="E2641" t="s">
        <v>51966</v>
      </c>
      <c r="F2641" t="s">
        <v>51967</v>
      </c>
      <c r="G2641" t="s">
        <v>51968</v>
      </c>
      <c r="H2641" t="s">
        <v>51969</v>
      </c>
      <c r="I2641" t="s">
        <v>51970</v>
      </c>
      <c r="J2641" t="s">
        <v>51971</v>
      </c>
      <c r="K2641" t="s">
        <v>51972</v>
      </c>
      <c r="L2641" t="s">
        <v>51973</v>
      </c>
      <c r="M2641" t="s">
        <v>51974</v>
      </c>
      <c r="N2641" t="s">
        <v>51975</v>
      </c>
      <c r="O2641">
        <f>-601.735461974076 -111.277177831083 -710.625370794455</f>
        <v>-1423.6380105996141</v>
      </c>
      <c r="P2641">
        <f>-625.112210865638 -75.1344037994847 -397.043755145083</f>
        <v>-1097.2903698102057</v>
      </c>
      <c r="Q2641" t="s">
        <v>51976</v>
      </c>
      <c r="R2641" t="s">
        <v>51977</v>
      </c>
      <c r="S2641" t="s">
        <v>51978</v>
      </c>
      <c r="T2641" t="s">
        <v>51979</v>
      </c>
      <c r="U2641" t="s">
        <v>51980</v>
      </c>
      <c r="V2641" t="s">
        <v>51981</v>
      </c>
      <c r="W2641" t="s">
        <v>51982</v>
      </c>
      <c r="X2641" t="s">
        <v>51983</v>
      </c>
      <c r="Y2641" t="s">
        <v>51984</v>
      </c>
    </row>
    <row r="2642" spans="1:25" x14ac:dyDescent="0.3">
      <c r="A2642">
        <v>132050</v>
      </c>
      <c r="B2642" t="s">
        <v>51985</v>
      </c>
      <c r="C2642" t="s">
        <v>51986</v>
      </c>
      <c r="D2642" t="s">
        <v>51987</v>
      </c>
      <c r="E2642" t="s">
        <v>51988</v>
      </c>
      <c r="F2642" t="s">
        <v>51989</v>
      </c>
      <c r="G2642" t="s">
        <v>51990</v>
      </c>
      <c r="H2642" t="s">
        <v>51991</v>
      </c>
      <c r="I2642" t="s">
        <v>51992</v>
      </c>
      <c r="J2642" t="s">
        <v>51993</v>
      </c>
      <c r="K2642" t="s">
        <v>51994</v>
      </c>
      <c r="L2642" t="s">
        <v>51995</v>
      </c>
      <c r="M2642" t="s">
        <v>51996</v>
      </c>
      <c r="N2642" t="s">
        <v>51997</v>
      </c>
      <c r="O2642">
        <f>-602.328197527857 -111.92521432959 -710.36854651554</f>
        <v>-1424.6219583729869</v>
      </c>
      <c r="P2642">
        <f>-625.417189994295 -75.6705460196117 -396.778457853229</f>
        <v>-1097.8661938671357</v>
      </c>
      <c r="Q2642" t="s">
        <v>51998</v>
      </c>
      <c r="R2642" t="s">
        <v>51999</v>
      </c>
      <c r="S2642" t="s">
        <v>52000</v>
      </c>
      <c r="T2642" t="s">
        <v>52001</v>
      </c>
      <c r="U2642" t="s">
        <v>52002</v>
      </c>
      <c r="V2642" t="s">
        <v>52003</v>
      </c>
      <c r="W2642" t="s">
        <v>52004</v>
      </c>
      <c r="X2642" t="s">
        <v>52005</v>
      </c>
      <c r="Y2642" t="s">
        <v>52006</v>
      </c>
    </row>
    <row r="2643" spans="1:25" x14ac:dyDescent="0.3">
      <c r="A2643">
        <v>132100</v>
      </c>
      <c r="B2643" t="s">
        <v>52007</v>
      </c>
      <c r="C2643" t="s">
        <v>52008</v>
      </c>
      <c r="D2643" t="s">
        <v>52009</v>
      </c>
      <c r="E2643" t="s">
        <v>52010</v>
      </c>
      <c r="F2643" t="s">
        <v>52011</v>
      </c>
      <c r="G2643" t="s">
        <v>52012</v>
      </c>
      <c r="H2643" t="s">
        <v>52013</v>
      </c>
      <c r="I2643" t="s">
        <v>52014</v>
      </c>
      <c r="J2643" t="s">
        <v>52015</v>
      </c>
      <c r="K2643" t="s">
        <v>52016</v>
      </c>
      <c r="L2643" t="s">
        <v>52017</v>
      </c>
      <c r="M2643" t="s">
        <v>52018</v>
      </c>
      <c r="N2643" t="s">
        <v>52019</v>
      </c>
      <c r="O2643">
        <f>-602.620926102721 -112.237732535708 -710.142736262509</f>
        <v>-1425.0013949009381</v>
      </c>
      <c r="P2643">
        <f>-625.660000576449 -76.4070818098014 -396.500421980385</f>
        <v>-1098.5675043666354</v>
      </c>
      <c r="Q2643" t="s">
        <v>52020</v>
      </c>
      <c r="R2643" t="s">
        <v>52021</v>
      </c>
      <c r="S2643" t="s">
        <v>52022</v>
      </c>
      <c r="T2643" t="s">
        <v>52023</v>
      </c>
      <c r="U2643" t="s">
        <v>52024</v>
      </c>
      <c r="V2643" t="s">
        <v>52025</v>
      </c>
      <c r="W2643" t="s">
        <v>52026</v>
      </c>
      <c r="X2643" t="s">
        <v>52027</v>
      </c>
      <c r="Y2643" t="s">
        <v>52028</v>
      </c>
    </row>
    <row r="2644" spans="1:25" x14ac:dyDescent="0.3">
      <c r="A2644">
        <v>132150</v>
      </c>
      <c r="B2644" t="s">
        <v>52029</v>
      </c>
      <c r="C2644" t="s">
        <v>52030</v>
      </c>
      <c r="D2644" t="s">
        <v>52031</v>
      </c>
      <c r="E2644" t="s">
        <v>52032</v>
      </c>
      <c r="F2644" t="s">
        <v>52033</v>
      </c>
      <c r="G2644" t="s">
        <v>52034</v>
      </c>
      <c r="H2644" t="s">
        <v>52035</v>
      </c>
      <c r="I2644" t="s">
        <v>52036</v>
      </c>
      <c r="J2644" t="s">
        <v>52037</v>
      </c>
      <c r="K2644" t="s">
        <v>52038</v>
      </c>
      <c r="L2644" t="s">
        <v>52039</v>
      </c>
      <c r="M2644" t="s">
        <v>52040</v>
      </c>
      <c r="N2644" t="s">
        <v>52041</v>
      </c>
      <c r="O2644">
        <f>-602.590328607456 -112.825627978252 -709.987723446037</f>
        <v>-1425.4036800317449</v>
      </c>
      <c r="P2644">
        <f>-625.662941379216 -78.4914069619472 -396.180515516475</f>
        <v>-1100.3348638576381</v>
      </c>
      <c r="Q2644" t="s">
        <v>52042</v>
      </c>
      <c r="R2644" t="s">
        <v>52043</v>
      </c>
      <c r="S2644" t="s">
        <v>52044</v>
      </c>
      <c r="T2644" t="s">
        <v>52045</v>
      </c>
      <c r="U2644" t="s">
        <v>52046</v>
      </c>
      <c r="V2644" t="s">
        <v>52047</v>
      </c>
      <c r="W2644" t="s">
        <v>52048</v>
      </c>
      <c r="X2644" t="s">
        <v>52049</v>
      </c>
      <c r="Y2644" t="s">
        <v>52050</v>
      </c>
    </row>
    <row r="2645" spans="1:25" x14ac:dyDescent="0.3">
      <c r="A2645">
        <v>132200</v>
      </c>
      <c r="B2645" t="s">
        <v>52051</v>
      </c>
      <c r="C2645" t="s">
        <v>52052</v>
      </c>
      <c r="D2645" t="s">
        <v>52053</v>
      </c>
      <c r="E2645" t="s">
        <v>52054</v>
      </c>
      <c r="F2645" t="s">
        <v>52055</v>
      </c>
      <c r="G2645" t="s">
        <v>52056</v>
      </c>
      <c r="H2645" t="s">
        <v>52057</v>
      </c>
      <c r="I2645" t="s">
        <v>52058</v>
      </c>
      <c r="J2645" t="s">
        <v>52059</v>
      </c>
      <c r="K2645" t="s">
        <v>52060</v>
      </c>
      <c r="L2645" t="s">
        <v>52061</v>
      </c>
      <c r="M2645" t="s">
        <v>52062</v>
      </c>
      <c r="N2645" t="s">
        <v>52063</v>
      </c>
      <c r="O2645">
        <f>-602.634209021103 -112.995933303171 -710.016365532697</f>
        <v>-1425.6465078569709</v>
      </c>
      <c r="P2645">
        <f>-625.344372735127 -78.7674188363837 -396.170980383602</f>
        <v>-1100.2827719551128</v>
      </c>
      <c r="Q2645" t="s">
        <v>52064</v>
      </c>
      <c r="R2645" t="s">
        <v>52065</v>
      </c>
      <c r="S2645" t="s">
        <v>52066</v>
      </c>
      <c r="T2645" t="s">
        <v>52067</v>
      </c>
      <c r="U2645" t="s">
        <v>52068</v>
      </c>
      <c r="V2645" t="s">
        <v>52069</v>
      </c>
      <c r="W2645" t="s">
        <v>52070</v>
      </c>
      <c r="X2645" t="s">
        <v>52071</v>
      </c>
      <c r="Y2645" t="s">
        <v>52072</v>
      </c>
    </row>
    <row r="2646" spans="1:25" x14ac:dyDescent="0.3">
      <c r="A2646">
        <v>132250</v>
      </c>
      <c r="B2646" t="s">
        <v>52073</v>
      </c>
      <c r="C2646" t="s">
        <v>52074</v>
      </c>
      <c r="D2646" t="s">
        <v>52075</v>
      </c>
      <c r="E2646" t="s">
        <v>52076</v>
      </c>
      <c r="F2646" t="s">
        <v>52077</v>
      </c>
      <c r="G2646" t="s">
        <v>52078</v>
      </c>
      <c r="H2646" t="s">
        <v>52079</v>
      </c>
      <c r="I2646" t="s">
        <v>52080</v>
      </c>
      <c r="J2646" t="s">
        <v>52081</v>
      </c>
      <c r="K2646" t="s">
        <v>52082</v>
      </c>
      <c r="L2646" t="s">
        <v>52083</v>
      </c>
      <c r="M2646" t="s">
        <v>52084</v>
      </c>
      <c r="N2646" t="s">
        <v>52085</v>
      </c>
      <c r="O2646">
        <f>-602.573676374933 -112.985732376572 -710.002723988658</f>
        <v>-1425.5621327401632</v>
      </c>
      <c r="P2646">
        <f>-625.193040464372 -78.8240741842317 -396.143606849474</f>
        <v>-1100.1607214980777</v>
      </c>
      <c r="Q2646" t="s">
        <v>52086</v>
      </c>
      <c r="R2646" t="s">
        <v>52087</v>
      </c>
      <c r="S2646" t="s">
        <v>52088</v>
      </c>
      <c r="T2646" t="s">
        <v>52089</v>
      </c>
      <c r="U2646" t="s">
        <v>52090</v>
      </c>
      <c r="V2646" t="s">
        <v>52091</v>
      </c>
      <c r="W2646" t="s">
        <v>52092</v>
      </c>
      <c r="X2646" t="s">
        <v>52093</v>
      </c>
      <c r="Y2646" t="s">
        <v>52094</v>
      </c>
    </row>
    <row r="2647" spans="1:25" x14ac:dyDescent="0.3">
      <c r="A2647">
        <v>132300</v>
      </c>
      <c r="B2647" t="s">
        <v>52095</v>
      </c>
      <c r="C2647" t="s">
        <v>52096</v>
      </c>
      <c r="D2647" t="s">
        <v>52097</v>
      </c>
      <c r="E2647" t="s">
        <v>52098</v>
      </c>
      <c r="F2647" t="s">
        <v>52099</v>
      </c>
      <c r="G2647" t="s">
        <v>52100</v>
      </c>
      <c r="H2647" t="s">
        <v>52101</v>
      </c>
      <c r="I2647" t="s">
        <v>52102</v>
      </c>
      <c r="J2647" t="s">
        <v>52103</v>
      </c>
      <c r="K2647" t="s">
        <v>52104</v>
      </c>
      <c r="L2647" t="s">
        <v>52105</v>
      </c>
      <c r="M2647" t="s">
        <v>52106</v>
      </c>
      <c r="N2647" t="s">
        <v>52107</v>
      </c>
      <c r="O2647">
        <f>-601.733179190028 -113.335748707529 -709.693292699908</f>
        <v>-1424.7622205974649</v>
      </c>
      <c r="P2647">
        <f>-627.520324897659 -78.5299370749083 -396.149372777631</f>
        <v>-1102.1996347501981</v>
      </c>
      <c r="Q2647" t="s">
        <v>52108</v>
      </c>
      <c r="R2647" t="s">
        <v>52109</v>
      </c>
      <c r="S2647" t="s">
        <v>52110</v>
      </c>
      <c r="T2647" t="s">
        <v>52111</v>
      </c>
      <c r="U2647" t="s">
        <v>52112</v>
      </c>
      <c r="V2647" t="s">
        <v>52113</v>
      </c>
      <c r="W2647" t="s">
        <v>52114</v>
      </c>
      <c r="X2647" t="s">
        <v>52115</v>
      </c>
      <c r="Y2647" t="s">
        <v>52116</v>
      </c>
    </row>
    <row r="2648" spans="1:25" x14ac:dyDescent="0.3">
      <c r="A2648">
        <v>132350</v>
      </c>
      <c r="B2648" t="s">
        <v>52117</v>
      </c>
      <c r="C2648" t="s">
        <v>52118</v>
      </c>
      <c r="D2648" t="s">
        <v>52119</v>
      </c>
      <c r="E2648" t="s">
        <v>52120</v>
      </c>
      <c r="F2648" t="s">
        <v>52121</v>
      </c>
      <c r="G2648" t="s">
        <v>52122</v>
      </c>
      <c r="H2648" t="s">
        <v>52123</v>
      </c>
      <c r="I2648" t="s">
        <v>52124</v>
      </c>
      <c r="J2648" t="s">
        <v>52125</v>
      </c>
      <c r="K2648" t="s">
        <v>52126</v>
      </c>
      <c r="L2648" t="s">
        <v>52127</v>
      </c>
      <c r="M2648" t="s">
        <v>52128</v>
      </c>
      <c r="N2648" t="s">
        <v>52129</v>
      </c>
      <c r="O2648">
        <f>-599.485557461662 -113.806532759733 -708.671947532086</f>
        <v>-1421.9640377534811</v>
      </c>
      <c r="P2648">
        <f>-627.949125166498 -75.1160753934334 -395.815753313992</f>
        <v>-1098.8809538739233</v>
      </c>
      <c r="Q2648" t="s">
        <v>52130</v>
      </c>
      <c r="R2648" t="s">
        <v>52131</v>
      </c>
      <c r="S2648" t="s">
        <v>52132</v>
      </c>
      <c r="T2648" t="s">
        <v>52133</v>
      </c>
      <c r="U2648" t="s">
        <v>52134</v>
      </c>
      <c r="V2648" t="s">
        <v>52135</v>
      </c>
      <c r="W2648" t="s">
        <v>52136</v>
      </c>
      <c r="X2648" t="s">
        <v>52137</v>
      </c>
      <c r="Y2648" t="s">
        <v>52138</v>
      </c>
    </row>
    <row r="2649" spans="1:25" x14ac:dyDescent="0.3">
      <c r="A2649">
        <v>132400</v>
      </c>
      <c r="B2649" t="s">
        <v>52139</v>
      </c>
      <c r="C2649" t="s">
        <v>52140</v>
      </c>
      <c r="D2649" t="s">
        <v>52141</v>
      </c>
      <c r="E2649" t="s">
        <v>52142</v>
      </c>
      <c r="F2649" t="s">
        <v>52143</v>
      </c>
      <c r="G2649" t="s">
        <v>52144</v>
      </c>
      <c r="H2649" t="s">
        <v>52145</v>
      </c>
      <c r="I2649" t="s">
        <v>52146</v>
      </c>
      <c r="J2649" t="s">
        <v>52147</v>
      </c>
      <c r="K2649" t="s">
        <v>52148</v>
      </c>
      <c r="L2649" t="s">
        <v>52149</v>
      </c>
      <c r="M2649" t="s">
        <v>52150</v>
      </c>
      <c r="N2649" t="s">
        <v>52151</v>
      </c>
      <c r="O2649">
        <f>-599.036068333448 -113.570997624606 -708.448552685749</f>
        <v>-1421.055618643803</v>
      </c>
      <c r="P2649">
        <f>-627.353774764431 -72.1671359753552 -395.926507078134</f>
        <v>-1095.4474178179203</v>
      </c>
      <c r="Q2649" t="s">
        <v>52152</v>
      </c>
      <c r="R2649" t="s">
        <v>52153</v>
      </c>
      <c r="S2649" t="s">
        <v>52154</v>
      </c>
      <c r="T2649" t="s">
        <v>52155</v>
      </c>
      <c r="U2649" t="s">
        <v>52156</v>
      </c>
      <c r="V2649" t="s">
        <v>52157</v>
      </c>
      <c r="W2649" t="s">
        <v>52158</v>
      </c>
      <c r="X2649" t="s">
        <v>52159</v>
      </c>
      <c r="Y2649" t="s">
        <v>52160</v>
      </c>
    </row>
    <row r="2650" spans="1:25" x14ac:dyDescent="0.3">
      <c r="A2650">
        <v>132450</v>
      </c>
      <c r="B2650" t="s">
        <v>52161</v>
      </c>
      <c r="C2650" t="s">
        <v>52162</v>
      </c>
      <c r="D2650" t="s">
        <v>52163</v>
      </c>
      <c r="E2650" t="s">
        <v>52164</v>
      </c>
      <c r="F2650" t="s">
        <v>52165</v>
      </c>
      <c r="G2650" t="s">
        <v>52166</v>
      </c>
      <c r="H2650" t="s">
        <v>52167</v>
      </c>
      <c r="I2650" t="s">
        <v>52168</v>
      </c>
      <c r="J2650" t="s">
        <v>52169</v>
      </c>
      <c r="K2650" t="s">
        <v>52170</v>
      </c>
      <c r="L2650" t="s">
        <v>52171</v>
      </c>
      <c r="M2650" t="s">
        <v>52172</v>
      </c>
      <c r="N2650" t="s">
        <v>52173</v>
      </c>
      <c r="O2650">
        <f>-598.600371087853 -113.515837705618 -707.95917142335</f>
        <v>-1420.075380216821</v>
      </c>
      <c r="P2650">
        <f>-625.787479640604 -70.9646144213159 -395.490834864525</f>
        <v>-1092.2429289264451</v>
      </c>
      <c r="Q2650" t="s">
        <v>52174</v>
      </c>
      <c r="R2650" t="s">
        <v>52175</v>
      </c>
      <c r="S2650" t="s">
        <v>52176</v>
      </c>
      <c r="T2650" t="s">
        <v>52177</v>
      </c>
      <c r="U2650" t="s">
        <v>52178</v>
      </c>
      <c r="V2650" t="s">
        <v>52179</v>
      </c>
      <c r="W2650" t="s">
        <v>52180</v>
      </c>
      <c r="X2650" t="s">
        <v>52181</v>
      </c>
      <c r="Y2650" t="s">
        <v>52182</v>
      </c>
    </row>
    <row r="2651" spans="1:25" x14ac:dyDescent="0.3">
      <c r="A2651">
        <v>132500</v>
      </c>
      <c r="B2651" t="s">
        <v>52183</v>
      </c>
      <c r="C2651" t="s">
        <v>52184</v>
      </c>
      <c r="D2651" t="s">
        <v>52185</v>
      </c>
      <c r="E2651" t="s">
        <v>52186</v>
      </c>
      <c r="F2651" t="s">
        <v>52187</v>
      </c>
      <c r="G2651" t="s">
        <v>52188</v>
      </c>
      <c r="H2651" t="s">
        <v>52189</v>
      </c>
      <c r="I2651" t="s">
        <v>52190</v>
      </c>
      <c r="J2651" t="s">
        <v>52191</v>
      </c>
      <c r="K2651" t="s">
        <v>52192</v>
      </c>
      <c r="L2651" t="s">
        <v>52193</v>
      </c>
      <c r="M2651" t="s">
        <v>52194</v>
      </c>
      <c r="N2651" t="s">
        <v>52195</v>
      </c>
      <c r="O2651">
        <f>-598.148692406413 -113.444310045885 -707.971568735051</f>
        <v>-1419.564571187349</v>
      </c>
      <c r="P2651">
        <f>-625.429268683656 -73.7782591976029 -395.132021637594</f>
        <v>-1094.3395495188529</v>
      </c>
      <c r="Q2651" t="s">
        <v>52196</v>
      </c>
      <c r="R2651" t="s">
        <v>52197</v>
      </c>
      <c r="S2651" t="s">
        <v>52198</v>
      </c>
      <c r="T2651" t="s">
        <v>52199</v>
      </c>
      <c r="U2651" t="s">
        <v>52200</v>
      </c>
      <c r="V2651" t="s">
        <v>52201</v>
      </c>
      <c r="W2651" t="s">
        <v>52202</v>
      </c>
      <c r="X2651" t="s">
        <v>52203</v>
      </c>
      <c r="Y2651" t="s">
        <v>52204</v>
      </c>
    </row>
    <row r="2652" spans="1:25" x14ac:dyDescent="0.3">
      <c r="A2652">
        <v>132550</v>
      </c>
      <c r="B2652" t="s">
        <v>52205</v>
      </c>
      <c r="C2652" t="s">
        <v>52206</v>
      </c>
      <c r="D2652" t="s">
        <v>52207</v>
      </c>
      <c r="E2652" t="s">
        <v>52208</v>
      </c>
      <c r="F2652" t="s">
        <v>52209</v>
      </c>
      <c r="G2652" t="s">
        <v>52210</v>
      </c>
      <c r="H2652" t="s">
        <v>52211</v>
      </c>
      <c r="I2652" t="s">
        <v>52212</v>
      </c>
      <c r="J2652" t="s">
        <v>52213</v>
      </c>
      <c r="K2652" t="s">
        <v>52214</v>
      </c>
      <c r="L2652" t="s">
        <v>52215</v>
      </c>
      <c r="M2652" t="s">
        <v>52216</v>
      </c>
      <c r="N2652" t="s">
        <v>52217</v>
      </c>
      <c r="O2652">
        <f>-597.182698151781 -112.933467106956 -708.4983322691</f>
        <v>-1418.6144975278371</v>
      </c>
      <c r="P2652">
        <f>-624.790874405295 -74.7928586443991 -395.497691937266</f>
        <v>-1095.08142498696</v>
      </c>
      <c r="Q2652" t="s">
        <v>52218</v>
      </c>
      <c r="R2652" t="s">
        <v>52219</v>
      </c>
      <c r="S2652" t="s">
        <v>52220</v>
      </c>
      <c r="T2652" t="s">
        <v>52221</v>
      </c>
      <c r="U2652" t="s">
        <v>52222</v>
      </c>
      <c r="V2652" t="s">
        <v>52223</v>
      </c>
      <c r="W2652" t="s">
        <v>52224</v>
      </c>
      <c r="X2652" t="s">
        <v>52225</v>
      </c>
      <c r="Y2652" t="s">
        <v>52226</v>
      </c>
    </row>
    <row r="2653" spans="1:25" x14ac:dyDescent="0.3">
      <c r="A2653">
        <v>132600</v>
      </c>
      <c r="B2653" t="s">
        <v>52227</v>
      </c>
      <c r="C2653" t="s">
        <v>52228</v>
      </c>
      <c r="D2653" t="s">
        <v>52229</v>
      </c>
      <c r="E2653" t="s">
        <v>52230</v>
      </c>
      <c r="F2653" t="s">
        <v>52231</v>
      </c>
      <c r="G2653" t="s">
        <v>52232</v>
      </c>
      <c r="H2653" t="s">
        <v>52233</v>
      </c>
      <c r="I2653" t="s">
        <v>52234</v>
      </c>
      <c r="J2653" t="s">
        <v>52235</v>
      </c>
      <c r="K2653" t="s">
        <v>52236</v>
      </c>
      <c r="L2653" t="s">
        <v>52237</v>
      </c>
      <c r="M2653" t="s">
        <v>52238</v>
      </c>
      <c r="N2653" t="s">
        <v>52239</v>
      </c>
      <c r="O2653">
        <f>-596.412571964138 -112.911886094293 -708.536032444025</f>
        <v>-1417.8604905024558</v>
      </c>
      <c r="P2653">
        <f>-623.604277952914 -74.9298648872975 -395.47985096247</f>
        <v>-1094.0139938026814</v>
      </c>
      <c r="Q2653" t="s">
        <v>52240</v>
      </c>
      <c r="R2653" t="s">
        <v>52241</v>
      </c>
      <c r="S2653" t="s">
        <v>52242</v>
      </c>
      <c r="T2653" t="s">
        <v>52243</v>
      </c>
      <c r="U2653" t="s">
        <v>52244</v>
      </c>
      <c r="V2653" t="s">
        <v>52245</v>
      </c>
      <c r="W2653" t="s">
        <v>52246</v>
      </c>
      <c r="X2653" t="s">
        <v>52247</v>
      </c>
      <c r="Y2653" t="s">
        <v>52248</v>
      </c>
    </row>
    <row r="2654" spans="1:25" x14ac:dyDescent="0.3">
      <c r="A2654">
        <v>132650</v>
      </c>
      <c r="B2654" t="s">
        <v>52249</v>
      </c>
      <c r="C2654" t="s">
        <v>52250</v>
      </c>
      <c r="D2654" t="s">
        <v>52251</v>
      </c>
      <c r="E2654" t="s">
        <v>52252</v>
      </c>
      <c r="F2654" t="s">
        <v>52253</v>
      </c>
      <c r="G2654" t="s">
        <v>52254</v>
      </c>
      <c r="H2654" t="s">
        <v>52255</v>
      </c>
      <c r="I2654" t="s">
        <v>52256</v>
      </c>
      <c r="J2654" t="s">
        <v>52257</v>
      </c>
      <c r="K2654" t="s">
        <v>52258</v>
      </c>
      <c r="L2654" t="s">
        <v>52259</v>
      </c>
      <c r="M2654" t="s">
        <v>52260</v>
      </c>
      <c r="N2654" t="s">
        <v>52261</v>
      </c>
      <c r="O2654">
        <f>-595.276949862552 -112.820079111629 -708.651019438435</f>
        <v>-1416.7480484126158</v>
      </c>
      <c r="P2654">
        <f>-622.329965164429 -73.3361794152681 -395.768670514771</f>
        <v>-1091.4348150944681</v>
      </c>
      <c r="Q2654" t="s">
        <v>52262</v>
      </c>
      <c r="R2654" t="s">
        <v>52263</v>
      </c>
      <c r="S2654" t="s">
        <v>52264</v>
      </c>
      <c r="T2654" t="s">
        <v>52265</v>
      </c>
      <c r="U2654" t="s">
        <v>52266</v>
      </c>
      <c r="V2654" t="s">
        <v>52267</v>
      </c>
      <c r="W2654" t="s">
        <v>52268</v>
      </c>
      <c r="X2654" t="s">
        <v>52269</v>
      </c>
      <c r="Y2654" t="s">
        <v>52270</v>
      </c>
    </row>
    <row r="2655" spans="1:25" x14ac:dyDescent="0.3">
      <c r="A2655">
        <v>132700</v>
      </c>
      <c r="B2655" t="s">
        <v>52271</v>
      </c>
      <c r="C2655" t="s">
        <v>52272</v>
      </c>
      <c r="D2655" t="s">
        <v>52273</v>
      </c>
      <c r="E2655" t="s">
        <v>52274</v>
      </c>
      <c r="F2655" t="s">
        <v>52275</v>
      </c>
      <c r="G2655" t="s">
        <v>52276</v>
      </c>
      <c r="H2655" t="s">
        <v>52277</v>
      </c>
      <c r="I2655" t="s">
        <v>52278</v>
      </c>
      <c r="J2655" t="s">
        <v>52279</v>
      </c>
      <c r="K2655" t="s">
        <v>52280</v>
      </c>
      <c r="L2655" t="s">
        <v>52281</v>
      </c>
      <c r="M2655" t="s">
        <v>52282</v>
      </c>
      <c r="N2655" t="s">
        <v>52283</v>
      </c>
      <c r="O2655">
        <f>-594.520181122308 -112.691993671583 -708.710035320978</f>
        <v>-1415.9222101148689</v>
      </c>
      <c r="P2655">
        <f>-621.541001578275 -73.3082279328846 -395.812316040973</f>
        <v>-1090.6615455521326</v>
      </c>
      <c r="Q2655" t="s">
        <v>52284</v>
      </c>
      <c r="R2655" t="s">
        <v>52285</v>
      </c>
      <c r="S2655" t="s">
        <v>52286</v>
      </c>
      <c r="T2655" t="s">
        <v>52287</v>
      </c>
      <c r="U2655" t="s">
        <v>52288</v>
      </c>
      <c r="V2655" t="s">
        <v>52289</v>
      </c>
      <c r="W2655" t="s">
        <v>52290</v>
      </c>
      <c r="X2655" t="s">
        <v>52291</v>
      </c>
      <c r="Y2655" t="s">
        <v>52292</v>
      </c>
    </row>
    <row r="2656" spans="1:25" x14ac:dyDescent="0.3">
      <c r="A2656">
        <v>132750</v>
      </c>
      <c r="B2656" t="s">
        <v>52293</v>
      </c>
      <c r="C2656" t="s">
        <v>52294</v>
      </c>
      <c r="D2656" t="s">
        <v>52295</v>
      </c>
      <c r="E2656" t="s">
        <v>52296</v>
      </c>
      <c r="F2656" t="s">
        <v>52297</v>
      </c>
      <c r="G2656" t="s">
        <v>52298</v>
      </c>
      <c r="H2656" t="s">
        <v>52299</v>
      </c>
      <c r="I2656" t="s">
        <v>52300</v>
      </c>
      <c r="J2656" t="s">
        <v>52301</v>
      </c>
      <c r="K2656" t="s">
        <v>52302</v>
      </c>
      <c r="L2656" t="s">
        <v>52303</v>
      </c>
      <c r="M2656" t="s">
        <v>52304</v>
      </c>
      <c r="N2656" t="s">
        <v>52305</v>
      </c>
      <c r="O2656">
        <f>-593.444002728168 -111.902967329524 -709.267477742408</f>
        <v>-1414.6144478001002</v>
      </c>
      <c r="P2656">
        <f>-620.566188408952 -73.9565555566139 -396.200882414292</f>
        <v>-1090.7236263798579</v>
      </c>
      <c r="Q2656" t="s">
        <v>52306</v>
      </c>
      <c r="R2656" t="s">
        <v>52307</v>
      </c>
      <c r="S2656" t="s">
        <v>52308</v>
      </c>
      <c r="T2656" t="s">
        <v>52309</v>
      </c>
      <c r="U2656" t="s">
        <v>52310</v>
      </c>
      <c r="V2656" t="s">
        <v>52311</v>
      </c>
      <c r="W2656" t="s">
        <v>52312</v>
      </c>
      <c r="X2656" t="s">
        <v>52313</v>
      </c>
      <c r="Y2656" t="s">
        <v>52314</v>
      </c>
    </row>
    <row r="2657" spans="1:25" x14ac:dyDescent="0.3">
      <c r="A2657">
        <v>132800</v>
      </c>
      <c r="B2657" t="s">
        <v>52315</v>
      </c>
      <c r="C2657" t="s">
        <v>52316</v>
      </c>
      <c r="D2657" t="s">
        <v>52317</v>
      </c>
      <c r="E2657" t="s">
        <v>52318</v>
      </c>
      <c r="F2657" t="s">
        <v>52319</v>
      </c>
      <c r="G2657" t="s">
        <v>52320</v>
      </c>
      <c r="H2657" t="s">
        <v>52321</v>
      </c>
      <c r="I2657" t="s">
        <v>52322</v>
      </c>
      <c r="J2657" t="s">
        <v>52323</v>
      </c>
      <c r="K2657" t="s">
        <v>52324</v>
      </c>
      <c r="L2657" t="s">
        <v>52325</v>
      </c>
      <c r="M2657" t="s">
        <v>52326</v>
      </c>
      <c r="N2657" t="s">
        <v>52327</v>
      </c>
      <c r="O2657">
        <f>-592.739321543504 -111.696598559257 -709.497516066784</f>
        <v>-1413.9334361695451</v>
      </c>
      <c r="P2657">
        <f>-619.987304199935 -74.6665065557409 -396.332068810219</f>
        <v>-1090.9858795658949</v>
      </c>
      <c r="Q2657" t="s">
        <v>52328</v>
      </c>
      <c r="R2657" t="s">
        <v>52329</v>
      </c>
      <c r="S2657" t="s">
        <v>52330</v>
      </c>
      <c r="T2657" t="s">
        <v>52331</v>
      </c>
      <c r="U2657" t="s">
        <v>52332</v>
      </c>
      <c r="V2657" t="s">
        <v>52333</v>
      </c>
      <c r="W2657" t="s">
        <v>52334</v>
      </c>
      <c r="X2657" t="s">
        <v>52335</v>
      </c>
      <c r="Y2657" t="s">
        <v>52336</v>
      </c>
    </row>
    <row r="2658" spans="1:25" x14ac:dyDescent="0.3">
      <c r="A2658">
        <v>132850</v>
      </c>
      <c r="B2658" t="s">
        <v>52337</v>
      </c>
      <c r="C2658" t="s">
        <v>52338</v>
      </c>
      <c r="D2658" t="s">
        <v>52339</v>
      </c>
      <c r="E2658" t="s">
        <v>52340</v>
      </c>
      <c r="F2658" t="s">
        <v>52341</v>
      </c>
      <c r="G2658" t="s">
        <v>52342</v>
      </c>
      <c r="H2658" t="s">
        <v>52343</v>
      </c>
      <c r="I2658" t="s">
        <v>52344</v>
      </c>
      <c r="J2658" t="s">
        <v>52345</v>
      </c>
      <c r="K2658" t="s">
        <v>52346</v>
      </c>
      <c r="L2658" t="s">
        <v>52347</v>
      </c>
      <c r="M2658" t="s">
        <v>52348</v>
      </c>
      <c r="N2658" t="s">
        <v>52349</v>
      </c>
      <c r="O2658">
        <f>-591.209907826035 -111.010272846426 -709.734367397333</f>
        <v>-1411.9545480697939</v>
      </c>
      <c r="P2658">
        <f>-618.103882491227 -75.53667116928 -396.358432601919</f>
        <v>-1089.9989862624259</v>
      </c>
      <c r="Q2658" t="s">
        <v>52350</v>
      </c>
      <c r="R2658" t="s">
        <v>52351</v>
      </c>
      <c r="S2658" t="s">
        <v>52352</v>
      </c>
      <c r="T2658" t="s">
        <v>52353</v>
      </c>
      <c r="U2658" t="s">
        <v>52354</v>
      </c>
      <c r="V2658" t="s">
        <v>52355</v>
      </c>
      <c r="W2658" t="s">
        <v>52356</v>
      </c>
      <c r="X2658" t="s">
        <v>52357</v>
      </c>
      <c r="Y2658" t="s">
        <v>52358</v>
      </c>
    </row>
    <row r="2659" spans="1:25" x14ac:dyDescent="0.3">
      <c r="A2659">
        <v>132900</v>
      </c>
      <c r="B2659" t="s">
        <v>52359</v>
      </c>
      <c r="C2659" t="s">
        <v>52360</v>
      </c>
      <c r="D2659" t="s">
        <v>52361</v>
      </c>
      <c r="E2659" t="s">
        <v>52362</v>
      </c>
      <c r="F2659" t="s">
        <v>52363</v>
      </c>
      <c r="G2659" t="s">
        <v>52364</v>
      </c>
      <c r="H2659" t="s">
        <v>52365</v>
      </c>
      <c r="I2659" t="s">
        <v>52366</v>
      </c>
      <c r="J2659" t="s">
        <v>52367</v>
      </c>
      <c r="K2659" t="s">
        <v>52368</v>
      </c>
      <c r="L2659" t="s">
        <v>52369</v>
      </c>
      <c r="M2659" t="s">
        <v>52370</v>
      </c>
      <c r="N2659" t="s">
        <v>52371</v>
      </c>
      <c r="O2659">
        <f>-590.4177396245 -110.657838425676 -709.83931723024</f>
        <v>-1410.914895280416</v>
      </c>
      <c r="P2659">
        <f>-617.376104550352 -75.8687165970475 -396.392251461894</f>
        <v>-1089.6370726092935</v>
      </c>
      <c r="Q2659" t="s">
        <v>52372</v>
      </c>
      <c r="R2659" t="s">
        <v>52373</v>
      </c>
      <c r="S2659" t="s">
        <v>52374</v>
      </c>
      <c r="T2659" t="s">
        <v>52375</v>
      </c>
      <c r="U2659" t="s">
        <v>52376</v>
      </c>
      <c r="V2659" t="s">
        <v>52377</v>
      </c>
      <c r="W2659" t="s">
        <v>52378</v>
      </c>
      <c r="X2659" t="s">
        <v>52379</v>
      </c>
      <c r="Y2659" t="s">
        <v>52380</v>
      </c>
    </row>
    <row r="2660" spans="1:25" x14ac:dyDescent="0.3">
      <c r="A2660">
        <v>132950</v>
      </c>
      <c r="B2660" t="s">
        <v>52381</v>
      </c>
      <c r="C2660" t="s">
        <v>52382</v>
      </c>
      <c r="D2660" t="s">
        <v>52383</v>
      </c>
      <c r="E2660" t="s">
        <v>52384</v>
      </c>
      <c r="F2660" t="s">
        <v>52385</v>
      </c>
      <c r="G2660" t="s">
        <v>52386</v>
      </c>
      <c r="H2660" t="s">
        <v>52387</v>
      </c>
      <c r="I2660" t="s">
        <v>52388</v>
      </c>
      <c r="J2660" t="s">
        <v>52389</v>
      </c>
      <c r="K2660" t="s">
        <v>52390</v>
      </c>
      <c r="L2660" t="s">
        <v>52391</v>
      </c>
      <c r="M2660" t="s">
        <v>52392</v>
      </c>
      <c r="N2660" t="s">
        <v>52393</v>
      </c>
      <c r="O2660">
        <f>-588.610190206608 -110.377096612315 -709.827713998914</f>
        <v>-1408.8150008178368</v>
      </c>
      <c r="P2660">
        <f>-616.780129078311 -75.1705036089734 -396.533730863578</f>
        <v>-1088.4843635508623</v>
      </c>
      <c r="Q2660" t="s">
        <v>52394</v>
      </c>
      <c r="R2660" t="s">
        <v>52395</v>
      </c>
      <c r="S2660" t="s">
        <v>52396</v>
      </c>
      <c r="T2660" t="s">
        <v>52397</v>
      </c>
      <c r="U2660" t="s">
        <v>52398</v>
      </c>
      <c r="V2660" t="s">
        <v>52399</v>
      </c>
      <c r="W2660" t="s">
        <v>52400</v>
      </c>
      <c r="X2660" t="s">
        <v>52401</v>
      </c>
      <c r="Y2660" t="s">
        <v>52402</v>
      </c>
    </row>
    <row r="2661" spans="1:25" x14ac:dyDescent="0.3">
      <c r="A2661">
        <v>133000</v>
      </c>
      <c r="B2661" t="s">
        <v>52403</v>
      </c>
      <c r="C2661" t="s">
        <v>52404</v>
      </c>
      <c r="D2661" t="s">
        <v>52405</v>
      </c>
      <c r="E2661" t="s">
        <v>52406</v>
      </c>
      <c r="F2661" t="s">
        <v>52407</v>
      </c>
      <c r="G2661" t="s">
        <v>52408</v>
      </c>
      <c r="H2661" t="s">
        <v>52409</v>
      </c>
      <c r="I2661" t="s">
        <v>52410</v>
      </c>
      <c r="J2661" t="s">
        <v>52411</v>
      </c>
      <c r="K2661" t="s">
        <v>52412</v>
      </c>
      <c r="L2661" t="s">
        <v>52413</v>
      </c>
      <c r="M2661" t="s">
        <v>52414</v>
      </c>
      <c r="N2661" t="s">
        <v>52415</v>
      </c>
      <c r="O2661">
        <f>-587.754609648687 -110.272190135052 -709.664192523393</f>
        <v>-1407.6909923071321</v>
      </c>
      <c r="P2661">
        <f>-616.672578160187 -75.0650933397833 -396.438407532111</f>
        <v>-1088.1760790320814</v>
      </c>
      <c r="Q2661" t="s">
        <v>52416</v>
      </c>
      <c r="R2661" t="s">
        <v>52417</v>
      </c>
      <c r="S2661" t="s">
        <v>52418</v>
      </c>
      <c r="T2661" t="s">
        <v>52419</v>
      </c>
      <c r="U2661" t="s">
        <v>52420</v>
      </c>
      <c r="V2661" t="s">
        <v>52421</v>
      </c>
      <c r="W2661" t="s">
        <v>52422</v>
      </c>
      <c r="X2661" t="s">
        <v>52423</v>
      </c>
      <c r="Y2661" t="s">
        <v>52424</v>
      </c>
    </row>
    <row r="2662" spans="1:25" x14ac:dyDescent="0.3">
      <c r="A2662">
        <v>133050</v>
      </c>
      <c r="B2662" t="s">
        <v>52425</v>
      </c>
      <c r="C2662" t="s">
        <v>52426</v>
      </c>
      <c r="D2662" t="s">
        <v>52427</v>
      </c>
      <c r="E2662" t="s">
        <v>52428</v>
      </c>
      <c r="F2662" t="s">
        <v>52429</v>
      </c>
      <c r="G2662" t="s">
        <v>52430</v>
      </c>
      <c r="H2662" t="s">
        <v>52431</v>
      </c>
      <c r="I2662" t="s">
        <v>52432</v>
      </c>
      <c r="J2662" t="s">
        <v>52433</v>
      </c>
      <c r="K2662" t="s">
        <v>52434</v>
      </c>
      <c r="L2662" t="s">
        <v>52435</v>
      </c>
      <c r="M2662" t="s">
        <v>52436</v>
      </c>
      <c r="N2662" t="s">
        <v>52437</v>
      </c>
      <c r="O2662">
        <f>-586.949636500883 -109.783929447038 -709.580348105135</f>
        <v>-1406.3139140530561</v>
      </c>
      <c r="P2662">
        <f>-616.780578285108 -74.3812331283978 -396.462324580497</f>
        <v>-1087.6241359940027</v>
      </c>
      <c r="Q2662" t="s">
        <v>52438</v>
      </c>
      <c r="R2662" t="s">
        <v>52439</v>
      </c>
      <c r="S2662" t="s">
        <v>52440</v>
      </c>
      <c r="T2662" t="s">
        <v>52441</v>
      </c>
      <c r="U2662" t="s">
        <v>52442</v>
      </c>
      <c r="V2662" t="s">
        <v>52443</v>
      </c>
      <c r="W2662" t="s">
        <v>52444</v>
      </c>
      <c r="X2662" t="s">
        <v>52445</v>
      </c>
      <c r="Y2662" t="s">
        <v>52446</v>
      </c>
    </row>
    <row r="2663" spans="1:25" x14ac:dyDescent="0.3">
      <c r="A2663">
        <v>133100</v>
      </c>
      <c r="B2663" t="s">
        <v>52447</v>
      </c>
      <c r="C2663" t="s">
        <v>52448</v>
      </c>
      <c r="D2663" t="s">
        <v>52449</v>
      </c>
      <c r="E2663" t="s">
        <v>52450</v>
      </c>
      <c r="F2663" t="s">
        <v>52451</v>
      </c>
      <c r="G2663" t="s">
        <v>52452</v>
      </c>
      <c r="H2663" t="s">
        <v>52453</v>
      </c>
      <c r="I2663" t="s">
        <v>52454</v>
      </c>
      <c r="J2663" t="s">
        <v>52455</v>
      </c>
      <c r="K2663" t="s">
        <v>52456</v>
      </c>
      <c r="L2663" t="s">
        <v>52457</v>
      </c>
      <c r="M2663" t="s">
        <v>52458</v>
      </c>
      <c r="N2663" t="s">
        <v>52459</v>
      </c>
      <c r="O2663">
        <f>-586.75636736875 -109.718432444705 -709.465663906794</f>
        <v>-1405.9404637202492</v>
      </c>
      <c r="P2663">
        <f>-616.957389813387 -74.5920081986053 -396.351911943294</f>
        <v>-1087.9013099552863</v>
      </c>
      <c r="Q2663" t="s">
        <v>52460</v>
      </c>
      <c r="R2663" t="s">
        <v>52461</v>
      </c>
      <c r="S2663" t="s">
        <v>52462</v>
      </c>
      <c r="T2663" t="s">
        <v>52463</v>
      </c>
      <c r="U2663" t="s">
        <v>52464</v>
      </c>
      <c r="V2663" t="s">
        <v>52465</v>
      </c>
      <c r="W2663" t="s">
        <v>52466</v>
      </c>
      <c r="X2663" t="s">
        <v>52467</v>
      </c>
      <c r="Y2663" t="s">
        <v>52468</v>
      </c>
    </row>
    <row r="2664" spans="1:25" x14ac:dyDescent="0.3">
      <c r="A2664">
        <v>133150</v>
      </c>
      <c r="B2664" t="s">
        <v>52469</v>
      </c>
      <c r="C2664" t="s">
        <v>52470</v>
      </c>
      <c r="D2664" t="s">
        <v>52471</v>
      </c>
      <c r="E2664" t="s">
        <v>52472</v>
      </c>
      <c r="F2664" t="s">
        <v>52473</v>
      </c>
      <c r="G2664" t="s">
        <v>52474</v>
      </c>
      <c r="H2664" t="s">
        <v>52475</v>
      </c>
      <c r="I2664" t="s">
        <v>52476</v>
      </c>
      <c r="J2664" t="s">
        <v>52477</v>
      </c>
      <c r="K2664" t="s">
        <v>52478</v>
      </c>
      <c r="L2664" t="s">
        <v>52479</v>
      </c>
      <c r="M2664" t="s">
        <v>52480</v>
      </c>
      <c r="N2664" t="s">
        <v>52481</v>
      </c>
      <c r="O2664">
        <f>-586.399126266033 -109.397538139756 -709.364410280815</f>
        <v>-1405.161074686604</v>
      </c>
      <c r="P2664">
        <f>-617.44437946942 -73.8083001117784 -396.38555009985</f>
        <v>-1087.6382296810484</v>
      </c>
      <c r="Q2664" t="s">
        <v>52482</v>
      </c>
      <c r="R2664" t="s">
        <v>52483</v>
      </c>
      <c r="S2664" t="s">
        <v>52484</v>
      </c>
      <c r="T2664" t="s">
        <v>52485</v>
      </c>
      <c r="U2664" t="s">
        <v>52486</v>
      </c>
      <c r="V2664" t="s">
        <v>52487</v>
      </c>
      <c r="W2664" t="s">
        <v>52488</v>
      </c>
      <c r="X2664" t="s">
        <v>52489</v>
      </c>
      <c r="Y2664" t="s">
        <v>52490</v>
      </c>
    </row>
    <row r="2665" spans="1:25" x14ac:dyDescent="0.3">
      <c r="A2665">
        <v>133200</v>
      </c>
      <c r="B2665" t="s">
        <v>52491</v>
      </c>
      <c r="C2665" t="s">
        <v>52492</v>
      </c>
      <c r="D2665" t="s">
        <v>52493</v>
      </c>
      <c r="E2665" t="s">
        <v>52494</v>
      </c>
      <c r="F2665" t="s">
        <v>52495</v>
      </c>
      <c r="G2665" t="s">
        <v>52496</v>
      </c>
      <c r="H2665" t="s">
        <v>52497</v>
      </c>
      <c r="I2665" t="s">
        <v>52498</v>
      </c>
      <c r="J2665" t="s">
        <v>52499</v>
      </c>
      <c r="K2665" t="s">
        <v>52500</v>
      </c>
      <c r="L2665" t="s">
        <v>52501</v>
      </c>
      <c r="M2665" t="s">
        <v>52502</v>
      </c>
      <c r="N2665" t="s">
        <v>52503</v>
      </c>
      <c r="O2665">
        <f>-586.434922266977 -109.324219524905 -709.188153211957</f>
        <v>-1404.9472950038389</v>
      </c>
      <c r="P2665">
        <f>-617.528091564301 -73.4379046811441 -396.247859937147</f>
        <v>-1087.2138561825921</v>
      </c>
      <c r="Q2665" t="s">
        <v>52504</v>
      </c>
      <c r="R2665" t="s">
        <v>52505</v>
      </c>
      <c r="S2665" t="s">
        <v>52506</v>
      </c>
      <c r="T2665" t="s">
        <v>52507</v>
      </c>
      <c r="U2665" t="s">
        <v>52508</v>
      </c>
      <c r="V2665" t="s">
        <v>52509</v>
      </c>
      <c r="W2665" t="s">
        <v>52510</v>
      </c>
      <c r="X2665" t="s">
        <v>52511</v>
      </c>
      <c r="Y2665" t="s">
        <v>52512</v>
      </c>
    </row>
    <row r="2666" spans="1:25" x14ac:dyDescent="0.3">
      <c r="A2666">
        <v>133250</v>
      </c>
      <c r="B2666" t="s">
        <v>52513</v>
      </c>
      <c r="C2666" t="s">
        <v>52514</v>
      </c>
      <c r="D2666" t="s">
        <v>52515</v>
      </c>
      <c r="E2666" t="s">
        <v>52516</v>
      </c>
      <c r="F2666" t="s">
        <v>52517</v>
      </c>
      <c r="G2666" t="s">
        <v>52518</v>
      </c>
      <c r="H2666" t="s">
        <v>52519</v>
      </c>
      <c r="I2666" t="s">
        <v>52520</v>
      </c>
      <c r="J2666" t="s">
        <v>52521</v>
      </c>
      <c r="K2666" t="s">
        <v>52522</v>
      </c>
      <c r="L2666" t="s">
        <v>52523</v>
      </c>
      <c r="M2666" t="s">
        <v>52524</v>
      </c>
      <c r="N2666" t="s">
        <v>52525</v>
      </c>
      <c r="O2666">
        <f>-586.893259349253 -109.064443138721 -709.187643079961</f>
        <v>-1405.145345567935</v>
      </c>
      <c r="P2666">
        <f>-618.284239724802 -72.579395751372 -396.346372509357</f>
        <v>-1087.2100079855309</v>
      </c>
      <c r="Q2666" t="s">
        <v>52526</v>
      </c>
      <c r="R2666" t="s">
        <v>52527</v>
      </c>
      <c r="S2666" t="s">
        <v>52528</v>
      </c>
      <c r="T2666" t="s">
        <v>52529</v>
      </c>
      <c r="U2666" t="s">
        <v>52530</v>
      </c>
      <c r="V2666" t="s">
        <v>52531</v>
      </c>
      <c r="W2666" t="s">
        <v>52532</v>
      </c>
      <c r="X2666" t="s">
        <v>52533</v>
      </c>
      <c r="Y2666" t="s">
        <v>52534</v>
      </c>
    </row>
    <row r="2667" spans="1:25" x14ac:dyDescent="0.3">
      <c r="A2667">
        <v>133300</v>
      </c>
      <c r="B2667" t="s">
        <v>52535</v>
      </c>
      <c r="C2667" t="s">
        <v>52536</v>
      </c>
      <c r="D2667" t="s">
        <v>52537</v>
      </c>
      <c r="E2667" t="s">
        <v>52538</v>
      </c>
      <c r="F2667" t="s">
        <v>52539</v>
      </c>
      <c r="G2667" t="s">
        <v>52540</v>
      </c>
      <c r="H2667" t="s">
        <v>52541</v>
      </c>
      <c r="I2667" t="s">
        <v>52542</v>
      </c>
      <c r="J2667" t="s">
        <v>52543</v>
      </c>
      <c r="K2667" t="s">
        <v>52544</v>
      </c>
      <c r="L2667" t="s">
        <v>52545</v>
      </c>
      <c r="M2667" t="s">
        <v>52546</v>
      </c>
      <c r="N2667" t="s">
        <v>52547</v>
      </c>
      <c r="O2667">
        <f>-587.014393813262 -108.823507772272 -709.210918170438</f>
        <v>-1405.0488197559721</v>
      </c>
      <c r="P2667">
        <f>-618.438834290979 -72.5088451156889 -396.353200468404</f>
        <v>-1087.300879875072</v>
      </c>
      <c r="Q2667" t="s">
        <v>52548</v>
      </c>
      <c r="R2667" t="s">
        <v>52549</v>
      </c>
      <c r="S2667" t="s">
        <v>52550</v>
      </c>
      <c r="T2667" t="s">
        <v>52551</v>
      </c>
      <c r="U2667" t="s">
        <v>52552</v>
      </c>
      <c r="V2667" t="s">
        <v>52553</v>
      </c>
      <c r="W2667" t="s">
        <v>52554</v>
      </c>
      <c r="X2667" t="s">
        <v>52555</v>
      </c>
      <c r="Y2667" t="s">
        <v>52556</v>
      </c>
    </row>
    <row r="2668" spans="1:25" x14ac:dyDescent="0.3">
      <c r="A2668">
        <v>133350</v>
      </c>
      <c r="B2668" t="s">
        <v>52557</v>
      </c>
      <c r="C2668" t="s">
        <v>52558</v>
      </c>
      <c r="D2668" t="s">
        <v>52559</v>
      </c>
      <c r="E2668" t="s">
        <v>52560</v>
      </c>
      <c r="F2668" t="s">
        <v>52561</v>
      </c>
      <c r="G2668" t="s">
        <v>52562</v>
      </c>
      <c r="H2668" t="s">
        <v>52563</v>
      </c>
      <c r="I2668" t="s">
        <v>52564</v>
      </c>
      <c r="J2668" t="s">
        <v>52565</v>
      </c>
      <c r="K2668" t="s">
        <v>52566</v>
      </c>
      <c r="L2668" t="s">
        <v>52567</v>
      </c>
      <c r="M2668" t="s">
        <v>52568</v>
      </c>
      <c r="N2668" t="s">
        <v>52569</v>
      </c>
      <c r="O2668">
        <f>-587.628971333653 -108.590935172067 -709.23947267971</f>
        <v>-1405.45937918543</v>
      </c>
      <c r="P2668">
        <f>-618.546873462083 -71.2727584112288 -396.449366356557</f>
        <v>-1086.2689982298689</v>
      </c>
      <c r="Q2668" t="s">
        <v>52570</v>
      </c>
      <c r="R2668" t="s">
        <v>52571</v>
      </c>
      <c r="S2668" t="s">
        <v>52572</v>
      </c>
      <c r="T2668" t="s">
        <v>52573</v>
      </c>
      <c r="U2668" t="s">
        <v>52574</v>
      </c>
      <c r="V2668" t="s">
        <v>52575</v>
      </c>
      <c r="W2668" t="s">
        <v>52576</v>
      </c>
      <c r="X2668" t="s">
        <v>52577</v>
      </c>
      <c r="Y2668" t="s">
        <v>52578</v>
      </c>
    </row>
    <row r="2669" spans="1:25" x14ac:dyDescent="0.3">
      <c r="A2669">
        <v>133400</v>
      </c>
      <c r="B2669" t="s">
        <v>52579</v>
      </c>
      <c r="C2669" t="s">
        <v>52580</v>
      </c>
      <c r="D2669" t="s">
        <v>52581</v>
      </c>
      <c r="E2669" t="s">
        <v>52582</v>
      </c>
      <c r="F2669" t="s">
        <v>52583</v>
      </c>
      <c r="G2669" t="s">
        <v>52584</v>
      </c>
      <c r="H2669" t="s">
        <v>52585</v>
      </c>
      <c r="I2669" t="s">
        <v>52586</v>
      </c>
      <c r="J2669" t="s">
        <v>52587</v>
      </c>
      <c r="K2669" t="s">
        <v>52588</v>
      </c>
      <c r="L2669" t="s">
        <v>52589</v>
      </c>
      <c r="M2669" t="s">
        <v>52590</v>
      </c>
      <c r="N2669" t="s">
        <v>52591</v>
      </c>
      <c r="O2669">
        <f>-587.770426604466 -108.7075074041 -709.126974843502</f>
        <v>-1405.6049088520681</v>
      </c>
      <c r="P2669">
        <f>-618.447758961417 -70.1547960486816 -396.463016227626</f>
        <v>-1085.0655712377247</v>
      </c>
      <c r="Q2669" t="s">
        <v>52592</v>
      </c>
      <c r="R2669" t="s">
        <v>52593</v>
      </c>
      <c r="S2669" t="s">
        <v>52594</v>
      </c>
      <c r="T2669" t="s">
        <v>52595</v>
      </c>
      <c r="U2669" t="s">
        <v>52596</v>
      </c>
      <c r="V2669" t="s">
        <v>52597</v>
      </c>
      <c r="W2669" t="s">
        <v>52598</v>
      </c>
      <c r="X2669" t="s">
        <v>52599</v>
      </c>
      <c r="Y2669" t="s">
        <v>52600</v>
      </c>
    </row>
    <row r="2670" spans="1:25" x14ac:dyDescent="0.3">
      <c r="A2670">
        <v>133450</v>
      </c>
      <c r="B2670" t="s">
        <v>52601</v>
      </c>
      <c r="C2670" t="s">
        <v>52602</v>
      </c>
      <c r="D2670" t="s">
        <v>52603</v>
      </c>
      <c r="E2670" t="s">
        <v>52604</v>
      </c>
      <c r="F2670" t="s">
        <v>52605</v>
      </c>
      <c r="G2670" t="s">
        <v>52606</v>
      </c>
      <c r="H2670" t="s">
        <v>52607</v>
      </c>
      <c r="I2670" t="s">
        <v>52608</v>
      </c>
      <c r="J2670" t="s">
        <v>52609</v>
      </c>
      <c r="K2670" t="s">
        <v>52610</v>
      </c>
      <c r="L2670" t="s">
        <v>52611</v>
      </c>
      <c r="M2670" t="s">
        <v>52612</v>
      </c>
      <c r="N2670" t="s">
        <v>52613</v>
      </c>
      <c r="O2670">
        <f>-587.960106151465 -109.094704263583 -708.746061700159</f>
        <v>-1405.8008721152069</v>
      </c>
      <c r="P2670">
        <f>-617.904544118733 -68.426466800938 -396.279094424499</f>
        <v>-1082.6101053441701</v>
      </c>
      <c r="Q2670" t="s">
        <v>52614</v>
      </c>
      <c r="R2670" t="s">
        <v>52615</v>
      </c>
      <c r="S2670" t="s">
        <v>52616</v>
      </c>
      <c r="T2670" t="s">
        <v>52617</v>
      </c>
      <c r="U2670" t="s">
        <v>52618</v>
      </c>
      <c r="V2670" t="s">
        <v>52619</v>
      </c>
      <c r="W2670" t="s">
        <v>52620</v>
      </c>
      <c r="X2670" t="s">
        <v>52621</v>
      </c>
      <c r="Y2670" t="s">
        <v>52622</v>
      </c>
    </row>
    <row r="2671" spans="1:25" x14ac:dyDescent="0.3">
      <c r="A2671">
        <v>133500</v>
      </c>
      <c r="B2671" t="s">
        <v>52623</v>
      </c>
      <c r="C2671" t="s">
        <v>52624</v>
      </c>
      <c r="D2671" t="s">
        <v>52625</v>
      </c>
      <c r="E2671" t="s">
        <v>52626</v>
      </c>
      <c r="F2671" t="s">
        <v>52627</v>
      </c>
      <c r="G2671" t="s">
        <v>52628</v>
      </c>
      <c r="H2671" t="s">
        <v>52629</v>
      </c>
      <c r="I2671" t="s">
        <v>52630</v>
      </c>
      <c r="J2671" t="s">
        <v>52631</v>
      </c>
      <c r="K2671" t="s">
        <v>52632</v>
      </c>
      <c r="L2671" t="s">
        <v>52633</v>
      </c>
      <c r="M2671" t="s">
        <v>52634</v>
      </c>
      <c r="N2671" t="s">
        <v>52635</v>
      </c>
      <c r="O2671">
        <f>-587.963894492 -109.089952649666 -708.708046983099</f>
        <v>-1405.7618941247651</v>
      </c>
      <c r="P2671">
        <f>-617.823638400054 -68.9817518371121 -396.160601956151</f>
        <v>-1082.9659921933171</v>
      </c>
      <c r="Q2671" t="s">
        <v>52636</v>
      </c>
      <c r="R2671" t="s">
        <v>52637</v>
      </c>
      <c r="S2671" t="s">
        <v>52638</v>
      </c>
      <c r="T2671" t="s">
        <v>52639</v>
      </c>
      <c r="U2671" t="s">
        <v>52640</v>
      </c>
      <c r="V2671" t="s">
        <v>52641</v>
      </c>
      <c r="W2671" t="s">
        <v>52642</v>
      </c>
      <c r="X2671" t="s">
        <v>52643</v>
      </c>
      <c r="Y2671" t="s">
        <v>52644</v>
      </c>
    </row>
    <row r="2672" spans="1:25" x14ac:dyDescent="0.3">
      <c r="A2672">
        <v>133550</v>
      </c>
      <c r="B2672" t="s">
        <v>52645</v>
      </c>
      <c r="C2672" t="s">
        <v>52646</v>
      </c>
      <c r="D2672" t="s">
        <v>52647</v>
      </c>
      <c r="E2672" t="s">
        <v>52648</v>
      </c>
      <c r="F2672" t="s">
        <v>52649</v>
      </c>
      <c r="G2672" t="s">
        <v>52650</v>
      </c>
      <c r="H2672" t="s">
        <v>52651</v>
      </c>
      <c r="I2672" t="s">
        <v>52652</v>
      </c>
      <c r="J2672" t="s">
        <v>52653</v>
      </c>
      <c r="K2672" t="s">
        <v>52654</v>
      </c>
      <c r="L2672" t="s">
        <v>52655</v>
      </c>
      <c r="M2672" t="s">
        <v>52656</v>
      </c>
      <c r="N2672" t="s">
        <v>52657</v>
      </c>
      <c r="O2672">
        <f>-588.356874281132 -108.56302934724 -709.020695509242</f>
        <v>-1405.9405991376141</v>
      </c>
      <c r="P2672">
        <f>-617.14311777908 -70.6922855490941 -396.093750668813</f>
        <v>-1083.929153996987</v>
      </c>
      <c r="Q2672" t="s">
        <v>52658</v>
      </c>
      <c r="R2672" t="s">
        <v>52659</v>
      </c>
      <c r="S2672" t="s">
        <v>52660</v>
      </c>
      <c r="T2672" t="s">
        <v>52661</v>
      </c>
      <c r="U2672" t="s">
        <v>52662</v>
      </c>
      <c r="V2672" t="s">
        <v>52663</v>
      </c>
      <c r="W2672" t="s">
        <v>52664</v>
      </c>
      <c r="X2672" t="s">
        <v>52665</v>
      </c>
      <c r="Y2672" t="s">
        <v>52666</v>
      </c>
    </row>
    <row r="2673" spans="1:25" x14ac:dyDescent="0.3">
      <c r="A2673">
        <v>133600</v>
      </c>
      <c r="B2673" t="s">
        <v>52667</v>
      </c>
      <c r="C2673" t="s">
        <v>52668</v>
      </c>
      <c r="D2673" t="s">
        <v>52669</v>
      </c>
      <c r="E2673" t="s">
        <v>52670</v>
      </c>
      <c r="F2673" t="s">
        <v>52671</v>
      </c>
      <c r="G2673" t="s">
        <v>52672</v>
      </c>
      <c r="H2673" t="s">
        <v>52673</v>
      </c>
      <c r="I2673" t="s">
        <v>52674</v>
      </c>
      <c r="J2673" t="s">
        <v>52675</v>
      </c>
      <c r="K2673" t="s">
        <v>52676</v>
      </c>
      <c r="L2673" t="s">
        <v>52677</v>
      </c>
      <c r="M2673" t="s">
        <v>52678</v>
      </c>
      <c r="N2673" t="s">
        <v>52679</v>
      </c>
      <c r="O2673">
        <f>-588.59840457628 -108.345279728338 -709.143784727837</f>
        <v>-1406.0874690324549</v>
      </c>
      <c r="P2673">
        <f>-616.781864186213 -70.8388185467509 -396.117947034617</f>
        <v>-1083.738629767581</v>
      </c>
      <c r="Q2673" t="s">
        <v>52680</v>
      </c>
      <c r="R2673" t="s">
        <v>52681</v>
      </c>
      <c r="S2673" t="s">
        <v>52682</v>
      </c>
      <c r="T2673" t="s">
        <v>52683</v>
      </c>
      <c r="U2673" t="s">
        <v>52684</v>
      </c>
      <c r="V2673" t="s">
        <v>52685</v>
      </c>
      <c r="W2673" t="s">
        <v>52686</v>
      </c>
      <c r="X2673" t="s">
        <v>52687</v>
      </c>
      <c r="Y2673" t="s">
        <v>52688</v>
      </c>
    </row>
    <row r="2674" spans="1:25" x14ac:dyDescent="0.3">
      <c r="A2674">
        <v>133650</v>
      </c>
      <c r="B2674" t="s">
        <v>52689</v>
      </c>
      <c r="C2674" t="s">
        <v>52690</v>
      </c>
      <c r="D2674" t="s">
        <v>52691</v>
      </c>
      <c r="E2674" t="s">
        <v>52692</v>
      </c>
      <c r="F2674" t="s">
        <v>52693</v>
      </c>
      <c r="G2674" t="s">
        <v>52694</v>
      </c>
      <c r="H2674" t="s">
        <v>52695</v>
      </c>
      <c r="I2674" t="s">
        <v>52696</v>
      </c>
      <c r="J2674" t="s">
        <v>52697</v>
      </c>
      <c r="K2674" t="s">
        <v>52698</v>
      </c>
      <c r="L2674" t="s">
        <v>52699</v>
      </c>
      <c r="M2674" t="s">
        <v>52700</v>
      </c>
      <c r="N2674" t="s">
        <v>52701</v>
      </c>
      <c r="O2674">
        <f>-587.28366453076 -107.502846806346 -709.476889937598</f>
        <v>-1404.2634012747039</v>
      </c>
      <c r="P2674">
        <f>-615.294483264262 -72.3709388985687 -396.160252495971</f>
        <v>-1083.8256746588017</v>
      </c>
      <c r="Q2674" t="s">
        <v>52702</v>
      </c>
      <c r="R2674" t="s">
        <v>52703</v>
      </c>
      <c r="S2674" t="s">
        <v>52704</v>
      </c>
      <c r="T2674" t="s">
        <v>52705</v>
      </c>
      <c r="U2674" t="s">
        <v>52706</v>
      </c>
      <c r="V2674" t="s">
        <v>52707</v>
      </c>
      <c r="W2674" t="s">
        <v>52708</v>
      </c>
      <c r="X2674" t="s">
        <v>52709</v>
      </c>
      <c r="Y2674" t="s">
        <v>52710</v>
      </c>
    </row>
    <row r="2675" spans="1:25" x14ac:dyDescent="0.3">
      <c r="A2675">
        <v>133700</v>
      </c>
      <c r="B2675" t="s">
        <v>52711</v>
      </c>
      <c r="C2675" t="s">
        <v>52712</v>
      </c>
      <c r="D2675" t="s">
        <v>52713</v>
      </c>
      <c r="E2675" t="s">
        <v>52714</v>
      </c>
      <c r="F2675" t="s">
        <v>52715</v>
      </c>
      <c r="G2675" t="s">
        <v>52716</v>
      </c>
      <c r="H2675" t="s">
        <v>52717</v>
      </c>
      <c r="I2675" t="s">
        <v>52718</v>
      </c>
      <c r="J2675" t="s">
        <v>52719</v>
      </c>
      <c r="K2675" t="s">
        <v>52720</v>
      </c>
      <c r="L2675" t="s">
        <v>52721</v>
      </c>
      <c r="M2675" t="s">
        <v>52722</v>
      </c>
      <c r="N2675" t="s">
        <v>52723</v>
      </c>
      <c r="O2675">
        <f>-586.739308799287 -107.137352596542 -709.749318094657</f>
        <v>-1403.6259794904859</v>
      </c>
      <c r="P2675">
        <f>-614.659372777147 -72.3469363144138 -396.386462415913</f>
        <v>-1083.3927715074738</v>
      </c>
      <c r="Q2675" t="s">
        <v>52724</v>
      </c>
      <c r="R2675" t="s">
        <v>52725</v>
      </c>
      <c r="S2675" t="s">
        <v>52726</v>
      </c>
      <c r="T2675" t="s">
        <v>52727</v>
      </c>
      <c r="U2675" t="s">
        <v>52728</v>
      </c>
      <c r="V2675" t="s">
        <v>52729</v>
      </c>
      <c r="W2675" t="s">
        <v>52730</v>
      </c>
      <c r="X2675" t="s">
        <v>52731</v>
      </c>
      <c r="Y2675" t="s">
        <v>52732</v>
      </c>
    </row>
    <row r="2676" spans="1:25" x14ac:dyDescent="0.3">
      <c r="A2676">
        <v>133750</v>
      </c>
      <c r="B2676" t="s">
        <v>52733</v>
      </c>
      <c r="C2676" t="s">
        <v>52734</v>
      </c>
      <c r="D2676" t="s">
        <v>52735</v>
      </c>
      <c r="E2676" t="s">
        <v>52736</v>
      </c>
      <c r="F2676" t="s">
        <v>52737</v>
      </c>
      <c r="G2676" t="s">
        <v>52738</v>
      </c>
      <c r="H2676" t="s">
        <v>52739</v>
      </c>
      <c r="I2676" t="s">
        <v>52740</v>
      </c>
      <c r="J2676" t="s">
        <v>52741</v>
      </c>
      <c r="K2676" t="s">
        <v>52742</v>
      </c>
      <c r="L2676" t="s">
        <v>52743</v>
      </c>
      <c r="M2676" t="s">
        <v>52744</v>
      </c>
      <c r="N2676" t="s">
        <v>52745</v>
      </c>
      <c r="O2676">
        <f>-585.243770506453 -106.663426326187 -710.201925942007</f>
        <v>-1402.1091227746469</v>
      </c>
      <c r="P2676">
        <f>-613.881087540273 -73.2460943772837 -396.754340878989</f>
        <v>-1083.8815227965458</v>
      </c>
      <c r="Q2676" t="s">
        <v>52746</v>
      </c>
      <c r="R2676" t="s">
        <v>52747</v>
      </c>
      <c r="S2676" t="s">
        <v>52748</v>
      </c>
      <c r="T2676" t="s">
        <v>52749</v>
      </c>
      <c r="U2676" t="s">
        <v>52750</v>
      </c>
      <c r="V2676" t="s">
        <v>52751</v>
      </c>
      <c r="W2676" t="s">
        <v>52752</v>
      </c>
      <c r="X2676" t="s">
        <v>52753</v>
      </c>
      <c r="Y2676" t="s">
        <v>52754</v>
      </c>
    </row>
    <row r="2677" spans="1:25" x14ac:dyDescent="0.3">
      <c r="A2677">
        <v>133800</v>
      </c>
      <c r="B2677" t="s">
        <v>52755</v>
      </c>
      <c r="C2677" t="s">
        <v>52756</v>
      </c>
      <c r="D2677" t="s">
        <v>52757</v>
      </c>
      <c r="E2677" t="s">
        <v>52758</v>
      </c>
      <c r="F2677" t="s">
        <v>52759</v>
      </c>
      <c r="G2677" t="s">
        <v>52760</v>
      </c>
      <c r="H2677" t="s">
        <v>52761</v>
      </c>
      <c r="I2677" t="s">
        <v>52762</v>
      </c>
      <c r="J2677" t="s">
        <v>52763</v>
      </c>
      <c r="K2677" t="s">
        <v>52764</v>
      </c>
      <c r="L2677" t="s">
        <v>52765</v>
      </c>
      <c r="M2677" t="s">
        <v>52766</v>
      </c>
      <c r="N2677" t="s">
        <v>52767</v>
      </c>
      <c r="O2677">
        <f>-584.792086490778 -106.181509613114 -710.562295027662</f>
        <v>-1401.5358911315541</v>
      </c>
      <c r="P2677">
        <f>-613.290519262981 -73.086146946762 -397.067962089693</f>
        <v>-1083.4446282994361</v>
      </c>
      <c r="Q2677" t="s">
        <v>52768</v>
      </c>
      <c r="R2677" t="s">
        <v>52769</v>
      </c>
      <c r="S2677" t="s">
        <v>52770</v>
      </c>
      <c r="T2677" t="s">
        <v>52771</v>
      </c>
      <c r="U2677" t="s">
        <v>52772</v>
      </c>
      <c r="V2677" t="s">
        <v>52773</v>
      </c>
      <c r="W2677" t="s">
        <v>52774</v>
      </c>
      <c r="X2677" t="s">
        <v>52775</v>
      </c>
      <c r="Y2677" t="s">
        <v>52776</v>
      </c>
    </row>
    <row r="2678" spans="1:25" x14ac:dyDescent="0.3">
      <c r="A2678">
        <v>133850</v>
      </c>
      <c r="B2678" t="s">
        <v>52777</v>
      </c>
      <c r="C2678" t="s">
        <v>52778</v>
      </c>
      <c r="D2678" t="s">
        <v>52779</v>
      </c>
      <c r="E2678" t="s">
        <v>52780</v>
      </c>
      <c r="F2678" t="s">
        <v>52781</v>
      </c>
      <c r="G2678" t="s">
        <v>52782</v>
      </c>
      <c r="H2678" t="s">
        <v>52783</v>
      </c>
      <c r="I2678" t="s">
        <v>52784</v>
      </c>
      <c r="J2678" t="s">
        <v>52785</v>
      </c>
      <c r="K2678" t="s">
        <v>52786</v>
      </c>
      <c r="L2678" t="s">
        <v>52787</v>
      </c>
      <c r="M2678" t="s">
        <v>52788</v>
      </c>
      <c r="N2678" t="s">
        <v>52789</v>
      </c>
      <c r="O2678">
        <f>-584.007987504746 -104.267101781334 -711.741801251805</f>
        <v>-1400.016890537885</v>
      </c>
      <c r="P2678">
        <f>-612.225685993978 -73.2400660144954 -398.010684683759</f>
        <v>-1083.4764366922323</v>
      </c>
      <c r="Q2678" t="s">
        <v>52790</v>
      </c>
      <c r="R2678" t="s">
        <v>52791</v>
      </c>
      <c r="S2678" t="s">
        <v>52792</v>
      </c>
      <c r="T2678" t="s">
        <v>52793</v>
      </c>
      <c r="U2678" t="s">
        <v>52794</v>
      </c>
      <c r="V2678" t="s">
        <v>52795</v>
      </c>
      <c r="W2678" t="s">
        <v>52796</v>
      </c>
      <c r="X2678" t="s">
        <v>52797</v>
      </c>
      <c r="Y2678" t="s">
        <v>52798</v>
      </c>
    </row>
    <row r="2679" spans="1:25" x14ac:dyDescent="0.3">
      <c r="A2679">
        <v>133900</v>
      </c>
      <c r="B2679" t="s">
        <v>52799</v>
      </c>
      <c r="C2679" t="s">
        <v>52800</v>
      </c>
      <c r="D2679" t="s">
        <v>52801</v>
      </c>
      <c r="E2679" t="s">
        <v>52802</v>
      </c>
      <c r="F2679" t="s">
        <v>52803</v>
      </c>
      <c r="G2679" t="s">
        <v>52804</v>
      </c>
      <c r="H2679" t="s">
        <v>52805</v>
      </c>
      <c r="I2679" t="s">
        <v>52806</v>
      </c>
      <c r="J2679" t="s">
        <v>52807</v>
      </c>
      <c r="K2679" t="s">
        <v>52808</v>
      </c>
      <c r="L2679" t="s">
        <v>52809</v>
      </c>
      <c r="M2679" t="s">
        <v>52810</v>
      </c>
      <c r="N2679" t="s">
        <v>52811</v>
      </c>
      <c r="O2679">
        <f>-584.328118256808 -103.091186091244 -712.592475108386</f>
        <v>-1400.011779456438</v>
      </c>
      <c r="P2679">
        <f>-612.045562350062 -73.3438174144962 -398.692673462986</f>
        <v>-1084.0820532275443</v>
      </c>
      <c r="Q2679" t="s">
        <v>52812</v>
      </c>
      <c r="R2679" t="s">
        <v>52813</v>
      </c>
      <c r="S2679" t="s">
        <v>52814</v>
      </c>
      <c r="T2679" t="s">
        <v>52815</v>
      </c>
      <c r="U2679" t="s">
        <v>52816</v>
      </c>
      <c r="V2679" t="s">
        <v>52817</v>
      </c>
      <c r="W2679" t="s">
        <v>52818</v>
      </c>
      <c r="X2679" t="s">
        <v>52819</v>
      </c>
      <c r="Y2679" t="s">
        <v>52820</v>
      </c>
    </row>
    <row r="2680" spans="1:25" x14ac:dyDescent="0.3">
      <c r="A2680">
        <v>133950</v>
      </c>
      <c r="B2680" t="s">
        <v>52821</v>
      </c>
      <c r="C2680" t="s">
        <v>52822</v>
      </c>
      <c r="D2680" t="s">
        <v>52823</v>
      </c>
      <c r="E2680" t="s">
        <v>52824</v>
      </c>
      <c r="F2680" t="s">
        <v>52825</v>
      </c>
      <c r="G2680" t="s">
        <v>52826</v>
      </c>
      <c r="H2680" t="s">
        <v>52827</v>
      </c>
      <c r="I2680" t="s">
        <v>52828</v>
      </c>
      <c r="J2680" t="s">
        <v>52829</v>
      </c>
      <c r="K2680" t="s">
        <v>52830</v>
      </c>
      <c r="L2680" t="s">
        <v>52831</v>
      </c>
      <c r="M2680" t="s">
        <v>52832</v>
      </c>
      <c r="N2680" t="s">
        <v>52833</v>
      </c>
      <c r="O2680">
        <f>-585.528347307287 -100.535788846928 -714.495852854336</f>
        <v>-1400.5599890085509</v>
      </c>
      <c r="P2680">
        <f>-611.17261502911 -73.9646533499968 -400.135340729823</f>
        <v>-1085.2726091089298</v>
      </c>
      <c r="Q2680" t="s">
        <v>52834</v>
      </c>
      <c r="R2680" t="s">
        <v>52835</v>
      </c>
      <c r="S2680" t="s">
        <v>52836</v>
      </c>
      <c r="T2680" t="s">
        <v>52837</v>
      </c>
      <c r="U2680" t="s">
        <v>52838</v>
      </c>
      <c r="V2680" t="s">
        <v>52839</v>
      </c>
      <c r="W2680" t="s">
        <v>52840</v>
      </c>
      <c r="X2680" t="s">
        <v>52841</v>
      </c>
      <c r="Y2680" t="s">
        <v>52842</v>
      </c>
    </row>
    <row r="2681" spans="1:25" x14ac:dyDescent="0.3">
      <c r="A2681">
        <v>134000</v>
      </c>
      <c r="B2681" t="s">
        <v>52843</v>
      </c>
      <c r="C2681" t="s">
        <v>52844</v>
      </c>
      <c r="D2681" t="s">
        <v>52845</v>
      </c>
      <c r="E2681" t="s">
        <v>52846</v>
      </c>
      <c r="F2681" t="s">
        <v>52847</v>
      </c>
      <c r="G2681" t="s">
        <v>52848</v>
      </c>
      <c r="H2681" t="s">
        <v>52849</v>
      </c>
      <c r="I2681" t="s">
        <v>52850</v>
      </c>
      <c r="J2681" t="s">
        <v>52851</v>
      </c>
      <c r="K2681" t="s">
        <v>52852</v>
      </c>
      <c r="L2681" t="s">
        <v>52853</v>
      </c>
      <c r="M2681" t="s">
        <v>52854</v>
      </c>
      <c r="N2681" t="s">
        <v>52855</v>
      </c>
      <c r="O2681">
        <f>-586.650956610636 -99.5668036563104 -715.491941165008</f>
        <v>-1401.7097014319543</v>
      </c>
      <c r="P2681">
        <f>-610.624829977068 -73.8323307222336 -400.930141270999</f>
        <v>-1085.3873019703005</v>
      </c>
      <c r="Q2681" t="s">
        <v>52856</v>
      </c>
      <c r="R2681" t="s">
        <v>52857</v>
      </c>
      <c r="S2681" t="s">
        <v>52858</v>
      </c>
      <c r="T2681" t="s">
        <v>52859</v>
      </c>
      <c r="U2681" t="s">
        <v>52860</v>
      </c>
      <c r="V2681" t="s">
        <v>52861</v>
      </c>
      <c r="W2681" t="s">
        <v>52862</v>
      </c>
      <c r="X2681" t="s">
        <v>52863</v>
      </c>
      <c r="Y2681" t="s">
        <v>52864</v>
      </c>
    </row>
    <row r="2682" spans="1:25" x14ac:dyDescent="0.3">
      <c r="A2682">
        <v>134050</v>
      </c>
      <c r="B2682" t="s">
        <v>52865</v>
      </c>
      <c r="C2682" t="s">
        <v>52866</v>
      </c>
      <c r="D2682" t="s">
        <v>52867</v>
      </c>
      <c r="E2682" t="s">
        <v>52868</v>
      </c>
      <c r="F2682" t="s">
        <v>52869</v>
      </c>
      <c r="G2682" t="s">
        <v>52870</v>
      </c>
      <c r="H2682" t="s">
        <v>52871</v>
      </c>
      <c r="I2682" t="s">
        <v>52872</v>
      </c>
      <c r="J2682" t="s">
        <v>52873</v>
      </c>
      <c r="K2682" t="s">
        <v>52874</v>
      </c>
      <c r="L2682" t="s">
        <v>52875</v>
      </c>
      <c r="M2682" t="s">
        <v>52876</v>
      </c>
      <c r="N2682" t="s">
        <v>52877</v>
      </c>
      <c r="O2682">
        <f>-588.536501686502 -99.1971532012865 -716.775284662734</f>
        <v>-1404.5089395505224</v>
      </c>
      <c r="P2682">
        <f>-608.316118838551 -74.9104878473077 -401.806772365653</f>
        <v>-1085.0333790515117</v>
      </c>
      <c r="Q2682" t="s">
        <v>52878</v>
      </c>
      <c r="R2682" t="s">
        <v>52879</v>
      </c>
      <c r="S2682" t="s">
        <v>52880</v>
      </c>
      <c r="T2682" t="s">
        <v>52881</v>
      </c>
      <c r="U2682" t="s">
        <v>52882</v>
      </c>
      <c r="V2682" t="s">
        <v>52883</v>
      </c>
      <c r="W2682" t="s">
        <v>52884</v>
      </c>
      <c r="X2682" t="s">
        <v>52885</v>
      </c>
      <c r="Y2682" t="s">
        <v>52886</v>
      </c>
    </row>
    <row r="2683" spans="1:25" x14ac:dyDescent="0.3">
      <c r="A2683">
        <v>134100</v>
      </c>
      <c r="B2683" t="s">
        <v>52887</v>
      </c>
      <c r="C2683" t="s">
        <v>52888</v>
      </c>
      <c r="D2683" t="s">
        <v>52889</v>
      </c>
      <c r="E2683" t="s">
        <v>52890</v>
      </c>
      <c r="F2683" t="s">
        <v>52891</v>
      </c>
      <c r="G2683" t="s">
        <v>52892</v>
      </c>
      <c r="H2683" t="s">
        <v>52893</v>
      </c>
      <c r="I2683" t="s">
        <v>52894</v>
      </c>
      <c r="J2683" t="s">
        <v>52895</v>
      </c>
      <c r="K2683" t="s">
        <v>52896</v>
      </c>
      <c r="L2683" t="s">
        <v>52897</v>
      </c>
      <c r="M2683" t="s">
        <v>52898</v>
      </c>
      <c r="N2683" t="s">
        <v>52899</v>
      </c>
      <c r="O2683">
        <f>-589.720494371333 -99.345701498165 -717.431362122663</f>
        <v>-1406.4975579921611</v>
      </c>
      <c r="P2683">
        <f>-607.34288656288 -75.0216117292621 -402.337909855296</f>
        <v>-1084.7024081474381</v>
      </c>
      <c r="Q2683" t="s">
        <v>52900</v>
      </c>
      <c r="R2683" t="s">
        <v>52901</v>
      </c>
      <c r="S2683" t="s">
        <v>52902</v>
      </c>
      <c r="T2683" t="s">
        <v>52903</v>
      </c>
      <c r="U2683" t="s">
        <v>52904</v>
      </c>
      <c r="V2683" t="s">
        <v>52905</v>
      </c>
      <c r="W2683" t="s">
        <v>52906</v>
      </c>
      <c r="X2683" t="s">
        <v>52907</v>
      </c>
      <c r="Y2683" t="s">
        <v>52908</v>
      </c>
    </row>
    <row r="2684" spans="1:25" x14ac:dyDescent="0.3">
      <c r="A2684">
        <v>134150</v>
      </c>
      <c r="B2684" t="s">
        <v>52909</v>
      </c>
      <c r="C2684" t="s">
        <v>52910</v>
      </c>
      <c r="D2684" t="s">
        <v>52911</v>
      </c>
      <c r="E2684" t="s">
        <v>52912</v>
      </c>
      <c r="F2684" t="s">
        <v>52913</v>
      </c>
      <c r="G2684" t="s">
        <v>52914</v>
      </c>
      <c r="H2684" t="s">
        <v>52915</v>
      </c>
      <c r="I2684" t="s">
        <v>52916</v>
      </c>
      <c r="J2684" t="s">
        <v>52917</v>
      </c>
      <c r="K2684" t="s">
        <v>52918</v>
      </c>
      <c r="L2684" t="s">
        <v>52919</v>
      </c>
      <c r="M2684" t="s">
        <v>52920</v>
      </c>
      <c r="N2684" t="s">
        <v>52921</v>
      </c>
      <c r="O2684">
        <f>-591.640984698714 -100.148466177789 -718.625116720664</f>
        <v>-1410.414567597167</v>
      </c>
      <c r="P2684">
        <f>-606.616117470455 -76.1649392182967 -403.368557702625</f>
        <v>-1086.1496143913769</v>
      </c>
      <c r="Q2684" t="s">
        <v>52922</v>
      </c>
      <c r="R2684" t="s">
        <v>52923</v>
      </c>
      <c r="S2684" t="s">
        <v>52924</v>
      </c>
      <c r="T2684" t="s">
        <v>52925</v>
      </c>
      <c r="U2684" t="s">
        <v>52926</v>
      </c>
      <c r="V2684" t="s">
        <v>52927</v>
      </c>
      <c r="W2684" t="s">
        <v>52928</v>
      </c>
      <c r="X2684" t="s">
        <v>52929</v>
      </c>
      <c r="Y2684" t="s">
        <v>52930</v>
      </c>
    </row>
    <row r="2685" spans="1:25" x14ac:dyDescent="0.3">
      <c r="A2685">
        <v>134200</v>
      </c>
      <c r="B2685" t="s">
        <v>52931</v>
      </c>
      <c r="C2685" t="s">
        <v>52932</v>
      </c>
      <c r="D2685" t="s">
        <v>52933</v>
      </c>
      <c r="E2685" t="s">
        <v>52934</v>
      </c>
      <c r="F2685" t="s">
        <v>52935</v>
      </c>
      <c r="G2685" t="s">
        <v>52936</v>
      </c>
      <c r="H2685" t="s">
        <v>52937</v>
      </c>
      <c r="I2685" t="s">
        <v>52938</v>
      </c>
      <c r="J2685" t="s">
        <v>52939</v>
      </c>
      <c r="K2685" t="s">
        <v>52940</v>
      </c>
      <c r="L2685" t="s">
        <v>52941</v>
      </c>
      <c r="M2685" t="s">
        <v>52942</v>
      </c>
      <c r="N2685" t="s">
        <v>52943</v>
      </c>
      <c r="O2685">
        <f>-592.253229786192 -100.504122382985 -719.291962338257</f>
        <v>-1412.049314507434</v>
      </c>
      <c r="P2685">
        <f>-606.906319294385 -76.7304283849189 -404.004268571034</f>
        <v>-1087.641016250338</v>
      </c>
      <c r="Q2685" t="s">
        <v>52944</v>
      </c>
      <c r="R2685" t="s">
        <v>52945</v>
      </c>
      <c r="S2685" t="s">
        <v>52946</v>
      </c>
      <c r="T2685" t="s">
        <v>52947</v>
      </c>
      <c r="U2685" t="s">
        <v>52948</v>
      </c>
      <c r="V2685" t="s">
        <v>52949</v>
      </c>
      <c r="W2685" t="s">
        <v>52950</v>
      </c>
      <c r="X2685" t="s">
        <v>52951</v>
      </c>
      <c r="Y2685" t="s">
        <v>52952</v>
      </c>
    </row>
    <row r="2686" spans="1:25" x14ac:dyDescent="0.3">
      <c r="A2686">
        <v>134250</v>
      </c>
      <c r="B2686" t="s">
        <v>52953</v>
      </c>
      <c r="C2686" t="s">
        <v>52954</v>
      </c>
      <c r="D2686" t="s">
        <v>52955</v>
      </c>
      <c r="E2686" t="s">
        <v>52956</v>
      </c>
      <c r="F2686" t="s">
        <v>52957</v>
      </c>
      <c r="G2686" t="s">
        <v>52958</v>
      </c>
      <c r="H2686" t="s">
        <v>52959</v>
      </c>
      <c r="I2686" t="s">
        <v>52960</v>
      </c>
      <c r="J2686" t="s">
        <v>52961</v>
      </c>
      <c r="K2686" t="s">
        <v>52962</v>
      </c>
      <c r="L2686" t="s">
        <v>52963</v>
      </c>
      <c r="M2686" t="s">
        <v>52964</v>
      </c>
      <c r="N2686" t="s">
        <v>52965</v>
      </c>
      <c r="O2686">
        <f>-593.229666150282 -101.076891184474 -720.488520148306</f>
        <v>-1414.795077483062</v>
      </c>
      <c r="P2686">
        <f>-607.951784290993 -77.8481511427781 -405.163606937602</f>
        <v>-1090.963542371373</v>
      </c>
      <c r="Q2686" t="s">
        <v>52966</v>
      </c>
      <c r="R2686" t="s">
        <v>52967</v>
      </c>
      <c r="S2686" t="s">
        <v>52968</v>
      </c>
      <c r="T2686" t="s">
        <v>52969</v>
      </c>
      <c r="U2686" t="s">
        <v>52970</v>
      </c>
      <c r="V2686" t="s">
        <v>52971</v>
      </c>
      <c r="W2686" t="s">
        <v>52972</v>
      </c>
      <c r="X2686" t="s">
        <v>52973</v>
      </c>
      <c r="Y2686" t="s">
        <v>52974</v>
      </c>
    </row>
    <row r="2687" spans="1:25" x14ac:dyDescent="0.3">
      <c r="A2687">
        <v>134300</v>
      </c>
      <c r="B2687" t="s">
        <v>52975</v>
      </c>
      <c r="C2687" t="s">
        <v>52976</v>
      </c>
      <c r="D2687" t="s">
        <v>52977</v>
      </c>
      <c r="E2687" t="s">
        <v>52978</v>
      </c>
      <c r="F2687" t="s">
        <v>52979</v>
      </c>
      <c r="G2687" t="s">
        <v>52980</v>
      </c>
      <c r="H2687" t="s">
        <v>52981</v>
      </c>
      <c r="I2687" t="s">
        <v>52982</v>
      </c>
      <c r="J2687" t="s">
        <v>52983</v>
      </c>
      <c r="K2687" t="s">
        <v>52984</v>
      </c>
      <c r="L2687" t="s">
        <v>52985</v>
      </c>
      <c r="M2687" t="s">
        <v>52986</v>
      </c>
      <c r="N2687" t="s">
        <v>52987</v>
      </c>
      <c r="O2687">
        <f>-593.170908187996 -101.322993824171 -720.97084640144</f>
        <v>-1415.4647484136071</v>
      </c>
      <c r="P2687">
        <f>-608.313541721089 -78.6359467859743 -405.626323738675</f>
        <v>-1092.5758122457382</v>
      </c>
      <c r="Q2687" t="s">
        <v>52988</v>
      </c>
      <c r="R2687" t="s">
        <v>52989</v>
      </c>
      <c r="S2687" t="s">
        <v>52990</v>
      </c>
      <c r="T2687" t="s">
        <v>52991</v>
      </c>
      <c r="U2687" t="s">
        <v>52992</v>
      </c>
      <c r="V2687" t="s">
        <v>52993</v>
      </c>
      <c r="W2687" t="s">
        <v>52994</v>
      </c>
      <c r="X2687" t="s">
        <v>52995</v>
      </c>
      <c r="Y2687" t="s">
        <v>52996</v>
      </c>
    </row>
    <row r="2688" spans="1:25" x14ac:dyDescent="0.3">
      <c r="A2688">
        <v>134350</v>
      </c>
      <c r="B2688" t="s">
        <v>52997</v>
      </c>
      <c r="C2688" t="s">
        <v>52998</v>
      </c>
      <c r="D2688" t="s">
        <v>52999</v>
      </c>
      <c r="E2688" t="s">
        <v>53000</v>
      </c>
      <c r="F2688" t="s">
        <v>53001</v>
      </c>
      <c r="G2688" t="s">
        <v>53002</v>
      </c>
      <c r="H2688" t="s">
        <v>53003</v>
      </c>
      <c r="I2688" t="s">
        <v>53004</v>
      </c>
      <c r="J2688" t="s">
        <v>53005</v>
      </c>
      <c r="K2688" t="s">
        <v>53006</v>
      </c>
      <c r="L2688" t="s">
        <v>53007</v>
      </c>
      <c r="M2688" t="s">
        <v>53008</v>
      </c>
      <c r="N2688" t="s">
        <v>53009</v>
      </c>
      <c r="O2688">
        <f>-593.070345607354 -101.646987658664 -721.354131720414</f>
        <v>-1416.0714649864321</v>
      </c>
      <c r="P2688">
        <f>-608.565332216115 -79.1087627445722 -406.016023043806</f>
        <v>-1093.6901180044933</v>
      </c>
      <c r="Q2688" t="s">
        <v>53010</v>
      </c>
      <c r="R2688" t="s">
        <v>53011</v>
      </c>
      <c r="S2688" t="s">
        <v>53012</v>
      </c>
      <c r="T2688" t="s">
        <v>53013</v>
      </c>
      <c r="U2688" t="s">
        <v>53014</v>
      </c>
      <c r="V2688" t="s">
        <v>53015</v>
      </c>
      <c r="W2688" t="s">
        <v>53016</v>
      </c>
      <c r="X2688" t="s">
        <v>53017</v>
      </c>
      <c r="Y2688" t="s">
        <v>53018</v>
      </c>
    </row>
    <row r="2689" spans="1:25" x14ac:dyDescent="0.3">
      <c r="A2689">
        <v>134400</v>
      </c>
      <c r="B2689" t="s">
        <v>53019</v>
      </c>
      <c r="C2689" t="s">
        <v>53020</v>
      </c>
      <c r="D2689" t="s">
        <v>53021</v>
      </c>
      <c r="E2689" t="s">
        <v>53022</v>
      </c>
      <c r="F2689" t="s">
        <v>53023</v>
      </c>
      <c r="G2689" t="s">
        <v>53024</v>
      </c>
      <c r="H2689" t="s">
        <v>53025</v>
      </c>
      <c r="I2689" t="s">
        <v>53026</v>
      </c>
      <c r="J2689" t="s">
        <v>53027</v>
      </c>
      <c r="K2689" t="s">
        <v>53028</v>
      </c>
      <c r="L2689" t="s">
        <v>53029</v>
      </c>
      <c r="M2689" t="s">
        <v>53030</v>
      </c>
      <c r="N2689" t="s">
        <v>53031</v>
      </c>
      <c r="O2689">
        <f>-593.288112081686 -102.11270689312 -721.880325517615</f>
        <v>-1417.2811444924209</v>
      </c>
      <c r="P2689">
        <f>-608.979779578727 -79.9101476855774 -406.528127432404</f>
        <v>-1095.4180546967084</v>
      </c>
      <c r="Q2689" t="s">
        <v>53032</v>
      </c>
      <c r="R2689" t="s">
        <v>53033</v>
      </c>
      <c r="S2689" t="s">
        <v>53034</v>
      </c>
      <c r="T2689" t="s">
        <v>53035</v>
      </c>
      <c r="U2689" t="s">
        <v>53036</v>
      </c>
      <c r="V2689" t="s">
        <v>53037</v>
      </c>
      <c r="W2689" t="s">
        <v>53038</v>
      </c>
      <c r="X2689" t="s">
        <v>53039</v>
      </c>
      <c r="Y2689" t="s">
        <v>53040</v>
      </c>
    </row>
    <row r="2690" spans="1:25" x14ac:dyDescent="0.3">
      <c r="A2690">
        <v>134450</v>
      </c>
      <c r="B2690" t="s">
        <v>53041</v>
      </c>
      <c r="C2690" t="s">
        <v>53042</v>
      </c>
      <c r="D2690" t="s">
        <v>53043</v>
      </c>
      <c r="E2690" t="s">
        <v>53044</v>
      </c>
      <c r="F2690" t="s">
        <v>53045</v>
      </c>
      <c r="G2690" t="s">
        <v>53046</v>
      </c>
      <c r="H2690" t="s">
        <v>53047</v>
      </c>
      <c r="I2690" t="s">
        <v>53048</v>
      </c>
      <c r="J2690" t="s">
        <v>53049</v>
      </c>
      <c r="K2690" t="s">
        <v>53050</v>
      </c>
      <c r="L2690" t="s">
        <v>53051</v>
      </c>
      <c r="M2690" t="s">
        <v>53052</v>
      </c>
      <c r="N2690" t="s">
        <v>53053</v>
      </c>
      <c r="O2690">
        <f>-593.157930051033 -102.809433098798 -722.165376898998</f>
        <v>-1418.132740048829</v>
      </c>
      <c r="P2690">
        <f>-608.91231291387 -80.8995359107785 -406.795901082766</f>
        <v>-1096.6077499074145</v>
      </c>
      <c r="Q2690" t="s">
        <v>53054</v>
      </c>
      <c r="R2690" t="s">
        <v>53055</v>
      </c>
      <c r="S2690" t="s">
        <v>53056</v>
      </c>
      <c r="T2690" t="s">
        <v>53057</v>
      </c>
      <c r="U2690" t="s">
        <v>53058</v>
      </c>
      <c r="V2690" t="s">
        <v>53059</v>
      </c>
      <c r="W2690" t="s">
        <v>53060</v>
      </c>
      <c r="X2690" t="s">
        <v>53061</v>
      </c>
      <c r="Y2690" t="s">
        <v>53062</v>
      </c>
    </row>
    <row r="2691" spans="1:25" x14ac:dyDescent="0.3">
      <c r="A2691">
        <v>134500</v>
      </c>
      <c r="B2691" t="s">
        <v>53063</v>
      </c>
      <c r="C2691" t="s">
        <v>53064</v>
      </c>
      <c r="D2691" t="s">
        <v>53065</v>
      </c>
      <c r="E2691" t="s">
        <v>53066</v>
      </c>
      <c r="F2691" t="s">
        <v>53067</v>
      </c>
      <c r="G2691" t="s">
        <v>53068</v>
      </c>
      <c r="H2691" t="s">
        <v>53069</v>
      </c>
      <c r="I2691" t="s">
        <v>53070</v>
      </c>
      <c r="J2691" t="s">
        <v>53071</v>
      </c>
      <c r="K2691" t="s">
        <v>53072</v>
      </c>
      <c r="L2691" t="s">
        <v>53073</v>
      </c>
      <c r="M2691" t="s">
        <v>53074</v>
      </c>
      <c r="N2691" t="s">
        <v>53075</v>
      </c>
      <c r="O2691">
        <f>-593.262883425353 -103.107329126878 -722.216994022302</f>
        <v>-1418.587206574533</v>
      </c>
      <c r="P2691">
        <f>-608.893726340351 -81.1133648539478 -406.847045116054</f>
        <v>-1096.8541363103527</v>
      </c>
      <c r="Q2691" t="s">
        <v>53076</v>
      </c>
      <c r="R2691" t="s">
        <v>53077</v>
      </c>
      <c r="S2691" t="s">
        <v>53078</v>
      </c>
      <c r="T2691" t="s">
        <v>53079</v>
      </c>
      <c r="U2691" t="s">
        <v>53080</v>
      </c>
      <c r="V2691" t="s">
        <v>53081</v>
      </c>
      <c r="W2691" t="s">
        <v>53082</v>
      </c>
      <c r="X2691" t="s">
        <v>53083</v>
      </c>
      <c r="Y2691" t="s">
        <v>53084</v>
      </c>
    </row>
    <row r="2692" spans="1:25" x14ac:dyDescent="0.3">
      <c r="A2692">
        <v>134550</v>
      </c>
      <c r="B2692" t="s">
        <v>53085</v>
      </c>
      <c r="C2692" t="s">
        <v>53086</v>
      </c>
      <c r="D2692" t="s">
        <v>53087</v>
      </c>
      <c r="E2692" t="s">
        <v>53088</v>
      </c>
      <c r="F2692" t="s">
        <v>53089</v>
      </c>
      <c r="G2692" t="s">
        <v>53090</v>
      </c>
      <c r="H2692" t="s">
        <v>53091</v>
      </c>
      <c r="I2692" t="s">
        <v>53092</v>
      </c>
      <c r="J2692" t="s">
        <v>53093</v>
      </c>
      <c r="K2692" t="s">
        <v>53094</v>
      </c>
      <c r="L2692" t="s">
        <v>53095</v>
      </c>
      <c r="M2692" t="s">
        <v>53096</v>
      </c>
      <c r="N2692" t="s">
        <v>53097</v>
      </c>
      <c r="O2692">
        <f>-593.489974777645 -103.765934467893 -722.105254806583</f>
        <v>-1419.361164052121</v>
      </c>
      <c r="P2692">
        <f>-609.272543265774 -81.3815487648301 -406.770447114252</f>
        <v>-1097.424539144856</v>
      </c>
      <c r="Q2692" t="s">
        <v>53098</v>
      </c>
      <c r="R2692" t="s">
        <v>53099</v>
      </c>
      <c r="S2692" t="s">
        <v>53100</v>
      </c>
      <c r="T2692" t="s">
        <v>53101</v>
      </c>
      <c r="U2692" t="s">
        <v>53102</v>
      </c>
      <c r="V2692" t="s">
        <v>53103</v>
      </c>
      <c r="W2692" t="s">
        <v>53104</v>
      </c>
      <c r="X2692" t="s">
        <v>53105</v>
      </c>
      <c r="Y2692" t="s">
        <v>53106</v>
      </c>
    </row>
    <row r="2693" spans="1:25" x14ac:dyDescent="0.3">
      <c r="A2693">
        <v>134600</v>
      </c>
      <c r="B2693" t="s">
        <v>53107</v>
      </c>
      <c r="C2693" t="s">
        <v>53108</v>
      </c>
      <c r="D2693" t="s">
        <v>53109</v>
      </c>
      <c r="E2693" t="s">
        <v>53110</v>
      </c>
      <c r="F2693" t="s">
        <v>53111</v>
      </c>
      <c r="G2693" t="s">
        <v>53112</v>
      </c>
      <c r="H2693" t="s">
        <v>53113</v>
      </c>
      <c r="I2693" t="s">
        <v>53114</v>
      </c>
      <c r="J2693" t="s">
        <v>53115</v>
      </c>
      <c r="K2693" t="s">
        <v>53116</v>
      </c>
      <c r="L2693" t="s">
        <v>53117</v>
      </c>
      <c r="M2693" t="s">
        <v>53118</v>
      </c>
      <c r="N2693" t="s">
        <v>53119</v>
      </c>
      <c r="O2693">
        <f>-593.848610310048 -104.019699665683 -722.088727485019</f>
        <v>-1419.9570374607501</v>
      </c>
      <c r="P2693">
        <f>-609.484516303337 -81.2804941755721 -406.77198281786</f>
        <v>-1097.5369932967692</v>
      </c>
      <c r="Q2693" t="s">
        <v>53120</v>
      </c>
      <c r="R2693" t="s">
        <v>53121</v>
      </c>
      <c r="S2693" t="s">
        <v>53122</v>
      </c>
      <c r="T2693" t="s">
        <v>53123</v>
      </c>
      <c r="U2693" t="s">
        <v>53124</v>
      </c>
      <c r="V2693" t="s">
        <v>53125</v>
      </c>
      <c r="W2693" t="s">
        <v>53126</v>
      </c>
      <c r="X2693" t="s">
        <v>53127</v>
      </c>
      <c r="Y2693" t="s">
        <v>53128</v>
      </c>
    </row>
    <row r="2694" spans="1:25" x14ac:dyDescent="0.3">
      <c r="A2694">
        <v>134650</v>
      </c>
      <c r="B2694" t="s">
        <v>53129</v>
      </c>
      <c r="C2694" t="s">
        <v>53130</v>
      </c>
      <c r="D2694" t="s">
        <v>53131</v>
      </c>
      <c r="E2694" t="s">
        <v>53132</v>
      </c>
      <c r="F2694" t="s">
        <v>53133</v>
      </c>
      <c r="G2694" t="s">
        <v>53134</v>
      </c>
      <c r="H2694" t="s">
        <v>53135</v>
      </c>
      <c r="I2694" t="s">
        <v>53136</v>
      </c>
      <c r="J2694" t="s">
        <v>53137</v>
      </c>
      <c r="K2694" t="s">
        <v>53138</v>
      </c>
      <c r="L2694" t="s">
        <v>53139</v>
      </c>
      <c r="M2694" t="s">
        <v>53140</v>
      </c>
      <c r="N2694" t="s">
        <v>53141</v>
      </c>
      <c r="O2694">
        <f>-594.603185033844 -104.952946244315 -721.85044173286</f>
        <v>-1421.406573011019</v>
      </c>
      <c r="P2694">
        <f>-610.192713472707 -81.9469644582261 -406.550749434771</f>
        <v>-1098.6904273657042</v>
      </c>
      <c r="Q2694" t="s">
        <v>53142</v>
      </c>
      <c r="R2694" t="s">
        <v>53143</v>
      </c>
      <c r="S2694" t="s">
        <v>53144</v>
      </c>
      <c r="T2694" t="s">
        <v>53145</v>
      </c>
      <c r="U2694" t="s">
        <v>53146</v>
      </c>
      <c r="V2694" t="s">
        <v>53147</v>
      </c>
      <c r="W2694" t="s">
        <v>53148</v>
      </c>
      <c r="X2694" t="s">
        <v>53149</v>
      </c>
      <c r="Y2694" t="s">
        <v>53150</v>
      </c>
    </row>
    <row r="2695" spans="1:25" x14ac:dyDescent="0.3">
      <c r="A2695">
        <v>134700</v>
      </c>
      <c r="B2695" t="s">
        <v>53151</v>
      </c>
      <c r="C2695" t="s">
        <v>53152</v>
      </c>
      <c r="D2695" t="s">
        <v>53153</v>
      </c>
      <c r="E2695" t="s">
        <v>53154</v>
      </c>
      <c r="F2695" t="s">
        <v>53155</v>
      </c>
      <c r="G2695" t="s">
        <v>53156</v>
      </c>
      <c r="H2695" t="s">
        <v>53157</v>
      </c>
      <c r="I2695" t="s">
        <v>53158</v>
      </c>
      <c r="J2695" t="s">
        <v>53159</v>
      </c>
      <c r="K2695" t="s">
        <v>53160</v>
      </c>
      <c r="L2695" t="s">
        <v>53161</v>
      </c>
      <c r="M2695" t="s">
        <v>53162</v>
      </c>
      <c r="N2695" t="s">
        <v>53163</v>
      </c>
      <c r="O2695">
        <f>-595.109119892387 -105.424531978551 -721.709210544492</f>
        <v>-1422.24286241543</v>
      </c>
      <c r="P2695">
        <f>-610.554920592584 -82.4248635036645 -406.402046030862</f>
        <v>-1099.3818301271106</v>
      </c>
      <c r="Q2695" t="s">
        <v>53164</v>
      </c>
      <c r="R2695" t="s">
        <v>53165</v>
      </c>
      <c r="S2695" t="s">
        <v>53166</v>
      </c>
      <c r="T2695" t="s">
        <v>53167</v>
      </c>
      <c r="U2695" t="s">
        <v>53168</v>
      </c>
      <c r="V2695" t="s">
        <v>53169</v>
      </c>
      <c r="W2695" t="s">
        <v>53170</v>
      </c>
      <c r="X2695" t="s">
        <v>53171</v>
      </c>
      <c r="Y2695" t="s">
        <v>53172</v>
      </c>
    </row>
    <row r="2696" spans="1:25" x14ac:dyDescent="0.3">
      <c r="A2696">
        <v>134750</v>
      </c>
      <c r="B2696" t="s">
        <v>53173</v>
      </c>
      <c r="C2696" t="s">
        <v>53174</v>
      </c>
      <c r="D2696" t="s">
        <v>53175</v>
      </c>
      <c r="E2696" t="s">
        <v>53176</v>
      </c>
      <c r="F2696" t="s">
        <v>53177</v>
      </c>
      <c r="G2696" t="s">
        <v>53178</v>
      </c>
      <c r="H2696" t="s">
        <v>53179</v>
      </c>
      <c r="I2696" t="s">
        <v>53180</v>
      </c>
      <c r="J2696" t="s">
        <v>53181</v>
      </c>
      <c r="K2696" t="s">
        <v>53182</v>
      </c>
      <c r="L2696" t="s">
        <v>53183</v>
      </c>
      <c r="M2696" t="s">
        <v>53184</v>
      </c>
      <c r="N2696" t="s">
        <v>53185</v>
      </c>
      <c r="O2696">
        <f>-596.290556030573 -106.155920279823 -721.386039952045</f>
        <v>-1423.832516262441</v>
      </c>
      <c r="P2696">
        <f>-611.478820499527 -82.6868885431836 -406.100798758895</f>
        <v>-1100.2665078016057</v>
      </c>
      <c r="Q2696" t="s">
        <v>53186</v>
      </c>
      <c r="R2696" t="s">
        <v>53187</v>
      </c>
      <c r="S2696" t="s">
        <v>53188</v>
      </c>
      <c r="T2696" t="s">
        <v>53189</v>
      </c>
      <c r="U2696" t="s">
        <v>53190</v>
      </c>
      <c r="V2696" t="s">
        <v>53191</v>
      </c>
      <c r="W2696" t="s">
        <v>53192</v>
      </c>
      <c r="X2696" t="s">
        <v>53193</v>
      </c>
      <c r="Y2696" t="s">
        <v>53194</v>
      </c>
    </row>
    <row r="2697" spans="1:25" x14ac:dyDescent="0.3">
      <c r="A2697">
        <v>134800</v>
      </c>
      <c r="B2697" t="s">
        <v>53195</v>
      </c>
      <c r="C2697" t="s">
        <v>53196</v>
      </c>
      <c r="D2697" t="s">
        <v>53197</v>
      </c>
      <c r="E2697" t="s">
        <v>53198</v>
      </c>
      <c r="F2697" t="s">
        <v>53199</v>
      </c>
      <c r="G2697" t="s">
        <v>53200</v>
      </c>
      <c r="H2697" t="s">
        <v>53201</v>
      </c>
      <c r="I2697" t="s">
        <v>53202</v>
      </c>
      <c r="J2697" t="s">
        <v>53203</v>
      </c>
      <c r="K2697" t="s">
        <v>53204</v>
      </c>
      <c r="L2697" t="s">
        <v>53205</v>
      </c>
      <c r="M2697" t="s">
        <v>53206</v>
      </c>
      <c r="N2697" t="s">
        <v>53207</v>
      </c>
      <c r="O2697">
        <f>-596.905134356637 -106.387207537203 -721.267160779897</f>
        <v>-1424.5595026737369</v>
      </c>
      <c r="P2697">
        <f>-611.812384478398 -82.7997393788282 -405.97752485645</f>
        <v>-1100.5896487136763</v>
      </c>
      <c r="Q2697" t="s">
        <v>53208</v>
      </c>
      <c r="R2697" t="s">
        <v>53209</v>
      </c>
      <c r="S2697" t="s">
        <v>53210</v>
      </c>
      <c r="T2697" t="s">
        <v>53211</v>
      </c>
      <c r="U2697" t="s">
        <v>53212</v>
      </c>
      <c r="V2697" t="s">
        <v>53213</v>
      </c>
      <c r="W2697" t="s">
        <v>53214</v>
      </c>
      <c r="X2697" t="s">
        <v>53215</v>
      </c>
      <c r="Y2697" t="s">
        <v>53216</v>
      </c>
    </row>
    <row r="2698" spans="1:25" x14ac:dyDescent="0.3">
      <c r="A2698">
        <v>134850</v>
      </c>
      <c r="B2698" t="s">
        <v>53217</v>
      </c>
      <c r="C2698" t="s">
        <v>53218</v>
      </c>
      <c r="D2698" t="s">
        <v>53219</v>
      </c>
      <c r="E2698" t="s">
        <v>53220</v>
      </c>
      <c r="F2698" t="s">
        <v>53221</v>
      </c>
      <c r="G2698" t="s">
        <v>53222</v>
      </c>
      <c r="H2698" t="s">
        <v>53223</v>
      </c>
      <c r="I2698" t="s">
        <v>53224</v>
      </c>
      <c r="J2698" t="s">
        <v>53225</v>
      </c>
      <c r="K2698" t="s">
        <v>53226</v>
      </c>
      <c r="L2698" t="s">
        <v>53227</v>
      </c>
      <c r="M2698" t="s">
        <v>53228</v>
      </c>
      <c r="N2698" t="s">
        <v>53229</v>
      </c>
      <c r="O2698">
        <f>-597.488814673821 -106.572120450897 -721.117015723212</f>
        <v>-1425.1779508479301</v>
      </c>
      <c r="P2698">
        <f>-612.262482738883 -82.785440704012 -405.836055414002</f>
        <v>-1100.8839788568971</v>
      </c>
      <c r="Q2698" t="s">
        <v>53230</v>
      </c>
      <c r="R2698" t="s">
        <v>53231</v>
      </c>
      <c r="S2698" t="s">
        <v>53232</v>
      </c>
      <c r="T2698" t="s">
        <v>53233</v>
      </c>
      <c r="U2698" t="s">
        <v>53234</v>
      </c>
      <c r="V2698" t="s">
        <v>53235</v>
      </c>
      <c r="W2698" t="s">
        <v>53236</v>
      </c>
      <c r="X2698" t="s">
        <v>53237</v>
      </c>
      <c r="Y2698" t="s">
        <v>53238</v>
      </c>
    </row>
    <row r="2699" spans="1:25" x14ac:dyDescent="0.3">
      <c r="A2699">
        <v>134900</v>
      </c>
      <c r="B2699" t="s">
        <v>53239</v>
      </c>
      <c r="C2699" t="s">
        <v>53240</v>
      </c>
      <c r="D2699" t="s">
        <v>53241</v>
      </c>
      <c r="E2699" t="s">
        <v>53242</v>
      </c>
      <c r="F2699" t="s">
        <v>53243</v>
      </c>
      <c r="G2699" t="s">
        <v>53244</v>
      </c>
      <c r="H2699" t="s">
        <v>53245</v>
      </c>
      <c r="I2699" t="s">
        <v>53246</v>
      </c>
      <c r="J2699" t="s">
        <v>53247</v>
      </c>
      <c r="K2699" t="s">
        <v>53248</v>
      </c>
      <c r="L2699" t="s">
        <v>53249</v>
      </c>
      <c r="M2699" t="s">
        <v>53250</v>
      </c>
      <c r="N2699" t="s">
        <v>53251</v>
      </c>
      <c r="O2699">
        <f>-598.268892905566 -106.966568150602 -720.729957316819</f>
        <v>-1425.965418372987</v>
      </c>
      <c r="P2699">
        <f>-613.136534410303 -82.8670520448791 -405.477175694254</f>
        <v>-1101.480762149436</v>
      </c>
      <c r="Q2699" t="s">
        <v>53252</v>
      </c>
      <c r="R2699" t="s">
        <v>53253</v>
      </c>
      <c r="S2699" t="s">
        <v>53254</v>
      </c>
      <c r="T2699" t="s">
        <v>53255</v>
      </c>
      <c r="U2699" t="s">
        <v>53256</v>
      </c>
      <c r="V2699" t="s">
        <v>53257</v>
      </c>
      <c r="W2699" t="s">
        <v>53258</v>
      </c>
      <c r="X2699" t="s">
        <v>53259</v>
      </c>
      <c r="Y2699" t="s">
        <v>53260</v>
      </c>
    </row>
    <row r="2700" spans="1:25" x14ac:dyDescent="0.3">
      <c r="A2700">
        <v>134950</v>
      </c>
      <c r="B2700" t="s">
        <v>53261</v>
      </c>
      <c r="C2700" t="s">
        <v>53262</v>
      </c>
      <c r="D2700" t="s">
        <v>53263</v>
      </c>
      <c r="E2700" t="s">
        <v>53264</v>
      </c>
      <c r="F2700" t="s">
        <v>53265</v>
      </c>
      <c r="G2700" t="s">
        <v>53266</v>
      </c>
      <c r="H2700" t="s">
        <v>53267</v>
      </c>
      <c r="I2700" t="s">
        <v>53268</v>
      </c>
      <c r="J2700" t="s">
        <v>53269</v>
      </c>
      <c r="K2700" t="s">
        <v>53270</v>
      </c>
      <c r="L2700" t="s">
        <v>53271</v>
      </c>
      <c r="M2700" t="s">
        <v>53272</v>
      </c>
      <c r="N2700" t="s">
        <v>53273</v>
      </c>
      <c r="O2700">
        <f>-598.922248987657 -107.451074388134 -720.346472361573</f>
        <v>-1426.7197957373639</v>
      </c>
      <c r="P2700">
        <f>-613.483429734626 -82.8907623660123 -405.114793013869</f>
        <v>-1101.4889851145074</v>
      </c>
      <c r="Q2700" t="s">
        <v>53274</v>
      </c>
      <c r="R2700" t="s">
        <v>53275</v>
      </c>
      <c r="S2700" t="s">
        <v>53276</v>
      </c>
      <c r="T2700" t="s">
        <v>53277</v>
      </c>
      <c r="U2700" t="s">
        <v>53278</v>
      </c>
      <c r="V2700" t="s">
        <v>53279</v>
      </c>
      <c r="W2700" t="s">
        <v>53280</v>
      </c>
      <c r="X2700" t="s">
        <v>53281</v>
      </c>
      <c r="Y2700" t="s">
        <v>53282</v>
      </c>
    </row>
    <row r="2701" spans="1:25" x14ac:dyDescent="0.3">
      <c r="A2701">
        <v>135000</v>
      </c>
      <c r="B2701" t="s">
        <v>53283</v>
      </c>
      <c r="C2701" t="s">
        <v>53284</v>
      </c>
      <c r="D2701" t="s">
        <v>53285</v>
      </c>
      <c r="E2701" t="s">
        <v>53286</v>
      </c>
      <c r="F2701" t="s">
        <v>53287</v>
      </c>
      <c r="G2701" t="s">
        <v>53288</v>
      </c>
      <c r="H2701" t="s">
        <v>53289</v>
      </c>
      <c r="I2701" t="s">
        <v>53290</v>
      </c>
      <c r="J2701" t="s">
        <v>53291</v>
      </c>
      <c r="K2701" t="s">
        <v>53292</v>
      </c>
      <c r="L2701" t="s">
        <v>53293</v>
      </c>
      <c r="M2701" t="s">
        <v>53294</v>
      </c>
      <c r="N2701" t="s">
        <v>53295</v>
      </c>
      <c r="O2701">
        <f>-598.956715074786 -107.821500526075 -720.146844315688</f>
        <v>-1426.9250599165489</v>
      </c>
      <c r="P2701">
        <f>-613.313941323084 -82.9761645994265 -404.928272256477</f>
        <v>-1101.2183781789875</v>
      </c>
      <c r="Q2701" t="s">
        <v>53296</v>
      </c>
      <c r="R2701" t="s">
        <v>53297</v>
      </c>
      <c r="S2701" t="s">
        <v>53298</v>
      </c>
      <c r="T2701" t="s">
        <v>53299</v>
      </c>
      <c r="U2701" t="s">
        <v>53300</v>
      </c>
      <c r="V2701" t="s">
        <v>53301</v>
      </c>
      <c r="W2701" t="s">
        <v>53302</v>
      </c>
      <c r="X2701" t="s">
        <v>53303</v>
      </c>
      <c r="Y2701" t="s">
        <v>53304</v>
      </c>
    </row>
    <row r="2702" spans="1:25" x14ac:dyDescent="0.3">
      <c r="A2702">
        <v>135050</v>
      </c>
      <c r="B2702" t="s">
        <v>53305</v>
      </c>
      <c r="C2702" t="s">
        <v>53306</v>
      </c>
      <c r="D2702" t="s">
        <v>53307</v>
      </c>
      <c r="E2702" t="s">
        <v>53308</v>
      </c>
      <c r="F2702" t="s">
        <v>53309</v>
      </c>
      <c r="G2702" t="s">
        <v>53310</v>
      </c>
      <c r="H2702" t="s">
        <v>53311</v>
      </c>
      <c r="I2702" t="s">
        <v>53312</v>
      </c>
      <c r="J2702" t="s">
        <v>53313</v>
      </c>
      <c r="K2702" t="s">
        <v>53314</v>
      </c>
      <c r="L2702" t="s">
        <v>53315</v>
      </c>
      <c r="M2702" t="s">
        <v>53316</v>
      </c>
      <c r="N2702" t="s">
        <v>53317</v>
      </c>
      <c r="O2702">
        <f>-598.877468998602 -108.248442135561 -719.74894416198</f>
        <v>-1426.8748552961431</v>
      </c>
      <c r="P2702">
        <f>-613.083403792389 -82.8123322210502 -404.570607131865</f>
        <v>-1100.4663431453041</v>
      </c>
      <c r="Q2702" t="s">
        <v>53318</v>
      </c>
      <c r="R2702" t="s">
        <v>53319</v>
      </c>
      <c r="S2702" t="s">
        <v>53320</v>
      </c>
      <c r="T2702" t="s">
        <v>53321</v>
      </c>
      <c r="U2702" t="s">
        <v>53322</v>
      </c>
      <c r="V2702" t="s">
        <v>53323</v>
      </c>
      <c r="W2702" t="s">
        <v>53324</v>
      </c>
      <c r="X2702" t="s">
        <v>53325</v>
      </c>
      <c r="Y2702" t="s">
        <v>53326</v>
      </c>
    </row>
    <row r="2703" spans="1:25" x14ac:dyDescent="0.3">
      <c r="A2703">
        <v>135100</v>
      </c>
      <c r="B2703" t="s">
        <v>53327</v>
      </c>
      <c r="C2703" t="s">
        <v>53328</v>
      </c>
      <c r="D2703" t="s">
        <v>53329</v>
      </c>
      <c r="E2703" t="s">
        <v>53330</v>
      </c>
      <c r="F2703" t="s">
        <v>53331</v>
      </c>
      <c r="G2703" t="s">
        <v>53332</v>
      </c>
      <c r="H2703" t="s">
        <v>53333</v>
      </c>
      <c r="I2703" t="s">
        <v>53334</v>
      </c>
      <c r="J2703" t="s">
        <v>53335</v>
      </c>
      <c r="K2703" t="s">
        <v>53336</v>
      </c>
      <c r="L2703" t="s">
        <v>53337</v>
      </c>
      <c r="M2703" t="s">
        <v>53338</v>
      </c>
      <c r="N2703" t="s">
        <v>53339</v>
      </c>
      <c r="O2703">
        <f>-598.78963351882 -108.353678822356 -719.524508778075</f>
        <v>-1426.6678211192509</v>
      </c>
      <c r="P2703">
        <f>-613.072707097715 -82.548361677498 -404.37961370775</f>
        <v>-1100.0006824829629</v>
      </c>
      <c r="Q2703" t="s">
        <v>53340</v>
      </c>
      <c r="R2703" t="s">
        <v>53341</v>
      </c>
      <c r="S2703" t="s">
        <v>53342</v>
      </c>
      <c r="T2703" t="s">
        <v>53343</v>
      </c>
      <c r="U2703" t="s">
        <v>53344</v>
      </c>
      <c r="V2703" t="s">
        <v>53345</v>
      </c>
      <c r="W2703" t="s">
        <v>53346</v>
      </c>
      <c r="X2703" t="s">
        <v>53347</v>
      </c>
      <c r="Y2703" t="s">
        <v>53348</v>
      </c>
    </row>
    <row r="2704" spans="1:25" x14ac:dyDescent="0.3">
      <c r="A2704">
        <v>135150</v>
      </c>
      <c r="B2704" t="s">
        <v>53349</v>
      </c>
      <c r="C2704" t="s">
        <v>53350</v>
      </c>
      <c r="D2704" t="s">
        <v>53351</v>
      </c>
      <c r="E2704" t="s">
        <v>53352</v>
      </c>
      <c r="F2704" t="s">
        <v>53353</v>
      </c>
      <c r="G2704" t="s">
        <v>53354</v>
      </c>
      <c r="H2704" t="s">
        <v>53355</v>
      </c>
      <c r="I2704" t="s">
        <v>53356</v>
      </c>
      <c r="J2704" t="s">
        <v>53357</v>
      </c>
      <c r="K2704" t="s">
        <v>53358</v>
      </c>
      <c r="L2704" t="s">
        <v>53359</v>
      </c>
      <c r="M2704" t="s">
        <v>53360</v>
      </c>
      <c r="N2704" t="s">
        <v>53361</v>
      </c>
      <c r="O2704">
        <f>-598.563761645709 -108.646659321638 -719.077332872214</f>
        <v>-1426.287753839561</v>
      </c>
      <c r="P2704">
        <f>-612.886166330014 -82.2369965459056 -403.98430395046</f>
        <v>-1099.1074668263796</v>
      </c>
      <c r="Q2704" t="s">
        <v>53362</v>
      </c>
      <c r="R2704" t="s">
        <v>53363</v>
      </c>
      <c r="S2704" t="s">
        <v>53364</v>
      </c>
      <c r="T2704" t="s">
        <v>53365</v>
      </c>
      <c r="U2704" t="s">
        <v>53366</v>
      </c>
      <c r="V2704" t="s">
        <v>53367</v>
      </c>
      <c r="W2704" t="s">
        <v>53368</v>
      </c>
      <c r="X2704" t="s">
        <v>53369</v>
      </c>
      <c r="Y2704" t="s">
        <v>53370</v>
      </c>
    </row>
    <row r="2705" spans="1:25" x14ac:dyDescent="0.3">
      <c r="A2705">
        <v>135200</v>
      </c>
      <c r="B2705" t="s">
        <v>53371</v>
      </c>
      <c r="C2705" t="s">
        <v>53372</v>
      </c>
      <c r="D2705" t="s">
        <v>53373</v>
      </c>
      <c r="E2705" t="s">
        <v>53374</v>
      </c>
      <c r="F2705" t="s">
        <v>53375</v>
      </c>
      <c r="G2705" t="s">
        <v>53376</v>
      </c>
      <c r="H2705" t="s">
        <v>53377</v>
      </c>
      <c r="I2705" t="s">
        <v>53378</v>
      </c>
      <c r="J2705" t="s">
        <v>53379</v>
      </c>
      <c r="K2705" t="s">
        <v>53380</v>
      </c>
      <c r="L2705" t="s">
        <v>53381</v>
      </c>
      <c r="M2705" t="s">
        <v>53382</v>
      </c>
      <c r="N2705" t="s">
        <v>53383</v>
      </c>
      <c r="O2705">
        <f>-598.44512701045 -108.731366074662 -718.762716817729</f>
        <v>-1425.939209902841</v>
      </c>
      <c r="P2705">
        <f>-612.834935947529 -81.9305704565791 -403.705837974381</f>
        <v>-1098.471344378489</v>
      </c>
      <c r="Q2705" t="s">
        <v>53384</v>
      </c>
      <c r="R2705" t="s">
        <v>53385</v>
      </c>
      <c r="S2705" t="s">
        <v>53386</v>
      </c>
      <c r="T2705" t="s">
        <v>53387</v>
      </c>
      <c r="U2705" t="s">
        <v>53388</v>
      </c>
      <c r="V2705" t="s">
        <v>53389</v>
      </c>
      <c r="W2705" t="s">
        <v>53390</v>
      </c>
      <c r="X2705" t="s">
        <v>53391</v>
      </c>
      <c r="Y2705" t="s">
        <v>53392</v>
      </c>
    </row>
    <row r="2706" spans="1:25" x14ac:dyDescent="0.3">
      <c r="A2706">
        <v>135250</v>
      </c>
      <c r="B2706" t="s">
        <v>53393</v>
      </c>
      <c r="C2706" t="s">
        <v>53394</v>
      </c>
      <c r="D2706" t="s">
        <v>53395</v>
      </c>
      <c r="E2706" t="s">
        <v>53396</v>
      </c>
      <c r="F2706" t="s">
        <v>53397</v>
      </c>
      <c r="G2706" t="s">
        <v>53398</v>
      </c>
      <c r="H2706" t="s">
        <v>53399</v>
      </c>
      <c r="I2706" t="s">
        <v>53400</v>
      </c>
      <c r="J2706" t="s">
        <v>53401</v>
      </c>
      <c r="K2706" t="s">
        <v>53402</v>
      </c>
      <c r="L2706" t="s">
        <v>53403</v>
      </c>
      <c r="M2706" t="s">
        <v>53404</v>
      </c>
      <c r="N2706" t="s">
        <v>53405</v>
      </c>
      <c r="O2706">
        <f>-597.93459118089 -108.960046327533 -718.204143240883</f>
        <v>-1425.0987807493061</v>
      </c>
      <c r="P2706">
        <f>-612.177748601136 -81.2723039309772 -403.21729322233</f>
        <v>-1096.6673457544432</v>
      </c>
      <c r="Q2706" t="s">
        <v>53406</v>
      </c>
      <c r="R2706" t="s">
        <v>53407</v>
      </c>
      <c r="S2706" t="s">
        <v>53408</v>
      </c>
      <c r="T2706" t="s">
        <v>53409</v>
      </c>
      <c r="U2706" t="s">
        <v>53410</v>
      </c>
      <c r="V2706" t="s">
        <v>53411</v>
      </c>
      <c r="W2706" t="s">
        <v>53412</v>
      </c>
      <c r="X2706" t="s">
        <v>53413</v>
      </c>
      <c r="Y2706" t="s">
        <v>53414</v>
      </c>
    </row>
    <row r="2707" spans="1:25" x14ac:dyDescent="0.3">
      <c r="A2707">
        <v>135300</v>
      </c>
      <c r="B2707" t="s">
        <v>53415</v>
      </c>
      <c r="C2707" t="s">
        <v>53416</v>
      </c>
      <c r="D2707" t="s">
        <v>53417</v>
      </c>
      <c r="E2707" t="s">
        <v>53418</v>
      </c>
      <c r="F2707" t="s">
        <v>53419</v>
      </c>
      <c r="G2707" t="s">
        <v>53420</v>
      </c>
      <c r="H2707" t="s">
        <v>53421</v>
      </c>
      <c r="I2707" t="s">
        <v>53422</v>
      </c>
      <c r="J2707" t="s">
        <v>53423</v>
      </c>
      <c r="K2707" t="s">
        <v>53424</v>
      </c>
      <c r="L2707" t="s">
        <v>53425</v>
      </c>
      <c r="M2707" t="s">
        <v>53426</v>
      </c>
      <c r="N2707" t="s">
        <v>53427</v>
      </c>
      <c r="O2707">
        <f>-597.777907202572 -109.169997148194 -717.923842682692</f>
        <v>-1424.8717470334582</v>
      </c>
      <c r="P2707">
        <f>-611.871385258749 -80.9981081205999 -402.973224361093</f>
        <v>-1095.8427177404419</v>
      </c>
      <c r="Q2707" t="s">
        <v>53428</v>
      </c>
      <c r="R2707" t="s">
        <v>53429</v>
      </c>
      <c r="S2707" t="s">
        <v>53430</v>
      </c>
      <c r="T2707" t="s">
        <v>53431</v>
      </c>
      <c r="U2707" t="s">
        <v>53432</v>
      </c>
      <c r="V2707" t="s">
        <v>53433</v>
      </c>
      <c r="W2707" t="s">
        <v>53434</v>
      </c>
      <c r="X2707" t="s">
        <v>53435</v>
      </c>
      <c r="Y2707" t="s">
        <v>53436</v>
      </c>
    </row>
    <row r="2708" spans="1:25" x14ac:dyDescent="0.3">
      <c r="A2708">
        <v>135350</v>
      </c>
      <c r="B2708" t="s">
        <v>53437</v>
      </c>
      <c r="C2708" t="s">
        <v>53438</v>
      </c>
      <c r="D2708" t="s">
        <v>53439</v>
      </c>
      <c r="E2708" t="s">
        <v>53440</v>
      </c>
      <c r="F2708" t="s">
        <v>53441</v>
      </c>
      <c r="G2708" t="s">
        <v>53442</v>
      </c>
      <c r="H2708" t="s">
        <v>53443</v>
      </c>
      <c r="I2708" t="s">
        <v>53444</v>
      </c>
      <c r="J2708" t="s">
        <v>53445</v>
      </c>
      <c r="K2708" t="s">
        <v>53446</v>
      </c>
      <c r="L2708" t="s">
        <v>53447</v>
      </c>
      <c r="M2708" t="s">
        <v>53448</v>
      </c>
      <c r="N2708" t="s">
        <v>53449</v>
      </c>
      <c r="O2708">
        <f>-597.342671216827 -109.227961338681 -717.399794411229</f>
        <v>-1423.9704269667368</v>
      </c>
      <c r="P2708">
        <f>-611.196084765639 -80.3630287016852 -402.501118754157</f>
        <v>-1094.0602322214811</v>
      </c>
      <c r="Q2708" t="s">
        <v>53450</v>
      </c>
      <c r="R2708" t="s">
        <v>53451</v>
      </c>
      <c r="S2708" t="s">
        <v>53452</v>
      </c>
      <c r="T2708" t="s">
        <v>53453</v>
      </c>
      <c r="U2708" t="s">
        <v>53454</v>
      </c>
      <c r="V2708" t="s">
        <v>53455</v>
      </c>
      <c r="W2708" t="s">
        <v>53456</v>
      </c>
      <c r="X2708" t="s">
        <v>53457</v>
      </c>
      <c r="Y2708" t="s">
        <v>53458</v>
      </c>
    </row>
    <row r="2709" spans="1:25" x14ac:dyDescent="0.3">
      <c r="A2709">
        <v>135400</v>
      </c>
      <c r="B2709" t="s">
        <v>53459</v>
      </c>
      <c r="C2709" t="s">
        <v>53460</v>
      </c>
      <c r="D2709" t="s">
        <v>53461</v>
      </c>
      <c r="E2709" t="s">
        <v>53462</v>
      </c>
      <c r="F2709" t="s">
        <v>53463</v>
      </c>
      <c r="G2709" t="s">
        <v>53464</v>
      </c>
      <c r="H2709" t="s">
        <v>53465</v>
      </c>
      <c r="I2709" t="s">
        <v>53466</v>
      </c>
      <c r="J2709" t="s">
        <v>53467</v>
      </c>
      <c r="K2709" t="s">
        <v>53468</v>
      </c>
      <c r="L2709" t="s">
        <v>53469</v>
      </c>
      <c r="M2709" t="s">
        <v>53470</v>
      </c>
      <c r="N2709" t="s">
        <v>53471</v>
      </c>
      <c r="O2709">
        <f>-597.13915295768 -109.16974074201 -717.158833210175</f>
        <v>-1423.4677269098652</v>
      </c>
      <c r="P2709">
        <f>-610.915473809566 -79.9373791035148 -402.290881376101</f>
        <v>-1093.1437342891818</v>
      </c>
      <c r="Q2709" t="s">
        <v>53472</v>
      </c>
      <c r="R2709" t="s">
        <v>53473</v>
      </c>
      <c r="S2709" t="s">
        <v>53474</v>
      </c>
      <c r="T2709" t="s">
        <v>53475</v>
      </c>
      <c r="U2709" t="s">
        <v>53476</v>
      </c>
      <c r="V2709" t="s">
        <v>53477</v>
      </c>
      <c r="W2709" t="s">
        <v>53478</v>
      </c>
      <c r="X2709" t="s">
        <v>53479</v>
      </c>
      <c r="Y2709" t="s">
        <v>53480</v>
      </c>
    </row>
    <row r="2710" spans="1:25" x14ac:dyDescent="0.3">
      <c r="A2710">
        <v>135450</v>
      </c>
      <c r="B2710" t="s">
        <v>53481</v>
      </c>
      <c r="C2710" t="s">
        <v>53482</v>
      </c>
      <c r="D2710" t="s">
        <v>53483</v>
      </c>
      <c r="E2710" t="s">
        <v>53484</v>
      </c>
      <c r="F2710" t="s">
        <v>53485</v>
      </c>
      <c r="G2710" t="s">
        <v>53486</v>
      </c>
      <c r="H2710" t="s">
        <v>53487</v>
      </c>
      <c r="I2710" t="s">
        <v>53488</v>
      </c>
      <c r="J2710" t="s">
        <v>53489</v>
      </c>
      <c r="K2710" t="s">
        <v>53490</v>
      </c>
      <c r="L2710" t="s">
        <v>53491</v>
      </c>
      <c r="M2710" t="s">
        <v>53492</v>
      </c>
      <c r="N2710" t="s">
        <v>53493</v>
      </c>
      <c r="O2710">
        <f>-596.852877425156 -109.324440067964 -716.670470503582</f>
        <v>-1422.847787996702</v>
      </c>
      <c r="P2710">
        <f>-610.432172370385 -79.4128365817337 -401.857752135904</f>
        <v>-1091.7027610880227</v>
      </c>
      <c r="Q2710" t="s">
        <v>53494</v>
      </c>
      <c r="R2710" t="s">
        <v>53495</v>
      </c>
      <c r="S2710" t="s">
        <v>53496</v>
      </c>
      <c r="T2710" t="s">
        <v>53497</v>
      </c>
      <c r="U2710" t="s">
        <v>53498</v>
      </c>
      <c r="V2710" t="s">
        <v>53499</v>
      </c>
      <c r="W2710" t="s">
        <v>53500</v>
      </c>
      <c r="X2710" t="s">
        <v>53501</v>
      </c>
      <c r="Y2710" t="s">
        <v>53502</v>
      </c>
    </row>
    <row r="2711" spans="1:25" x14ac:dyDescent="0.3">
      <c r="A2711">
        <v>135500</v>
      </c>
      <c r="B2711" t="s">
        <v>53503</v>
      </c>
      <c r="C2711" t="s">
        <v>53504</v>
      </c>
      <c r="D2711" t="s">
        <v>53505</v>
      </c>
      <c r="E2711" t="s">
        <v>53506</v>
      </c>
      <c r="F2711" t="s">
        <v>53507</v>
      </c>
      <c r="G2711" t="s">
        <v>53508</v>
      </c>
      <c r="H2711" t="s">
        <v>53509</v>
      </c>
      <c r="I2711" t="s">
        <v>53510</v>
      </c>
      <c r="J2711" t="s">
        <v>53511</v>
      </c>
      <c r="K2711" t="s">
        <v>53512</v>
      </c>
      <c r="L2711" t="s">
        <v>53513</v>
      </c>
      <c r="M2711" t="s">
        <v>53514</v>
      </c>
      <c r="N2711" t="s">
        <v>53515</v>
      </c>
      <c r="O2711">
        <f>-596.75133215829 -109.371092829003 -716.474946372578</f>
        <v>-1422.597371359871</v>
      </c>
      <c r="P2711">
        <f>-610.316224746712 -79.1396928885958 -401.692042079699</f>
        <v>-1091.1479597150069</v>
      </c>
      <c r="Q2711" t="s">
        <v>53516</v>
      </c>
      <c r="R2711" t="s">
        <v>53517</v>
      </c>
      <c r="S2711" t="s">
        <v>53518</v>
      </c>
      <c r="T2711" t="s">
        <v>53519</v>
      </c>
      <c r="U2711" t="s">
        <v>53520</v>
      </c>
      <c r="V2711" t="s">
        <v>53521</v>
      </c>
      <c r="W2711" t="s">
        <v>53522</v>
      </c>
      <c r="X2711" t="s">
        <v>53523</v>
      </c>
      <c r="Y2711" t="s">
        <v>53524</v>
      </c>
    </row>
    <row r="2712" spans="1:25" x14ac:dyDescent="0.3">
      <c r="A2712">
        <v>135550</v>
      </c>
      <c r="B2712" t="s">
        <v>53525</v>
      </c>
      <c r="C2712" t="s">
        <v>53526</v>
      </c>
      <c r="D2712" t="s">
        <v>53527</v>
      </c>
      <c r="E2712" t="s">
        <v>53528</v>
      </c>
      <c r="F2712" t="s">
        <v>53529</v>
      </c>
      <c r="G2712" t="s">
        <v>53530</v>
      </c>
      <c r="H2712" t="s">
        <v>53531</v>
      </c>
      <c r="I2712" t="s">
        <v>53532</v>
      </c>
      <c r="J2712" t="s">
        <v>53533</v>
      </c>
      <c r="K2712" t="s">
        <v>53534</v>
      </c>
      <c r="L2712" t="s">
        <v>53535</v>
      </c>
      <c r="M2712" t="s">
        <v>53536</v>
      </c>
      <c r="N2712" t="s">
        <v>53537</v>
      </c>
      <c r="O2712">
        <f>-596.216758164377 -109.31509177631 -716.195526801321</f>
        <v>-1421.7273767420079</v>
      </c>
      <c r="P2712">
        <f>-609.739910388306 -78.7282111601971 -401.445118239644</f>
        <v>-1089.9132397881472</v>
      </c>
      <c r="Q2712" t="s">
        <v>53538</v>
      </c>
      <c r="R2712" t="s">
        <v>53539</v>
      </c>
      <c r="S2712" t="s">
        <v>53540</v>
      </c>
      <c r="T2712" t="s">
        <v>53541</v>
      </c>
      <c r="U2712" t="s">
        <v>53542</v>
      </c>
      <c r="V2712" t="s">
        <v>53543</v>
      </c>
      <c r="W2712" t="s">
        <v>53544</v>
      </c>
      <c r="X2712" t="s">
        <v>53545</v>
      </c>
      <c r="Y2712" t="s">
        <v>53546</v>
      </c>
    </row>
    <row r="2713" spans="1:25" x14ac:dyDescent="0.3">
      <c r="A2713">
        <v>135600</v>
      </c>
      <c r="B2713" t="s">
        <v>53547</v>
      </c>
      <c r="C2713" t="s">
        <v>53548</v>
      </c>
      <c r="D2713" t="s">
        <v>53549</v>
      </c>
      <c r="E2713" t="s">
        <v>53550</v>
      </c>
      <c r="F2713" t="s">
        <v>53551</v>
      </c>
      <c r="G2713" t="s">
        <v>53552</v>
      </c>
      <c r="H2713" t="s">
        <v>53553</v>
      </c>
      <c r="I2713" t="s">
        <v>53554</v>
      </c>
      <c r="J2713" t="s">
        <v>53555</v>
      </c>
      <c r="K2713" t="s">
        <v>53556</v>
      </c>
      <c r="L2713" t="s">
        <v>53557</v>
      </c>
      <c r="M2713" t="s">
        <v>53558</v>
      </c>
      <c r="N2713" t="s">
        <v>53559</v>
      </c>
      <c r="O2713">
        <f>-595.963300636659 -109.225150913474 -716.135469455772</f>
        <v>-1421.323921005905</v>
      </c>
      <c r="P2713">
        <f>-609.609844535467 -78.5725956569888 -401.396892103933</f>
        <v>-1089.5793322963889</v>
      </c>
      <c r="Q2713" t="s">
        <v>53560</v>
      </c>
      <c r="R2713" t="s">
        <v>53561</v>
      </c>
      <c r="S2713" t="s">
        <v>53562</v>
      </c>
      <c r="T2713" t="s">
        <v>53563</v>
      </c>
      <c r="U2713" t="s">
        <v>53564</v>
      </c>
      <c r="V2713" t="s">
        <v>53565</v>
      </c>
      <c r="W2713" t="s">
        <v>53566</v>
      </c>
      <c r="X2713" t="s">
        <v>53567</v>
      </c>
      <c r="Y2713" t="s">
        <v>53568</v>
      </c>
    </row>
    <row r="2714" spans="1:25" x14ac:dyDescent="0.3">
      <c r="A2714">
        <v>135650</v>
      </c>
      <c r="B2714" t="s">
        <v>53569</v>
      </c>
      <c r="C2714" t="s">
        <v>53570</v>
      </c>
      <c r="D2714" t="s">
        <v>53571</v>
      </c>
      <c r="E2714" t="s">
        <v>53572</v>
      </c>
      <c r="F2714" t="s">
        <v>53573</v>
      </c>
      <c r="G2714" t="s">
        <v>53574</v>
      </c>
      <c r="H2714" t="s">
        <v>53575</v>
      </c>
      <c r="I2714" t="s">
        <v>53576</v>
      </c>
      <c r="J2714" t="s">
        <v>53577</v>
      </c>
      <c r="K2714" t="s">
        <v>53578</v>
      </c>
      <c r="L2714" t="s">
        <v>53579</v>
      </c>
      <c r="M2714" t="s">
        <v>53580</v>
      </c>
      <c r="N2714" t="s">
        <v>53581</v>
      </c>
      <c r="O2714">
        <f>-595.243890983875 -109.114938210424 -716.044293498183</f>
        <v>-1420.4031226924822</v>
      </c>
      <c r="P2714">
        <f>-609.108063155663 -78.4702589060391 -401.314413862272</f>
        <v>-1088.8927359239742</v>
      </c>
      <c r="Q2714" t="s">
        <v>53582</v>
      </c>
      <c r="R2714" t="s">
        <v>53583</v>
      </c>
      <c r="S2714" t="s">
        <v>53584</v>
      </c>
      <c r="T2714" t="s">
        <v>53585</v>
      </c>
      <c r="U2714" t="s">
        <v>53586</v>
      </c>
      <c r="V2714" t="s">
        <v>53587</v>
      </c>
      <c r="W2714" t="s">
        <v>53588</v>
      </c>
      <c r="X2714" t="s">
        <v>53589</v>
      </c>
      <c r="Y2714" t="s">
        <v>53590</v>
      </c>
    </row>
    <row r="2715" spans="1:25" x14ac:dyDescent="0.3">
      <c r="A2715">
        <v>135700</v>
      </c>
      <c r="B2715" t="s">
        <v>53591</v>
      </c>
      <c r="C2715" t="s">
        <v>53592</v>
      </c>
      <c r="D2715" t="s">
        <v>53593</v>
      </c>
      <c r="E2715" t="s">
        <v>53594</v>
      </c>
      <c r="F2715" t="s">
        <v>53595</v>
      </c>
      <c r="G2715" t="s">
        <v>53596</v>
      </c>
      <c r="H2715" t="s">
        <v>53597</v>
      </c>
      <c r="I2715" t="s">
        <v>53598</v>
      </c>
      <c r="J2715" t="s">
        <v>53599</v>
      </c>
      <c r="K2715" t="s">
        <v>53600</v>
      </c>
      <c r="L2715" t="s">
        <v>53601</v>
      </c>
      <c r="M2715" t="s">
        <v>53602</v>
      </c>
      <c r="N2715" t="s">
        <v>53603</v>
      </c>
      <c r="O2715">
        <f>-594.906426114123 -108.817991772872 -716.148128198796</f>
        <v>-1419.8725460857909</v>
      </c>
      <c r="P2715">
        <f>-608.895199601454 -78.2966439042305 -401.411861341049</f>
        <v>-1088.6037048467335</v>
      </c>
      <c r="Q2715" t="s">
        <v>53604</v>
      </c>
      <c r="R2715" t="s">
        <v>53605</v>
      </c>
      <c r="S2715" t="s">
        <v>53606</v>
      </c>
      <c r="T2715" t="s">
        <v>53607</v>
      </c>
      <c r="U2715" t="s">
        <v>53608</v>
      </c>
      <c r="V2715" t="s">
        <v>53609</v>
      </c>
      <c r="W2715" t="s">
        <v>53610</v>
      </c>
      <c r="X2715" t="s">
        <v>53611</v>
      </c>
      <c r="Y2715" t="s">
        <v>53612</v>
      </c>
    </row>
    <row r="2716" spans="1:25" x14ac:dyDescent="0.3">
      <c r="A2716">
        <v>135750</v>
      </c>
      <c r="B2716" t="s">
        <v>53613</v>
      </c>
      <c r="C2716" t="s">
        <v>53614</v>
      </c>
      <c r="D2716" t="s">
        <v>53615</v>
      </c>
      <c r="E2716" t="s">
        <v>53616</v>
      </c>
      <c r="F2716" t="s">
        <v>53617</v>
      </c>
      <c r="G2716" t="s">
        <v>53618</v>
      </c>
      <c r="H2716" t="s">
        <v>53619</v>
      </c>
      <c r="I2716" t="s">
        <v>53620</v>
      </c>
      <c r="J2716" t="s">
        <v>53621</v>
      </c>
      <c r="K2716" t="s">
        <v>53622</v>
      </c>
      <c r="L2716" t="s">
        <v>53623</v>
      </c>
      <c r="M2716" t="s">
        <v>53624</v>
      </c>
      <c r="N2716" t="s">
        <v>53625</v>
      </c>
      <c r="O2716">
        <f>-594.16138556483 -108.716997655474 -716.323855547559</f>
        <v>-1419.202238767863</v>
      </c>
      <c r="P2716">
        <f>-608.626213719263 -78.5206850363052 -401.57768107176</f>
        <v>-1088.7245798273282</v>
      </c>
      <c r="Q2716" t="s">
        <v>53626</v>
      </c>
      <c r="R2716" t="s">
        <v>53627</v>
      </c>
      <c r="S2716" t="s">
        <v>53628</v>
      </c>
      <c r="T2716" t="s">
        <v>53629</v>
      </c>
      <c r="U2716" t="s">
        <v>53630</v>
      </c>
      <c r="V2716" t="s">
        <v>53631</v>
      </c>
      <c r="W2716" t="s">
        <v>53632</v>
      </c>
      <c r="X2716" t="s">
        <v>53633</v>
      </c>
      <c r="Y2716" t="s">
        <v>53634</v>
      </c>
    </row>
    <row r="2717" spans="1:25" x14ac:dyDescent="0.3">
      <c r="A2717">
        <v>135800</v>
      </c>
      <c r="B2717" t="s">
        <v>53635</v>
      </c>
      <c r="C2717" t="s">
        <v>53636</v>
      </c>
      <c r="D2717" t="s">
        <v>53637</v>
      </c>
      <c r="E2717" t="s">
        <v>53638</v>
      </c>
      <c r="F2717" t="s">
        <v>53639</v>
      </c>
      <c r="G2717" t="s">
        <v>53640</v>
      </c>
      <c r="H2717" t="s">
        <v>53641</v>
      </c>
      <c r="I2717" t="s">
        <v>53642</v>
      </c>
      <c r="J2717" t="s">
        <v>53643</v>
      </c>
      <c r="K2717" t="s">
        <v>53644</v>
      </c>
      <c r="L2717" t="s">
        <v>53645</v>
      </c>
      <c r="M2717" t="s">
        <v>53646</v>
      </c>
      <c r="N2717" t="s">
        <v>53647</v>
      </c>
      <c r="O2717">
        <f>-593.825129174885 -108.762758392496 -716.438708587156</f>
        <v>-1419.0265961545369</v>
      </c>
      <c r="P2717">
        <f>-608.495506752644 -78.7210234563906 -401.687320637421</f>
        <v>-1088.9038508464557</v>
      </c>
      <c r="Q2717" t="s">
        <v>53648</v>
      </c>
      <c r="R2717" t="s">
        <v>53649</v>
      </c>
      <c r="S2717" t="s">
        <v>53650</v>
      </c>
      <c r="T2717" t="s">
        <v>53651</v>
      </c>
      <c r="U2717" t="s">
        <v>53652</v>
      </c>
      <c r="V2717" t="s">
        <v>53653</v>
      </c>
      <c r="W2717" t="s">
        <v>53654</v>
      </c>
      <c r="X2717" t="s">
        <v>53655</v>
      </c>
      <c r="Y2717" t="s">
        <v>53656</v>
      </c>
    </row>
    <row r="2718" spans="1:25" x14ac:dyDescent="0.3">
      <c r="A2718">
        <v>135850</v>
      </c>
      <c r="B2718" t="s">
        <v>53657</v>
      </c>
      <c r="C2718" t="s">
        <v>53658</v>
      </c>
      <c r="D2718" t="s">
        <v>53659</v>
      </c>
      <c r="E2718" t="s">
        <v>53660</v>
      </c>
      <c r="F2718" t="s">
        <v>53661</v>
      </c>
      <c r="G2718" t="s">
        <v>53662</v>
      </c>
      <c r="H2718" t="s">
        <v>53663</v>
      </c>
      <c r="I2718" t="s">
        <v>53664</v>
      </c>
      <c r="J2718" t="s">
        <v>53665</v>
      </c>
      <c r="K2718" t="s">
        <v>53666</v>
      </c>
      <c r="L2718" t="s">
        <v>53667</v>
      </c>
      <c r="M2718" t="s">
        <v>53668</v>
      </c>
      <c r="N2718" t="s">
        <v>53669</v>
      </c>
      <c r="O2718">
        <f>-593.187207390409 -109.064376876508 -716.647659663092</f>
        <v>-1418.8992439300091</v>
      </c>
      <c r="P2718">
        <f>-608.249511082532 -79.3436385711464 -401.884270738334</f>
        <v>-1089.4774203920124</v>
      </c>
      <c r="Q2718" t="s">
        <v>53670</v>
      </c>
      <c r="R2718" t="s">
        <v>53671</v>
      </c>
      <c r="S2718" t="s">
        <v>53672</v>
      </c>
      <c r="T2718" t="s">
        <v>53673</v>
      </c>
      <c r="U2718" t="s">
        <v>53674</v>
      </c>
      <c r="V2718" t="s">
        <v>53675</v>
      </c>
      <c r="W2718" t="s">
        <v>53676</v>
      </c>
      <c r="X2718" t="s">
        <v>53677</v>
      </c>
      <c r="Y2718" t="s">
        <v>53678</v>
      </c>
    </row>
    <row r="2719" spans="1:25" x14ac:dyDescent="0.3">
      <c r="A2719">
        <v>135900</v>
      </c>
      <c r="B2719" t="s">
        <v>53679</v>
      </c>
      <c r="C2719" t="s">
        <v>53680</v>
      </c>
      <c r="D2719" t="s">
        <v>53681</v>
      </c>
      <c r="E2719" t="s">
        <v>53682</v>
      </c>
      <c r="F2719" t="s">
        <v>53683</v>
      </c>
      <c r="G2719" t="s">
        <v>53684</v>
      </c>
      <c r="H2719" t="s">
        <v>53685</v>
      </c>
      <c r="I2719" t="s">
        <v>53686</v>
      </c>
      <c r="J2719" t="s">
        <v>53687</v>
      </c>
      <c r="K2719" t="s">
        <v>53688</v>
      </c>
      <c r="L2719" t="s">
        <v>53689</v>
      </c>
      <c r="M2719" t="s">
        <v>53690</v>
      </c>
      <c r="N2719" t="s">
        <v>53691</v>
      </c>
      <c r="O2719">
        <f>-592.770879518475 -109.203267680034 -716.792482747669</f>
        <v>-1418.766629946178</v>
      </c>
      <c r="P2719">
        <f>-607.994502109702 -79.7250484025158 -402.014115443988</f>
        <v>-1089.7336659562056</v>
      </c>
      <c r="Q2719" t="s">
        <v>53692</v>
      </c>
      <c r="R2719" t="s">
        <v>53693</v>
      </c>
      <c r="S2719" t="s">
        <v>53694</v>
      </c>
      <c r="T2719" t="s">
        <v>53695</v>
      </c>
      <c r="U2719" t="s">
        <v>53696</v>
      </c>
      <c r="V2719" t="s">
        <v>53697</v>
      </c>
      <c r="W2719" t="s">
        <v>53698</v>
      </c>
      <c r="X2719" t="s">
        <v>53699</v>
      </c>
      <c r="Y2719" t="s">
        <v>53700</v>
      </c>
    </row>
    <row r="2720" spans="1:25" x14ac:dyDescent="0.3">
      <c r="A2720">
        <v>135950</v>
      </c>
      <c r="B2720" t="s">
        <v>53701</v>
      </c>
      <c r="C2720" t="s">
        <v>53702</v>
      </c>
      <c r="D2720" t="s">
        <v>53703</v>
      </c>
      <c r="E2720" t="s">
        <v>53704</v>
      </c>
      <c r="F2720" t="s">
        <v>53705</v>
      </c>
      <c r="G2720" t="s">
        <v>53706</v>
      </c>
      <c r="H2720" t="s">
        <v>53707</v>
      </c>
      <c r="I2720" t="s">
        <v>53708</v>
      </c>
      <c r="J2720" t="s">
        <v>53709</v>
      </c>
      <c r="K2720" t="s">
        <v>53710</v>
      </c>
      <c r="L2720" t="s">
        <v>53711</v>
      </c>
      <c r="M2720" t="s">
        <v>53712</v>
      </c>
      <c r="N2720" t="s">
        <v>53713</v>
      </c>
      <c r="O2720">
        <f>-591.991363886617 -109.704553016054 -716.976948742329</f>
        <v>-1418.672865645</v>
      </c>
      <c r="P2720">
        <f>-607.51615766077 -80.5855170038835 -402.179778040094</f>
        <v>-1090.2814527047476</v>
      </c>
      <c r="Q2720" t="s">
        <v>53714</v>
      </c>
      <c r="R2720" t="s">
        <v>53715</v>
      </c>
      <c r="S2720" t="s">
        <v>53716</v>
      </c>
      <c r="T2720" t="s">
        <v>53717</v>
      </c>
      <c r="U2720" t="s">
        <v>53718</v>
      </c>
      <c r="V2720" t="s">
        <v>53719</v>
      </c>
      <c r="W2720" t="s">
        <v>53720</v>
      </c>
      <c r="X2720" t="s">
        <v>53721</v>
      </c>
      <c r="Y2720" t="s">
        <v>53722</v>
      </c>
    </row>
    <row r="2721" spans="1:25" x14ac:dyDescent="0.3">
      <c r="A2721">
        <v>136000</v>
      </c>
      <c r="B2721" t="s">
        <v>53723</v>
      </c>
      <c r="C2721" t="s">
        <v>53724</v>
      </c>
      <c r="D2721" t="s">
        <v>53725</v>
      </c>
      <c r="E2721" t="s">
        <v>53726</v>
      </c>
      <c r="F2721" t="s">
        <v>53727</v>
      </c>
      <c r="G2721" t="s">
        <v>53728</v>
      </c>
      <c r="H2721" t="s">
        <v>53729</v>
      </c>
      <c r="I2721" t="s">
        <v>53730</v>
      </c>
      <c r="J2721" t="s">
        <v>53731</v>
      </c>
      <c r="K2721" t="s">
        <v>53732</v>
      </c>
      <c r="L2721" t="s">
        <v>53733</v>
      </c>
      <c r="M2721" t="s">
        <v>53734</v>
      </c>
      <c r="N2721" t="s">
        <v>53735</v>
      </c>
      <c r="O2721">
        <f>-591.615317498084 -110.062314514497 -716.988197132674</f>
        <v>-1418.665829145255</v>
      </c>
      <c r="P2721">
        <f>-607.225025427785 -81.0916779701224 -402.181504213283</f>
        <v>-1090.4982076111905</v>
      </c>
      <c r="Q2721" t="s">
        <v>53736</v>
      </c>
      <c r="R2721" t="s">
        <v>53737</v>
      </c>
      <c r="S2721" t="s">
        <v>53738</v>
      </c>
      <c r="T2721" t="s">
        <v>53739</v>
      </c>
      <c r="U2721" t="s">
        <v>53740</v>
      </c>
      <c r="V2721" t="s">
        <v>53741</v>
      </c>
      <c r="W2721" t="s">
        <v>53742</v>
      </c>
      <c r="X2721" t="s">
        <v>53743</v>
      </c>
      <c r="Y2721" t="s">
        <v>53744</v>
      </c>
    </row>
    <row r="2722" spans="1:25" x14ac:dyDescent="0.3">
      <c r="A2722">
        <v>136050</v>
      </c>
      <c r="B2722" t="s">
        <v>53745</v>
      </c>
      <c r="C2722" t="s">
        <v>53746</v>
      </c>
      <c r="D2722" t="s">
        <v>53747</v>
      </c>
      <c r="E2722" t="s">
        <v>53748</v>
      </c>
      <c r="F2722" t="s">
        <v>53749</v>
      </c>
      <c r="G2722" t="s">
        <v>53750</v>
      </c>
      <c r="H2722" t="s">
        <v>53751</v>
      </c>
      <c r="I2722" t="s">
        <v>53752</v>
      </c>
      <c r="J2722" t="s">
        <v>53753</v>
      </c>
      <c r="K2722" t="s">
        <v>53754</v>
      </c>
      <c r="L2722" t="s">
        <v>53755</v>
      </c>
      <c r="M2722" t="s">
        <v>53756</v>
      </c>
      <c r="N2722" t="s">
        <v>53757</v>
      </c>
      <c r="O2722">
        <f>-590.911609527437 -110.664944862042 -717.084334795298</f>
        <v>-1418.660889184777</v>
      </c>
      <c r="P2722">
        <f>-606.842069617386 -81.808129359056 -402.283326544492</f>
        <v>-1090.9335255209339</v>
      </c>
      <c r="Q2722" t="s">
        <v>53758</v>
      </c>
      <c r="R2722" t="s">
        <v>53759</v>
      </c>
      <c r="S2722" t="s">
        <v>53760</v>
      </c>
      <c r="T2722" t="s">
        <v>53761</v>
      </c>
      <c r="U2722" t="s">
        <v>53762</v>
      </c>
      <c r="V2722" t="s">
        <v>53763</v>
      </c>
      <c r="W2722" t="s">
        <v>53764</v>
      </c>
      <c r="X2722" t="s">
        <v>53765</v>
      </c>
      <c r="Y2722" t="s">
        <v>53766</v>
      </c>
    </row>
    <row r="2723" spans="1:25" x14ac:dyDescent="0.3">
      <c r="A2723">
        <v>136100</v>
      </c>
      <c r="B2723" t="s">
        <v>53767</v>
      </c>
      <c r="C2723" t="s">
        <v>53768</v>
      </c>
      <c r="D2723" t="s">
        <v>53769</v>
      </c>
      <c r="E2723" t="s">
        <v>53770</v>
      </c>
      <c r="F2723" t="s">
        <v>53771</v>
      </c>
      <c r="G2723" t="s">
        <v>53772</v>
      </c>
      <c r="H2723" t="s">
        <v>53773</v>
      </c>
      <c r="I2723" t="s">
        <v>53774</v>
      </c>
      <c r="J2723" t="s">
        <v>53775</v>
      </c>
      <c r="K2723" t="s">
        <v>53776</v>
      </c>
      <c r="L2723" t="s">
        <v>53777</v>
      </c>
      <c r="M2723" t="s">
        <v>53778</v>
      </c>
      <c r="N2723" t="s">
        <v>53779</v>
      </c>
      <c r="O2723">
        <f>-590.558827601493 -111.18116129798 -717.133421076464</f>
        <v>-1418.873409975937</v>
      </c>
      <c r="P2723">
        <f>-606.75189934583 -82.3366242550285 -402.344685025672</f>
        <v>-1091.4332086265304</v>
      </c>
      <c r="Q2723" t="s">
        <v>53780</v>
      </c>
      <c r="R2723" t="s">
        <v>53781</v>
      </c>
      <c r="S2723" t="s">
        <v>53782</v>
      </c>
      <c r="T2723" t="s">
        <v>53783</v>
      </c>
      <c r="U2723" t="s">
        <v>53784</v>
      </c>
      <c r="V2723" t="s">
        <v>53785</v>
      </c>
      <c r="W2723" t="s">
        <v>53786</v>
      </c>
      <c r="X2723" t="s">
        <v>53787</v>
      </c>
      <c r="Y2723" t="s">
        <v>53788</v>
      </c>
    </row>
    <row r="2724" spans="1:25" x14ac:dyDescent="0.3">
      <c r="A2724">
        <v>136150</v>
      </c>
      <c r="B2724" t="s">
        <v>53789</v>
      </c>
      <c r="C2724" t="s">
        <v>53790</v>
      </c>
      <c r="D2724" t="s">
        <v>53791</v>
      </c>
      <c r="E2724" t="s">
        <v>53792</v>
      </c>
      <c r="F2724" t="s">
        <v>53793</v>
      </c>
      <c r="G2724" t="s">
        <v>53794</v>
      </c>
      <c r="H2724" t="s">
        <v>53795</v>
      </c>
      <c r="I2724" t="s">
        <v>53796</v>
      </c>
      <c r="J2724" t="s">
        <v>53797</v>
      </c>
      <c r="K2724" t="s">
        <v>53798</v>
      </c>
      <c r="L2724" t="s">
        <v>53799</v>
      </c>
      <c r="M2724" t="s">
        <v>53800</v>
      </c>
      <c r="N2724" t="s">
        <v>53801</v>
      </c>
      <c r="O2724">
        <f>-589.811273472553 -112.168585034166 -717.142890329684</f>
        <v>-1419.1227488364029</v>
      </c>
      <c r="P2724">
        <f>-606.18390908501 -83.3868886518414 -402.357708641014</f>
        <v>-1091.9285063778655</v>
      </c>
      <c r="Q2724" t="s">
        <v>53802</v>
      </c>
      <c r="R2724" t="s">
        <v>53803</v>
      </c>
      <c r="S2724" t="s">
        <v>53804</v>
      </c>
      <c r="T2724" t="s">
        <v>53805</v>
      </c>
      <c r="U2724" t="s">
        <v>53806</v>
      </c>
      <c r="V2724" t="s">
        <v>53807</v>
      </c>
      <c r="W2724" t="s">
        <v>53808</v>
      </c>
      <c r="X2724" t="s">
        <v>53809</v>
      </c>
      <c r="Y2724" t="s">
        <v>53810</v>
      </c>
    </row>
    <row r="2725" spans="1:25" x14ac:dyDescent="0.3">
      <c r="A2725">
        <v>136200</v>
      </c>
      <c r="B2725" t="s">
        <v>53811</v>
      </c>
      <c r="C2725" t="s">
        <v>53812</v>
      </c>
      <c r="D2725" t="s">
        <v>53813</v>
      </c>
      <c r="E2725" t="s">
        <v>53814</v>
      </c>
      <c r="F2725" t="s">
        <v>53815</v>
      </c>
      <c r="G2725" t="s">
        <v>53816</v>
      </c>
      <c r="H2725" t="s">
        <v>53817</v>
      </c>
      <c r="I2725" t="s">
        <v>53818</v>
      </c>
      <c r="J2725" t="s">
        <v>53819</v>
      </c>
      <c r="K2725" t="s">
        <v>53820</v>
      </c>
      <c r="L2725" t="s">
        <v>53821</v>
      </c>
      <c r="M2725" t="s">
        <v>53822</v>
      </c>
      <c r="N2725" t="s">
        <v>53823</v>
      </c>
      <c r="O2725">
        <f>-589.429857459942 -112.667146259123 -717.088454543912</f>
        <v>-1419.1854582629771</v>
      </c>
      <c r="P2725">
        <f>-605.912962417604 -83.7997102782688 -402.316778520139</f>
        <v>-1092.0294512160117</v>
      </c>
      <c r="Q2725" t="s">
        <v>53824</v>
      </c>
      <c r="R2725" t="s">
        <v>53825</v>
      </c>
      <c r="S2725" t="s">
        <v>53826</v>
      </c>
      <c r="T2725" t="s">
        <v>53827</v>
      </c>
      <c r="U2725" t="s">
        <v>53828</v>
      </c>
      <c r="V2725" t="s">
        <v>53829</v>
      </c>
      <c r="W2725" t="s">
        <v>53830</v>
      </c>
      <c r="X2725" t="s">
        <v>53831</v>
      </c>
      <c r="Y2725" t="s">
        <v>53832</v>
      </c>
    </row>
    <row r="2726" spans="1:25" x14ac:dyDescent="0.3">
      <c r="A2726">
        <v>136250</v>
      </c>
      <c r="B2726" t="s">
        <v>53833</v>
      </c>
      <c r="C2726" t="s">
        <v>53834</v>
      </c>
      <c r="D2726" t="s">
        <v>53835</v>
      </c>
      <c r="E2726" t="s">
        <v>53836</v>
      </c>
      <c r="F2726" t="s">
        <v>53837</v>
      </c>
      <c r="G2726" t="s">
        <v>53838</v>
      </c>
      <c r="H2726" t="s">
        <v>53839</v>
      </c>
      <c r="I2726" t="s">
        <v>53840</v>
      </c>
      <c r="J2726" t="s">
        <v>53841</v>
      </c>
      <c r="K2726" t="s">
        <v>53842</v>
      </c>
      <c r="L2726" t="s">
        <v>53843</v>
      </c>
      <c r="M2726" t="s">
        <v>53844</v>
      </c>
      <c r="N2726" t="s">
        <v>53845</v>
      </c>
      <c r="O2726">
        <f>-588.999273109036 -113.754917922715 -716.889519424862</f>
        <v>-1419.643710456613</v>
      </c>
      <c r="P2726">
        <f>-605.550218221793 -84.7675741793678 -402.132450944184</f>
        <v>-1092.4502433453447</v>
      </c>
      <c r="Q2726" t="s">
        <v>53846</v>
      </c>
      <c r="R2726" t="s">
        <v>53847</v>
      </c>
      <c r="S2726" t="s">
        <v>53848</v>
      </c>
      <c r="T2726" t="s">
        <v>53849</v>
      </c>
      <c r="U2726" t="s">
        <v>53850</v>
      </c>
      <c r="V2726" t="s">
        <v>53851</v>
      </c>
      <c r="W2726" t="s">
        <v>53852</v>
      </c>
      <c r="X2726" t="s">
        <v>53853</v>
      </c>
      <c r="Y2726" t="s">
        <v>53854</v>
      </c>
    </row>
    <row r="2727" spans="1:25" x14ac:dyDescent="0.3">
      <c r="A2727">
        <v>136300</v>
      </c>
      <c r="B2727" t="s">
        <v>53855</v>
      </c>
      <c r="C2727" t="s">
        <v>53856</v>
      </c>
      <c r="D2727" t="s">
        <v>53857</v>
      </c>
      <c r="E2727" t="s">
        <v>53858</v>
      </c>
      <c r="F2727" t="s">
        <v>53859</v>
      </c>
      <c r="G2727" t="s">
        <v>53860</v>
      </c>
      <c r="H2727" t="s">
        <v>53861</v>
      </c>
      <c r="I2727" t="s">
        <v>53862</v>
      </c>
      <c r="J2727" t="s">
        <v>53863</v>
      </c>
      <c r="K2727" t="s">
        <v>53864</v>
      </c>
      <c r="L2727" t="s">
        <v>53865</v>
      </c>
      <c r="M2727" t="s">
        <v>53866</v>
      </c>
      <c r="N2727" t="s">
        <v>53867</v>
      </c>
      <c r="O2727">
        <f>-588.590669986571 -114.183201919133 -716.805615601434</f>
        <v>-1419.5794875071381</v>
      </c>
      <c r="P2727">
        <f>-605.071773502609 -85.1586532277963 -402.048230379292</f>
        <v>-1092.2786571096972</v>
      </c>
      <c r="Q2727" t="s">
        <v>53868</v>
      </c>
      <c r="R2727" t="s">
        <v>53869</v>
      </c>
      <c r="S2727" t="s">
        <v>53870</v>
      </c>
      <c r="T2727" t="s">
        <v>53871</v>
      </c>
      <c r="U2727" t="s">
        <v>53872</v>
      </c>
      <c r="V2727" t="s">
        <v>53873</v>
      </c>
      <c r="W2727" t="s">
        <v>53874</v>
      </c>
      <c r="X2727" t="s">
        <v>53875</v>
      </c>
      <c r="Y2727" t="s">
        <v>53876</v>
      </c>
    </row>
    <row r="2728" spans="1:25" x14ac:dyDescent="0.3">
      <c r="A2728">
        <v>136350</v>
      </c>
      <c r="B2728" t="s">
        <v>53877</v>
      </c>
      <c r="C2728" t="s">
        <v>53878</v>
      </c>
      <c r="D2728" t="s">
        <v>53879</v>
      </c>
      <c r="E2728" t="s">
        <v>53880</v>
      </c>
      <c r="F2728" t="s">
        <v>53881</v>
      </c>
      <c r="G2728" t="s">
        <v>53882</v>
      </c>
      <c r="H2728" t="s">
        <v>53883</v>
      </c>
      <c r="I2728" t="s">
        <v>53884</v>
      </c>
      <c r="J2728" t="s">
        <v>53885</v>
      </c>
      <c r="K2728" t="s">
        <v>53886</v>
      </c>
      <c r="L2728" t="s">
        <v>53887</v>
      </c>
      <c r="M2728" t="s">
        <v>53888</v>
      </c>
      <c r="N2728" t="s">
        <v>53889</v>
      </c>
      <c r="O2728">
        <f>-587.882694200099 -114.68720805451 -716.747185056273</f>
        <v>-1419.317087310882</v>
      </c>
      <c r="P2728">
        <f>-604.188865033615 -85.7113633696956 -401.976274088341</f>
        <v>-1091.8765024916515</v>
      </c>
      <c r="Q2728" t="s">
        <v>53890</v>
      </c>
      <c r="R2728" t="s">
        <v>53891</v>
      </c>
      <c r="S2728" t="s">
        <v>53892</v>
      </c>
      <c r="T2728" t="s">
        <v>53893</v>
      </c>
      <c r="U2728" t="s">
        <v>53894</v>
      </c>
      <c r="V2728" t="s">
        <v>53895</v>
      </c>
      <c r="W2728" t="s">
        <v>53896</v>
      </c>
      <c r="X2728" t="s">
        <v>53897</v>
      </c>
      <c r="Y2728" t="s">
        <v>53898</v>
      </c>
    </row>
    <row r="2729" spans="1:25" x14ac:dyDescent="0.3">
      <c r="A2729">
        <v>136400</v>
      </c>
      <c r="B2729" t="s">
        <v>53899</v>
      </c>
      <c r="C2729" t="s">
        <v>53900</v>
      </c>
      <c r="D2729" t="s">
        <v>53901</v>
      </c>
      <c r="E2729" t="s">
        <v>53902</v>
      </c>
      <c r="F2729" t="s">
        <v>53903</v>
      </c>
      <c r="G2729" t="s">
        <v>53904</v>
      </c>
      <c r="H2729" t="s">
        <v>53905</v>
      </c>
      <c r="I2729" t="s">
        <v>53906</v>
      </c>
      <c r="J2729" t="s">
        <v>53907</v>
      </c>
      <c r="K2729" t="s">
        <v>53908</v>
      </c>
      <c r="L2729" t="s">
        <v>53909</v>
      </c>
      <c r="M2729" t="s">
        <v>53910</v>
      </c>
      <c r="N2729" t="s">
        <v>53911</v>
      </c>
      <c r="O2729">
        <f>-587.634348661477 -115.010590718767 -716.723287786628</f>
        <v>-1419.3682271668722</v>
      </c>
      <c r="P2729">
        <f>-603.843022468716 -86.0669043231642 -401.944490971966</f>
        <v>-1091.8544177638462</v>
      </c>
      <c r="Q2729" t="s">
        <v>53912</v>
      </c>
      <c r="R2729" t="s">
        <v>53913</v>
      </c>
      <c r="S2729" t="s">
        <v>53914</v>
      </c>
      <c r="T2729" t="s">
        <v>53915</v>
      </c>
      <c r="U2729" t="s">
        <v>53916</v>
      </c>
      <c r="V2729" t="s">
        <v>53917</v>
      </c>
      <c r="W2729" t="s">
        <v>53918</v>
      </c>
      <c r="X2729" t="s">
        <v>53919</v>
      </c>
      <c r="Y2729" t="s">
        <v>53920</v>
      </c>
    </row>
    <row r="2730" spans="1:25" x14ac:dyDescent="0.3">
      <c r="A2730">
        <v>136450</v>
      </c>
      <c r="B2730" t="s">
        <v>53921</v>
      </c>
      <c r="C2730" t="s">
        <v>53922</v>
      </c>
      <c r="D2730" t="s">
        <v>53923</v>
      </c>
      <c r="E2730" t="s">
        <v>53924</v>
      </c>
      <c r="F2730" t="s">
        <v>53925</v>
      </c>
      <c r="G2730" t="s">
        <v>53926</v>
      </c>
      <c r="H2730" t="s">
        <v>53927</v>
      </c>
      <c r="I2730" t="s">
        <v>53928</v>
      </c>
      <c r="J2730" t="s">
        <v>53929</v>
      </c>
      <c r="K2730" t="s">
        <v>53930</v>
      </c>
      <c r="L2730" t="s">
        <v>53931</v>
      </c>
      <c r="M2730" t="s">
        <v>53932</v>
      </c>
      <c r="N2730" t="s">
        <v>53933</v>
      </c>
      <c r="O2730">
        <f>-586.961855435258 -115.639574397204 -716.65995550961</f>
        <v>-1419.2613853420721</v>
      </c>
      <c r="P2730">
        <f>-602.9579914613 -86.6443615220492 -401.87493706534</f>
        <v>-1091.4772900486892</v>
      </c>
      <c r="Q2730" t="s">
        <v>53934</v>
      </c>
      <c r="R2730" t="s">
        <v>53935</v>
      </c>
      <c r="S2730" t="s">
        <v>53936</v>
      </c>
      <c r="T2730" t="s">
        <v>53937</v>
      </c>
      <c r="U2730" t="s">
        <v>53938</v>
      </c>
      <c r="V2730" t="s">
        <v>53939</v>
      </c>
      <c r="W2730" t="s">
        <v>53940</v>
      </c>
      <c r="X2730" t="s">
        <v>53941</v>
      </c>
      <c r="Y2730" t="s">
        <v>53942</v>
      </c>
    </row>
    <row r="2731" spans="1:25" x14ac:dyDescent="0.3">
      <c r="A2731">
        <v>136500</v>
      </c>
      <c r="B2731" t="s">
        <v>53943</v>
      </c>
      <c r="C2731" t="s">
        <v>53944</v>
      </c>
      <c r="D2731" t="s">
        <v>53945</v>
      </c>
      <c r="E2731" t="s">
        <v>53946</v>
      </c>
      <c r="F2731" t="s">
        <v>53947</v>
      </c>
      <c r="G2731" t="s">
        <v>53948</v>
      </c>
      <c r="H2731" t="s">
        <v>53949</v>
      </c>
      <c r="I2731" t="s">
        <v>53950</v>
      </c>
      <c r="J2731" t="s">
        <v>53951</v>
      </c>
      <c r="K2731" t="s">
        <v>53952</v>
      </c>
      <c r="L2731" t="s">
        <v>53953</v>
      </c>
      <c r="M2731" t="s">
        <v>53954</v>
      </c>
      <c r="N2731" t="s">
        <v>53955</v>
      </c>
      <c r="O2731">
        <f>-586.616334821207 -116.131385993326 -716.602230962126</f>
        <v>-1419.3499517766591</v>
      </c>
      <c r="P2731">
        <f>-602.494948969377 -87.0121213761258 -401.822759045067</f>
        <v>-1091.3298293905698</v>
      </c>
      <c r="Q2731" t="s">
        <v>53956</v>
      </c>
      <c r="R2731" t="s">
        <v>53957</v>
      </c>
      <c r="S2731" t="s">
        <v>53958</v>
      </c>
      <c r="T2731" t="s">
        <v>53959</v>
      </c>
      <c r="U2731" t="s">
        <v>53960</v>
      </c>
      <c r="V2731" t="s">
        <v>53961</v>
      </c>
      <c r="W2731" t="s">
        <v>53962</v>
      </c>
      <c r="X2731" t="s">
        <v>53963</v>
      </c>
      <c r="Y2731" t="s">
        <v>53964</v>
      </c>
    </row>
    <row r="2732" spans="1:25" x14ac:dyDescent="0.3">
      <c r="A2732">
        <v>136550</v>
      </c>
      <c r="B2732" t="s">
        <v>53965</v>
      </c>
      <c r="C2732" t="s">
        <v>53966</v>
      </c>
      <c r="D2732" t="s">
        <v>53967</v>
      </c>
      <c r="E2732" t="s">
        <v>53968</v>
      </c>
      <c r="F2732" t="s">
        <v>53969</v>
      </c>
      <c r="G2732" t="s">
        <v>53970</v>
      </c>
      <c r="H2732" t="s">
        <v>53971</v>
      </c>
      <c r="I2732" t="s">
        <v>53972</v>
      </c>
      <c r="J2732" t="s">
        <v>53973</v>
      </c>
      <c r="K2732" t="s">
        <v>53974</v>
      </c>
      <c r="L2732" t="s">
        <v>53975</v>
      </c>
      <c r="M2732" t="s">
        <v>53976</v>
      </c>
      <c r="N2732" t="s">
        <v>53977</v>
      </c>
      <c r="O2732">
        <f>-586.0792588788 -116.871656253165 -716.28549944579</f>
        <v>-1419.2364145777551</v>
      </c>
      <c r="P2732">
        <f>-601.70611451186 -87.5105170564373 -401.515842040743</f>
        <v>-1090.7324736090404</v>
      </c>
      <c r="Q2732" t="s">
        <v>53978</v>
      </c>
      <c r="R2732" t="s">
        <v>53979</v>
      </c>
      <c r="S2732" t="s">
        <v>53980</v>
      </c>
      <c r="T2732" t="s">
        <v>53981</v>
      </c>
      <c r="U2732" t="s">
        <v>53982</v>
      </c>
      <c r="V2732" t="s">
        <v>53983</v>
      </c>
      <c r="W2732" t="s">
        <v>53984</v>
      </c>
      <c r="X2732" t="s">
        <v>53985</v>
      </c>
      <c r="Y2732" t="s">
        <v>53986</v>
      </c>
    </row>
    <row r="2733" spans="1:25" x14ac:dyDescent="0.3">
      <c r="A2733">
        <v>136600</v>
      </c>
      <c r="B2733" t="s">
        <v>53987</v>
      </c>
      <c r="C2733" t="s">
        <v>53988</v>
      </c>
      <c r="D2733" t="s">
        <v>53989</v>
      </c>
      <c r="E2733" t="s">
        <v>53990</v>
      </c>
      <c r="F2733" t="s">
        <v>53991</v>
      </c>
      <c r="G2733" t="s">
        <v>53992</v>
      </c>
      <c r="H2733" t="s">
        <v>53993</v>
      </c>
      <c r="I2733" t="s">
        <v>53994</v>
      </c>
      <c r="J2733" t="s">
        <v>53995</v>
      </c>
      <c r="K2733" t="s">
        <v>53996</v>
      </c>
      <c r="L2733" t="s">
        <v>53997</v>
      </c>
      <c r="M2733" t="s">
        <v>53998</v>
      </c>
      <c r="N2733" t="s">
        <v>53999</v>
      </c>
      <c r="O2733">
        <f>-585.781488235993 -117.246645663567 -716.162369551577</f>
        <v>-1419.1905034511369</v>
      </c>
      <c r="P2733">
        <f>-601.31244349087 -87.8271575267124 -401.393333410315</f>
        <v>-1090.5329344278975</v>
      </c>
      <c r="Q2733" t="s">
        <v>54000</v>
      </c>
      <c r="R2733" t="s">
        <v>54001</v>
      </c>
      <c r="S2733" t="s">
        <v>54002</v>
      </c>
      <c r="T2733" t="s">
        <v>54003</v>
      </c>
      <c r="U2733" t="s">
        <v>54004</v>
      </c>
      <c r="V2733" t="s">
        <v>54005</v>
      </c>
      <c r="W2733" t="s">
        <v>54006</v>
      </c>
      <c r="X2733" t="s">
        <v>54007</v>
      </c>
      <c r="Y2733" t="s">
        <v>54008</v>
      </c>
    </row>
    <row r="2734" spans="1:25" x14ac:dyDescent="0.3">
      <c r="A2734">
        <v>136650</v>
      </c>
      <c r="B2734" t="s">
        <v>54009</v>
      </c>
      <c r="C2734" t="s">
        <v>54010</v>
      </c>
      <c r="D2734" t="s">
        <v>54011</v>
      </c>
      <c r="E2734" t="s">
        <v>54012</v>
      </c>
      <c r="F2734" t="s">
        <v>54013</v>
      </c>
      <c r="G2734" t="s">
        <v>54014</v>
      </c>
      <c r="H2734" t="s">
        <v>54015</v>
      </c>
      <c r="I2734" t="s">
        <v>54016</v>
      </c>
      <c r="J2734" t="s">
        <v>54017</v>
      </c>
      <c r="K2734" t="s">
        <v>54018</v>
      </c>
      <c r="L2734" t="s">
        <v>54019</v>
      </c>
      <c r="M2734" t="s">
        <v>54020</v>
      </c>
      <c r="N2734" t="s">
        <v>54021</v>
      </c>
      <c r="O2734">
        <f>-585.326921580128 -118.099465318691 -715.735175942958</f>
        <v>-1419.1615628417771</v>
      </c>
      <c r="P2734">
        <f>-600.754046114655 -88.6565250075614 -400.963253916451</f>
        <v>-1090.3738250386673</v>
      </c>
      <c r="Q2734" t="s">
        <v>54022</v>
      </c>
      <c r="R2734" t="s">
        <v>54023</v>
      </c>
      <c r="S2734" t="s">
        <v>54024</v>
      </c>
      <c r="T2734" t="s">
        <v>54025</v>
      </c>
      <c r="U2734" t="s">
        <v>54026</v>
      </c>
      <c r="V2734" t="s">
        <v>54027</v>
      </c>
      <c r="W2734" t="s">
        <v>54028</v>
      </c>
      <c r="X2734" t="s">
        <v>54029</v>
      </c>
      <c r="Y2734" t="s">
        <v>54030</v>
      </c>
    </row>
    <row r="2735" spans="1:25" x14ac:dyDescent="0.3">
      <c r="A2735">
        <v>136700</v>
      </c>
      <c r="B2735" t="s">
        <v>54031</v>
      </c>
      <c r="C2735" t="s">
        <v>54032</v>
      </c>
      <c r="D2735" t="s">
        <v>54033</v>
      </c>
      <c r="E2735" t="s">
        <v>54034</v>
      </c>
      <c r="F2735" t="s">
        <v>54035</v>
      </c>
      <c r="G2735" t="s">
        <v>54036</v>
      </c>
      <c r="H2735" t="s">
        <v>54037</v>
      </c>
      <c r="I2735" t="s">
        <v>54038</v>
      </c>
      <c r="J2735" t="s">
        <v>54039</v>
      </c>
      <c r="K2735" t="s">
        <v>54040</v>
      </c>
      <c r="L2735" t="s">
        <v>54041</v>
      </c>
      <c r="M2735" t="s">
        <v>54042</v>
      </c>
      <c r="N2735" t="s">
        <v>54043</v>
      </c>
      <c r="O2735">
        <f>-585.141958316361 -118.625946443348 -715.570195307994</f>
        <v>-1419.338100067703</v>
      </c>
      <c r="P2735">
        <f>-600.460395451391 -89.1731388827118 -400.793881469923</f>
        <v>-1090.4274158040257</v>
      </c>
      <c r="Q2735" t="s">
        <v>54044</v>
      </c>
      <c r="R2735" t="s">
        <v>54045</v>
      </c>
      <c r="S2735" t="s">
        <v>54046</v>
      </c>
      <c r="T2735" t="s">
        <v>54047</v>
      </c>
      <c r="U2735" t="s">
        <v>54048</v>
      </c>
      <c r="V2735" t="s">
        <v>54049</v>
      </c>
      <c r="W2735" t="s">
        <v>54050</v>
      </c>
      <c r="X2735" t="s">
        <v>54051</v>
      </c>
      <c r="Y2735" t="s">
        <v>54052</v>
      </c>
    </row>
    <row r="2736" spans="1:25" x14ac:dyDescent="0.3">
      <c r="A2736">
        <v>136750</v>
      </c>
      <c r="B2736" t="s">
        <v>54053</v>
      </c>
      <c r="C2736" t="s">
        <v>54054</v>
      </c>
      <c r="D2736" t="s">
        <v>54055</v>
      </c>
      <c r="E2736" t="s">
        <v>54056</v>
      </c>
      <c r="F2736" t="s">
        <v>54057</v>
      </c>
      <c r="G2736" t="s">
        <v>54058</v>
      </c>
      <c r="H2736" t="s">
        <v>54059</v>
      </c>
      <c r="I2736" t="s">
        <v>54060</v>
      </c>
      <c r="J2736" t="s">
        <v>54061</v>
      </c>
      <c r="K2736" t="s">
        <v>54062</v>
      </c>
      <c r="L2736" t="s">
        <v>54063</v>
      </c>
      <c r="M2736" t="s">
        <v>54064</v>
      </c>
      <c r="N2736" t="s">
        <v>54065</v>
      </c>
      <c r="O2736">
        <f>-584.562382427456 -119.609873699342 -715.528306769748</f>
        <v>-1419.700562896546</v>
      </c>
      <c r="P2736">
        <f>-599.574353957417 -90.1583631344949 -400.737378436947</f>
        <v>-1090.470095528859</v>
      </c>
      <c r="Q2736" t="s">
        <v>54066</v>
      </c>
      <c r="R2736" t="s">
        <v>54067</v>
      </c>
      <c r="S2736" t="s">
        <v>54068</v>
      </c>
      <c r="T2736" t="s">
        <v>54069</v>
      </c>
      <c r="U2736" t="s">
        <v>54070</v>
      </c>
      <c r="V2736" t="s">
        <v>54071</v>
      </c>
      <c r="W2736" t="s">
        <v>54072</v>
      </c>
      <c r="X2736" t="s">
        <v>54073</v>
      </c>
      <c r="Y2736" t="s">
        <v>54074</v>
      </c>
    </row>
    <row r="2737" spans="1:25" x14ac:dyDescent="0.3">
      <c r="A2737">
        <v>136800</v>
      </c>
      <c r="B2737" t="s">
        <v>54075</v>
      </c>
      <c r="C2737" t="s">
        <v>54076</v>
      </c>
      <c r="D2737" t="s">
        <v>54077</v>
      </c>
      <c r="E2737" t="s">
        <v>54078</v>
      </c>
      <c r="F2737" t="s">
        <v>54079</v>
      </c>
      <c r="G2737" t="s">
        <v>54080</v>
      </c>
      <c r="H2737" t="s">
        <v>54081</v>
      </c>
      <c r="I2737" t="s">
        <v>54082</v>
      </c>
      <c r="J2737" t="s">
        <v>54083</v>
      </c>
      <c r="K2737" t="s">
        <v>54084</v>
      </c>
      <c r="L2737" t="s">
        <v>54085</v>
      </c>
      <c r="M2737" t="s">
        <v>54086</v>
      </c>
      <c r="N2737" t="s">
        <v>54087</v>
      </c>
      <c r="O2737">
        <f>-583.927384605688 -120.012601423487 -715.596867028344</f>
        <v>-1419.536853057519</v>
      </c>
      <c r="P2737">
        <f>-598.918393184645 -90.630250219112 -400.79838507789</f>
        <v>-1090.3470284816469</v>
      </c>
      <c r="Q2737" t="s">
        <v>54088</v>
      </c>
      <c r="R2737" t="s">
        <v>54089</v>
      </c>
      <c r="S2737" t="s">
        <v>54090</v>
      </c>
      <c r="T2737" t="s">
        <v>54091</v>
      </c>
      <c r="U2737" t="s">
        <v>54092</v>
      </c>
      <c r="V2737" t="s">
        <v>54093</v>
      </c>
      <c r="W2737" t="s">
        <v>54094</v>
      </c>
      <c r="X2737" t="s">
        <v>54095</v>
      </c>
      <c r="Y2737" t="s">
        <v>54096</v>
      </c>
    </row>
    <row r="2738" spans="1:25" x14ac:dyDescent="0.3">
      <c r="A2738">
        <v>136850</v>
      </c>
      <c r="B2738" t="s">
        <v>54097</v>
      </c>
      <c r="C2738" t="s">
        <v>54098</v>
      </c>
      <c r="D2738" t="s">
        <v>54099</v>
      </c>
      <c r="E2738" t="s">
        <v>54100</v>
      </c>
      <c r="F2738" t="s">
        <v>54101</v>
      </c>
      <c r="G2738" t="s">
        <v>54102</v>
      </c>
      <c r="H2738" t="s">
        <v>54103</v>
      </c>
      <c r="I2738" t="s">
        <v>54104</v>
      </c>
      <c r="J2738" t="s">
        <v>54105</v>
      </c>
      <c r="K2738" t="s">
        <v>54106</v>
      </c>
      <c r="L2738" t="s">
        <v>54107</v>
      </c>
      <c r="M2738" t="s">
        <v>54108</v>
      </c>
      <c r="N2738" t="s">
        <v>54109</v>
      </c>
      <c r="O2738">
        <f>-582.871806134919 -120.134871617973 -716.065365053162</f>
        <v>-1419.072042806054</v>
      </c>
      <c r="P2738">
        <f>-597.835264937861 -90.7902658180931 -401.262037065221</f>
        <v>-1089.887567821175</v>
      </c>
      <c r="Q2738" t="s">
        <v>54110</v>
      </c>
      <c r="R2738" t="s">
        <v>54111</v>
      </c>
      <c r="S2738" t="s">
        <v>54112</v>
      </c>
      <c r="T2738" t="s">
        <v>54113</v>
      </c>
      <c r="U2738" t="s">
        <v>54114</v>
      </c>
      <c r="V2738" t="s">
        <v>54115</v>
      </c>
      <c r="W2738" t="s">
        <v>54116</v>
      </c>
      <c r="X2738" t="s">
        <v>54117</v>
      </c>
      <c r="Y2738" t="s">
        <v>54118</v>
      </c>
    </row>
    <row r="2739" spans="1:25" x14ac:dyDescent="0.3">
      <c r="A2739">
        <v>136900</v>
      </c>
      <c r="B2739" t="s">
        <v>54119</v>
      </c>
      <c r="C2739" t="s">
        <v>54120</v>
      </c>
      <c r="D2739" t="s">
        <v>54121</v>
      </c>
      <c r="E2739" t="s">
        <v>54122</v>
      </c>
      <c r="F2739" t="s">
        <v>54123</v>
      </c>
      <c r="G2739" t="s">
        <v>54124</v>
      </c>
      <c r="H2739" t="s">
        <v>54125</v>
      </c>
      <c r="I2739" t="s">
        <v>54126</v>
      </c>
      <c r="J2739" t="s">
        <v>54127</v>
      </c>
      <c r="K2739" t="s">
        <v>54128</v>
      </c>
      <c r="L2739" t="s">
        <v>54129</v>
      </c>
      <c r="M2739" t="s">
        <v>54130</v>
      </c>
      <c r="N2739" t="s">
        <v>54131</v>
      </c>
      <c r="O2739">
        <f>-582.36094841475 -120.209390091963 -716.364978997449</f>
        <v>-1418.935317504162</v>
      </c>
      <c r="P2739">
        <f>-597.213315788171 -90.9122997544935 -401.551910383903</f>
        <v>-1089.6775259265676</v>
      </c>
      <c r="Q2739" t="s">
        <v>54132</v>
      </c>
      <c r="R2739" t="s">
        <v>54133</v>
      </c>
      <c r="S2739" t="s">
        <v>54134</v>
      </c>
      <c r="T2739" t="s">
        <v>54135</v>
      </c>
      <c r="U2739" t="s">
        <v>54136</v>
      </c>
      <c r="V2739" t="s">
        <v>54137</v>
      </c>
      <c r="W2739" t="s">
        <v>54138</v>
      </c>
      <c r="X2739" t="s">
        <v>54139</v>
      </c>
      <c r="Y2739" t="s">
        <v>54140</v>
      </c>
    </row>
    <row r="2740" spans="1:25" x14ac:dyDescent="0.3">
      <c r="A2740">
        <v>136950</v>
      </c>
      <c r="B2740" t="s">
        <v>54141</v>
      </c>
      <c r="C2740" t="s">
        <v>54142</v>
      </c>
      <c r="D2740" t="s">
        <v>54143</v>
      </c>
      <c r="E2740" t="s">
        <v>54144</v>
      </c>
      <c r="F2740" t="s">
        <v>54145</v>
      </c>
      <c r="G2740" t="s">
        <v>54146</v>
      </c>
      <c r="H2740" t="s">
        <v>54147</v>
      </c>
      <c r="I2740" t="s">
        <v>54148</v>
      </c>
      <c r="J2740" t="s">
        <v>54149</v>
      </c>
      <c r="K2740" t="s">
        <v>54150</v>
      </c>
      <c r="L2740" t="s">
        <v>54151</v>
      </c>
      <c r="M2740" t="s">
        <v>54152</v>
      </c>
      <c r="N2740" t="s">
        <v>54153</v>
      </c>
      <c r="O2740">
        <f>-581.599074686573 -120.832901733319 -716.910188942525</f>
        <v>-1419.3421653624168</v>
      </c>
      <c r="P2740">
        <f>-596.202377579429 -91.4699602360379 -402.09166946169</f>
        <v>-1089.7640072771569</v>
      </c>
      <c r="Q2740" t="s">
        <v>54154</v>
      </c>
      <c r="R2740" t="s">
        <v>54155</v>
      </c>
      <c r="S2740" t="s">
        <v>54156</v>
      </c>
      <c r="T2740" t="s">
        <v>54157</v>
      </c>
      <c r="U2740" t="s">
        <v>54158</v>
      </c>
      <c r="V2740" t="s">
        <v>54159</v>
      </c>
      <c r="W2740" t="s">
        <v>54160</v>
      </c>
      <c r="X2740" t="s">
        <v>54161</v>
      </c>
      <c r="Y2740" t="s">
        <v>54162</v>
      </c>
    </row>
    <row r="2741" spans="1:25" x14ac:dyDescent="0.3">
      <c r="A2741">
        <v>137000</v>
      </c>
      <c r="B2741" t="s">
        <v>54163</v>
      </c>
      <c r="C2741" t="s">
        <v>54164</v>
      </c>
      <c r="D2741" t="s">
        <v>54165</v>
      </c>
      <c r="E2741" t="s">
        <v>54166</v>
      </c>
      <c r="F2741" t="s">
        <v>54167</v>
      </c>
      <c r="G2741" t="s">
        <v>54168</v>
      </c>
      <c r="H2741" t="s">
        <v>54169</v>
      </c>
      <c r="I2741" t="s">
        <v>54170</v>
      </c>
      <c r="J2741" t="s">
        <v>54171</v>
      </c>
      <c r="K2741" t="s">
        <v>54172</v>
      </c>
      <c r="L2741" t="s">
        <v>54173</v>
      </c>
      <c r="M2741" t="s">
        <v>54174</v>
      </c>
      <c r="N2741" t="s">
        <v>54175</v>
      </c>
      <c r="O2741">
        <f>-581.037036062851 -121.12759449036 -717.17506013902</f>
        <v>-1419.3396906922312</v>
      </c>
      <c r="P2741">
        <f>-595.463089264329 -91.9219010621107 -402.333603929555</f>
        <v>-1089.7185942559947</v>
      </c>
      <c r="Q2741" t="s">
        <v>54176</v>
      </c>
      <c r="R2741" t="s">
        <v>54177</v>
      </c>
      <c r="S2741" t="s">
        <v>54178</v>
      </c>
      <c r="T2741" t="s">
        <v>54179</v>
      </c>
      <c r="U2741" t="s">
        <v>54180</v>
      </c>
      <c r="V2741" t="s">
        <v>54181</v>
      </c>
      <c r="W2741" t="s">
        <v>54182</v>
      </c>
      <c r="X2741" t="s">
        <v>54183</v>
      </c>
      <c r="Y2741" t="s">
        <v>54184</v>
      </c>
    </row>
    <row r="2742" spans="1:25" x14ac:dyDescent="0.3">
      <c r="A2742">
        <v>137050</v>
      </c>
      <c r="B2742" t="s">
        <v>54185</v>
      </c>
      <c r="C2742" t="s">
        <v>54186</v>
      </c>
      <c r="D2742" t="s">
        <v>54187</v>
      </c>
      <c r="E2742" t="s">
        <v>54188</v>
      </c>
      <c r="F2742" t="s">
        <v>54189</v>
      </c>
      <c r="G2742" t="s">
        <v>54190</v>
      </c>
      <c r="H2742" t="s">
        <v>54191</v>
      </c>
      <c r="I2742" t="s">
        <v>54192</v>
      </c>
      <c r="J2742" t="s">
        <v>54193</v>
      </c>
      <c r="K2742" t="s">
        <v>54194</v>
      </c>
      <c r="L2742" t="s">
        <v>54195</v>
      </c>
      <c r="M2742" t="s">
        <v>54196</v>
      </c>
      <c r="N2742" t="s">
        <v>54197</v>
      </c>
      <c r="O2742">
        <f>-579.58956442327 -121.631438961443 -717.548114805769</f>
        <v>-1418.769118190482</v>
      </c>
      <c r="P2742">
        <f>-593.863125306426 -93.1848901759899 -402.630409182686</f>
        <v>-1089.6784246651018</v>
      </c>
      <c r="Q2742" t="s">
        <v>54198</v>
      </c>
      <c r="R2742" t="s">
        <v>54199</v>
      </c>
      <c r="S2742" t="s">
        <v>54200</v>
      </c>
      <c r="T2742" t="s">
        <v>54201</v>
      </c>
      <c r="U2742" t="s">
        <v>54202</v>
      </c>
      <c r="V2742" t="s">
        <v>54203</v>
      </c>
      <c r="W2742" t="s">
        <v>54204</v>
      </c>
      <c r="X2742" t="s">
        <v>54205</v>
      </c>
      <c r="Y2742" t="s">
        <v>54206</v>
      </c>
    </row>
    <row r="2743" spans="1:25" x14ac:dyDescent="0.3">
      <c r="A2743">
        <v>137100</v>
      </c>
      <c r="B2743" t="s">
        <v>54207</v>
      </c>
      <c r="C2743" t="s">
        <v>54208</v>
      </c>
      <c r="D2743" t="s">
        <v>54209</v>
      </c>
      <c r="E2743" t="s">
        <v>54210</v>
      </c>
      <c r="F2743" t="s">
        <v>54211</v>
      </c>
      <c r="G2743" t="s">
        <v>54212</v>
      </c>
      <c r="H2743" t="s">
        <v>54213</v>
      </c>
      <c r="I2743" t="s">
        <v>54214</v>
      </c>
      <c r="J2743" t="s">
        <v>54215</v>
      </c>
      <c r="K2743" t="s">
        <v>54216</v>
      </c>
      <c r="L2743" t="s">
        <v>54217</v>
      </c>
      <c r="M2743" t="s">
        <v>54218</v>
      </c>
      <c r="N2743" t="s">
        <v>54219</v>
      </c>
      <c r="O2743">
        <f>-578.823655662947 -121.951646161174 -717.646356164017</f>
        <v>-1418.4216579881381</v>
      </c>
      <c r="P2743">
        <f>-593.004691156359 -93.9194788649188 -402.687312554409</f>
        <v>-1089.6114825756868</v>
      </c>
      <c r="Q2743" t="s">
        <v>54220</v>
      </c>
      <c r="R2743" t="s">
        <v>54221</v>
      </c>
      <c r="S2743" t="s">
        <v>54222</v>
      </c>
      <c r="T2743" t="s">
        <v>54223</v>
      </c>
      <c r="U2743" t="s">
        <v>54224</v>
      </c>
      <c r="V2743" t="s">
        <v>54225</v>
      </c>
      <c r="W2743" t="s">
        <v>54226</v>
      </c>
      <c r="X2743" t="s">
        <v>54227</v>
      </c>
      <c r="Y2743" t="s">
        <v>54228</v>
      </c>
    </row>
    <row r="2744" spans="1:25" x14ac:dyDescent="0.3">
      <c r="A2744">
        <v>137150</v>
      </c>
      <c r="B2744" t="s">
        <v>54229</v>
      </c>
      <c r="C2744" t="s">
        <v>54230</v>
      </c>
      <c r="D2744" t="s">
        <v>54231</v>
      </c>
      <c r="E2744" t="s">
        <v>54232</v>
      </c>
      <c r="F2744" t="s">
        <v>54233</v>
      </c>
      <c r="G2744" t="s">
        <v>54234</v>
      </c>
      <c r="H2744" t="s">
        <v>54235</v>
      </c>
      <c r="I2744" t="s">
        <v>54236</v>
      </c>
      <c r="J2744" t="s">
        <v>54237</v>
      </c>
      <c r="K2744" t="s">
        <v>54238</v>
      </c>
      <c r="L2744" t="s">
        <v>54239</v>
      </c>
      <c r="M2744" t="s">
        <v>54240</v>
      </c>
      <c r="N2744" t="s">
        <v>54241</v>
      </c>
      <c r="O2744">
        <f>-577.046873254034 -122.745089684923 -717.919749666087</f>
        <v>-1417.7117126050439</v>
      </c>
      <c r="P2744">
        <f>-590.977127729364 -95.2274700411801 -402.90400328181</f>
        <v>-1089.1086010523541</v>
      </c>
      <c r="Q2744" t="s">
        <v>54242</v>
      </c>
      <c r="R2744" t="s">
        <v>54243</v>
      </c>
      <c r="S2744" t="s">
        <v>54244</v>
      </c>
      <c r="T2744" t="s">
        <v>54245</v>
      </c>
      <c r="U2744" t="s">
        <v>54246</v>
      </c>
      <c r="V2744" t="s">
        <v>54247</v>
      </c>
      <c r="W2744" t="s">
        <v>54248</v>
      </c>
      <c r="X2744" t="s">
        <v>54249</v>
      </c>
      <c r="Y2744" t="s">
        <v>54250</v>
      </c>
    </row>
    <row r="2745" spans="1:25" x14ac:dyDescent="0.3">
      <c r="A2745">
        <v>137200</v>
      </c>
      <c r="B2745" t="s">
        <v>54251</v>
      </c>
      <c r="C2745" t="s">
        <v>54252</v>
      </c>
      <c r="D2745" t="s">
        <v>54253</v>
      </c>
      <c r="E2745" t="s">
        <v>54254</v>
      </c>
      <c r="F2745" t="s">
        <v>54255</v>
      </c>
      <c r="G2745" t="s">
        <v>54256</v>
      </c>
      <c r="H2745" t="s">
        <v>54257</v>
      </c>
      <c r="I2745" t="s">
        <v>54258</v>
      </c>
      <c r="J2745" t="s">
        <v>54259</v>
      </c>
      <c r="K2745" t="s">
        <v>54260</v>
      </c>
      <c r="L2745" t="s">
        <v>54261</v>
      </c>
      <c r="M2745" t="s">
        <v>54262</v>
      </c>
      <c r="N2745" t="s">
        <v>54263</v>
      </c>
      <c r="O2745">
        <f>-576.088433456482 -123.322006747325 -717.941111008336</f>
        <v>-1417.351551212143</v>
      </c>
      <c r="P2745">
        <f>-589.958154502557 -96.1339680572114 -402.894020333024</f>
        <v>-1088.9861428927925</v>
      </c>
      <c r="Q2745" t="s">
        <v>54264</v>
      </c>
      <c r="R2745" t="s">
        <v>54265</v>
      </c>
      <c r="S2745" t="s">
        <v>54266</v>
      </c>
      <c r="T2745" t="s">
        <v>54267</v>
      </c>
      <c r="U2745" t="s">
        <v>54268</v>
      </c>
      <c r="V2745" t="s">
        <v>54269</v>
      </c>
      <c r="W2745" t="s">
        <v>54270</v>
      </c>
      <c r="X2745" t="s">
        <v>54271</v>
      </c>
      <c r="Y2745" t="s">
        <v>54272</v>
      </c>
    </row>
    <row r="2746" spans="1:25" x14ac:dyDescent="0.3">
      <c r="A2746">
        <v>137250</v>
      </c>
      <c r="B2746" t="s">
        <v>54273</v>
      </c>
      <c r="C2746" t="s">
        <v>54274</v>
      </c>
      <c r="D2746" t="s">
        <v>54275</v>
      </c>
      <c r="E2746" t="s">
        <v>54276</v>
      </c>
      <c r="F2746" t="s">
        <v>54277</v>
      </c>
      <c r="G2746" t="s">
        <v>54278</v>
      </c>
      <c r="H2746" t="s">
        <v>54279</v>
      </c>
      <c r="I2746" t="s">
        <v>54280</v>
      </c>
      <c r="J2746" t="s">
        <v>54281</v>
      </c>
      <c r="K2746" t="s">
        <v>54282</v>
      </c>
      <c r="L2746" t="s">
        <v>54283</v>
      </c>
      <c r="M2746" t="s">
        <v>54284</v>
      </c>
      <c r="N2746" t="s">
        <v>54285</v>
      </c>
      <c r="O2746">
        <f>-574.384165594842 -124.067838992243 -718.324684366861</f>
        <v>-1416.7766889539459</v>
      </c>
      <c r="P2746">
        <f>-588.132664051703 -97.3455908488963 -403.232582375354</f>
        <v>-1088.7108372759535</v>
      </c>
      <c r="Q2746" t="s">
        <v>54286</v>
      </c>
      <c r="R2746" t="s">
        <v>54287</v>
      </c>
      <c r="S2746" t="s">
        <v>54288</v>
      </c>
      <c r="T2746" t="s">
        <v>54289</v>
      </c>
      <c r="U2746" t="s">
        <v>54290</v>
      </c>
      <c r="V2746" t="s">
        <v>54291</v>
      </c>
      <c r="W2746" t="s">
        <v>54292</v>
      </c>
      <c r="X2746" t="s">
        <v>54293</v>
      </c>
      <c r="Y2746" t="s">
        <v>54294</v>
      </c>
    </row>
    <row r="2747" spans="1:25" x14ac:dyDescent="0.3">
      <c r="A2747">
        <v>137300</v>
      </c>
      <c r="B2747" t="s">
        <v>54295</v>
      </c>
      <c r="C2747" t="s">
        <v>54296</v>
      </c>
      <c r="D2747" t="s">
        <v>54297</v>
      </c>
      <c r="E2747" t="s">
        <v>54298</v>
      </c>
      <c r="F2747" t="s">
        <v>54299</v>
      </c>
      <c r="G2747" t="s">
        <v>54300</v>
      </c>
      <c r="H2747" t="s">
        <v>54301</v>
      </c>
      <c r="I2747" t="s">
        <v>54302</v>
      </c>
      <c r="J2747" t="s">
        <v>54303</v>
      </c>
      <c r="K2747" t="s">
        <v>54304</v>
      </c>
      <c r="L2747" t="s">
        <v>54305</v>
      </c>
      <c r="M2747" t="s">
        <v>54306</v>
      </c>
      <c r="N2747" t="s">
        <v>54307</v>
      </c>
      <c r="O2747">
        <f>-573.245364631466 -124.585601570259 -718.403275436003</f>
        <v>-1416.234241637728</v>
      </c>
      <c r="P2747">
        <f>-587.012561513832 -98.1770336662664 -403.285512724107</f>
        <v>-1088.4751079042053</v>
      </c>
      <c r="Q2747" t="s">
        <v>54308</v>
      </c>
      <c r="R2747" t="s">
        <v>54309</v>
      </c>
      <c r="S2747" t="s">
        <v>54310</v>
      </c>
      <c r="T2747" t="s">
        <v>54311</v>
      </c>
      <c r="U2747" t="s">
        <v>54312</v>
      </c>
      <c r="V2747" t="s">
        <v>54313</v>
      </c>
      <c r="W2747" t="s">
        <v>54314</v>
      </c>
      <c r="X2747" t="s">
        <v>54315</v>
      </c>
      <c r="Y2747" t="s">
        <v>54316</v>
      </c>
    </row>
    <row r="2748" spans="1:25" x14ac:dyDescent="0.3">
      <c r="A2748">
        <v>137350</v>
      </c>
      <c r="B2748" t="s">
        <v>54317</v>
      </c>
      <c r="C2748" t="s">
        <v>54318</v>
      </c>
      <c r="D2748" t="s">
        <v>54319</v>
      </c>
      <c r="E2748" t="s">
        <v>54320</v>
      </c>
      <c r="F2748" t="s">
        <v>54321</v>
      </c>
      <c r="G2748" t="s">
        <v>54322</v>
      </c>
      <c r="H2748" t="s">
        <v>54323</v>
      </c>
      <c r="I2748" t="s">
        <v>54324</v>
      </c>
      <c r="J2748" t="s">
        <v>54325</v>
      </c>
      <c r="K2748" t="s">
        <v>54326</v>
      </c>
      <c r="L2748" t="s">
        <v>54327</v>
      </c>
      <c r="M2748" t="s">
        <v>54328</v>
      </c>
      <c r="N2748" t="s">
        <v>54329</v>
      </c>
      <c r="O2748">
        <f>-571.277225615738 -125.598104168849 -718.534567016354</f>
        <v>-1415.4098968009409</v>
      </c>
      <c r="P2748">
        <f>-585.091091028965 -99.6679230949164 -403.379181062059</f>
        <v>-1088.1381951859405</v>
      </c>
      <c r="Q2748" t="s">
        <v>54330</v>
      </c>
      <c r="R2748" t="s">
        <v>54331</v>
      </c>
      <c r="S2748" t="s">
        <v>54332</v>
      </c>
      <c r="T2748" t="s">
        <v>54333</v>
      </c>
      <c r="U2748" t="s">
        <v>54334</v>
      </c>
      <c r="V2748" t="s">
        <v>54335</v>
      </c>
      <c r="W2748" t="s">
        <v>54336</v>
      </c>
      <c r="X2748" t="s">
        <v>54337</v>
      </c>
      <c r="Y2748" t="s">
        <v>54338</v>
      </c>
    </row>
    <row r="2749" spans="1:25" x14ac:dyDescent="0.3">
      <c r="A2749">
        <v>137400</v>
      </c>
      <c r="B2749" t="s">
        <v>54339</v>
      </c>
      <c r="C2749" t="s">
        <v>54340</v>
      </c>
      <c r="D2749" t="s">
        <v>54341</v>
      </c>
      <c r="E2749" t="s">
        <v>54342</v>
      </c>
      <c r="F2749" t="s">
        <v>54343</v>
      </c>
      <c r="G2749" t="s">
        <v>54344</v>
      </c>
      <c r="H2749" t="s">
        <v>54345</v>
      </c>
      <c r="I2749" t="s">
        <v>54346</v>
      </c>
      <c r="J2749" t="s">
        <v>54347</v>
      </c>
      <c r="K2749" t="s">
        <v>54348</v>
      </c>
      <c r="L2749" t="s">
        <v>54349</v>
      </c>
      <c r="M2749" t="s">
        <v>54350</v>
      </c>
      <c r="N2749" t="s">
        <v>54351</v>
      </c>
      <c r="O2749">
        <f>-570.561358890434 -125.907741209217 -718.650866808223</f>
        <v>-1415.119966907874</v>
      </c>
      <c r="P2749">
        <f>-584.403037860087 -100.178440377659 -403.480197100324</f>
        <v>-1088.06167533807</v>
      </c>
      <c r="Q2749" t="s">
        <v>54352</v>
      </c>
      <c r="R2749" t="s">
        <v>54353</v>
      </c>
      <c r="S2749" t="s">
        <v>54354</v>
      </c>
      <c r="T2749" t="s">
        <v>54355</v>
      </c>
      <c r="U2749" t="s">
        <v>54356</v>
      </c>
      <c r="V2749" t="s">
        <v>54357</v>
      </c>
      <c r="W2749" t="s">
        <v>54358</v>
      </c>
      <c r="X2749" t="s">
        <v>54359</v>
      </c>
      <c r="Y2749" t="s">
        <v>54360</v>
      </c>
    </row>
    <row r="2750" spans="1:25" x14ac:dyDescent="0.3">
      <c r="A2750">
        <v>137450</v>
      </c>
      <c r="B2750" t="s">
        <v>54361</v>
      </c>
      <c r="C2750" t="s">
        <v>54362</v>
      </c>
      <c r="D2750" t="s">
        <v>54363</v>
      </c>
      <c r="E2750" t="s">
        <v>54364</v>
      </c>
      <c r="F2750" t="s">
        <v>54365</v>
      </c>
      <c r="G2750" t="s">
        <v>54366</v>
      </c>
      <c r="H2750" t="s">
        <v>54367</v>
      </c>
      <c r="I2750" t="s">
        <v>54368</v>
      </c>
      <c r="J2750" t="s">
        <v>54369</v>
      </c>
      <c r="K2750" t="s">
        <v>54370</v>
      </c>
      <c r="L2750" t="s">
        <v>54371</v>
      </c>
      <c r="M2750" t="s">
        <v>54372</v>
      </c>
      <c r="N2750" t="s">
        <v>54373</v>
      </c>
      <c r="O2750">
        <f>-568.865759419983 -126.893490536408 -718.774632280588</f>
        <v>-1414.533882236979</v>
      </c>
      <c r="P2750">
        <f>-582.768119866456 -101.637376031104 -403.56842026218</f>
        <v>-1087.9739161597399</v>
      </c>
      <c r="Q2750" t="s">
        <v>54374</v>
      </c>
      <c r="R2750" t="s">
        <v>54375</v>
      </c>
      <c r="S2750" t="s">
        <v>54376</v>
      </c>
      <c r="T2750" t="s">
        <v>54377</v>
      </c>
      <c r="U2750" t="s">
        <v>54378</v>
      </c>
      <c r="V2750" t="s">
        <v>54379</v>
      </c>
      <c r="W2750" t="s">
        <v>54380</v>
      </c>
      <c r="X2750" t="s">
        <v>54381</v>
      </c>
      <c r="Y2750" t="s">
        <v>54382</v>
      </c>
    </row>
    <row r="2751" spans="1:25" x14ac:dyDescent="0.3">
      <c r="A2751">
        <v>137500</v>
      </c>
      <c r="B2751" t="s">
        <v>54383</v>
      </c>
      <c r="C2751" t="s">
        <v>54384</v>
      </c>
      <c r="D2751" t="s">
        <v>54385</v>
      </c>
      <c r="E2751" t="s">
        <v>54386</v>
      </c>
      <c r="F2751" t="s">
        <v>54387</v>
      </c>
      <c r="G2751" t="s">
        <v>54388</v>
      </c>
      <c r="H2751" t="s">
        <v>54389</v>
      </c>
      <c r="I2751" t="s">
        <v>54390</v>
      </c>
      <c r="J2751" t="s">
        <v>54391</v>
      </c>
      <c r="K2751" t="s">
        <v>54392</v>
      </c>
      <c r="L2751" t="s">
        <v>54393</v>
      </c>
      <c r="M2751" t="s">
        <v>54394</v>
      </c>
      <c r="N2751" t="s">
        <v>54395</v>
      </c>
      <c r="O2751">
        <f>-568.248214005868 -127.162326474953 -718.886171085059</f>
        <v>-1414.2967115658801</v>
      </c>
      <c r="P2751">
        <f>-582.152297831214 -102.060176330726 -403.667709737917</f>
        <v>-1087.880183899857</v>
      </c>
      <c r="Q2751" t="s">
        <v>54396</v>
      </c>
      <c r="R2751" t="s">
        <v>54397</v>
      </c>
      <c r="S2751" t="s">
        <v>54398</v>
      </c>
      <c r="T2751" t="s">
        <v>54399</v>
      </c>
      <c r="U2751" t="s">
        <v>54400</v>
      </c>
      <c r="V2751" t="s">
        <v>54401</v>
      </c>
      <c r="W2751" t="s">
        <v>54402</v>
      </c>
      <c r="X2751" t="s">
        <v>54403</v>
      </c>
      <c r="Y2751" t="s">
        <v>54404</v>
      </c>
    </row>
    <row r="2752" spans="1:25" x14ac:dyDescent="0.3">
      <c r="A2752">
        <v>137550</v>
      </c>
      <c r="B2752" t="s">
        <v>54405</v>
      </c>
      <c r="C2752" t="s">
        <v>54406</v>
      </c>
      <c r="D2752" t="s">
        <v>54407</v>
      </c>
      <c r="E2752" t="s">
        <v>54408</v>
      </c>
      <c r="F2752" t="s">
        <v>54409</v>
      </c>
      <c r="G2752" t="s">
        <v>54410</v>
      </c>
      <c r="H2752" t="s">
        <v>54411</v>
      </c>
      <c r="I2752" t="s">
        <v>54412</v>
      </c>
      <c r="J2752" t="s">
        <v>54413</v>
      </c>
      <c r="K2752" t="s">
        <v>54414</v>
      </c>
      <c r="L2752" t="s">
        <v>54415</v>
      </c>
      <c r="M2752" t="s">
        <v>54416</v>
      </c>
      <c r="N2752" t="s">
        <v>54417</v>
      </c>
      <c r="O2752">
        <f>-567.038947151116 -128.088330442011 -719.056225073081</f>
        <v>-1414.1835026662079</v>
      </c>
      <c r="P2752">
        <f>-581.066482183617 -103.390470397978 -403.811117943575</f>
        <v>-1088.2680705251701</v>
      </c>
      <c r="Q2752" t="s">
        <v>54418</v>
      </c>
      <c r="R2752" t="s">
        <v>54419</v>
      </c>
      <c r="S2752" t="s">
        <v>54420</v>
      </c>
      <c r="T2752" t="s">
        <v>54421</v>
      </c>
      <c r="U2752" t="s">
        <v>54422</v>
      </c>
      <c r="V2752" t="s">
        <v>54423</v>
      </c>
      <c r="W2752" t="s">
        <v>54424</v>
      </c>
      <c r="X2752" t="s">
        <v>54425</v>
      </c>
      <c r="Y2752" t="s">
        <v>54426</v>
      </c>
    </row>
    <row r="2753" spans="1:25" x14ac:dyDescent="0.3">
      <c r="A2753">
        <v>137600</v>
      </c>
      <c r="B2753" t="s">
        <v>54427</v>
      </c>
      <c r="C2753" t="s">
        <v>54428</v>
      </c>
      <c r="D2753" t="s">
        <v>54429</v>
      </c>
      <c r="E2753" t="s">
        <v>54430</v>
      </c>
      <c r="F2753" t="s">
        <v>54431</v>
      </c>
      <c r="G2753" t="s">
        <v>54432</v>
      </c>
      <c r="H2753" t="s">
        <v>54433</v>
      </c>
      <c r="I2753" t="s">
        <v>54434</v>
      </c>
      <c r="J2753" t="s">
        <v>54435</v>
      </c>
      <c r="K2753" t="s">
        <v>54436</v>
      </c>
      <c r="L2753" t="s">
        <v>54437</v>
      </c>
      <c r="M2753" t="s">
        <v>54438</v>
      </c>
      <c r="N2753" t="s">
        <v>54439</v>
      </c>
      <c r="O2753">
        <f>-566.526637514591 -128.674072309932 -719.188239588474</f>
        <v>-1414.3889494129971</v>
      </c>
      <c r="P2753">
        <f>-580.583256327337 -104.233141720244 -403.924358956009</f>
        <v>-1088.74075700359</v>
      </c>
      <c r="Q2753" t="s">
        <v>54440</v>
      </c>
      <c r="R2753" t="s">
        <v>54441</v>
      </c>
      <c r="S2753" t="s">
        <v>54442</v>
      </c>
      <c r="T2753" t="s">
        <v>54443</v>
      </c>
      <c r="U2753" t="s">
        <v>54444</v>
      </c>
      <c r="V2753" t="s">
        <v>54445</v>
      </c>
      <c r="W2753" t="s">
        <v>54446</v>
      </c>
      <c r="X2753" t="s">
        <v>54447</v>
      </c>
      <c r="Y2753" t="s">
        <v>54448</v>
      </c>
    </row>
    <row r="2754" spans="1:25" x14ac:dyDescent="0.3">
      <c r="A2754">
        <v>137650</v>
      </c>
      <c r="B2754" t="s">
        <v>54449</v>
      </c>
      <c r="C2754" t="s">
        <v>54450</v>
      </c>
      <c r="D2754" t="s">
        <v>54451</v>
      </c>
      <c r="E2754" t="s">
        <v>54452</v>
      </c>
      <c r="F2754" t="s">
        <v>54453</v>
      </c>
      <c r="G2754" t="s">
        <v>54454</v>
      </c>
      <c r="H2754" t="s">
        <v>54455</v>
      </c>
      <c r="I2754" t="s">
        <v>54456</v>
      </c>
      <c r="J2754" t="s">
        <v>54457</v>
      </c>
      <c r="K2754" t="s">
        <v>54458</v>
      </c>
      <c r="L2754" t="s">
        <v>54459</v>
      </c>
      <c r="M2754" t="s">
        <v>54460</v>
      </c>
      <c r="N2754" t="s">
        <v>54461</v>
      </c>
      <c r="O2754">
        <f>-565.394574978917 -130.221343471246 -719.261744697432</f>
        <v>-1414.8776631475951</v>
      </c>
      <c r="P2754">
        <f>-579.609340390607 -106.359000434084 -403.960619345716</f>
        <v>-1089.928960170407</v>
      </c>
      <c r="Q2754" t="s">
        <v>54462</v>
      </c>
      <c r="R2754" t="s">
        <v>54463</v>
      </c>
      <c r="S2754" t="s">
        <v>54464</v>
      </c>
      <c r="T2754" t="s">
        <v>54465</v>
      </c>
      <c r="U2754" t="s">
        <v>54466</v>
      </c>
      <c r="V2754" t="s">
        <v>54467</v>
      </c>
      <c r="W2754" t="s">
        <v>54468</v>
      </c>
      <c r="X2754" t="s">
        <v>54469</v>
      </c>
      <c r="Y2754" t="s">
        <v>54470</v>
      </c>
    </row>
    <row r="2755" spans="1:25" x14ac:dyDescent="0.3">
      <c r="A2755">
        <v>137700</v>
      </c>
      <c r="B2755" t="s">
        <v>54471</v>
      </c>
      <c r="C2755" t="s">
        <v>54472</v>
      </c>
      <c r="D2755" t="s">
        <v>54473</v>
      </c>
      <c r="E2755" t="s">
        <v>54474</v>
      </c>
      <c r="F2755" t="s">
        <v>54475</v>
      </c>
      <c r="G2755" t="s">
        <v>54476</v>
      </c>
      <c r="H2755" t="s">
        <v>54477</v>
      </c>
      <c r="I2755" t="s">
        <v>54478</v>
      </c>
      <c r="J2755" t="s">
        <v>54479</v>
      </c>
      <c r="K2755" t="s">
        <v>54480</v>
      </c>
      <c r="L2755" t="s">
        <v>54481</v>
      </c>
      <c r="M2755" t="s">
        <v>54482</v>
      </c>
      <c r="N2755" t="s">
        <v>54483</v>
      </c>
      <c r="O2755">
        <f>-564.447843343959 -131.017247433185 -719.229578141106</f>
        <v>-1414.69466891825</v>
      </c>
      <c r="P2755">
        <f>-578.699302130488 -107.449336438952 -403.908009142799</f>
        <v>-1090.0566477122391</v>
      </c>
      <c r="Q2755" t="s">
        <v>54484</v>
      </c>
      <c r="R2755" t="s">
        <v>54485</v>
      </c>
      <c r="S2755" t="s">
        <v>54486</v>
      </c>
      <c r="T2755" t="s">
        <v>54487</v>
      </c>
      <c r="U2755" t="s">
        <v>54488</v>
      </c>
      <c r="V2755" t="s">
        <v>54489</v>
      </c>
      <c r="W2755" t="s">
        <v>54490</v>
      </c>
      <c r="X2755" t="s">
        <v>54491</v>
      </c>
      <c r="Y2755" t="s">
        <v>54492</v>
      </c>
    </row>
    <row r="2756" spans="1:25" x14ac:dyDescent="0.3">
      <c r="A2756">
        <v>137750</v>
      </c>
      <c r="B2756" t="s">
        <v>54493</v>
      </c>
      <c r="C2756" t="s">
        <v>54494</v>
      </c>
      <c r="D2756" t="s">
        <v>54495</v>
      </c>
      <c r="E2756" t="s">
        <v>54496</v>
      </c>
      <c r="F2756" t="s">
        <v>54497</v>
      </c>
      <c r="G2756" t="s">
        <v>54498</v>
      </c>
      <c r="H2756" t="s">
        <v>54499</v>
      </c>
      <c r="I2756" t="s">
        <v>54500</v>
      </c>
      <c r="J2756" t="s">
        <v>54501</v>
      </c>
      <c r="K2756" t="s">
        <v>54502</v>
      </c>
      <c r="L2756" t="s">
        <v>54503</v>
      </c>
      <c r="M2756" t="s">
        <v>54504</v>
      </c>
      <c r="N2756" t="s">
        <v>54505</v>
      </c>
      <c r="O2756">
        <f>-562.683460500186 -131.964412060392 -719.20958289726</f>
        <v>-1413.8574554578381</v>
      </c>
      <c r="P2756">
        <f>-577.029243045937 -108.869164344137 -403.857417870435</f>
        <v>-1089.755825260509</v>
      </c>
      <c r="Q2756" t="s">
        <v>54506</v>
      </c>
      <c r="R2756" t="s">
        <v>54507</v>
      </c>
      <c r="S2756" t="s">
        <v>54508</v>
      </c>
      <c r="T2756" t="s">
        <v>54509</v>
      </c>
      <c r="U2756" t="s">
        <v>54510</v>
      </c>
      <c r="V2756" t="s">
        <v>54511</v>
      </c>
      <c r="W2756" t="s">
        <v>54512</v>
      </c>
      <c r="X2756" t="s">
        <v>54513</v>
      </c>
      <c r="Y2756" t="s">
        <v>54514</v>
      </c>
    </row>
    <row r="2757" spans="1:25" x14ac:dyDescent="0.3">
      <c r="A2757">
        <v>137800</v>
      </c>
      <c r="B2757" t="s">
        <v>54515</v>
      </c>
      <c r="C2757" t="s">
        <v>54516</v>
      </c>
      <c r="D2757" t="s">
        <v>54517</v>
      </c>
      <c r="E2757" t="s">
        <v>54518</v>
      </c>
      <c r="F2757" t="s">
        <v>54519</v>
      </c>
      <c r="G2757" t="s">
        <v>54520</v>
      </c>
      <c r="H2757" t="s">
        <v>54521</v>
      </c>
      <c r="I2757" t="s">
        <v>54522</v>
      </c>
      <c r="J2757" t="s">
        <v>54523</v>
      </c>
      <c r="K2757" t="s">
        <v>54524</v>
      </c>
      <c r="L2757" t="s">
        <v>54525</v>
      </c>
      <c r="M2757" t="s">
        <v>54526</v>
      </c>
      <c r="N2757" t="s">
        <v>54527</v>
      </c>
      <c r="O2757">
        <f>-561.846448189431 -132.270307560619 -719.366617140706</f>
        <v>-1413.4833728907561</v>
      </c>
      <c r="P2757">
        <f>-576.278526586775 -109.377399918375 -404.003686988832</f>
        <v>-1089.6596134939819</v>
      </c>
      <c r="Q2757" t="s">
        <v>54528</v>
      </c>
      <c r="R2757" t="s">
        <v>54529</v>
      </c>
      <c r="S2757" t="s">
        <v>54530</v>
      </c>
      <c r="T2757" t="s">
        <v>54531</v>
      </c>
      <c r="U2757" t="s">
        <v>54532</v>
      </c>
      <c r="V2757" t="s">
        <v>54533</v>
      </c>
      <c r="W2757" t="s">
        <v>54534</v>
      </c>
      <c r="X2757" t="s">
        <v>54535</v>
      </c>
      <c r="Y2757" t="s">
        <v>54536</v>
      </c>
    </row>
    <row r="2758" spans="1:25" x14ac:dyDescent="0.3">
      <c r="A2758">
        <v>137850</v>
      </c>
      <c r="B2758" t="s">
        <v>54537</v>
      </c>
      <c r="C2758" t="s">
        <v>54538</v>
      </c>
      <c r="D2758" t="s">
        <v>54539</v>
      </c>
      <c r="E2758" t="s">
        <v>54540</v>
      </c>
      <c r="F2758" t="s">
        <v>54541</v>
      </c>
      <c r="G2758" t="s">
        <v>54542</v>
      </c>
      <c r="H2758" t="s">
        <v>54543</v>
      </c>
      <c r="I2758" t="s">
        <v>54544</v>
      </c>
      <c r="J2758" t="s">
        <v>54545</v>
      </c>
      <c r="K2758" t="s">
        <v>54546</v>
      </c>
      <c r="L2758" t="s">
        <v>54547</v>
      </c>
      <c r="M2758" t="s">
        <v>54548</v>
      </c>
      <c r="N2758" t="s">
        <v>54549</v>
      </c>
      <c r="O2758">
        <f>-559.990430097063 -133.164442663802 -719.519361883025</f>
        <v>-1412.67423464389</v>
      </c>
      <c r="P2758">
        <f>-574.650366151352 -110.728943928529 -404.134004568388</f>
        <v>-1089.513314648269</v>
      </c>
      <c r="Q2758" t="s">
        <v>54550</v>
      </c>
      <c r="R2758" t="s">
        <v>54551</v>
      </c>
      <c r="S2758" t="s">
        <v>54552</v>
      </c>
      <c r="T2758" t="s">
        <v>54553</v>
      </c>
      <c r="U2758" t="s">
        <v>54554</v>
      </c>
      <c r="V2758" t="s">
        <v>54555</v>
      </c>
      <c r="W2758" t="s">
        <v>54556</v>
      </c>
      <c r="X2758" t="s">
        <v>54557</v>
      </c>
      <c r="Y2758" t="s">
        <v>54558</v>
      </c>
    </row>
    <row r="2759" spans="1:25" x14ac:dyDescent="0.3">
      <c r="A2759">
        <v>137900</v>
      </c>
      <c r="B2759" t="s">
        <v>54559</v>
      </c>
      <c r="C2759" t="s">
        <v>54560</v>
      </c>
      <c r="D2759" t="s">
        <v>54561</v>
      </c>
      <c r="E2759" t="s">
        <v>54562</v>
      </c>
      <c r="F2759" t="s">
        <v>54563</v>
      </c>
      <c r="G2759" t="s">
        <v>54564</v>
      </c>
      <c r="H2759" t="s">
        <v>54565</v>
      </c>
      <c r="I2759" t="s">
        <v>54566</v>
      </c>
      <c r="J2759" t="s">
        <v>54567</v>
      </c>
      <c r="K2759" t="s">
        <v>54568</v>
      </c>
      <c r="L2759" t="s">
        <v>54569</v>
      </c>
      <c r="M2759" t="s">
        <v>54570</v>
      </c>
      <c r="N2759" t="s">
        <v>54571</v>
      </c>
      <c r="O2759">
        <f>-559.060783843971 -133.543826746571 -719.656457264774</f>
        <v>-1412.261067855316</v>
      </c>
      <c r="P2759">
        <f>-573.731891669213 -111.297418373573 -404.258151692642</f>
        <v>-1089.287461735428</v>
      </c>
      <c r="Q2759" t="s">
        <v>54572</v>
      </c>
      <c r="R2759" t="s">
        <v>54573</v>
      </c>
      <c r="S2759" t="s">
        <v>54574</v>
      </c>
      <c r="T2759" t="s">
        <v>54575</v>
      </c>
      <c r="U2759" t="s">
        <v>54576</v>
      </c>
      <c r="V2759" t="s">
        <v>54577</v>
      </c>
      <c r="W2759" t="s">
        <v>54578</v>
      </c>
      <c r="X2759" t="s">
        <v>54579</v>
      </c>
      <c r="Y2759" t="s">
        <v>54580</v>
      </c>
    </row>
    <row r="2760" spans="1:25" x14ac:dyDescent="0.3">
      <c r="A2760">
        <v>137950</v>
      </c>
      <c r="B2760" t="s">
        <v>54581</v>
      </c>
      <c r="C2760" t="s">
        <v>54582</v>
      </c>
      <c r="D2760" t="s">
        <v>54583</v>
      </c>
      <c r="E2760" t="s">
        <v>54584</v>
      </c>
      <c r="F2760" t="s">
        <v>54585</v>
      </c>
      <c r="G2760" t="s">
        <v>54586</v>
      </c>
      <c r="H2760" t="s">
        <v>54587</v>
      </c>
      <c r="I2760" t="s">
        <v>54588</v>
      </c>
      <c r="J2760" t="s">
        <v>54589</v>
      </c>
      <c r="K2760" t="s">
        <v>54590</v>
      </c>
      <c r="L2760" t="s">
        <v>54591</v>
      </c>
      <c r="M2760" t="s">
        <v>54592</v>
      </c>
      <c r="N2760" t="s">
        <v>54593</v>
      </c>
      <c r="O2760">
        <f>-557.120150950048 -134.207376788858 -720.090618275763</f>
        <v>-1411.418146014669</v>
      </c>
      <c r="P2760">
        <f>-571.867462144662 -112.346637466207 -404.668994270291</f>
        <v>-1088.88309388116</v>
      </c>
      <c r="Q2760" t="s">
        <v>54594</v>
      </c>
      <c r="R2760" t="s">
        <v>54595</v>
      </c>
      <c r="S2760" t="s">
        <v>54596</v>
      </c>
      <c r="T2760" t="s">
        <v>54597</v>
      </c>
      <c r="U2760" t="s">
        <v>54598</v>
      </c>
      <c r="V2760" t="s">
        <v>54599</v>
      </c>
      <c r="W2760" t="s">
        <v>54600</v>
      </c>
      <c r="X2760" t="s">
        <v>54601</v>
      </c>
      <c r="Y2760" t="s">
        <v>54602</v>
      </c>
    </row>
    <row r="2761" spans="1:25" x14ac:dyDescent="0.3">
      <c r="A2761">
        <v>138000</v>
      </c>
      <c r="B2761" t="s">
        <v>54603</v>
      </c>
      <c r="C2761" t="s">
        <v>54604</v>
      </c>
      <c r="D2761" t="s">
        <v>54605</v>
      </c>
      <c r="E2761" t="s">
        <v>54606</v>
      </c>
      <c r="F2761" t="s">
        <v>54607</v>
      </c>
      <c r="G2761" t="s">
        <v>54608</v>
      </c>
      <c r="H2761" t="s">
        <v>54609</v>
      </c>
      <c r="I2761" t="s">
        <v>54610</v>
      </c>
      <c r="J2761" t="s">
        <v>54611</v>
      </c>
      <c r="K2761" t="s">
        <v>54612</v>
      </c>
      <c r="L2761" t="s">
        <v>54613</v>
      </c>
      <c r="M2761" t="s">
        <v>54614</v>
      </c>
      <c r="N2761" t="s">
        <v>54615</v>
      </c>
      <c r="O2761">
        <f>-556.073988089593 -134.430180672323 -720.309527105689</f>
        <v>-1410.813695867605</v>
      </c>
      <c r="P2761">
        <f>-570.941705323905 -112.746649138029 -404.881446861548</f>
        <v>-1088.5698013234821</v>
      </c>
      <c r="Q2761" t="s">
        <v>54616</v>
      </c>
      <c r="R2761" t="s">
        <v>54617</v>
      </c>
      <c r="S2761" t="s">
        <v>54618</v>
      </c>
      <c r="T2761" t="s">
        <v>54619</v>
      </c>
      <c r="U2761" t="s">
        <v>54620</v>
      </c>
      <c r="V2761" t="s">
        <v>54621</v>
      </c>
      <c r="W2761" t="s">
        <v>54622</v>
      </c>
      <c r="X2761" t="s">
        <v>54623</v>
      </c>
      <c r="Y2761" t="s">
        <v>54624</v>
      </c>
    </row>
    <row r="2762" spans="1:25" x14ac:dyDescent="0.3">
      <c r="A2762">
        <v>138050</v>
      </c>
      <c r="B2762" t="s">
        <v>54625</v>
      </c>
      <c r="C2762" t="s">
        <v>54626</v>
      </c>
      <c r="D2762" t="s">
        <v>54627</v>
      </c>
      <c r="E2762" t="s">
        <v>54628</v>
      </c>
      <c r="F2762" t="s">
        <v>54629</v>
      </c>
      <c r="G2762" t="s">
        <v>54630</v>
      </c>
      <c r="H2762" t="s">
        <v>54631</v>
      </c>
      <c r="I2762" t="s">
        <v>54632</v>
      </c>
      <c r="J2762" t="s">
        <v>54633</v>
      </c>
      <c r="K2762" t="s">
        <v>54634</v>
      </c>
      <c r="L2762" t="s">
        <v>54635</v>
      </c>
      <c r="M2762" t="s">
        <v>54636</v>
      </c>
      <c r="N2762" t="s">
        <v>54637</v>
      </c>
      <c r="O2762">
        <f>-554.381610494704 -135.048111524293 -720.621276836979</f>
        <v>-1410.0509988559759</v>
      </c>
      <c r="P2762">
        <f>-569.320240405206 -113.815823016865 -405.165774238535</f>
        <v>-1088.301837660606</v>
      </c>
      <c r="Q2762" t="s">
        <v>54638</v>
      </c>
      <c r="R2762" t="s">
        <v>54639</v>
      </c>
      <c r="S2762" t="s">
        <v>54640</v>
      </c>
      <c r="T2762" t="s">
        <v>54641</v>
      </c>
      <c r="U2762" t="s">
        <v>54642</v>
      </c>
      <c r="V2762" t="s">
        <v>54643</v>
      </c>
      <c r="W2762" t="s">
        <v>54644</v>
      </c>
      <c r="X2762" t="s">
        <v>54645</v>
      </c>
      <c r="Y2762" t="s">
        <v>54646</v>
      </c>
    </row>
    <row r="2763" spans="1:25" x14ac:dyDescent="0.3">
      <c r="A2763">
        <v>138100</v>
      </c>
      <c r="B2763" t="s">
        <v>54647</v>
      </c>
      <c r="C2763" t="s">
        <v>54648</v>
      </c>
      <c r="D2763" t="s">
        <v>54649</v>
      </c>
      <c r="E2763" t="s">
        <v>54650</v>
      </c>
      <c r="F2763" t="s">
        <v>54651</v>
      </c>
      <c r="G2763" t="s">
        <v>54652</v>
      </c>
      <c r="H2763" t="s">
        <v>54653</v>
      </c>
      <c r="I2763" t="s">
        <v>54654</v>
      </c>
      <c r="J2763" t="s">
        <v>54655</v>
      </c>
      <c r="K2763" t="s">
        <v>54656</v>
      </c>
      <c r="L2763" t="s">
        <v>54657</v>
      </c>
      <c r="M2763" t="s">
        <v>54658</v>
      </c>
      <c r="N2763" t="s">
        <v>54659</v>
      </c>
      <c r="O2763">
        <f>-553.430343823281 -135.411664938479 -720.743019694802</f>
        <v>-1409.585028456562</v>
      </c>
      <c r="P2763">
        <f>-568.330252258564 -114.324658211849 -405.275915522718</f>
        <v>-1087.9308259931308</v>
      </c>
      <c r="Q2763" t="s">
        <v>54660</v>
      </c>
      <c r="R2763" t="s">
        <v>54661</v>
      </c>
      <c r="S2763" t="s">
        <v>54662</v>
      </c>
      <c r="T2763" t="s">
        <v>54663</v>
      </c>
      <c r="U2763" t="s">
        <v>54664</v>
      </c>
      <c r="V2763" t="s">
        <v>54665</v>
      </c>
      <c r="W2763" t="s">
        <v>54666</v>
      </c>
      <c r="X2763" t="s">
        <v>54667</v>
      </c>
      <c r="Y2763" t="s">
        <v>54668</v>
      </c>
    </row>
    <row r="2764" spans="1:25" x14ac:dyDescent="0.3">
      <c r="A2764">
        <v>138150</v>
      </c>
      <c r="B2764" t="s">
        <v>54669</v>
      </c>
      <c r="C2764" t="s">
        <v>54670</v>
      </c>
      <c r="D2764" t="s">
        <v>54671</v>
      </c>
      <c r="E2764" t="s">
        <v>54672</v>
      </c>
      <c r="F2764" t="s">
        <v>54673</v>
      </c>
      <c r="G2764" t="s">
        <v>54674</v>
      </c>
      <c r="H2764" t="s">
        <v>54675</v>
      </c>
      <c r="I2764" t="s">
        <v>54676</v>
      </c>
      <c r="J2764" t="s">
        <v>54677</v>
      </c>
      <c r="K2764" t="s">
        <v>54678</v>
      </c>
      <c r="L2764" t="s">
        <v>54679</v>
      </c>
      <c r="M2764" t="s">
        <v>54680</v>
      </c>
      <c r="N2764" t="s">
        <v>54681</v>
      </c>
      <c r="O2764">
        <f>-551.510284404401 -136.241560812761 -721.090050847816</f>
        <v>-1408.8418960649778</v>
      </c>
      <c r="P2764">
        <f>-566.249613007334 -115.395996746604 -405.599204802624</f>
        <v>-1087.244814556562</v>
      </c>
      <c r="Q2764" t="s">
        <v>54682</v>
      </c>
      <c r="R2764" t="s">
        <v>54683</v>
      </c>
      <c r="S2764" t="s">
        <v>54684</v>
      </c>
      <c r="T2764" t="s">
        <v>54685</v>
      </c>
      <c r="U2764" t="s">
        <v>54686</v>
      </c>
      <c r="V2764" t="s">
        <v>54687</v>
      </c>
      <c r="W2764" t="s">
        <v>54688</v>
      </c>
      <c r="X2764" t="s">
        <v>54689</v>
      </c>
      <c r="Y2764" t="s">
        <v>54690</v>
      </c>
    </row>
    <row r="2765" spans="1:25" x14ac:dyDescent="0.3">
      <c r="A2765">
        <v>138200</v>
      </c>
      <c r="B2765" t="s">
        <v>54691</v>
      </c>
      <c r="C2765" t="s">
        <v>54692</v>
      </c>
      <c r="D2765" t="s">
        <v>54693</v>
      </c>
      <c r="E2765" t="s">
        <v>54694</v>
      </c>
      <c r="F2765" t="s">
        <v>54695</v>
      </c>
      <c r="G2765" t="s">
        <v>54696</v>
      </c>
      <c r="H2765" t="s">
        <v>54697</v>
      </c>
      <c r="I2765" t="s">
        <v>54698</v>
      </c>
      <c r="J2765" t="s">
        <v>54699</v>
      </c>
      <c r="K2765" t="s">
        <v>54700</v>
      </c>
      <c r="L2765" t="s">
        <v>54701</v>
      </c>
      <c r="M2765" t="s">
        <v>54702</v>
      </c>
      <c r="N2765" t="s">
        <v>54703</v>
      </c>
      <c r="O2765">
        <f>-550.53299594469 -136.867569387599 -721.272151506729</f>
        <v>-1408.672716839018</v>
      </c>
      <c r="P2765">
        <f>-565.280910815416 -116.107530773021 -405.776229585658</f>
        <v>-1087.164671174095</v>
      </c>
      <c r="Q2765" t="s">
        <v>54704</v>
      </c>
      <c r="R2765" t="s">
        <v>54705</v>
      </c>
      <c r="S2765" t="s">
        <v>54706</v>
      </c>
      <c r="T2765" t="s">
        <v>54707</v>
      </c>
      <c r="U2765" t="s">
        <v>54708</v>
      </c>
      <c r="V2765" t="s">
        <v>54709</v>
      </c>
      <c r="W2765" t="s">
        <v>54710</v>
      </c>
      <c r="X2765" t="s">
        <v>54711</v>
      </c>
      <c r="Y2765" t="s">
        <v>54712</v>
      </c>
    </row>
    <row r="2766" spans="1:25" x14ac:dyDescent="0.3">
      <c r="A2766">
        <v>138250</v>
      </c>
      <c r="B2766" t="s">
        <v>54713</v>
      </c>
      <c r="C2766" t="s">
        <v>54714</v>
      </c>
      <c r="D2766" t="s">
        <v>54715</v>
      </c>
      <c r="E2766" t="s">
        <v>54716</v>
      </c>
      <c r="F2766" t="s">
        <v>54717</v>
      </c>
      <c r="G2766" t="s">
        <v>54718</v>
      </c>
      <c r="H2766" t="s">
        <v>54719</v>
      </c>
      <c r="I2766" t="s">
        <v>54720</v>
      </c>
      <c r="J2766" t="s">
        <v>54721</v>
      </c>
      <c r="K2766" t="s">
        <v>54722</v>
      </c>
      <c r="L2766" t="s">
        <v>54723</v>
      </c>
      <c r="M2766" t="s">
        <v>54724</v>
      </c>
      <c r="N2766" t="s">
        <v>54725</v>
      </c>
      <c r="O2766">
        <f>-548.676803366386 -137.830528416611 -721.561409092948</f>
        <v>-1408.068740875945</v>
      </c>
      <c r="P2766">
        <f>-563.355484753831 -117.353383305252 -406.043772763577</f>
        <v>-1086.7526408226599</v>
      </c>
      <c r="Q2766" t="s">
        <v>54726</v>
      </c>
      <c r="R2766" t="s">
        <v>54727</v>
      </c>
      <c r="S2766" t="s">
        <v>54728</v>
      </c>
      <c r="T2766" t="s">
        <v>54729</v>
      </c>
      <c r="U2766" t="s">
        <v>54730</v>
      </c>
      <c r="V2766" t="s">
        <v>54731</v>
      </c>
      <c r="W2766" t="s">
        <v>54732</v>
      </c>
      <c r="X2766" t="s">
        <v>54733</v>
      </c>
      <c r="Y2766" t="s">
        <v>54734</v>
      </c>
    </row>
    <row r="2767" spans="1:25" x14ac:dyDescent="0.3">
      <c r="A2767">
        <v>138300</v>
      </c>
      <c r="B2767" t="s">
        <v>54735</v>
      </c>
      <c r="C2767" t="s">
        <v>54736</v>
      </c>
      <c r="D2767" t="s">
        <v>54737</v>
      </c>
      <c r="E2767" t="s">
        <v>54738</v>
      </c>
      <c r="F2767" t="s">
        <v>54739</v>
      </c>
      <c r="G2767" t="s">
        <v>54740</v>
      </c>
      <c r="H2767" t="s">
        <v>54741</v>
      </c>
      <c r="I2767" t="s">
        <v>54742</v>
      </c>
      <c r="J2767" t="s">
        <v>54743</v>
      </c>
      <c r="K2767" t="s">
        <v>54744</v>
      </c>
      <c r="L2767" t="s">
        <v>54745</v>
      </c>
      <c r="M2767" t="s">
        <v>54746</v>
      </c>
      <c r="N2767">
        <f>-564.564646435692 -0.10755449543035 -769.405933578445</f>
        <v>-1334.0781345095675</v>
      </c>
      <c r="O2767">
        <f>-547.986731094688 -138.206840073397 -721.683121663572</f>
        <v>-1407.876692831657</v>
      </c>
      <c r="P2767">
        <f>-562.684335128582 -117.803148698513 -406.161564788417</f>
        <v>-1086.6490486155121</v>
      </c>
      <c r="Q2767" t="s">
        <v>54747</v>
      </c>
      <c r="R2767" t="s">
        <v>54748</v>
      </c>
      <c r="S2767" t="s">
        <v>54749</v>
      </c>
      <c r="T2767" t="s">
        <v>54750</v>
      </c>
      <c r="U2767" t="s">
        <v>54751</v>
      </c>
      <c r="V2767" t="s">
        <v>54752</v>
      </c>
      <c r="W2767" t="s">
        <v>54753</v>
      </c>
      <c r="X2767" t="s">
        <v>54754</v>
      </c>
      <c r="Y2767" t="s">
        <v>54755</v>
      </c>
    </row>
    <row r="2768" spans="1:25" x14ac:dyDescent="0.3">
      <c r="A2768">
        <v>138350</v>
      </c>
      <c r="B2768" t="s">
        <v>54756</v>
      </c>
      <c r="C2768" t="s">
        <v>54757</v>
      </c>
      <c r="D2768" t="s">
        <v>54758</v>
      </c>
      <c r="E2768" t="s">
        <v>54759</v>
      </c>
      <c r="F2768" t="s">
        <v>54760</v>
      </c>
      <c r="G2768" t="s">
        <v>54761</v>
      </c>
      <c r="H2768" t="s">
        <v>54762</v>
      </c>
      <c r="I2768" t="s">
        <v>54763</v>
      </c>
      <c r="J2768" t="s">
        <v>54764</v>
      </c>
      <c r="K2768" t="s">
        <v>54765</v>
      </c>
      <c r="L2768" t="s">
        <v>54766</v>
      </c>
      <c r="M2768" t="s">
        <v>54767</v>
      </c>
      <c r="N2768">
        <f>-563.760976987149 -0.989721028224039 -769.850010879935</f>
        <v>-1334.6007088953079</v>
      </c>
      <c r="O2768">
        <f>-546.571443118714 -139.02609422026 -722.142408849157</f>
        <v>-1407.7399461881309</v>
      </c>
      <c r="P2768">
        <f>-561.14865986405 -118.662407258727 -406.612719160453</f>
        <v>-1086.4237862832301</v>
      </c>
      <c r="Q2768" t="s">
        <v>54768</v>
      </c>
      <c r="R2768" t="s">
        <v>54769</v>
      </c>
      <c r="S2768" t="s">
        <v>54770</v>
      </c>
      <c r="T2768" t="s">
        <v>54771</v>
      </c>
      <c r="U2768" t="s">
        <v>54772</v>
      </c>
      <c r="V2768" t="s">
        <v>54773</v>
      </c>
      <c r="W2768" t="s">
        <v>54774</v>
      </c>
      <c r="X2768" t="s">
        <v>54775</v>
      </c>
      <c r="Y2768" t="s">
        <v>54776</v>
      </c>
    </row>
    <row r="2769" spans="1:25" x14ac:dyDescent="0.3">
      <c r="A2769">
        <v>138400</v>
      </c>
      <c r="B2769" t="s">
        <v>54777</v>
      </c>
      <c r="C2769" t="s">
        <v>54778</v>
      </c>
      <c r="D2769" t="s">
        <v>54779</v>
      </c>
      <c r="E2769" t="s">
        <v>54780</v>
      </c>
      <c r="F2769" t="s">
        <v>54781</v>
      </c>
      <c r="G2769" t="s">
        <v>54782</v>
      </c>
      <c r="H2769" t="s">
        <v>54783</v>
      </c>
      <c r="I2769" t="s">
        <v>54784</v>
      </c>
      <c r="J2769" t="s">
        <v>54785</v>
      </c>
      <c r="K2769" t="s">
        <v>54786</v>
      </c>
      <c r="L2769" t="s">
        <v>54787</v>
      </c>
      <c r="M2769" t="s">
        <v>54788</v>
      </c>
      <c r="N2769">
        <f>-563.41939508935 -1.36877186229754 -770.122469129956</f>
        <v>-1334.9106360816036</v>
      </c>
      <c r="O2769">
        <f>-545.947816658467 -139.360111716177 -722.395520870823</f>
        <v>-1407.703449245467</v>
      </c>
      <c r="P2769">
        <f>-560.626644659923 -119.009747114499 -406.869530636693</f>
        <v>-1086.5059224111151</v>
      </c>
      <c r="Q2769" t="s">
        <v>54789</v>
      </c>
      <c r="R2769" t="s">
        <v>54790</v>
      </c>
      <c r="S2769" t="s">
        <v>54791</v>
      </c>
      <c r="T2769" t="s">
        <v>54792</v>
      </c>
      <c r="U2769" t="s">
        <v>54793</v>
      </c>
      <c r="V2769" t="s">
        <v>54794</v>
      </c>
      <c r="W2769" t="s">
        <v>54795</v>
      </c>
      <c r="X2769" t="s">
        <v>54796</v>
      </c>
      <c r="Y2769" t="s">
        <v>54797</v>
      </c>
    </row>
    <row r="2770" spans="1:25" x14ac:dyDescent="0.3">
      <c r="A2770">
        <v>138450</v>
      </c>
      <c r="B2770" t="s">
        <v>54798</v>
      </c>
      <c r="C2770" t="s">
        <v>54799</v>
      </c>
      <c r="D2770" t="s">
        <v>54800</v>
      </c>
      <c r="E2770" t="s">
        <v>54801</v>
      </c>
      <c r="F2770" t="s">
        <v>54802</v>
      </c>
      <c r="G2770" t="s">
        <v>54803</v>
      </c>
      <c r="H2770" t="s">
        <v>54804</v>
      </c>
      <c r="I2770" t="s">
        <v>54805</v>
      </c>
      <c r="J2770" t="s">
        <v>54806</v>
      </c>
      <c r="K2770" t="s">
        <v>54807</v>
      </c>
      <c r="L2770" t="s">
        <v>54808</v>
      </c>
      <c r="M2770" t="s">
        <v>54809</v>
      </c>
      <c r="N2770">
        <f>-562.857295542215 -1.99144606903224 -770.677335551326</f>
        <v>-1335.5260771625731</v>
      </c>
      <c r="O2770">
        <f>-544.860472378316 -139.882977577442 -722.88174057829</f>
        <v>-1407.625190534048</v>
      </c>
      <c r="P2770">
        <f>-559.857629753104 -119.549559763485 -407.369871461909</f>
        <v>-1086.777060978498</v>
      </c>
      <c r="Q2770" t="s">
        <v>54810</v>
      </c>
      <c r="R2770" t="s">
        <v>54811</v>
      </c>
      <c r="S2770" t="s">
        <v>54812</v>
      </c>
      <c r="T2770" t="s">
        <v>54813</v>
      </c>
      <c r="U2770" t="s">
        <v>54814</v>
      </c>
      <c r="V2770" t="s">
        <v>54815</v>
      </c>
      <c r="W2770" t="s">
        <v>54816</v>
      </c>
      <c r="X2770" t="s">
        <v>54817</v>
      </c>
      <c r="Y2770" t="s">
        <v>54818</v>
      </c>
    </row>
    <row r="2771" spans="1:25" x14ac:dyDescent="0.3">
      <c r="A2771">
        <v>138500</v>
      </c>
      <c r="B2771" t="s">
        <v>54819</v>
      </c>
      <c r="C2771" t="s">
        <v>54820</v>
      </c>
      <c r="D2771" t="s">
        <v>54821</v>
      </c>
      <c r="E2771" t="s">
        <v>54822</v>
      </c>
      <c r="F2771" t="s">
        <v>54823</v>
      </c>
      <c r="G2771" t="s">
        <v>54824</v>
      </c>
      <c r="H2771" t="s">
        <v>54825</v>
      </c>
      <c r="I2771" t="s">
        <v>54826</v>
      </c>
      <c r="J2771" t="s">
        <v>54827</v>
      </c>
      <c r="K2771" t="s">
        <v>54828</v>
      </c>
      <c r="L2771" t="s">
        <v>54829</v>
      </c>
      <c r="M2771" t="s">
        <v>54830</v>
      </c>
      <c r="N2771">
        <f>-562.490585605678 -2.26525951763006 -770.926361059016</f>
        <v>-1335.6822061823241</v>
      </c>
      <c r="O2771">
        <f>-544.265376465462 -140.121159589269 -723.112736444954</f>
        <v>-1407.499272499685</v>
      </c>
      <c r="P2771">
        <f>-559.24747091419 -119.870017430374 -407.594742250291</f>
        <v>-1086.7122305948551</v>
      </c>
      <c r="Q2771" t="s">
        <v>54831</v>
      </c>
      <c r="R2771" t="s">
        <v>54832</v>
      </c>
      <c r="S2771" t="s">
        <v>54833</v>
      </c>
      <c r="T2771" t="s">
        <v>54834</v>
      </c>
      <c r="U2771" t="s">
        <v>54835</v>
      </c>
      <c r="V2771" t="s">
        <v>54836</v>
      </c>
      <c r="W2771" t="s">
        <v>54837</v>
      </c>
      <c r="X2771" t="s">
        <v>54838</v>
      </c>
      <c r="Y2771" t="s">
        <v>54839</v>
      </c>
    </row>
    <row r="2772" spans="1:25" x14ac:dyDescent="0.3">
      <c r="A2772">
        <v>138550</v>
      </c>
      <c r="B2772" t="s">
        <v>54840</v>
      </c>
      <c r="C2772" t="s">
        <v>54841</v>
      </c>
      <c r="D2772" t="s">
        <v>54842</v>
      </c>
      <c r="E2772" t="s">
        <v>54843</v>
      </c>
      <c r="F2772" t="s">
        <v>54844</v>
      </c>
      <c r="G2772" t="s">
        <v>54845</v>
      </c>
      <c r="H2772" t="s">
        <v>54846</v>
      </c>
      <c r="I2772" t="s">
        <v>54847</v>
      </c>
      <c r="J2772" t="s">
        <v>54848</v>
      </c>
      <c r="K2772" t="s">
        <v>54849</v>
      </c>
      <c r="L2772" t="s">
        <v>54850</v>
      </c>
      <c r="M2772" t="s">
        <v>54851</v>
      </c>
      <c r="N2772">
        <f>-562.047724669443 -3.01887979818912 -771.308919740794</f>
        <v>-1336.3755242084262</v>
      </c>
      <c r="O2772">
        <f>-543.234078006118 -140.797948701743 -723.465072130775</f>
        <v>-1407.4970988386358</v>
      </c>
      <c r="P2772">
        <f>-558.456186651638 -120.7347144552 -407.946566476914</f>
        <v>-1087.1374675837519</v>
      </c>
      <c r="Q2772" t="s">
        <v>54852</v>
      </c>
      <c r="R2772" t="s">
        <v>54853</v>
      </c>
      <c r="S2772" t="s">
        <v>54854</v>
      </c>
      <c r="T2772" t="s">
        <v>54855</v>
      </c>
      <c r="U2772" t="s">
        <v>54856</v>
      </c>
      <c r="V2772" t="s">
        <v>54857</v>
      </c>
      <c r="W2772" t="s">
        <v>54858</v>
      </c>
      <c r="X2772" t="s">
        <v>54859</v>
      </c>
      <c r="Y2772" t="s">
        <v>54860</v>
      </c>
    </row>
    <row r="2773" spans="1:25" x14ac:dyDescent="0.3">
      <c r="A2773">
        <v>138600</v>
      </c>
      <c r="B2773" t="s">
        <v>54861</v>
      </c>
      <c r="C2773" t="s">
        <v>54862</v>
      </c>
      <c r="D2773" t="s">
        <v>54863</v>
      </c>
      <c r="E2773" t="s">
        <v>54864</v>
      </c>
      <c r="F2773" t="s">
        <v>54865</v>
      </c>
      <c r="G2773" t="s">
        <v>54866</v>
      </c>
      <c r="H2773" t="s">
        <v>54867</v>
      </c>
      <c r="I2773" t="s">
        <v>54868</v>
      </c>
      <c r="J2773" t="s">
        <v>54869</v>
      </c>
      <c r="K2773" t="s">
        <v>54870</v>
      </c>
      <c r="L2773" t="s">
        <v>54871</v>
      </c>
      <c r="M2773" t="s">
        <v>54872</v>
      </c>
      <c r="N2773">
        <f>-561.878769685881 -3.20401820098073 -771.587899402957</f>
        <v>-1336.6706872898187</v>
      </c>
      <c r="O2773">
        <f>-542.713988598161 -140.932496528524 -723.75181381295</f>
        <v>-1407.398298939635</v>
      </c>
      <c r="P2773">
        <f>-557.882479240398 -120.970218018236 -408.224286652838</f>
        <v>-1087.0769839114719</v>
      </c>
      <c r="Q2773" t="s">
        <v>54873</v>
      </c>
      <c r="R2773" t="s">
        <v>54874</v>
      </c>
      <c r="S2773" t="s">
        <v>54875</v>
      </c>
      <c r="T2773" t="s">
        <v>54876</v>
      </c>
      <c r="U2773" t="s">
        <v>54877</v>
      </c>
      <c r="V2773" t="s">
        <v>54878</v>
      </c>
      <c r="W2773" t="s">
        <v>54879</v>
      </c>
      <c r="X2773" t="s">
        <v>54880</v>
      </c>
      <c r="Y2773" t="s">
        <v>54881</v>
      </c>
    </row>
    <row r="2774" spans="1:25" x14ac:dyDescent="0.3">
      <c r="A2774">
        <v>138650</v>
      </c>
      <c r="B2774" t="s">
        <v>54882</v>
      </c>
      <c r="C2774" t="s">
        <v>54883</v>
      </c>
      <c r="D2774" t="s">
        <v>54884</v>
      </c>
      <c r="E2774" t="s">
        <v>54885</v>
      </c>
      <c r="F2774" t="s">
        <v>54886</v>
      </c>
      <c r="G2774" t="s">
        <v>54887</v>
      </c>
      <c r="H2774" t="s">
        <v>54888</v>
      </c>
      <c r="I2774" t="s">
        <v>54889</v>
      </c>
      <c r="J2774" t="s">
        <v>54890</v>
      </c>
      <c r="K2774" t="s">
        <v>54891</v>
      </c>
      <c r="L2774" t="s">
        <v>54892</v>
      </c>
      <c r="M2774" t="s">
        <v>54893</v>
      </c>
      <c r="N2774">
        <f>-561.298125731772 -3.78805684261579 -772.074469368308</f>
        <v>-1337.1606519426957</v>
      </c>
      <c r="O2774">
        <f>-541.237004943025 -141.417506242979 -724.280796485502</f>
        <v>-1406.9353076715061</v>
      </c>
      <c r="P2774">
        <f>-556.290126550703 -121.714385737207 -408.731425001436</f>
        <v>-1086.7359372893459</v>
      </c>
      <c r="Q2774" t="s">
        <v>54894</v>
      </c>
      <c r="R2774" t="s">
        <v>54895</v>
      </c>
      <c r="S2774" t="s">
        <v>54896</v>
      </c>
      <c r="T2774" t="s">
        <v>54897</v>
      </c>
      <c r="U2774" t="s">
        <v>54898</v>
      </c>
      <c r="V2774" t="s">
        <v>54899</v>
      </c>
      <c r="W2774" t="s">
        <v>54900</v>
      </c>
      <c r="X2774" t="s">
        <v>54901</v>
      </c>
      <c r="Y2774" t="s">
        <v>54902</v>
      </c>
    </row>
    <row r="2775" spans="1:25" x14ac:dyDescent="0.3">
      <c r="A2775">
        <v>138700</v>
      </c>
      <c r="B2775" t="s">
        <v>54903</v>
      </c>
      <c r="C2775" t="s">
        <v>54904</v>
      </c>
      <c r="D2775" t="s">
        <v>54905</v>
      </c>
      <c r="E2775" t="s">
        <v>54906</v>
      </c>
      <c r="F2775" t="s">
        <v>54907</v>
      </c>
      <c r="G2775" t="s">
        <v>54908</v>
      </c>
      <c r="H2775" t="s">
        <v>54909</v>
      </c>
      <c r="I2775" t="s">
        <v>54910</v>
      </c>
      <c r="J2775" t="s">
        <v>54911</v>
      </c>
      <c r="K2775" t="s">
        <v>54912</v>
      </c>
      <c r="L2775" t="s">
        <v>54913</v>
      </c>
      <c r="M2775" t="s">
        <v>54914</v>
      </c>
      <c r="N2775">
        <f>-561.01623575267 -3.85785778620789 -772.518068958193</f>
        <v>-1337.3921624970708</v>
      </c>
      <c r="O2775">
        <f>-540.480007925686 -141.409760151294 -724.715766369557</f>
        <v>-1406.6055344465369</v>
      </c>
      <c r="P2775">
        <f>-555.255909807798 -121.724320389472 -409.152313402371</f>
        <v>-1086.1325435996412</v>
      </c>
      <c r="Q2775" t="s">
        <v>54915</v>
      </c>
      <c r="R2775" t="s">
        <v>54916</v>
      </c>
      <c r="S2775" t="s">
        <v>54917</v>
      </c>
      <c r="T2775" t="s">
        <v>54918</v>
      </c>
      <c r="U2775" t="s">
        <v>54919</v>
      </c>
      <c r="V2775" t="s">
        <v>54920</v>
      </c>
      <c r="W2775" t="s">
        <v>54921</v>
      </c>
      <c r="X2775" t="s">
        <v>54922</v>
      </c>
      <c r="Y2775" t="s">
        <v>54923</v>
      </c>
    </row>
    <row r="2776" spans="1:25" x14ac:dyDescent="0.3">
      <c r="A2776">
        <v>138750</v>
      </c>
      <c r="B2776" t="s">
        <v>54924</v>
      </c>
      <c r="C2776" t="s">
        <v>54925</v>
      </c>
      <c r="D2776" t="s">
        <v>54926</v>
      </c>
      <c r="E2776" t="s">
        <v>54927</v>
      </c>
      <c r="F2776" t="s">
        <v>54928</v>
      </c>
      <c r="G2776" t="s">
        <v>54929</v>
      </c>
      <c r="H2776" t="s">
        <v>54930</v>
      </c>
      <c r="I2776" t="s">
        <v>54931</v>
      </c>
      <c r="J2776" t="s">
        <v>54932</v>
      </c>
      <c r="K2776" t="s">
        <v>54933</v>
      </c>
      <c r="L2776" t="s">
        <v>54934</v>
      </c>
      <c r="M2776" t="s">
        <v>54935</v>
      </c>
      <c r="N2776">
        <f>-560.278150792325 -4.32202435469662 -773.533802743537</f>
        <v>-1338.1339778905585</v>
      </c>
      <c r="O2776">
        <f>-538.660300000591 -141.675194103922 -725.687153257991</f>
        <v>-1406.0226473625039</v>
      </c>
      <c r="P2776">
        <f>-552.71948661725 -121.911240055502 -410.095801464827</f>
        <v>-1084.726528137579</v>
      </c>
      <c r="Q2776" t="s">
        <v>54936</v>
      </c>
      <c r="R2776" t="s">
        <v>54937</v>
      </c>
      <c r="S2776" t="s">
        <v>54938</v>
      </c>
      <c r="T2776" t="s">
        <v>54939</v>
      </c>
      <c r="U2776" t="s">
        <v>54940</v>
      </c>
      <c r="V2776" t="s">
        <v>54941</v>
      </c>
      <c r="W2776" t="s">
        <v>54942</v>
      </c>
      <c r="X2776" t="s">
        <v>54943</v>
      </c>
      <c r="Y2776" t="s">
        <v>54944</v>
      </c>
    </row>
    <row r="2777" spans="1:25" x14ac:dyDescent="0.3">
      <c r="A2777">
        <v>138800</v>
      </c>
      <c r="B2777" t="s">
        <v>54945</v>
      </c>
      <c r="C2777" t="s">
        <v>54946</v>
      </c>
      <c r="D2777" t="s">
        <v>54947</v>
      </c>
      <c r="E2777" t="s">
        <v>54948</v>
      </c>
      <c r="F2777" t="s">
        <v>54949</v>
      </c>
      <c r="G2777" t="s">
        <v>54950</v>
      </c>
      <c r="H2777" t="s">
        <v>54951</v>
      </c>
      <c r="I2777" t="s">
        <v>54952</v>
      </c>
      <c r="J2777" t="s">
        <v>54953</v>
      </c>
      <c r="K2777" t="s">
        <v>54954</v>
      </c>
      <c r="L2777" t="s">
        <v>54955</v>
      </c>
      <c r="M2777" t="s">
        <v>54956</v>
      </c>
      <c r="N2777">
        <f>-560.375812048396 -4.46702132293922 -773.940678106748</f>
        <v>-1338.7835114780833</v>
      </c>
      <c r="O2777">
        <f>-538.218512590369 -141.735129175296 -726.030405480949</f>
        <v>-1405.984047246614</v>
      </c>
      <c r="P2777">
        <f>-551.905838498299 -121.891579667336 -410.427721574013</f>
        <v>-1084.2251397396481</v>
      </c>
      <c r="Q2777" t="s">
        <v>54957</v>
      </c>
      <c r="R2777" t="s">
        <v>54958</v>
      </c>
      <c r="S2777" t="s">
        <v>54959</v>
      </c>
      <c r="T2777" t="s">
        <v>54960</v>
      </c>
      <c r="U2777" t="s">
        <v>54961</v>
      </c>
      <c r="V2777" t="s">
        <v>54962</v>
      </c>
      <c r="W2777" t="s">
        <v>54963</v>
      </c>
      <c r="X2777" t="s">
        <v>54964</v>
      </c>
      <c r="Y2777" t="s">
        <v>54965</v>
      </c>
    </row>
    <row r="2778" spans="1:25" x14ac:dyDescent="0.3">
      <c r="A2778">
        <v>138850</v>
      </c>
      <c r="B2778" t="s">
        <v>54966</v>
      </c>
      <c r="C2778" t="s">
        <v>54967</v>
      </c>
      <c r="D2778" t="s">
        <v>54968</v>
      </c>
      <c r="E2778" t="s">
        <v>54969</v>
      </c>
      <c r="F2778" t="s">
        <v>54970</v>
      </c>
      <c r="G2778" t="s">
        <v>54971</v>
      </c>
      <c r="H2778" t="s">
        <v>54972</v>
      </c>
      <c r="I2778" t="s">
        <v>54973</v>
      </c>
      <c r="J2778" t="s">
        <v>54974</v>
      </c>
      <c r="K2778" t="s">
        <v>54975</v>
      </c>
      <c r="L2778" t="s">
        <v>54976</v>
      </c>
      <c r="M2778" t="s">
        <v>54977</v>
      </c>
      <c r="N2778">
        <f>-561.053724945103 -2.13960054416452 -774.983268359891</f>
        <v>-1338.1765938491585</v>
      </c>
      <c r="O2778">
        <f>-537.521413981234 -139.115894810819 -726.90921721998</f>
        <v>-1403.5465260120329</v>
      </c>
      <c r="P2778">
        <f>-550.76984576983 -118.840673129038 -411.315179887654</f>
        <v>-1080.9256987865219</v>
      </c>
      <c r="Q2778" t="s">
        <v>54978</v>
      </c>
      <c r="R2778" t="s">
        <v>54979</v>
      </c>
      <c r="S2778" t="s">
        <v>54980</v>
      </c>
      <c r="T2778" t="s">
        <v>54981</v>
      </c>
      <c r="U2778" t="s">
        <v>54982</v>
      </c>
      <c r="V2778" t="s">
        <v>54983</v>
      </c>
      <c r="W2778" t="s">
        <v>54984</v>
      </c>
      <c r="X2778" t="s">
        <v>54985</v>
      </c>
      <c r="Y2778" t="s">
        <v>54986</v>
      </c>
    </row>
    <row r="2779" spans="1:25" x14ac:dyDescent="0.3">
      <c r="A2779">
        <v>138900</v>
      </c>
      <c r="B2779" t="s">
        <v>54987</v>
      </c>
      <c r="C2779" t="s">
        <v>54988</v>
      </c>
      <c r="D2779" t="s">
        <v>54989</v>
      </c>
      <c r="E2779" t="s">
        <v>54990</v>
      </c>
      <c r="F2779" t="s">
        <v>54991</v>
      </c>
      <c r="G2779" t="s">
        <v>54992</v>
      </c>
      <c r="H2779" t="s">
        <v>54993</v>
      </c>
      <c r="I2779" t="s">
        <v>54994</v>
      </c>
      <c r="J2779" t="s">
        <v>54995</v>
      </c>
      <c r="K2779" t="s">
        <v>54996</v>
      </c>
      <c r="L2779" t="s">
        <v>54997</v>
      </c>
      <c r="M2779" t="s">
        <v>54998</v>
      </c>
      <c r="N2779">
        <f>-561.213418314351 -0.903228150086306 -775.605703265587</f>
        <v>-1337.7223497300242</v>
      </c>
      <c r="O2779">
        <f>-536.92181454357 -137.661811515349 -727.420546545297</f>
        <v>-1402.0041726042159</v>
      </c>
      <c r="P2779">
        <f>-549.853271404011 -117.093051032449 -411.832288553814</f>
        <v>-1078.778610990274</v>
      </c>
      <c r="Q2779" t="s">
        <v>54999</v>
      </c>
      <c r="R2779" t="s">
        <v>55000</v>
      </c>
      <c r="S2779" t="s">
        <v>55001</v>
      </c>
      <c r="T2779" t="s">
        <v>55002</v>
      </c>
      <c r="U2779" t="s">
        <v>55003</v>
      </c>
      <c r="V2779" t="s">
        <v>55004</v>
      </c>
      <c r="W2779" t="s">
        <v>55005</v>
      </c>
      <c r="X2779" t="s">
        <v>55006</v>
      </c>
      <c r="Y2779" t="s">
        <v>55007</v>
      </c>
    </row>
    <row r="2780" spans="1:25" x14ac:dyDescent="0.3">
      <c r="A2780">
        <v>138950</v>
      </c>
      <c r="B2780" t="s">
        <v>55008</v>
      </c>
      <c r="C2780" t="s">
        <v>55009</v>
      </c>
      <c r="D2780" t="s">
        <v>55010</v>
      </c>
      <c r="E2780" t="s">
        <v>55011</v>
      </c>
      <c r="F2780" t="s">
        <v>55012</v>
      </c>
      <c r="G2780" t="s">
        <v>55013</v>
      </c>
      <c r="H2780" t="s">
        <v>55014</v>
      </c>
      <c r="I2780" t="s">
        <v>55015</v>
      </c>
      <c r="J2780" t="s">
        <v>55016</v>
      </c>
      <c r="K2780" t="s">
        <v>55017</v>
      </c>
      <c r="L2780" t="s">
        <v>55018</v>
      </c>
      <c r="M2780" t="s">
        <v>55019</v>
      </c>
      <c r="N2780">
        <f>-561.529908063544 -0.264352061848513 -776.128655361237</f>
        <v>-1337.9229154866293</v>
      </c>
      <c r="O2780">
        <f>-536.633039734701 -136.862072984885 -727.765143461905</f>
        <v>-1401.2602561814911</v>
      </c>
      <c r="P2780">
        <f>-548.874814898113 -115.936940365552 -412.172907959052</f>
        <v>-1076.984663222717</v>
      </c>
      <c r="Q2780" t="s">
        <v>55020</v>
      </c>
      <c r="R2780" t="s">
        <v>55021</v>
      </c>
      <c r="S2780" t="s">
        <v>55022</v>
      </c>
      <c r="T2780" t="s">
        <v>55023</v>
      </c>
      <c r="U2780" t="s">
        <v>55024</v>
      </c>
      <c r="V2780" t="s">
        <v>55025</v>
      </c>
      <c r="W2780" t="s">
        <v>55026</v>
      </c>
      <c r="X2780" t="s">
        <v>55027</v>
      </c>
      <c r="Y2780" t="s">
        <v>55028</v>
      </c>
    </row>
    <row r="2781" spans="1:25" x14ac:dyDescent="0.3">
      <c r="A2781">
        <v>139000</v>
      </c>
      <c r="B2781" t="s">
        <v>55008</v>
      </c>
      <c r="C2781" t="s">
        <v>55009</v>
      </c>
      <c r="D2781" t="s">
        <v>55010</v>
      </c>
      <c r="E2781" t="s">
        <v>55011</v>
      </c>
      <c r="F2781" t="s">
        <v>55012</v>
      </c>
      <c r="G2781" t="s">
        <v>55013</v>
      </c>
      <c r="H2781" t="s">
        <v>55014</v>
      </c>
      <c r="I2781" t="s">
        <v>55015</v>
      </c>
      <c r="J2781" t="s">
        <v>55016</v>
      </c>
      <c r="K2781" t="s">
        <v>55017</v>
      </c>
      <c r="L2781" t="s">
        <v>55018</v>
      </c>
      <c r="M2781" t="s">
        <v>55019</v>
      </c>
      <c r="N2781">
        <f>-561.529908063544 -0.264352061848513 -776.128655361237</f>
        <v>-1337.9229154866293</v>
      </c>
      <c r="O2781">
        <f>-536.633039734701 -136.862072984885 -727.765143461905</f>
        <v>-1401.2602561814911</v>
      </c>
      <c r="P2781">
        <f>-548.874814898113 -115.936940365552 -412.172907959052</f>
        <v>-1076.984663222717</v>
      </c>
      <c r="Q2781" t="s">
        <v>55020</v>
      </c>
      <c r="R2781" t="s">
        <v>55021</v>
      </c>
      <c r="S2781" t="s">
        <v>55022</v>
      </c>
      <c r="T2781" t="s">
        <v>55023</v>
      </c>
      <c r="U2781" t="s">
        <v>55024</v>
      </c>
      <c r="V2781" t="s">
        <v>55025</v>
      </c>
      <c r="W2781" t="s">
        <v>55026</v>
      </c>
      <c r="X2781" t="s">
        <v>55027</v>
      </c>
      <c r="Y2781" t="s">
        <v>55028</v>
      </c>
    </row>
    <row r="2782" spans="1:25" x14ac:dyDescent="0.3">
      <c r="A2782">
        <v>139050</v>
      </c>
      <c r="B2782" t="s">
        <v>55029</v>
      </c>
      <c r="C2782" t="s">
        <v>55030</v>
      </c>
      <c r="D2782" t="s">
        <v>55031</v>
      </c>
      <c r="E2782" t="s">
        <v>55032</v>
      </c>
      <c r="F2782" t="s">
        <v>55033</v>
      </c>
      <c r="G2782" t="s">
        <v>55034</v>
      </c>
      <c r="H2782" t="s">
        <v>55035</v>
      </c>
      <c r="I2782" t="s">
        <v>55036</v>
      </c>
      <c r="J2782" t="s">
        <v>55037</v>
      </c>
      <c r="K2782" t="s">
        <v>55038</v>
      </c>
      <c r="L2782" t="s">
        <v>55039</v>
      </c>
      <c r="M2782" t="s">
        <v>55040</v>
      </c>
      <c r="N2782" t="s">
        <v>55041</v>
      </c>
      <c r="O2782">
        <f>-535.67200673231 -133.539986846318 -730.225946400279</f>
        <v>-1399.437939978907</v>
      </c>
      <c r="P2782">
        <f>-545.608488273103 -112.62595649151 -414.551980321866</f>
        <v>-1072.7864250864791</v>
      </c>
      <c r="Q2782" t="s">
        <v>55042</v>
      </c>
      <c r="R2782" t="s">
        <v>55043</v>
      </c>
      <c r="S2782" t="s">
        <v>55044</v>
      </c>
      <c r="T2782" t="s">
        <v>55045</v>
      </c>
      <c r="U2782" t="s">
        <v>55046</v>
      </c>
      <c r="V2782" t="s">
        <v>55047</v>
      </c>
      <c r="W2782" t="s">
        <v>55048</v>
      </c>
      <c r="X2782" t="s">
        <v>55049</v>
      </c>
      <c r="Y2782" t="s">
        <v>55050</v>
      </c>
    </row>
    <row r="2783" spans="1:25" x14ac:dyDescent="0.3">
      <c r="A2783">
        <v>139100</v>
      </c>
      <c r="B2783" t="s">
        <v>55051</v>
      </c>
      <c r="C2783" t="s">
        <v>55052</v>
      </c>
      <c r="D2783" t="s">
        <v>55053</v>
      </c>
      <c r="E2783" t="s">
        <v>55054</v>
      </c>
      <c r="F2783" t="s">
        <v>55055</v>
      </c>
      <c r="G2783" t="s">
        <v>55056</v>
      </c>
      <c r="H2783" t="s">
        <v>55057</v>
      </c>
      <c r="I2783" t="s">
        <v>55058</v>
      </c>
      <c r="J2783" t="s">
        <v>55059</v>
      </c>
      <c r="K2783" t="s">
        <v>55060</v>
      </c>
      <c r="L2783" t="s">
        <v>55061</v>
      </c>
      <c r="M2783" t="s">
        <v>55062</v>
      </c>
      <c r="N2783" t="s">
        <v>55063</v>
      </c>
      <c r="O2783">
        <f>-535.538685877789 -132.554366679558 -731.015366019009</f>
        <v>-1399.1084185763561</v>
      </c>
      <c r="P2783">
        <f>-544.742945326639 -112.030512051198 -415.293437617681</f>
        <v>-1072.0668949955179</v>
      </c>
      <c r="Q2783" t="s">
        <v>55064</v>
      </c>
      <c r="R2783" t="s">
        <v>55065</v>
      </c>
      <c r="S2783" t="s">
        <v>55066</v>
      </c>
      <c r="T2783" t="s">
        <v>55067</v>
      </c>
      <c r="U2783" t="s">
        <v>55068</v>
      </c>
      <c r="V2783" t="s">
        <v>55069</v>
      </c>
      <c r="W2783" t="s">
        <v>55070</v>
      </c>
      <c r="X2783" t="s">
        <v>55071</v>
      </c>
      <c r="Y2783" t="s">
        <v>55072</v>
      </c>
    </row>
    <row r="2784" spans="1:25" x14ac:dyDescent="0.3">
      <c r="A2784">
        <v>139150</v>
      </c>
      <c r="B2784" t="s">
        <v>55073</v>
      </c>
      <c r="C2784" t="s">
        <v>55074</v>
      </c>
      <c r="D2784" t="s">
        <v>55075</v>
      </c>
      <c r="E2784" t="s">
        <v>55076</v>
      </c>
      <c r="F2784" t="s">
        <v>55077</v>
      </c>
      <c r="G2784" t="s">
        <v>55078</v>
      </c>
      <c r="H2784" t="s">
        <v>55079</v>
      </c>
      <c r="I2784" t="s">
        <v>55080</v>
      </c>
      <c r="J2784" t="s">
        <v>55081</v>
      </c>
      <c r="K2784" t="s">
        <v>55082</v>
      </c>
      <c r="L2784" t="s">
        <v>55083</v>
      </c>
      <c r="M2784" t="s">
        <v>55084</v>
      </c>
      <c r="N2784" t="s">
        <v>55085</v>
      </c>
      <c r="O2784">
        <f>-535.405847451811 -131.895613607276 -731.616572024345</f>
        <v>-1398.918033083432</v>
      </c>
      <c r="P2784">
        <f>-544.00925676522 -111.744584157097 -415.85387725132</f>
        <v>-1071.6077181736371</v>
      </c>
      <c r="Q2784" t="s">
        <v>55086</v>
      </c>
      <c r="R2784" t="s">
        <v>55087</v>
      </c>
      <c r="S2784" t="s">
        <v>55088</v>
      </c>
      <c r="T2784" t="s">
        <v>55089</v>
      </c>
      <c r="U2784" t="s">
        <v>55090</v>
      </c>
      <c r="V2784" t="s">
        <v>55091</v>
      </c>
      <c r="W2784" t="s">
        <v>55092</v>
      </c>
      <c r="X2784" t="s">
        <v>55093</v>
      </c>
      <c r="Y2784" t="s">
        <v>55094</v>
      </c>
    </row>
    <row r="2785" spans="1:25" x14ac:dyDescent="0.3">
      <c r="A2785">
        <v>139200</v>
      </c>
      <c r="B2785" t="s">
        <v>55095</v>
      </c>
      <c r="C2785" t="s">
        <v>55096</v>
      </c>
      <c r="D2785" t="s">
        <v>55097</v>
      </c>
      <c r="E2785" t="s">
        <v>55098</v>
      </c>
      <c r="F2785" t="s">
        <v>55099</v>
      </c>
      <c r="G2785" t="s">
        <v>55100</v>
      </c>
      <c r="H2785" t="s">
        <v>55101</v>
      </c>
      <c r="I2785" t="s">
        <v>55102</v>
      </c>
      <c r="J2785" t="s">
        <v>55103</v>
      </c>
      <c r="K2785" t="s">
        <v>55104</v>
      </c>
      <c r="L2785" t="s">
        <v>55105</v>
      </c>
      <c r="M2785" t="s">
        <v>55106</v>
      </c>
      <c r="N2785" t="s">
        <v>55107</v>
      </c>
      <c r="O2785">
        <f>-534.431476203646 -131.796722675852 -732.594927670341</f>
        <v>-1398.8231265498389</v>
      </c>
      <c r="P2785">
        <f>-542.17491900132 -112.374298572559 -416.764344554677</f>
        <v>-1071.313562128556</v>
      </c>
      <c r="Q2785" t="s">
        <v>55108</v>
      </c>
      <c r="R2785" t="s">
        <v>55109</v>
      </c>
      <c r="S2785" t="s">
        <v>55110</v>
      </c>
      <c r="T2785" t="s">
        <v>55111</v>
      </c>
      <c r="U2785" t="s">
        <v>55112</v>
      </c>
      <c r="V2785" t="s">
        <v>55113</v>
      </c>
      <c r="W2785" t="s">
        <v>55114</v>
      </c>
      <c r="X2785" t="s">
        <v>55115</v>
      </c>
      <c r="Y2785" t="s">
        <v>55116</v>
      </c>
    </row>
    <row r="2786" spans="1:25" x14ac:dyDescent="0.3">
      <c r="A2786">
        <v>139250</v>
      </c>
      <c r="B2786" t="s">
        <v>55117</v>
      </c>
      <c r="C2786" t="s">
        <v>55118</v>
      </c>
      <c r="D2786" t="s">
        <v>55119</v>
      </c>
      <c r="E2786" t="s">
        <v>55120</v>
      </c>
      <c r="F2786" t="s">
        <v>55121</v>
      </c>
      <c r="G2786" t="s">
        <v>55122</v>
      </c>
      <c r="H2786" t="s">
        <v>55123</v>
      </c>
      <c r="I2786" t="s">
        <v>55124</v>
      </c>
      <c r="J2786" t="s">
        <v>55125</v>
      </c>
      <c r="K2786" t="s">
        <v>55126</v>
      </c>
      <c r="L2786" t="s">
        <v>55127</v>
      </c>
      <c r="M2786" t="s">
        <v>55128</v>
      </c>
      <c r="N2786" t="s">
        <v>55129</v>
      </c>
      <c r="O2786">
        <f>-533.536820306302 -132.069857750261 -732.969936898686</f>
        <v>-1398.5766149552492</v>
      </c>
      <c r="P2786">
        <f>-540.877263805318 -112.997776085203 -417.108228597881</f>
        <v>-1070.983268488402</v>
      </c>
      <c r="Q2786" t="s">
        <v>55130</v>
      </c>
      <c r="R2786" t="s">
        <v>55131</v>
      </c>
      <c r="S2786" t="s">
        <v>55132</v>
      </c>
      <c r="T2786" t="s">
        <v>55133</v>
      </c>
      <c r="U2786" t="s">
        <v>55134</v>
      </c>
      <c r="V2786" t="s">
        <v>55135</v>
      </c>
      <c r="W2786" t="s">
        <v>55136</v>
      </c>
      <c r="X2786" t="s">
        <v>55137</v>
      </c>
      <c r="Y2786" t="s">
        <v>55138</v>
      </c>
    </row>
    <row r="2787" spans="1:25" x14ac:dyDescent="0.3">
      <c r="A2787">
        <v>139300</v>
      </c>
      <c r="B2787" t="s">
        <v>55139</v>
      </c>
      <c r="C2787" t="s">
        <v>55140</v>
      </c>
      <c r="D2787" t="s">
        <v>55141</v>
      </c>
      <c r="E2787" t="s">
        <v>55142</v>
      </c>
      <c r="F2787" t="s">
        <v>55143</v>
      </c>
      <c r="G2787" t="s">
        <v>55144</v>
      </c>
      <c r="H2787" t="s">
        <v>55145</v>
      </c>
      <c r="I2787" t="s">
        <v>55146</v>
      </c>
      <c r="J2787" t="s">
        <v>55147</v>
      </c>
      <c r="K2787" t="s">
        <v>55148</v>
      </c>
      <c r="L2787" t="s">
        <v>55149</v>
      </c>
      <c r="M2787" t="s">
        <v>55150</v>
      </c>
      <c r="N2787" t="s">
        <v>55151</v>
      </c>
      <c r="O2787">
        <f>-531.769526510753 -132.714790820022 -733.651654854699</f>
        <v>-1398.1359721854742</v>
      </c>
      <c r="P2787">
        <f>-538.718819720956 -114.661534468135 -417.721317396582</f>
        <v>-1071.1016715856731</v>
      </c>
      <c r="Q2787" t="s">
        <v>55152</v>
      </c>
      <c r="R2787" t="s">
        <v>55153</v>
      </c>
      <c r="S2787" t="s">
        <v>55154</v>
      </c>
      <c r="T2787" t="s">
        <v>55155</v>
      </c>
      <c r="U2787" t="s">
        <v>55156</v>
      </c>
      <c r="V2787" t="s">
        <v>55157</v>
      </c>
      <c r="W2787" t="s">
        <v>55158</v>
      </c>
      <c r="X2787" t="s">
        <v>55159</v>
      </c>
      <c r="Y2787" t="s">
        <v>55160</v>
      </c>
    </row>
    <row r="2788" spans="1:25" x14ac:dyDescent="0.3">
      <c r="A2788">
        <v>139350</v>
      </c>
      <c r="B2788" t="s">
        <v>55161</v>
      </c>
      <c r="C2788" t="s">
        <v>55162</v>
      </c>
      <c r="D2788" t="s">
        <v>55163</v>
      </c>
      <c r="E2788" t="s">
        <v>55164</v>
      </c>
      <c r="F2788" t="s">
        <v>55165</v>
      </c>
      <c r="G2788" t="s">
        <v>55166</v>
      </c>
      <c r="H2788" t="s">
        <v>55167</v>
      </c>
      <c r="I2788" t="s">
        <v>55168</v>
      </c>
      <c r="J2788" t="s">
        <v>55169</v>
      </c>
      <c r="K2788" t="s">
        <v>55170</v>
      </c>
      <c r="L2788" t="s">
        <v>55171</v>
      </c>
      <c r="M2788" t="s">
        <v>55172</v>
      </c>
      <c r="N2788" t="s">
        <v>55173</v>
      </c>
      <c r="O2788">
        <f>-530.496052252275 -133.224610923342 -733.92831404811</f>
        <v>-1397.6489772237269</v>
      </c>
      <c r="P2788">
        <f>-537.458244269189 -115.739759063911 -417.966300141818</f>
        <v>-1071.1643034749181</v>
      </c>
      <c r="Q2788" t="s">
        <v>55174</v>
      </c>
      <c r="R2788" t="s">
        <v>55175</v>
      </c>
      <c r="S2788" t="s">
        <v>55176</v>
      </c>
      <c r="T2788" t="s">
        <v>55177</v>
      </c>
      <c r="U2788" t="s">
        <v>55178</v>
      </c>
      <c r="V2788" t="s">
        <v>55179</v>
      </c>
      <c r="W2788" t="s">
        <v>55180</v>
      </c>
      <c r="X2788" t="s">
        <v>55181</v>
      </c>
      <c r="Y2788" t="s">
        <v>55182</v>
      </c>
    </row>
    <row r="2789" spans="1:25" x14ac:dyDescent="0.3">
      <c r="A2789">
        <v>139400</v>
      </c>
      <c r="B2789" t="s">
        <v>55183</v>
      </c>
      <c r="C2789" t="s">
        <v>55184</v>
      </c>
      <c r="D2789" t="s">
        <v>55185</v>
      </c>
      <c r="E2789" t="s">
        <v>55186</v>
      </c>
      <c r="F2789" t="s">
        <v>55187</v>
      </c>
      <c r="G2789" t="s">
        <v>55188</v>
      </c>
      <c r="H2789" t="s">
        <v>55189</v>
      </c>
      <c r="I2789" t="s">
        <v>55190</v>
      </c>
      <c r="J2789" t="s">
        <v>55191</v>
      </c>
      <c r="K2789" t="s">
        <v>55192</v>
      </c>
      <c r="L2789" t="s">
        <v>55193</v>
      </c>
      <c r="M2789" t="s">
        <v>55194</v>
      </c>
      <c r="N2789" t="s">
        <v>55195</v>
      </c>
      <c r="O2789">
        <f>-529.013462212503 -133.501126086015 -734.258417716919</f>
        <v>-1396.773006015437</v>
      </c>
      <c r="P2789">
        <f>-535.996790586123 -116.611285830392 -418.264523070722</f>
        <v>-1070.872599487237</v>
      </c>
      <c r="Q2789" t="s">
        <v>55196</v>
      </c>
      <c r="R2789" t="s">
        <v>55197</v>
      </c>
      <c r="S2789" t="s">
        <v>55198</v>
      </c>
      <c r="T2789" t="s">
        <v>55199</v>
      </c>
      <c r="U2789" t="s">
        <v>55200</v>
      </c>
      <c r="V2789" t="s">
        <v>55201</v>
      </c>
      <c r="W2789" t="s">
        <v>55202</v>
      </c>
      <c r="X2789" t="s">
        <v>55203</v>
      </c>
      <c r="Y2789" t="s">
        <v>55204</v>
      </c>
    </row>
    <row r="2790" spans="1:25" x14ac:dyDescent="0.3">
      <c r="A2790">
        <v>139450</v>
      </c>
      <c r="B2790" t="s">
        <v>55205</v>
      </c>
      <c r="C2790" t="s">
        <v>55206</v>
      </c>
      <c r="D2790" t="s">
        <v>55207</v>
      </c>
      <c r="E2790" t="s">
        <v>55208</v>
      </c>
      <c r="F2790" t="s">
        <v>55209</v>
      </c>
      <c r="G2790" t="s">
        <v>55210</v>
      </c>
      <c r="H2790" t="s">
        <v>55211</v>
      </c>
      <c r="I2790" t="s">
        <v>55212</v>
      </c>
      <c r="J2790" t="s">
        <v>55213</v>
      </c>
      <c r="K2790" t="s">
        <v>55214</v>
      </c>
      <c r="L2790" t="s">
        <v>55215</v>
      </c>
      <c r="M2790" t="s">
        <v>55216</v>
      </c>
      <c r="N2790" t="s">
        <v>55217</v>
      </c>
      <c r="O2790">
        <f>-525.511304338873 -134.274316496342 -735.06665743324</f>
        <v>-1394.8522782684549</v>
      </c>
      <c r="P2790">
        <f>-532.607716381007 -118.886827795039 -418.998658010851</f>
        <v>-1070.493202186897</v>
      </c>
      <c r="Q2790" t="s">
        <v>55218</v>
      </c>
      <c r="R2790" t="s">
        <v>55219</v>
      </c>
      <c r="S2790" t="s">
        <v>55220</v>
      </c>
      <c r="T2790" t="s">
        <v>55221</v>
      </c>
      <c r="U2790" t="s">
        <v>55222</v>
      </c>
      <c r="V2790" t="s">
        <v>55223</v>
      </c>
      <c r="W2790" t="s">
        <v>55224</v>
      </c>
      <c r="X2790" t="s">
        <v>55225</v>
      </c>
      <c r="Y2790" t="s">
        <v>55226</v>
      </c>
    </row>
    <row r="2791" spans="1:25" x14ac:dyDescent="0.3">
      <c r="A2791">
        <v>139500</v>
      </c>
      <c r="B2791" t="s">
        <v>55227</v>
      </c>
      <c r="C2791" t="s">
        <v>55228</v>
      </c>
      <c r="D2791" t="s">
        <v>55229</v>
      </c>
      <c r="E2791" t="s">
        <v>55230</v>
      </c>
      <c r="F2791" t="s">
        <v>55231</v>
      </c>
      <c r="G2791" t="s">
        <v>55232</v>
      </c>
      <c r="H2791" t="s">
        <v>55233</v>
      </c>
      <c r="I2791" t="s">
        <v>55234</v>
      </c>
      <c r="J2791" t="s">
        <v>55235</v>
      </c>
      <c r="K2791" t="s">
        <v>55236</v>
      </c>
      <c r="L2791" t="s">
        <v>55237</v>
      </c>
      <c r="M2791" t="s">
        <v>55238</v>
      </c>
      <c r="N2791" t="s">
        <v>55239</v>
      </c>
      <c r="O2791">
        <f>-524.850319927839 -135.127197975922 -735.177796561133</f>
        <v>-1395.1553144648942</v>
      </c>
      <c r="P2791">
        <f>-532.000064167169 -120.235898058414 -419.087145654719</f>
        <v>-1071.3231078803019</v>
      </c>
      <c r="Q2791" t="s">
        <v>55240</v>
      </c>
      <c r="R2791" t="s">
        <v>55241</v>
      </c>
      <c r="S2791" t="s">
        <v>55242</v>
      </c>
      <c r="T2791" t="s">
        <v>55243</v>
      </c>
      <c r="U2791" t="s">
        <v>55244</v>
      </c>
      <c r="V2791" t="s">
        <v>55245</v>
      </c>
      <c r="W2791" t="s">
        <v>55246</v>
      </c>
      <c r="X2791" t="s">
        <v>55247</v>
      </c>
      <c r="Y2791" t="s">
        <v>55248</v>
      </c>
    </row>
    <row r="2792" spans="1:25" x14ac:dyDescent="0.3">
      <c r="A2792">
        <v>139550</v>
      </c>
      <c r="B2792" t="s">
        <v>55249</v>
      </c>
      <c r="C2792" t="s">
        <v>55250</v>
      </c>
      <c r="D2792" t="s">
        <v>55251</v>
      </c>
      <c r="E2792" t="s">
        <v>55252</v>
      </c>
      <c r="F2792" t="s">
        <v>55253</v>
      </c>
      <c r="G2792" t="s">
        <v>55254</v>
      </c>
      <c r="H2792" t="s">
        <v>55255</v>
      </c>
      <c r="I2792" t="s">
        <v>55256</v>
      </c>
      <c r="J2792" t="s">
        <v>55257</v>
      </c>
      <c r="K2792" t="s">
        <v>55258</v>
      </c>
      <c r="L2792" t="s">
        <v>55259</v>
      </c>
      <c r="M2792" t="s">
        <v>55260</v>
      </c>
      <c r="N2792">
        <f>-557.663752008289 -1.24431885823628 -781.12340620631</f>
        <v>-1340.0314770728353</v>
      </c>
      <c r="O2792">
        <f>-523.542997540787 -136.738072320818 -735.293016061934</f>
        <v>-1395.5740859235391</v>
      </c>
      <c r="P2792">
        <f>-530.942491070886 -122.652652008317 -419.17103264997</f>
        <v>-1072.766175729173</v>
      </c>
      <c r="Q2792" t="s">
        <v>55261</v>
      </c>
      <c r="R2792" t="s">
        <v>55262</v>
      </c>
      <c r="S2792" t="s">
        <v>55263</v>
      </c>
      <c r="T2792" t="s">
        <v>55264</v>
      </c>
      <c r="U2792" t="s">
        <v>55265</v>
      </c>
      <c r="V2792" t="s">
        <v>55266</v>
      </c>
      <c r="W2792" t="s">
        <v>55267</v>
      </c>
      <c r="X2792" t="s">
        <v>55268</v>
      </c>
      <c r="Y2792" t="s">
        <v>55269</v>
      </c>
    </row>
    <row r="2793" spans="1:25" x14ac:dyDescent="0.3">
      <c r="A2793">
        <v>139600</v>
      </c>
      <c r="B2793" t="s">
        <v>55270</v>
      </c>
      <c r="C2793" t="s">
        <v>55271</v>
      </c>
      <c r="D2793" t="s">
        <v>55272</v>
      </c>
      <c r="E2793" t="s">
        <v>55273</v>
      </c>
      <c r="F2793" t="s">
        <v>55274</v>
      </c>
      <c r="G2793" t="s">
        <v>55275</v>
      </c>
      <c r="H2793" t="s">
        <v>55276</v>
      </c>
      <c r="I2793" t="s">
        <v>55277</v>
      </c>
      <c r="J2793" t="s">
        <v>55278</v>
      </c>
      <c r="K2793" t="s">
        <v>55279</v>
      </c>
      <c r="L2793" t="s">
        <v>55280</v>
      </c>
      <c r="M2793" t="s">
        <v>55281</v>
      </c>
      <c r="N2793">
        <f>-557.272615044741 -1.71838612072202 -781.085669415804</f>
        <v>-1340.0766705812671</v>
      </c>
      <c r="O2793">
        <f>-523.011648707078 -137.190350111284 -735.266086521696</f>
        <v>-1395.4680853400582</v>
      </c>
      <c r="P2793">
        <f>-530.482984796834 -123.488788000935 -419.12892303602</f>
        <v>-1073.1006958337889</v>
      </c>
      <c r="Q2793" t="s">
        <v>55282</v>
      </c>
      <c r="R2793" t="s">
        <v>55283</v>
      </c>
      <c r="S2793" t="s">
        <v>55284</v>
      </c>
      <c r="T2793" t="s">
        <v>55285</v>
      </c>
      <c r="U2793" t="s">
        <v>55286</v>
      </c>
      <c r="V2793" t="s">
        <v>55287</v>
      </c>
      <c r="W2793" t="s">
        <v>55288</v>
      </c>
      <c r="X2793" t="s">
        <v>55289</v>
      </c>
      <c r="Y2793" t="s">
        <v>55290</v>
      </c>
    </row>
    <row r="2794" spans="1:25" x14ac:dyDescent="0.3">
      <c r="A2794">
        <v>139650</v>
      </c>
      <c r="B2794" t="s">
        <v>55291</v>
      </c>
      <c r="C2794" t="s">
        <v>55292</v>
      </c>
      <c r="D2794" t="s">
        <v>55293</v>
      </c>
      <c r="E2794" t="s">
        <v>55294</v>
      </c>
      <c r="F2794" t="s">
        <v>55295</v>
      </c>
      <c r="G2794" t="s">
        <v>55296</v>
      </c>
      <c r="H2794" t="s">
        <v>55297</v>
      </c>
      <c r="I2794" t="s">
        <v>55298</v>
      </c>
      <c r="J2794" t="s">
        <v>55299</v>
      </c>
      <c r="K2794" t="s">
        <v>55300</v>
      </c>
      <c r="L2794" t="s">
        <v>55301</v>
      </c>
      <c r="M2794" t="s">
        <v>55302</v>
      </c>
      <c r="N2794">
        <f>-556.486654560437 -2.40980672817614 -781.226621017382</f>
        <v>-1340.123082305995</v>
      </c>
      <c r="O2794">
        <f>-521.709772487493 -137.724942392584 -735.373423776748</f>
        <v>-1394.8081386568251</v>
      </c>
      <c r="P2794">
        <f>-529.752386122774 -124.396092925948 -419.234323917535</f>
        <v>-1073.382802966257</v>
      </c>
      <c r="Q2794" t="s">
        <v>55303</v>
      </c>
      <c r="R2794" t="s">
        <v>55304</v>
      </c>
      <c r="S2794" t="s">
        <v>55305</v>
      </c>
      <c r="T2794" t="s">
        <v>55306</v>
      </c>
      <c r="U2794" t="s">
        <v>55307</v>
      </c>
      <c r="V2794" t="s">
        <v>55308</v>
      </c>
      <c r="W2794" t="s">
        <v>55309</v>
      </c>
      <c r="X2794" t="s">
        <v>55310</v>
      </c>
      <c r="Y2794" t="s">
        <v>55311</v>
      </c>
    </row>
    <row r="2795" spans="1:25" x14ac:dyDescent="0.3">
      <c r="A2795">
        <v>139700</v>
      </c>
      <c r="B2795" t="s">
        <v>55312</v>
      </c>
      <c r="C2795" t="s">
        <v>55313</v>
      </c>
      <c r="D2795" t="s">
        <v>55314</v>
      </c>
      <c r="E2795" t="s">
        <v>55315</v>
      </c>
      <c r="F2795" t="s">
        <v>55316</v>
      </c>
      <c r="G2795" t="s">
        <v>55317</v>
      </c>
      <c r="H2795" t="s">
        <v>55318</v>
      </c>
      <c r="I2795" t="s">
        <v>55319</v>
      </c>
      <c r="J2795" t="s">
        <v>55320</v>
      </c>
      <c r="K2795" t="s">
        <v>55321</v>
      </c>
      <c r="L2795" t="s">
        <v>55322</v>
      </c>
      <c r="M2795" t="s">
        <v>55323</v>
      </c>
      <c r="N2795">
        <f>-556.186555951438 -3.25215679149028 -781.262972423919</f>
        <v>-1340.7016851668473</v>
      </c>
      <c r="O2795">
        <f>-521.111136176234 -138.460397838576 -735.330325226475</f>
        <v>-1394.9018592412849</v>
      </c>
      <c r="P2795">
        <f>-529.372814946783 -125.150684546979 -419.196176916334</f>
        <v>-1073.7196764100961</v>
      </c>
      <c r="Q2795" t="s">
        <v>55324</v>
      </c>
      <c r="R2795" t="s">
        <v>55325</v>
      </c>
      <c r="S2795" t="s">
        <v>55326</v>
      </c>
      <c r="T2795" t="s">
        <v>55327</v>
      </c>
      <c r="U2795" t="s">
        <v>55328</v>
      </c>
      <c r="V2795" t="s">
        <v>55329</v>
      </c>
      <c r="W2795" t="s">
        <v>55330</v>
      </c>
      <c r="X2795" t="s">
        <v>55331</v>
      </c>
      <c r="Y2795" t="s">
        <v>55332</v>
      </c>
    </row>
    <row r="2796" spans="1:25" x14ac:dyDescent="0.3">
      <c r="A2796">
        <v>139750</v>
      </c>
      <c r="B2796" t="s">
        <v>55333</v>
      </c>
      <c r="C2796" t="s">
        <v>55334</v>
      </c>
      <c r="D2796" t="s">
        <v>55335</v>
      </c>
      <c r="E2796" t="s">
        <v>55336</v>
      </c>
      <c r="F2796" t="s">
        <v>55337</v>
      </c>
      <c r="G2796" t="s">
        <v>55338</v>
      </c>
      <c r="H2796" t="s">
        <v>55339</v>
      </c>
      <c r="I2796" t="s">
        <v>55340</v>
      </c>
      <c r="J2796" t="s">
        <v>55341</v>
      </c>
      <c r="K2796" t="s">
        <v>55342</v>
      </c>
      <c r="L2796" t="s">
        <v>55343</v>
      </c>
      <c r="M2796" t="s">
        <v>55344</v>
      </c>
      <c r="N2796">
        <f>-555.749394383271 -5.36554805244123 -781.011494369581</f>
        <v>-1342.1264368052932</v>
      </c>
      <c r="O2796">
        <f>-520.01836721763 -140.317028894573 -734.808802143709</f>
        <v>-1395.1441982559122</v>
      </c>
      <c r="P2796">
        <f>-528.859634935052 -126.780636306316 -418.699888540044</f>
        <v>-1074.340159781412</v>
      </c>
      <c r="Q2796" t="s">
        <v>55345</v>
      </c>
      <c r="R2796" t="s">
        <v>55346</v>
      </c>
      <c r="S2796" t="s">
        <v>55347</v>
      </c>
      <c r="T2796" t="s">
        <v>55348</v>
      </c>
      <c r="U2796" t="s">
        <v>55349</v>
      </c>
      <c r="V2796">
        <f>-545.474191862363 -1.58093186476867 -251.097118813259</f>
        <v>-798.15224254039072</v>
      </c>
      <c r="W2796" t="s">
        <v>55350</v>
      </c>
      <c r="X2796" t="s">
        <v>55351</v>
      </c>
      <c r="Y2796" t="s">
        <v>55352</v>
      </c>
    </row>
    <row r="2797" spans="1:25" x14ac:dyDescent="0.3">
      <c r="A2797">
        <v>139800</v>
      </c>
      <c r="B2797" t="s">
        <v>55353</v>
      </c>
      <c r="C2797" t="s">
        <v>55354</v>
      </c>
      <c r="D2797" t="s">
        <v>55355</v>
      </c>
      <c r="E2797" t="s">
        <v>55356</v>
      </c>
      <c r="F2797" t="s">
        <v>55357</v>
      </c>
      <c r="G2797" t="s">
        <v>55358</v>
      </c>
      <c r="H2797" t="s">
        <v>55359</v>
      </c>
      <c r="I2797" t="s">
        <v>55360</v>
      </c>
      <c r="J2797" t="s">
        <v>55361</v>
      </c>
      <c r="K2797" t="s">
        <v>55362</v>
      </c>
      <c r="L2797" t="s">
        <v>55363</v>
      </c>
      <c r="M2797" t="s">
        <v>55364</v>
      </c>
      <c r="N2797">
        <f>-555.631122332805 -6.43340832622266 -780.730045481978</f>
        <v>-1342.7945761410056</v>
      </c>
      <c r="O2797">
        <f>-519.556118864336 -141.247148570236 -734.412123533438</f>
        <v>-1395.2153909680101</v>
      </c>
      <c r="P2797">
        <f>-528.681951423133 -127.610139698713 -418.315760504492</f>
        <v>-1074.6078516263378</v>
      </c>
      <c r="Q2797" t="s">
        <v>55365</v>
      </c>
      <c r="R2797" t="s">
        <v>55366</v>
      </c>
      <c r="S2797" t="s">
        <v>55367</v>
      </c>
      <c r="T2797" t="s">
        <v>55368</v>
      </c>
      <c r="U2797" t="s">
        <v>55369</v>
      </c>
      <c r="V2797">
        <f>-546.298042310132 -3.16176226492371 -250.945801424079</f>
        <v>-800.40560599913476</v>
      </c>
      <c r="W2797" t="s">
        <v>55370</v>
      </c>
      <c r="X2797" t="s">
        <v>55371</v>
      </c>
      <c r="Y2797" t="s">
        <v>55372</v>
      </c>
    </row>
    <row r="2798" spans="1:25" x14ac:dyDescent="0.3">
      <c r="A2798">
        <v>139850</v>
      </c>
      <c r="B2798" t="s">
        <v>55373</v>
      </c>
      <c r="C2798" t="s">
        <v>55374</v>
      </c>
      <c r="D2798" t="s">
        <v>55375</v>
      </c>
      <c r="E2798" t="s">
        <v>55376</v>
      </c>
      <c r="F2798" t="s">
        <v>55377</v>
      </c>
      <c r="G2798" t="s">
        <v>55378</v>
      </c>
      <c r="H2798" t="s">
        <v>55379</v>
      </c>
      <c r="I2798" t="s">
        <v>55380</v>
      </c>
      <c r="J2798" t="s">
        <v>55381</v>
      </c>
      <c r="K2798" t="s">
        <v>55382</v>
      </c>
      <c r="L2798" t="s">
        <v>55383</v>
      </c>
      <c r="M2798" t="s">
        <v>55384</v>
      </c>
      <c r="N2798">
        <f>-555.660001040729 -8.99547483735751 -780.122051449705</f>
        <v>-1344.7775273277916</v>
      </c>
      <c r="O2798">
        <f>-519.169501133892 -143.582544324399 -733.45495004719</f>
        <v>-1396.206995505481</v>
      </c>
      <c r="P2798">
        <f>-528.280209941687 -129.819361671217 -417.36353965263</f>
        <v>-1075.4631112655338</v>
      </c>
      <c r="Q2798" t="s">
        <v>55385</v>
      </c>
      <c r="R2798" t="s">
        <v>55386</v>
      </c>
      <c r="S2798" t="s">
        <v>55387</v>
      </c>
      <c r="T2798" t="s">
        <v>55388</v>
      </c>
      <c r="U2798" t="s">
        <v>55389</v>
      </c>
      <c r="V2798">
        <f>-547.692353358375 -6.28364886135637 -250.612916270824</f>
        <v>-804.58891849055544</v>
      </c>
      <c r="W2798" t="s">
        <v>55390</v>
      </c>
      <c r="X2798" t="s">
        <v>55391</v>
      </c>
      <c r="Y2798" t="s">
        <v>55392</v>
      </c>
    </row>
    <row r="2799" spans="1:25" x14ac:dyDescent="0.3">
      <c r="A2799">
        <v>139900</v>
      </c>
      <c r="B2799" t="s">
        <v>55393</v>
      </c>
      <c r="C2799" t="s">
        <v>55394</v>
      </c>
      <c r="D2799" t="s">
        <v>55395</v>
      </c>
      <c r="E2799" t="s">
        <v>55396</v>
      </c>
      <c r="F2799" t="s">
        <v>55397</v>
      </c>
      <c r="G2799" t="s">
        <v>55398</v>
      </c>
      <c r="H2799" t="s">
        <v>55399</v>
      </c>
      <c r="I2799" t="s">
        <v>55400</v>
      </c>
      <c r="J2799" t="s">
        <v>55401</v>
      </c>
      <c r="K2799" t="s">
        <v>55402</v>
      </c>
      <c r="L2799" t="s">
        <v>55403</v>
      </c>
      <c r="M2799" t="s">
        <v>55404</v>
      </c>
      <c r="N2799">
        <f>-555.2100595481 -10.476212559229 -779.780533361071</f>
        <v>-1345.4668054684</v>
      </c>
      <c r="O2799">
        <f>-518.464842125769 -144.937893136819 -732.947497672195</f>
        <v>-1396.350232934783</v>
      </c>
      <c r="P2799">
        <f>-527.548465155517 -131.183177625735 -416.854872121684</f>
        <v>-1075.586514902936</v>
      </c>
      <c r="Q2799" t="s">
        <v>55405</v>
      </c>
      <c r="R2799" t="s">
        <v>55406</v>
      </c>
      <c r="S2799" t="s">
        <v>55407</v>
      </c>
      <c r="T2799" t="s">
        <v>55408</v>
      </c>
      <c r="U2799" t="s">
        <v>55409</v>
      </c>
      <c r="V2799">
        <f>-548.180233690309 -8.15108751876414 -250.428343429931</f>
        <v>-806.7596646390042</v>
      </c>
      <c r="W2799" t="s">
        <v>55410</v>
      </c>
      <c r="X2799" t="s">
        <v>55411</v>
      </c>
      <c r="Y2799" t="s">
        <v>55412</v>
      </c>
    </row>
    <row r="2800" spans="1:25" x14ac:dyDescent="0.3">
      <c r="A2800">
        <v>139950</v>
      </c>
      <c r="B2800" t="s">
        <v>55413</v>
      </c>
      <c r="C2800" t="s">
        <v>55414</v>
      </c>
      <c r="D2800" t="s">
        <v>55415</v>
      </c>
      <c r="E2800" t="s">
        <v>55416</v>
      </c>
      <c r="F2800" t="s">
        <v>55417</v>
      </c>
      <c r="G2800" t="s">
        <v>55418</v>
      </c>
      <c r="H2800" t="s">
        <v>55419</v>
      </c>
      <c r="I2800" t="s">
        <v>55420</v>
      </c>
      <c r="J2800" t="s">
        <v>55421</v>
      </c>
      <c r="K2800" t="s">
        <v>55422</v>
      </c>
      <c r="L2800" t="s">
        <v>55423</v>
      </c>
      <c r="M2800" t="s">
        <v>55424</v>
      </c>
      <c r="N2800">
        <f>-554.286227105351 -13.6892937573998 -779.142652604431</f>
        <v>-1347.1181734671818</v>
      </c>
      <c r="O2800">
        <f>-517.073961967299 -147.926139395764 -732.034525220689</f>
        <v>-1397.034626583752</v>
      </c>
      <c r="P2800">
        <f>-526.349590393861 -134.352159760516 -415.939819770203</f>
        <v>-1076.6415699245799</v>
      </c>
      <c r="Q2800" t="s">
        <v>55425</v>
      </c>
      <c r="R2800" t="s">
        <v>55426</v>
      </c>
      <c r="S2800" t="s">
        <v>55427</v>
      </c>
      <c r="T2800" t="s">
        <v>55428</v>
      </c>
      <c r="U2800" t="s">
        <v>55429</v>
      </c>
      <c r="V2800">
        <f>-548.709302363127 -12.1146592482553 -250.138377874151</f>
        <v>-810.96233948553322</v>
      </c>
      <c r="W2800" t="s">
        <v>55430</v>
      </c>
      <c r="X2800" t="s">
        <v>55431</v>
      </c>
      <c r="Y2800" t="s">
        <v>55432</v>
      </c>
    </row>
    <row r="2801" spans="1:25" x14ac:dyDescent="0.3">
      <c r="A2801">
        <v>140000</v>
      </c>
      <c r="B2801" t="s">
        <v>55433</v>
      </c>
      <c r="C2801" t="s">
        <v>55434</v>
      </c>
      <c r="D2801" t="s">
        <v>55435</v>
      </c>
      <c r="E2801" t="s">
        <v>55436</v>
      </c>
      <c r="F2801" t="s">
        <v>55437</v>
      </c>
      <c r="G2801" t="s">
        <v>55438</v>
      </c>
      <c r="H2801" t="s">
        <v>55439</v>
      </c>
      <c r="I2801" t="s">
        <v>55440</v>
      </c>
      <c r="J2801" t="s">
        <v>55441</v>
      </c>
      <c r="K2801" t="s">
        <v>55442</v>
      </c>
      <c r="L2801" t="s">
        <v>55443</v>
      </c>
      <c r="M2801" t="s">
        <v>55444</v>
      </c>
      <c r="N2801">
        <f>-553.832169402302 -15.3121757078029 -778.82969757474</f>
        <v>-1347.9740426848448</v>
      </c>
      <c r="O2801">
        <f>-516.392158684529 -149.461717860565 -731.631593087405</f>
        <v>-1397.485469632499</v>
      </c>
      <c r="P2801">
        <f>-525.843174248961 -136.047612759298 -415.535164604506</f>
        <v>-1077.4259516127649</v>
      </c>
      <c r="Q2801" t="s">
        <v>55445</v>
      </c>
      <c r="R2801" t="s">
        <v>55446</v>
      </c>
      <c r="S2801" t="s">
        <v>55447</v>
      </c>
      <c r="T2801" t="s">
        <v>55448</v>
      </c>
      <c r="U2801" t="s">
        <v>55449</v>
      </c>
      <c r="V2801">
        <f>-548.824266171991 -14.2155534854089 -249.957348879165</f>
        <v>-812.99716853656491</v>
      </c>
      <c r="W2801" t="s">
        <v>55450</v>
      </c>
      <c r="X2801" t="s">
        <v>55451</v>
      </c>
      <c r="Y2801" t="s">
        <v>55452</v>
      </c>
    </row>
    <row r="2802" spans="1:25" x14ac:dyDescent="0.3">
      <c r="A2802">
        <v>140050</v>
      </c>
      <c r="B2802" t="s">
        <v>55453</v>
      </c>
      <c r="C2802" t="s">
        <v>55454</v>
      </c>
      <c r="D2802" t="s">
        <v>55455</v>
      </c>
      <c r="E2802" t="s">
        <v>55456</v>
      </c>
      <c r="F2802" t="s">
        <v>55457</v>
      </c>
      <c r="G2802" t="s">
        <v>55458</v>
      </c>
      <c r="H2802" t="s">
        <v>55459</v>
      </c>
      <c r="I2802" t="s">
        <v>55460</v>
      </c>
      <c r="J2802" t="s">
        <v>55461</v>
      </c>
      <c r="K2802" t="s">
        <v>55462</v>
      </c>
      <c r="L2802" t="s">
        <v>55463</v>
      </c>
      <c r="M2802" t="s">
        <v>55464</v>
      </c>
      <c r="N2802">
        <f>-552.253842617579 -18.6198547070699 -778.066859371057</f>
        <v>-1348.9405566957059</v>
      </c>
      <c r="O2802">
        <f>-514.316293267716 -152.571471176045 -730.734091310899</f>
        <v>-1397.6218557546599</v>
      </c>
      <c r="P2802">
        <f>-524.378967728447 -140.032139047416 -414.620715037275</f>
        <v>-1079.0318218131379</v>
      </c>
      <c r="Q2802" t="s">
        <v>55465</v>
      </c>
      <c r="R2802" t="s">
        <v>55466</v>
      </c>
      <c r="S2802" t="s">
        <v>55467</v>
      </c>
      <c r="T2802" t="s">
        <v>55468</v>
      </c>
      <c r="U2802" t="s">
        <v>55469</v>
      </c>
      <c r="V2802">
        <f>-548.526727908004 -18.2836373768741 -249.477088451005</f>
        <v>-816.2874537358831</v>
      </c>
      <c r="W2802" t="s">
        <v>55470</v>
      </c>
      <c r="X2802" t="s">
        <v>55471</v>
      </c>
      <c r="Y2802" t="s">
        <v>55472</v>
      </c>
    </row>
    <row r="2803" spans="1:25" x14ac:dyDescent="0.3">
      <c r="A2803">
        <v>140100</v>
      </c>
      <c r="B2803" t="s">
        <v>55473</v>
      </c>
      <c r="C2803" t="s">
        <v>55474</v>
      </c>
      <c r="D2803" t="s">
        <v>55475</v>
      </c>
      <c r="E2803" t="s">
        <v>55476</v>
      </c>
      <c r="F2803" t="s">
        <v>55477</v>
      </c>
      <c r="G2803" t="s">
        <v>55478</v>
      </c>
      <c r="H2803" t="s">
        <v>55479</v>
      </c>
      <c r="I2803" t="s">
        <v>55480</v>
      </c>
      <c r="J2803" t="s">
        <v>55481</v>
      </c>
      <c r="K2803" t="s">
        <v>55482</v>
      </c>
      <c r="L2803" t="s">
        <v>55483</v>
      </c>
      <c r="M2803" t="s">
        <v>55484</v>
      </c>
      <c r="N2803">
        <f>-551.228715366081 -20.2436797878506 -777.621964722115</f>
        <v>-1349.0943598760466</v>
      </c>
      <c r="O2803">
        <f>-513.098540272064 -154.142058108258 -730.253119745058</f>
        <v>-1397.4937181253799</v>
      </c>
      <c r="P2803">
        <f>-523.373373368351 -142.174843155614 -414.124350357614</f>
        <v>-1079.6725668815791</v>
      </c>
      <c r="Q2803" t="s">
        <v>55485</v>
      </c>
      <c r="R2803" t="s">
        <v>55486</v>
      </c>
      <c r="S2803" t="s">
        <v>55487</v>
      </c>
      <c r="T2803" t="s">
        <v>55488</v>
      </c>
      <c r="U2803" t="s">
        <v>55489</v>
      </c>
      <c r="V2803">
        <f>-548.190984225035 -20.3567733066925 -249.169045253603</f>
        <v>-817.71680278533051</v>
      </c>
      <c r="W2803" t="s">
        <v>55490</v>
      </c>
      <c r="X2803" t="s">
        <v>55491</v>
      </c>
      <c r="Y2803" t="s">
        <v>55492</v>
      </c>
    </row>
    <row r="2804" spans="1:25" x14ac:dyDescent="0.3">
      <c r="A2804">
        <v>140150</v>
      </c>
      <c r="B2804" t="s">
        <v>55493</v>
      </c>
      <c r="C2804" t="s">
        <v>55494</v>
      </c>
      <c r="D2804" t="s">
        <v>55495</v>
      </c>
      <c r="E2804" t="s">
        <v>55496</v>
      </c>
      <c r="F2804" t="s">
        <v>55497</v>
      </c>
      <c r="G2804" t="s">
        <v>55498</v>
      </c>
      <c r="H2804">
        <f>-546.133835590603 -2.24113398322606 -848.308658409922</f>
        <v>-1396.6836279837512</v>
      </c>
      <c r="I2804">
        <f>-500.930657819497 -0.224214984111313 -939.608114342348</f>
        <v>-1440.7629871459562</v>
      </c>
      <c r="J2804" t="s">
        <v>55499</v>
      </c>
      <c r="K2804" t="s">
        <v>55500</v>
      </c>
      <c r="L2804" t="s">
        <v>55501</v>
      </c>
      <c r="M2804" t="s">
        <v>55502</v>
      </c>
      <c r="N2804">
        <f>-549.269390752376 -23.1733513331621 -776.859919276128</f>
        <v>-1349.3026613616662</v>
      </c>
      <c r="O2804">
        <f>-510.858862219908 -157.025547199134 -729.600475972633</f>
        <v>-1397.4848853916751</v>
      </c>
      <c r="P2804">
        <f>-521.125683249818 -146.15600178741 -413.431872265802</f>
        <v>-1080.71355730303</v>
      </c>
      <c r="Q2804" t="s">
        <v>55503</v>
      </c>
      <c r="R2804" t="s">
        <v>55504</v>
      </c>
      <c r="S2804" t="s">
        <v>55505</v>
      </c>
      <c r="T2804" t="s">
        <v>55506</v>
      </c>
      <c r="U2804" t="s">
        <v>55507</v>
      </c>
      <c r="V2804">
        <f>-547.194940474779 -24.2529097805289 -248.577125983363</f>
        <v>-820.02497623867077</v>
      </c>
      <c r="W2804" t="s">
        <v>55508</v>
      </c>
      <c r="X2804" t="s">
        <v>55509</v>
      </c>
      <c r="Y2804" t="s">
        <v>55510</v>
      </c>
    </row>
    <row r="2805" spans="1:25" x14ac:dyDescent="0.3">
      <c r="A2805">
        <v>140200</v>
      </c>
      <c r="B2805" t="s">
        <v>55511</v>
      </c>
      <c r="C2805" t="s">
        <v>55512</v>
      </c>
      <c r="D2805" t="s">
        <v>55513</v>
      </c>
      <c r="E2805" t="s">
        <v>55514</v>
      </c>
      <c r="F2805" t="s">
        <v>55515</v>
      </c>
      <c r="G2805" t="s">
        <v>55516</v>
      </c>
      <c r="H2805">
        <f>-545.129972135915 -3.54083637904318 -847.940943104921</f>
        <v>-1396.6117516198792</v>
      </c>
      <c r="I2805">
        <f>-499.871560845737 -1.45938922762298 -939.211404119623</f>
        <v>-1440.5423541929831</v>
      </c>
      <c r="J2805" t="s">
        <v>55517</v>
      </c>
      <c r="K2805" t="s">
        <v>55518</v>
      </c>
      <c r="L2805" t="s">
        <v>55519</v>
      </c>
      <c r="M2805" t="s">
        <v>55520</v>
      </c>
      <c r="N2805">
        <f>-548.274121059103 -24.5025330027556 -776.501080703587</f>
        <v>-1349.2777347654455</v>
      </c>
      <c r="O2805">
        <f>-509.77876805124 -158.337699862056 -729.287780498707</f>
        <v>-1397.404248412003</v>
      </c>
      <c r="P2805">
        <f>-519.665939367165 -148.07089845281 -413.086938731132</f>
        <v>-1080.8237765511071</v>
      </c>
      <c r="Q2805" t="s">
        <v>55521</v>
      </c>
      <c r="R2805" t="s">
        <v>55522</v>
      </c>
      <c r="S2805" t="s">
        <v>55523</v>
      </c>
      <c r="T2805" t="s">
        <v>55524</v>
      </c>
      <c r="U2805" t="s">
        <v>55525</v>
      </c>
      <c r="V2805">
        <f>-546.587689989697 -26.1840150504281 -248.296576746037</f>
        <v>-821.06828178616206</v>
      </c>
      <c r="W2805" t="s">
        <v>55526</v>
      </c>
      <c r="X2805" t="s">
        <v>55527</v>
      </c>
      <c r="Y2805" t="s">
        <v>55528</v>
      </c>
    </row>
    <row r="2806" spans="1:25" x14ac:dyDescent="0.3">
      <c r="A2806">
        <v>140250</v>
      </c>
      <c r="B2806" t="s">
        <v>55529</v>
      </c>
      <c r="C2806" t="s">
        <v>55530</v>
      </c>
      <c r="D2806" t="s">
        <v>55531</v>
      </c>
      <c r="E2806" t="s">
        <v>55532</v>
      </c>
      <c r="F2806" t="s">
        <v>55533</v>
      </c>
      <c r="G2806" t="s">
        <v>55534</v>
      </c>
      <c r="H2806">
        <f>-542.922473144458 -6.19772957337545 -847.311278158144</f>
        <v>-1396.4314808759773</v>
      </c>
      <c r="I2806">
        <f>-497.629040976839 -4.0241854637959 -938.562363302247</f>
        <v>-1440.215589742882</v>
      </c>
      <c r="J2806" t="s">
        <v>55535</v>
      </c>
      <c r="K2806" t="s">
        <v>55536</v>
      </c>
      <c r="L2806" t="s">
        <v>55537</v>
      </c>
      <c r="M2806" t="s">
        <v>55538</v>
      </c>
      <c r="N2806">
        <f>-546.018734801762 -27.191940485028 -775.878893093652</f>
        <v>-1349.089568380442</v>
      </c>
      <c r="O2806">
        <f>-507.315044672235 -161.037103602155 -728.847714274139</f>
        <v>-1397.1998625485289</v>
      </c>
      <c r="P2806">
        <f>-516.414162786019 -151.880690910987 -412.589021587834</f>
        <v>-1080.8838752848401</v>
      </c>
      <c r="Q2806" t="s">
        <v>55539</v>
      </c>
      <c r="R2806" t="s">
        <v>55540</v>
      </c>
      <c r="S2806" t="s">
        <v>55541</v>
      </c>
      <c r="T2806" t="s">
        <v>55542</v>
      </c>
      <c r="U2806" t="s">
        <v>55543</v>
      </c>
      <c r="V2806">
        <f>-545.100426357734 -30.0287123496348 -247.75863237672</f>
        <v>-822.88777108408885</v>
      </c>
      <c r="W2806" t="s">
        <v>55544</v>
      </c>
      <c r="X2806" t="s">
        <v>55545</v>
      </c>
      <c r="Y2806" t="s">
        <v>55546</v>
      </c>
    </row>
    <row r="2807" spans="1:25" x14ac:dyDescent="0.3">
      <c r="A2807">
        <v>140300</v>
      </c>
      <c r="B2807" t="s">
        <v>55547</v>
      </c>
      <c r="C2807" t="s">
        <v>55548</v>
      </c>
      <c r="D2807" t="s">
        <v>55549</v>
      </c>
      <c r="E2807" t="s">
        <v>55550</v>
      </c>
      <c r="F2807" t="s">
        <v>55551</v>
      </c>
      <c r="G2807" t="s">
        <v>55552</v>
      </c>
      <c r="H2807">
        <f>-541.954669228549 -7.58641175570074 -847.024924374957</f>
        <v>-1396.5660053592069</v>
      </c>
      <c r="I2807">
        <f>-496.690183098934 -5.38187992741132 -938.289683203439</f>
        <v>-1440.3617462297843</v>
      </c>
      <c r="J2807" t="s">
        <v>55553</v>
      </c>
      <c r="K2807" t="s">
        <v>55554</v>
      </c>
      <c r="L2807" t="s">
        <v>55555</v>
      </c>
      <c r="M2807" t="s">
        <v>55556</v>
      </c>
      <c r="N2807">
        <f>-544.999604433517 -28.5933589002402 -775.594144045525</f>
        <v>-1349.1871073792822</v>
      </c>
      <c r="O2807">
        <f>-506.165422627784 -162.433860837295 -728.653287710651</f>
        <v>-1397.2525711757301</v>
      </c>
      <c r="P2807">
        <f>-514.802069711994 -153.912790995417 -412.363844230065</f>
        <v>-1081.078704937476</v>
      </c>
      <c r="Q2807" t="s">
        <v>55557</v>
      </c>
      <c r="R2807" t="s">
        <v>55558</v>
      </c>
      <c r="S2807" t="s">
        <v>55559</v>
      </c>
      <c r="T2807" t="s">
        <v>55560</v>
      </c>
      <c r="U2807" t="s">
        <v>55561</v>
      </c>
      <c r="V2807">
        <f>-544.406466191502 -32.0042083661194 -247.4704991841</f>
        <v>-823.88117374172134</v>
      </c>
      <c r="W2807" t="s">
        <v>55562</v>
      </c>
      <c r="X2807" t="s">
        <v>55563</v>
      </c>
      <c r="Y2807" t="s">
        <v>55564</v>
      </c>
    </row>
    <row r="2808" spans="1:25" x14ac:dyDescent="0.3">
      <c r="A2808">
        <v>140350</v>
      </c>
      <c r="B2808" t="s">
        <v>55565</v>
      </c>
      <c r="C2808" t="s">
        <v>55566</v>
      </c>
      <c r="D2808" t="s">
        <v>55567</v>
      </c>
      <c r="E2808" t="s">
        <v>55568</v>
      </c>
      <c r="F2808" t="s">
        <v>55569</v>
      </c>
      <c r="G2808" t="s">
        <v>55570</v>
      </c>
      <c r="H2808">
        <f>-539.998122026525 -9.88941859807233 -846.512057066256</f>
        <v>-1396.3995976908534</v>
      </c>
      <c r="I2808">
        <f>-494.883282664448 -7.61832405641735 -937.8493306705</f>
        <v>-1440.3509373913653</v>
      </c>
      <c r="J2808" t="s">
        <v>55571</v>
      </c>
      <c r="K2808" t="s">
        <v>55572</v>
      </c>
      <c r="L2808" t="s">
        <v>55573</v>
      </c>
      <c r="M2808" t="s">
        <v>55574</v>
      </c>
      <c r="N2808">
        <f>-542.915028605699 -30.9553982536934 -775.093472847401</f>
        <v>-1348.9638997067934</v>
      </c>
      <c r="O2808">
        <f>-503.959467060759 -164.850294814744 -728.417364152262</f>
        <v>-1397.2271260277651</v>
      </c>
      <c r="P2808">
        <f>-511.71331206941 -157.267379679838 -412.081250560241</f>
        <v>-1081.061942309489</v>
      </c>
      <c r="Q2808" t="s">
        <v>55575</v>
      </c>
      <c r="R2808" t="s">
        <v>55576</v>
      </c>
      <c r="S2808" t="s">
        <v>55577</v>
      </c>
      <c r="T2808" t="s">
        <v>55578</v>
      </c>
      <c r="U2808" t="s">
        <v>55579</v>
      </c>
      <c r="V2808">
        <f>-542.929292201626 -35.8050049696058 -246.912503173477</f>
        <v>-825.64680034470882</v>
      </c>
      <c r="W2808" t="s">
        <v>55580</v>
      </c>
      <c r="X2808" t="s">
        <v>55581</v>
      </c>
      <c r="Y2808" t="s">
        <v>55582</v>
      </c>
    </row>
    <row r="2809" spans="1:25" x14ac:dyDescent="0.3">
      <c r="A2809">
        <v>140400</v>
      </c>
      <c r="B2809" t="s">
        <v>55583</v>
      </c>
      <c r="C2809" t="s">
        <v>55584</v>
      </c>
      <c r="D2809" t="s">
        <v>55585</v>
      </c>
      <c r="E2809" t="s">
        <v>55586</v>
      </c>
      <c r="F2809" t="s">
        <v>55587</v>
      </c>
      <c r="G2809" t="s">
        <v>55588</v>
      </c>
      <c r="H2809">
        <f>-538.965611761658 -10.952898348738 -846.275978612006</f>
        <v>-1396.1944887224022</v>
      </c>
      <c r="I2809">
        <f>-493.940867444184 -8.659508249081 -937.657077196267</f>
        <v>-1440.257452889532</v>
      </c>
      <c r="J2809" t="s">
        <v>55589</v>
      </c>
      <c r="K2809" t="s">
        <v>55590</v>
      </c>
      <c r="L2809" t="s">
        <v>55591</v>
      </c>
      <c r="M2809" t="s">
        <v>55592</v>
      </c>
      <c r="N2809">
        <f>-541.833880279977 -32.0494274137254 -774.864335025853</f>
        <v>-1348.7476427195556</v>
      </c>
      <c r="O2809">
        <f>-502.837163769712 -165.980730938839 -728.331116663057</f>
        <v>-1397.1490113716079</v>
      </c>
      <c r="P2809">
        <f>-510.126701023532 -158.804382509482 -411.974299908465</f>
        <v>-1080.905383441479</v>
      </c>
      <c r="Q2809" t="s">
        <v>55593</v>
      </c>
      <c r="R2809" t="s">
        <v>55594</v>
      </c>
      <c r="S2809" t="s">
        <v>55595</v>
      </c>
      <c r="T2809" t="s">
        <v>55596</v>
      </c>
      <c r="U2809" t="s">
        <v>55597</v>
      </c>
      <c r="V2809">
        <f>-542.216223473991 -37.5928552196458 -246.645013354402</f>
        <v>-826.45409204803877</v>
      </c>
      <c r="W2809" t="s">
        <v>55598</v>
      </c>
      <c r="X2809" t="s">
        <v>55599</v>
      </c>
      <c r="Y2809" t="s">
        <v>55600</v>
      </c>
    </row>
    <row r="2810" spans="1:25" x14ac:dyDescent="0.3">
      <c r="A2810">
        <v>140450</v>
      </c>
      <c r="B2810" t="s">
        <v>55601</v>
      </c>
      <c r="C2810" t="s">
        <v>55602</v>
      </c>
      <c r="D2810" t="s">
        <v>55603</v>
      </c>
      <c r="E2810" t="s">
        <v>55604</v>
      </c>
      <c r="F2810" t="s">
        <v>55605</v>
      </c>
      <c r="G2810" t="s">
        <v>55606</v>
      </c>
      <c r="H2810">
        <f>-537.466700438555 -12.7715728177668 -845.827609804422</f>
        <v>-1396.0658830607438</v>
      </c>
      <c r="I2810">
        <f>-492.668181307702 -10.4144966011979 -937.318063796142</f>
        <v>-1440.400741705042</v>
      </c>
      <c r="J2810" t="s">
        <v>55607</v>
      </c>
      <c r="K2810" t="s">
        <v>55608</v>
      </c>
      <c r="L2810" t="s">
        <v>55609</v>
      </c>
      <c r="M2810" t="s">
        <v>55610</v>
      </c>
      <c r="N2810">
        <f>-540.16307240784 -33.9439523238439 -774.431606062048</f>
        <v>-1348.538630793732</v>
      </c>
      <c r="O2810">
        <f>-501.096825962755 -167.958061832792 -728.190686559472</f>
        <v>-1397.245574355019</v>
      </c>
      <c r="P2810">
        <f>-507.725430874138 -161.756071240458 -411.798845289282</f>
        <v>-1081.2803474038778</v>
      </c>
      <c r="Q2810" t="s">
        <v>55611</v>
      </c>
      <c r="R2810" t="s">
        <v>55612</v>
      </c>
      <c r="S2810" t="s">
        <v>55613</v>
      </c>
      <c r="T2810" t="s">
        <v>55614</v>
      </c>
      <c r="U2810" t="s">
        <v>55615</v>
      </c>
      <c r="V2810">
        <f>-540.838897629377 -40.8442093709057 -246.080813591279</f>
        <v>-827.76392059156171</v>
      </c>
      <c r="W2810" t="s">
        <v>55616</v>
      </c>
      <c r="X2810" t="s">
        <v>55617</v>
      </c>
      <c r="Y2810" t="s">
        <v>55618</v>
      </c>
    </row>
    <row r="2811" spans="1:25" x14ac:dyDescent="0.3">
      <c r="A2811">
        <v>140500</v>
      </c>
      <c r="B2811" t="s">
        <v>55619</v>
      </c>
      <c r="C2811" t="s">
        <v>55620</v>
      </c>
      <c r="D2811" t="s">
        <v>55621</v>
      </c>
      <c r="E2811" t="s">
        <v>55622</v>
      </c>
      <c r="F2811" t="s">
        <v>55623</v>
      </c>
      <c r="G2811" t="s">
        <v>55624</v>
      </c>
      <c r="H2811">
        <f>-536.860653439924 -13.6786945373706 -845.581668522816</f>
        <v>-1396.1210165001107</v>
      </c>
      <c r="I2811">
        <f>-492.186749026538 -11.2976893083746 -937.13261961707</f>
        <v>-1440.6170579519826</v>
      </c>
      <c r="J2811" t="s">
        <v>55625</v>
      </c>
      <c r="K2811" t="s">
        <v>55626</v>
      </c>
      <c r="L2811" t="s">
        <v>55627</v>
      </c>
      <c r="M2811" t="s">
        <v>55628</v>
      </c>
      <c r="N2811">
        <f>-539.448031822505 -34.8654061067991 -774.18606888021</f>
        <v>-1348.4995068095141</v>
      </c>
      <c r="O2811">
        <f>-500.351848334423 -168.915705191373 -728.083498875498</f>
        <v>-1397.3510524012941</v>
      </c>
      <c r="P2811">
        <f>-506.718217967281 -163.073649850787 -411.67932710189</f>
        <v>-1081.471194919958</v>
      </c>
      <c r="Q2811" t="s">
        <v>55629</v>
      </c>
      <c r="R2811" t="s">
        <v>55630</v>
      </c>
      <c r="S2811" t="s">
        <v>55631</v>
      </c>
      <c r="T2811" t="s">
        <v>55632</v>
      </c>
      <c r="U2811" t="s">
        <v>55633</v>
      </c>
      <c r="V2811">
        <f>-540.203676068809 -42.314160739819 -245.78513093689</f>
        <v>-828.30296774551812</v>
      </c>
      <c r="W2811" t="s">
        <v>55634</v>
      </c>
      <c r="X2811" t="s">
        <v>55635</v>
      </c>
      <c r="Y2811" t="s">
        <v>55636</v>
      </c>
    </row>
    <row r="2812" spans="1:25" x14ac:dyDescent="0.3">
      <c r="A2812">
        <v>140550</v>
      </c>
      <c r="B2812" t="s">
        <v>55637</v>
      </c>
      <c r="C2812" t="s">
        <v>55638</v>
      </c>
      <c r="D2812" t="s">
        <v>55639</v>
      </c>
      <c r="E2812" t="s">
        <v>55640</v>
      </c>
      <c r="F2812" t="s">
        <v>55641</v>
      </c>
      <c r="G2812" t="s">
        <v>55642</v>
      </c>
      <c r="H2812">
        <f>-536.279404999261 -15.5179784906181 -845.212649118665</f>
        <v>-1397.0100326085442</v>
      </c>
      <c r="I2812">
        <f>-491.905755980144 -13.1595025905383 -936.910050068635</f>
        <v>-1441.9753086393173</v>
      </c>
      <c r="J2812" t="s">
        <v>55643</v>
      </c>
      <c r="K2812" t="s">
        <v>55644</v>
      </c>
      <c r="L2812" t="s">
        <v>55645</v>
      </c>
      <c r="M2812" t="s">
        <v>55646</v>
      </c>
      <c r="N2812">
        <f>-538.583641910367 -36.6789067646255 -773.799593082442</f>
        <v>-1349.0621417574343</v>
      </c>
      <c r="O2812">
        <f>-499.446176477439 -170.782450155009 -727.909027889838</f>
        <v>-1398.1376545222861</v>
      </c>
      <c r="P2812">
        <f>-505.137442221669 -165.371337306309 -411.484448024819</f>
        <v>-1081.9932275527972</v>
      </c>
      <c r="Q2812" t="s">
        <v>55647</v>
      </c>
      <c r="R2812" t="s">
        <v>55648</v>
      </c>
      <c r="S2812" t="s">
        <v>55649</v>
      </c>
      <c r="T2812" t="s">
        <v>55650</v>
      </c>
      <c r="U2812" t="s">
        <v>55651</v>
      </c>
      <c r="V2812">
        <f>-539.319563112458 -44.9707904477841 -245.231777737242</f>
        <v>-829.52213129748407</v>
      </c>
      <c r="W2812" t="s">
        <v>55652</v>
      </c>
      <c r="X2812" t="s">
        <v>55653</v>
      </c>
      <c r="Y2812" t="s">
        <v>55654</v>
      </c>
    </row>
    <row r="2813" spans="1:25" x14ac:dyDescent="0.3">
      <c r="A2813">
        <v>140600</v>
      </c>
      <c r="B2813" t="s">
        <v>55655</v>
      </c>
      <c r="C2813" t="s">
        <v>55656</v>
      </c>
      <c r="D2813" t="s">
        <v>55657</v>
      </c>
      <c r="E2813" t="s">
        <v>55658</v>
      </c>
      <c r="F2813" t="s">
        <v>55659</v>
      </c>
      <c r="G2813" t="s">
        <v>55660</v>
      </c>
      <c r="H2813">
        <f>-536.111361066604 -16.435820894927 -845.055850462162</f>
        <v>-1397.6030324236931</v>
      </c>
      <c r="I2813">
        <f>-491.919313337222 -14.1414010862889 -936.842476083919</f>
        <v>-1442.9031905074298</v>
      </c>
      <c r="J2813" t="s">
        <v>55661</v>
      </c>
      <c r="K2813" t="s">
        <v>55662</v>
      </c>
      <c r="L2813" t="s">
        <v>55663</v>
      </c>
      <c r="M2813" t="s">
        <v>55664</v>
      </c>
      <c r="N2813">
        <f>-538.272603559556 -37.5562971383888 -773.626297195307</f>
        <v>-1349.4551978932518</v>
      </c>
      <c r="O2813">
        <f>-499.171349018013 -171.701397347984 -727.817512848156</f>
        <v>-1398.690259214153</v>
      </c>
      <c r="P2813">
        <f>-504.408033118422 -166.418259897881 -411.382845153814</f>
        <v>-1082.2091381701171</v>
      </c>
      <c r="Q2813" t="s">
        <v>55665</v>
      </c>
      <c r="R2813" t="s">
        <v>55666</v>
      </c>
      <c r="S2813" t="s">
        <v>55667</v>
      </c>
      <c r="T2813" t="s">
        <v>55668</v>
      </c>
      <c r="U2813" t="s">
        <v>55669</v>
      </c>
      <c r="V2813">
        <f>-538.882449809831 -46.2077004846321 -244.997907220308</f>
        <v>-830.08805751477109</v>
      </c>
      <c r="W2813" t="s">
        <v>55670</v>
      </c>
      <c r="X2813" t="s">
        <v>55671</v>
      </c>
      <c r="Y2813" t="s">
        <v>55672</v>
      </c>
    </row>
    <row r="2814" spans="1:25" x14ac:dyDescent="0.3">
      <c r="A2814">
        <v>140650</v>
      </c>
      <c r="B2814" t="s">
        <v>55673</v>
      </c>
      <c r="C2814" t="s">
        <v>55674</v>
      </c>
      <c r="D2814" t="s">
        <v>55675</v>
      </c>
      <c r="E2814" t="s">
        <v>55676</v>
      </c>
      <c r="F2814" t="s">
        <v>55677</v>
      </c>
      <c r="G2814">
        <f>-565.874087184125 -0.0275501836154035 -696.57356138783</f>
        <v>-1262.4751987555703</v>
      </c>
      <c r="H2814">
        <f>-535.768482513773 -18.2402124275341 -844.769156776186</f>
        <v>-1398.7778517174931</v>
      </c>
      <c r="I2814">
        <f>-491.958822665678 -16.1275815268336 -936.743369477744</f>
        <v>-1444.8297736702555</v>
      </c>
      <c r="J2814" t="s">
        <v>55678</v>
      </c>
      <c r="K2814" t="s">
        <v>55679</v>
      </c>
      <c r="L2814" t="s">
        <v>55680</v>
      </c>
      <c r="M2814" t="s">
        <v>55681</v>
      </c>
      <c r="N2814">
        <f>-537.670159794575 -39.2628638248191 -773.303533010509</f>
        <v>-1350.2365566299031</v>
      </c>
      <c r="O2814">
        <f>-498.633292168212 -173.463379681841 -727.590968013655</f>
        <v>-1399.687639863708</v>
      </c>
      <c r="P2814">
        <f>-502.77826837424 -168.363689530947 -411.137186684673</f>
        <v>-1082.2791445898599</v>
      </c>
      <c r="Q2814" t="s">
        <v>55682</v>
      </c>
      <c r="R2814" t="s">
        <v>55683</v>
      </c>
      <c r="S2814" t="s">
        <v>55684</v>
      </c>
      <c r="T2814" t="s">
        <v>55685</v>
      </c>
      <c r="U2814" t="s">
        <v>55686</v>
      </c>
      <c r="V2814">
        <f>-538.306505092896 -48.5047317162785 -244.553382761792</f>
        <v>-831.36461957096651</v>
      </c>
      <c r="W2814" t="s">
        <v>55687</v>
      </c>
      <c r="X2814" t="s">
        <v>55688</v>
      </c>
      <c r="Y2814" t="s">
        <v>55689</v>
      </c>
    </row>
    <row r="2815" spans="1:25" x14ac:dyDescent="0.3">
      <c r="A2815">
        <v>140700</v>
      </c>
      <c r="B2815" t="s">
        <v>55690</v>
      </c>
      <c r="C2815" t="s">
        <v>55691</v>
      </c>
      <c r="D2815" t="s">
        <v>55692</v>
      </c>
      <c r="E2815" t="s">
        <v>55693</v>
      </c>
      <c r="F2815" t="s">
        <v>55694</v>
      </c>
      <c r="G2815">
        <f>-565.301648146017 -0.854346568250776 -696.340746976444</f>
        <v>-1262.4967416907118</v>
      </c>
      <c r="H2815">
        <f>-535.507319608172 -19.1673669225686 -844.586916388652</f>
        <v>-1399.2616029193925</v>
      </c>
      <c r="I2815">
        <f>-491.878558196756 -17.13616602038 -936.648732374443</f>
        <v>-1445.663456591579</v>
      </c>
      <c r="J2815" t="s">
        <v>55695</v>
      </c>
      <c r="K2815" t="s">
        <v>55696</v>
      </c>
      <c r="L2815" t="s">
        <v>55697</v>
      </c>
      <c r="M2815" t="s">
        <v>55698</v>
      </c>
      <c r="N2815">
        <f>-537.283199033013 -40.1519695276727 -773.106701637834</f>
        <v>-1350.5418701985197</v>
      </c>
      <c r="O2815">
        <f>-498.235592823984 -174.37315372734 -727.467193828042</f>
        <v>-1400.0759403793659</v>
      </c>
      <c r="P2815">
        <f>-501.858699412446 -169.419595148699 -411.004621740247</f>
        <v>-1082.2829163013921</v>
      </c>
      <c r="Q2815" t="s">
        <v>55699</v>
      </c>
      <c r="R2815" t="s">
        <v>55700</v>
      </c>
      <c r="S2815" t="s">
        <v>55701</v>
      </c>
      <c r="T2815" t="s">
        <v>55702</v>
      </c>
      <c r="U2815" t="s">
        <v>55703</v>
      </c>
      <c r="V2815">
        <f>-537.70633076678 -49.6158889271071 -244.351616506303</f>
        <v>-831.67383620019007</v>
      </c>
      <c r="W2815" t="s">
        <v>55704</v>
      </c>
      <c r="X2815" t="s">
        <v>55705</v>
      </c>
      <c r="Y2815" t="s">
        <v>55706</v>
      </c>
    </row>
    <row r="2816" spans="1:25" x14ac:dyDescent="0.3">
      <c r="A2816">
        <v>140750</v>
      </c>
      <c r="B2816" t="s">
        <v>55707</v>
      </c>
      <c r="C2816" t="s">
        <v>55708</v>
      </c>
      <c r="D2816" t="s">
        <v>55709</v>
      </c>
      <c r="E2816" t="s">
        <v>55710</v>
      </c>
      <c r="F2816" t="s">
        <v>55711</v>
      </c>
      <c r="G2816">
        <f>-564.501960824161 -2.29672857151081 -696.005421895423</f>
        <v>-1262.8041112910946</v>
      </c>
      <c r="H2816">
        <f>-535.27748660918 -20.790481463999 -844.342483938421</f>
        <v>-1400.4104520115998</v>
      </c>
      <c r="I2816">
        <f>-491.959141607647 -18.8868113126634 -936.553573927031</f>
        <v>-1447.3995268473413</v>
      </c>
      <c r="J2816" t="s">
        <v>55712</v>
      </c>
      <c r="K2816" t="s">
        <v>55713</v>
      </c>
      <c r="L2816" t="s">
        <v>55714</v>
      </c>
      <c r="M2816" t="s">
        <v>55715</v>
      </c>
      <c r="N2816">
        <f>-536.787310080281 -41.6915391822945 -772.831819400542</f>
        <v>-1351.3106686631177</v>
      </c>
      <c r="O2816">
        <f>-497.571099570825 -175.904436475382 -727.286986684723</f>
        <v>-1400.76252273093</v>
      </c>
      <c r="P2816">
        <f>-500.191684168175 -171.172959527849 -410.811260291594</f>
        <v>-1082.1759039876181</v>
      </c>
      <c r="Q2816" t="s">
        <v>55716</v>
      </c>
      <c r="R2816" t="s">
        <v>55717</v>
      </c>
      <c r="S2816" t="s">
        <v>55718</v>
      </c>
      <c r="T2816" t="s">
        <v>55719</v>
      </c>
      <c r="U2816" t="s">
        <v>55720</v>
      </c>
      <c r="V2816">
        <f>-537.090159055225 -51.6240904321144 -243.962832757845</f>
        <v>-832.67708224518435</v>
      </c>
      <c r="W2816" t="s">
        <v>55721</v>
      </c>
      <c r="X2816" t="s">
        <v>55722</v>
      </c>
      <c r="Y2816" t="s">
        <v>55723</v>
      </c>
    </row>
    <row r="2817" spans="1:25" x14ac:dyDescent="0.3">
      <c r="A2817">
        <v>140800</v>
      </c>
      <c r="B2817" t="s">
        <v>55724</v>
      </c>
      <c r="C2817" t="s">
        <v>55725</v>
      </c>
      <c r="D2817" t="s">
        <v>55726</v>
      </c>
      <c r="E2817" t="s">
        <v>55727</v>
      </c>
      <c r="F2817" t="s">
        <v>55728</v>
      </c>
      <c r="G2817">
        <f>-564.209759173787 -2.93179575826207 -695.787289175596</f>
        <v>-1262.9288441076451</v>
      </c>
      <c r="H2817">
        <f>-535.20438304843 -21.4745335127129 -844.161317494472</f>
        <v>-1400.8402340556149</v>
      </c>
      <c r="I2817">
        <f>-492.006419429496 -19.5896763280587 -936.429321097348</f>
        <v>-1448.0254168549027</v>
      </c>
      <c r="J2817" t="s">
        <v>55729</v>
      </c>
      <c r="K2817" t="s">
        <v>55730</v>
      </c>
      <c r="L2817" t="s">
        <v>55731</v>
      </c>
      <c r="M2817" t="s">
        <v>55732</v>
      </c>
      <c r="N2817">
        <f>-536.592845416835 -42.3454253678558 -772.639379935383</f>
        <v>-1351.5776507200737</v>
      </c>
      <c r="O2817">
        <f>-497.23850114197 -176.528484194026 -727.142621421737</f>
        <v>-1400.9096067577329</v>
      </c>
      <c r="P2817">
        <f>-499.429521872312 -171.849705126969 -410.662780133932</f>
        <v>-1081.9420071332131</v>
      </c>
      <c r="Q2817" t="s">
        <v>55733</v>
      </c>
      <c r="R2817" t="s">
        <v>55734</v>
      </c>
      <c r="S2817" t="s">
        <v>55735</v>
      </c>
      <c r="T2817" t="s">
        <v>55736</v>
      </c>
      <c r="U2817" t="s">
        <v>55737</v>
      </c>
      <c r="V2817">
        <f>-536.933683026126 -52.5519556395063 -243.747837885536</f>
        <v>-833.23347655116834</v>
      </c>
      <c r="W2817" t="s">
        <v>55738</v>
      </c>
      <c r="X2817" t="s">
        <v>55739</v>
      </c>
      <c r="Y2817" t="s">
        <v>55740</v>
      </c>
    </row>
    <row r="2818" spans="1:25" x14ac:dyDescent="0.3">
      <c r="A2818">
        <v>140850</v>
      </c>
      <c r="B2818" t="s">
        <v>55741</v>
      </c>
      <c r="C2818" t="s">
        <v>55742</v>
      </c>
      <c r="D2818" t="s">
        <v>55743</v>
      </c>
      <c r="E2818" t="s">
        <v>55744</v>
      </c>
      <c r="F2818" t="s">
        <v>55745</v>
      </c>
      <c r="G2818">
        <f>-563.497116008393 -4.24700195287414 -695.394357691014</f>
        <v>-1263.1384756522812</v>
      </c>
      <c r="H2818">
        <f>-534.800989266344 -22.8722590292141 -843.818244525963</f>
        <v>-1401.4914928215212</v>
      </c>
      <c r="I2818">
        <f>-491.794151012576 -20.9655448774163 -936.17491589106</f>
        <v>-1448.9346117810524</v>
      </c>
      <c r="J2818" t="s">
        <v>55746</v>
      </c>
      <c r="K2818" t="s">
        <v>55747</v>
      </c>
      <c r="L2818" t="s">
        <v>55748</v>
      </c>
      <c r="M2818" t="s">
        <v>55749</v>
      </c>
      <c r="N2818">
        <f>-535.985402227876 -43.6799898131076 -772.274189207814</f>
        <v>-1351.9395812487974</v>
      </c>
      <c r="O2818">
        <f>-496.279952887955 -177.757708906774 -726.792759475063</f>
        <v>-1400.8304212697922</v>
      </c>
      <c r="P2818">
        <f>-497.79938428148 -173.120641848421 -410.308242683545</f>
        <v>-1081.228268813446</v>
      </c>
      <c r="Q2818" t="s">
        <v>55750</v>
      </c>
      <c r="R2818" t="s">
        <v>55751</v>
      </c>
      <c r="S2818" t="s">
        <v>55752</v>
      </c>
      <c r="T2818" t="s">
        <v>55753</v>
      </c>
      <c r="U2818" t="s">
        <v>55754</v>
      </c>
      <c r="V2818">
        <f>-536.330670910456 -54.4126624403464 -243.388219566083</f>
        <v>-834.13155291688531</v>
      </c>
      <c r="W2818" t="s">
        <v>55755</v>
      </c>
      <c r="X2818" t="s">
        <v>55756</v>
      </c>
      <c r="Y2818" t="s">
        <v>55757</v>
      </c>
    </row>
    <row r="2819" spans="1:25" x14ac:dyDescent="0.3">
      <c r="A2819">
        <v>140900</v>
      </c>
      <c r="B2819" t="s">
        <v>55758</v>
      </c>
      <c r="C2819" t="s">
        <v>55759</v>
      </c>
      <c r="D2819" t="s">
        <v>55760</v>
      </c>
      <c r="E2819" t="s">
        <v>55761</v>
      </c>
      <c r="F2819" t="s">
        <v>55762</v>
      </c>
      <c r="G2819">
        <f>-563.175302056047 -4.99812014899112 -695.17662589816</f>
        <v>-1263.3500481031981</v>
      </c>
      <c r="H2819">
        <f>-534.552826274456 -23.6493727782074 -843.611477591691</f>
        <v>-1401.8136766443545</v>
      </c>
      <c r="I2819">
        <f>-491.598014740771 -21.7120859949669 -935.991757953729</f>
        <v>-1449.3018586894668</v>
      </c>
      <c r="J2819" t="s">
        <v>55763</v>
      </c>
      <c r="K2819" t="s">
        <v>55764</v>
      </c>
      <c r="L2819" t="s">
        <v>55765</v>
      </c>
      <c r="M2819" t="s">
        <v>55766</v>
      </c>
      <c r="N2819">
        <f>-535.666425801304 -44.4296228172836 -772.058227238973</f>
        <v>-1352.1542758575606</v>
      </c>
      <c r="O2819">
        <f>-495.72033264804 -178.441127938868 -726.588166619252</f>
        <v>-1400.7496272061599</v>
      </c>
      <c r="P2819">
        <f>-497.006283730605 -173.815912238739 -410.102599665993</f>
        <v>-1080.924795635337</v>
      </c>
      <c r="Q2819" t="s">
        <v>55767</v>
      </c>
      <c r="R2819" t="s">
        <v>55768</v>
      </c>
      <c r="S2819" t="s">
        <v>55769</v>
      </c>
      <c r="T2819" t="s">
        <v>55770</v>
      </c>
      <c r="U2819" t="s">
        <v>55771</v>
      </c>
      <c r="V2819">
        <f>-536.087817274419 -55.3632169773871 -243.156262240563</f>
        <v>-834.60729649236907</v>
      </c>
      <c r="W2819" t="s">
        <v>55772</v>
      </c>
      <c r="X2819" t="s">
        <v>55773</v>
      </c>
      <c r="Y2819" t="s">
        <v>55774</v>
      </c>
    </row>
    <row r="2820" spans="1:25" x14ac:dyDescent="0.3">
      <c r="A2820">
        <v>140950</v>
      </c>
      <c r="B2820" t="s">
        <v>55775</v>
      </c>
      <c r="C2820" t="s">
        <v>55776</v>
      </c>
      <c r="D2820" t="s">
        <v>55777</v>
      </c>
      <c r="E2820" t="s">
        <v>55778</v>
      </c>
      <c r="F2820" t="s">
        <v>55779</v>
      </c>
      <c r="G2820">
        <f>-562.312712149581 -6.33885917416774 -694.642670670135</f>
        <v>-1263.2942419938836</v>
      </c>
      <c r="H2820">
        <f>-533.524521254034 -24.8789643748489 -843.05926854048</f>
        <v>-1401.4627541693631</v>
      </c>
      <c r="I2820">
        <f>-490.58359344645 -22.8125018024261 -935.443194685919</f>
        <v>-1448.839289934795</v>
      </c>
      <c r="J2820" t="s">
        <v>55780</v>
      </c>
      <c r="K2820" t="s">
        <v>55781</v>
      </c>
      <c r="L2820" t="s">
        <v>55782</v>
      </c>
      <c r="M2820" t="s">
        <v>55783</v>
      </c>
      <c r="N2820">
        <f>-534.621814377503 -45.6716965884839 -771.509337785466</f>
        <v>-1351.802848751453</v>
      </c>
      <c r="O2820">
        <f>-494.23093328747 -179.556933876806 -726.063155424632</f>
        <v>-1399.8510225889081</v>
      </c>
      <c r="P2820">
        <f>-495.329571448375 -175.122067761303 -409.57411082485</f>
        <v>-1080.0257500345278</v>
      </c>
      <c r="Q2820" t="s">
        <v>55784</v>
      </c>
      <c r="R2820" t="s">
        <v>55785</v>
      </c>
      <c r="S2820" t="s">
        <v>55786</v>
      </c>
      <c r="T2820" t="s">
        <v>55787</v>
      </c>
      <c r="U2820" t="s">
        <v>55788</v>
      </c>
      <c r="V2820">
        <f>-535.487201035267 -57.1080253416237 -242.654116141736</f>
        <v>-835.2493425186268</v>
      </c>
      <c r="W2820" t="s">
        <v>55789</v>
      </c>
      <c r="X2820" t="s">
        <v>55790</v>
      </c>
      <c r="Y2820" t="s">
        <v>55791</v>
      </c>
    </row>
    <row r="2821" spans="1:25" x14ac:dyDescent="0.3">
      <c r="A2821">
        <v>141000</v>
      </c>
      <c r="B2821" t="s">
        <v>55792</v>
      </c>
      <c r="C2821" t="s">
        <v>55793</v>
      </c>
      <c r="D2821" t="s">
        <v>55794</v>
      </c>
      <c r="E2821" t="s">
        <v>55795</v>
      </c>
      <c r="F2821" t="s">
        <v>55796</v>
      </c>
      <c r="G2821">
        <f>-561.856567456773 -7.06879288869868 -694.356230285005</f>
        <v>-1263.2815906304768</v>
      </c>
      <c r="H2821">
        <f>-532.911971547965 -25.5994793186808 -842.743701636772</f>
        <v>-1401.2551525034178</v>
      </c>
      <c r="I2821">
        <f>-489.943579395688 -23.4774080608813 -935.113572709837</f>
        <v>-1448.5345601664062</v>
      </c>
      <c r="J2821" t="s">
        <v>55797</v>
      </c>
      <c r="K2821" t="s">
        <v>55798</v>
      </c>
      <c r="L2821" t="s">
        <v>55799</v>
      </c>
      <c r="M2821" t="s">
        <v>55800</v>
      </c>
      <c r="N2821">
        <f>-534.038603068348 -46.3768622408325 -771.189821544235</f>
        <v>-1351.6052868534155</v>
      </c>
      <c r="O2821">
        <f>-493.42493346834 -180.198558416856 -725.729271999898</f>
        <v>-1399.352763885094</v>
      </c>
      <c r="P2821">
        <f>-494.600827486937 -175.950068936097 -409.237987451789</f>
        <v>-1079.7888838748231</v>
      </c>
      <c r="Q2821" t="s">
        <v>55801</v>
      </c>
      <c r="R2821" t="s">
        <v>55802</v>
      </c>
      <c r="S2821" t="s">
        <v>55803</v>
      </c>
      <c r="T2821" t="s">
        <v>55804</v>
      </c>
      <c r="U2821" t="s">
        <v>55805</v>
      </c>
      <c r="V2821">
        <f>-535.187090586023 -57.9608486286534 -242.410173071231</f>
        <v>-835.55811228590733</v>
      </c>
      <c r="W2821" t="s">
        <v>55806</v>
      </c>
      <c r="X2821" t="s">
        <v>55807</v>
      </c>
      <c r="Y2821" t="s">
        <v>55808</v>
      </c>
    </row>
    <row r="2822" spans="1:25" x14ac:dyDescent="0.3">
      <c r="A2822">
        <v>141050</v>
      </c>
      <c r="B2822" t="s">
        <v>55809</v>
      </c>
      <c r="C2822" t="s">
        <v>55810</v>
      </c>
      <c r="D2822" t="s">
        <v>55811</v>
      </c>
      <c r="E2822" t="s">
        <v>55812</v>
      </c>
      <c r="F2822" t="s">
        <v>55813</v>
      </c>
      <c r="G2822">
        <f>-561.221230146509 -8.53917066300005 -693.80811499134</f>
        <v>-1263.5685158008491</v>
      </c>
      <c r="H2822">
        <f>-532.084890556268 -27.0781314311585 -842.156999500007</f>
        <v>-1401.3200214874335</v>
      </c>
      <c r="I2822">
        <f>-489.021105008291 -24.8452581221159 -934.479882154192</f>
        <v>-1448.3462452845988</v>
      </c>
      <c r="J2822" t="s">
        <v>55814</v>
      </c>
      <c r="K2822" t="s">
        <v>55815</v>
      </c>
      <c r="L2822" t="s">
        <v>55816</v>
      </c>
      <c r="M2822" t="s">
        <v>55817</v>
      </c>
      <c r="N2822">
        <f>-533.200638868863 -47.806587526552 -770.588810554813</f>
        <v>-1351.5960369502282</v>
      </c>
      <c r="O2822">
        <f>-492.104397301086 -181.453747563672 -725.050295163109</f>
        <v>-1398.6084400278669</v>
      </c>
      <c r="P2822">
        <f>-493.365606804794 -177.324812192502 -408.557875966223</f>
        <v>-1079.2482949635191</v>
      </c>
      <c r="Q2822" t="s">
        <v>55818</v>
      </c>
      <c r="R2822" t="s">
        <v>55819</v>
      </c>
      <c r="S2822" t="s">
        <v>55820</v>
      </c>
      <c r="T2822" t="s">
        <v>55821</v>
      </c>
      <c r="U2822" t="s">
        <v>55822</v>
      </c>
      <c r="V2822">
        <f>-534.674563472114 -59.6542181166287 -241.917078779642</f>
        <v>-836.24586036838468</v>
      </c>
      <c r="W2822" t="s">
        <v>55823</v>
      </c>
      <c r="X2822" t="s">
        <v>55824</v>
      </c>
      <c r="Y2822" t="s">
        <v>55825</v>
      </c>
    </row>
    <row r="2823" spans="1:25" x14ac:dyDescent="0.3">
      <c r="A2823">
        <v>141100</v>
      </c>
      <c r="B2823" t="s">
        <v>55826</v>
      </c>
      <c r="C2823" t="s">
        <v>55827</v>
      </c>
      <c r="D2823" t="s">
        <v>55828</v>
      </c>
      <c r="E2823" t="s">
        <v>55829</v>
      </c>
      <c r="F2823" t="s">
        <v>55830</v>
      </c>
      <c r="G2823">
        <f>-560.910646791133 -9.22642275149337 -693.547809031249</f>
        <v>-1263.6848785738753</v>
      </c>
      <c r="H2823">
        <f>-531.633685053359 -27.7760575692034 -841.86762464927</f>
        <v>-1401.2773672718326</v>
      </c>
      <c r="I2823">
        <f>-488.504403228623 -25.4902651114603 -934.158533061561</f>
        <v>-1448.1532014016443</v>
      </c>
      <c r="J2823" t="s">
        <v>55831</v>
      </c>
      <c r="K2823" t="s">
        <v>55832</v>
      </c>
      <c r="L2823" t="s">
        <v>55833</v>
      </c>
      <c r="M2823" t="s">
        <v>55834</v>
      </c>
      <c r="N2823">
        <f>-532.764859468513 -48.4765352021088 -770.291637918473</f>
        <v>-1351.533032589095</v>
      </c>
      <c r="O2823">
        <f>-491.435282099498 -182.030627722353 -724.701479812515</f>
        <v>-1398.1673896343659</v>
      </c>
      <c r="P2823">
        <f>-492.810630618624 -177.868233873978 -408.209798907891</f>
        <v>-1078.888663400493</v>
      </c>
      <c r="Q2823" t="s">
        <v>55835</v>
      </c>
      <c r="R2823" t="s">
        <v>55836</v>
      </c>
      <c r="S2823" t="s">
        <v>55837</v>
      </c>
      <c r="T2823" t="s">
        <v>55838</v>
      </c>
      <c r="U2823" t="s">
        <v>55839</v>
      </c>
      <c r="V2823">
        <f>-534.495207790765 -60.4131593430131 -241.691123635375</f>
        <v>-836.59949076915314</v>
      </c>
      <c r="W2823" t="s">
        <v>55840</v>
      </c>
      <c r="X2823" t="s">
        <v>55841</v>
      </c>
      <c r="Y2823" t="s">
        <v>55842</v>
      </c>
    </row>
    <row r="2824" spans="1:25" x14ac:dyDescent="0.3">
      <c r="A2824">
        <v>141150</v>
      </c>
      <c r="B2824" t="s">
        <v>55843</v>
      </c>
      <c r="C2824" t="s">
        <v>55844</v>
      </c>
      <c r="D2824" t="s">
        <v>55845</v>
      </c>
      <c r="E2824" t="s">
        <v>55846</v>
      </c>
      <c r="F2824" t="s">
        <v>55847</v>
      </c>
      <c r="G2824">
        <f>-560.700482713401 -10.4332655630642 -693.114184846795</f>
        <v>-1264.2479331232603</v>
      </c>
      <c r="H2824">
        <f>-531.190129068391 -28.9947839116242 -841.386273225913</f>
        <v>-1401.5711862059281</v>
      </c>
      <c r="I2824">
        <f>-487.932598453395 -26.6053576654981 -933.614671818665</f>
        <v>-1448.152627937558</v>
      </c>
      <c r="J2824" t="s">
        <v>55848</v>
      </c>
      <c r="K2824" t="s">
        <v>55849</v>
      </c>
      <c r="L2824" t="s">
        <v>55850</v>
      </c>
      <c r="M2824" t="s">
        <v>55851</v>
      </c>
      <c r="N2824">
        <f>-532.323562210235 -49.6407489245439 -769.794555161802</f>
        <v>-1351.7588662965809</v>
      </c>
      <c r="O2824">
        <f>-490.550324910193 -183.013999380724 -724.075131191863</f>
        <v>-1397.63945548278</v>
      </c>
      <c r="P2824">
        <f>-492.011024479711 -178.827888160984 -407.584223613508</f>
        <v>-1078.4231362542032</v>
      </c>
      <c r="Q2824" t="s">
        <v>55852</v>
      </c>
      <c r="R2824" t="s">
        <v>55853</v>
      </c>
      <c r="S2824" t="s">
        <v>55854</v>
      </c>
      <c r="T2824" t="s">
        <v>55855</v>
      </c>
      <c r="U2824" t="s">
        <v>55856</v>
      </c>
      <c r="V2824">
        <f>-534.255650860576 -61.8304150310905 -241.302873236991</f>
        <v>-837.38893912865751</v>
      </c>
      <c r="W2824" t="s">
        <v>55857</v>
      </c>
      <c r="X2824" t="s">
        <v>55858</v>
      </c>
      <c r="Y2824" t="s">
        <v>55859</v>
      </c>
    </row>
    <row r="2825" spans="1:25" x14ac:dyDescent="0.3">
      <c r="A2825">
        <v>141200</v>
      </c>
      <c r="B2825" t="s">
        <v>55860</v>
      </c>
      <c r="C2825" t="s">
        <v>55861</v>
      </c>
      <c r="D2825" t="s">
        <v>55862</v>
      </c>
      <c r="E2825" t="s">
        <v>55863</v>
      </c>
      <c r="F2825">
        <f>-577.360701885407 -0.208512044153395 -585.234000577315</f>
        <v>-1162.8032145068755</v>
      </c>
      <c r="G2825">
        <f>-560.641642891167 -11.024923854065 -692.92952173805</f>
        <v>-1264.5960884832821</v>
      </c>
      <c r="H2825">
        <f>-530.955943733646 -29.5157052343156 -841.175375425972</f>
        <v>-1401.6470243939336</v>
      </c>
      <c r="I2825">
        <f>-487.641152906133 -27.0540832588524 -933.375037101159</f>
        <v>-1448.0702732661443</v>
      </c>
      <c r="J2825" t="s">
        <v>55864</v>
      </c>
      <c r="K2825" t="s">
        <v>55865</v>
      </c>
      <c r="L2825" t="s">
        <v>55866</v>
      </c>
      <c r="M2825" t="s">
        <v>55867</v>
      </c>
      <c r="N2825">
        <f>-532.117183018579 -50.1705557331247 -769.58674517257</f>
        <v>-1351.8744839242736</v>
      </c>
      <c r="O2825">
        <f>-490.149016257004 -183.470161970522 -723.834755288324</f>
        <v>-1397.4539335158502</v>
      </c>
      <c r="P2825">
        <f>-491.645003414214 -179.35473141089 -407.343088464262</f>
        <v>-1078.3428232893662</v>
      </c>
      <c r="Q2825" t="s">
        <v>55868</v>
      </c>
      <c r="R2825" t="s">
        <v>55869</v>
      </c>
      <c r="S2825" t="s">
        <v>55870</v>
      </c>
      <c r="T2825" t="s">
        <v>55871</v>
      </c>
      <c r="U2825" t="s">
        <v>55872</v>
      </c>
      <c r="V2825">
        <f>-534.247741520445 -62.5640241668905 -241.123228375132</f>
        <v>-837.93499406246747</v>
      </c>
      <c r="W2825" t="s">
        <v>55873</v>
      </c>
      <c r="X2825" t="s">
        <v>55874</v>
      </c>
      <c r="Y2825" t="s">
        <v>55875</v>
      </c>
    </row>
    <row r="2826" spans="1:25" x14ac:dyDescent="0.3">
      <c r="A2826">
        <v>141250</v>
      </c>
      <c r="B2826" t="s">
        <v>55876</v>
      </c>
      <c r="C2826" t="s">
        <v>55877</v>
      </c>
      <c r="D2826" t="s">
        <v>55878</v>
      </c>
      <c r="E2826" t="s">
        <v>55879</v>
      </c>
      <c r="F2826">
        <f>-577.641489706903 -1.8974294919376 -584.878727869277</f>
        <v>-1164.4176470681177</v>
      </c>
      <c r="G2826">
        <f>-560.706560793605 -12.6194051548655 -692.549886730069</f>
        <v>-1265.8758526785396</v>
      </c>
      <c r="H2826">
        <f>-530.656206251488 -30.9325696759813 -840.744396951067</f>
        <v>-1402.3331728785363</v>
      </c>
      <c r="I2826">
        <f>-487.218966142883 -28.2793919851404 -932.881048902473</f>
        <v>-1448.3794070304964</v>
      </c>
      <c r="J2826" t="s">
        <v>55880</v>
      </c>
      <c r="K2826" t="s">
        <v>55881</v>
      </c>
      <c r="L2826" t="s">
        <v>55882</v>
      </c>
      <c r="M2826" t="s">
        <v>55883</v>
      </c>
      <c r="N2826">
        <f>-531.887784432207 -51.6259035797129 -769.167886424729</f>
        <v>-1352.681574436649</v>
      </c>
      <c r="O2826">
        <f>-489.621008168638 -184.817548812374 -723.382659603479</f>
        <v>-1397.8212165844911</v>
      </c>
      <c r="P2826">
        <f>-491.344435917453 -180.886005202995 -406.889797022108</f>
        <v>-1079.120238142556</v>
      </c>
      <c r="Q2826" t="s">
        <v>55884</v>
      </c>
      <c r="R2826" t="s">
        <v>55885</v>
      </c>
      <c r="S2826" t="s">
        <v>55886</v>
      </c>
      <c r="T2826" t="s">
        <v>55887</v>
      </c>
      <c r="U2826" t="s">
        <v>55888</v>
      </c>
      <c r="V2826">
        <f>-534.17899267652 -64.1789821935713 -240.738844907866</f>
        <v>-839.09681977795731</v>
      </c>
      <c r="W2826" t="s">
        <v>55889</v>
      </c>
      <c r="X2826" t="s">
        <v>55890</v>
      </c>
      <c r="Y2826" t="s">
        <v>55891</v>
      </c>
    </row>
    <row r="2827" spans="1:25" x14ac:dyDescent="0.3">
      <c r="A2827">
        <v>141300</v>
      </c>
      <c r="B2827" t="s">
        <v>55892</v>
      </c>
      <c r="C2827" t="s">
        <v>55893</v>
      </c>
      <c r="D2827" t="s">
        <v>55894</v>
      </c>
      <c r="E2827" t="s">
        <v>55895</v>
      </c>
      <c r="F2827">
        <f>-577.782057731662 -2.68142674670094 -584.664929632147</f>
        <v>-1165.12841411051</v>
      </c>
      <c r="G2827">
        <f>-560.743078509545 -13.3436373515685 -692.325666258278</f>
        <v>-1266.4123821193916</v>
      </c>
      <c r="H2827">
        <f>-530.52279104363 -31.5602324869528 -840.497559995235</f>
        <v>-1402.5805835258179</v>
      </c>
      <c r="I2827">
        <f>-487.032731229445 -28.795121055324 -932.605923415787</f>
        <v>-1448.433775700556</v>
      </c>
      <c r="J2827" t="s">
        <v>55896</v>
      </c>
      <c r="K2827" t="s">
        <v>55897</v>
      </c>
      <c r="L2827" t="s">
        <v>55898</v>
      </c>
      <c r="M2827" t="s">
        <v>55899</v>
      </c>
      <c r="N2827">
        <f>-531.78211796151 -52.2757777835143 -768.927968130134</f>
        <v>-1352.9858638751584</v>
      </c>
      <c r="O2827">
        <f>-489.385820582836 -185.412720032109 -723.092643547316</f>
        <v>-1397.8911841622612</v>
      </c>
      <c r="P2827">
        <f>-491.224670756268 -181.566447045387 -406.599408690896</f>
        <v>-1079.3905264925511</v>
      </c>
      <c r="Q2827" t="s">
        <v>55900</v>
      </c>
      <c r="R2827" t="s">
        <v>55901</v>
      </c>
      <c r="S2827" t="s">
        <v>55902</v>
      </c>
      <c r="T2827" t="s">
        <v>55903</v>
      </c>
      <c r="U2827" t="s">
        <v>55904</v>
      </c>
      <c r="V2827">
        <f>-534.19597156889 -65.065694377505 -240.538709255736</f>
        <v>-839.80037520213091</v>
      </c>
      <c r="W2827" t="s">
        <v>55905</v>
      </c>
      <c r="X2827" t="s">
        <v>55906</v>
      </c>
      <c r="Y2827" t="s">
        <v>55907</v>
      </c>
    </row>
    <row r="2828" spans="1:25" x14ac:dyDescent="0.3">
      <c r="A2828">
        <v>141350</v>
      </c>
      <c r="B2828" t="s">
        <v>55908</v>
      </c>
      <c r="C2828" t="s">
        <v>55909</v>
      </c>
      <c r="D2828" t="s">
        <v>55910</v>
      </c>
      <c r="E2828" t="s">
        <v>55911</v>
      </c>
      <c r="F2828">
        <f>-577.97998844786 -3.91504612887798 -584.273572711523</f>
        <v>-1166.168607288261</v>
      </c>
      <c r="G2828">
        <f>-560.71687899673 -14.4994282316814 -691.906286990559</f>
        <v>-1267.1225942189703</v>
      </c>
      <c r="H2828">
        <f>-530.131643824712 -32.5934486354192 -840.018295086918</f>
        <v>-1402.7433875470492</v>
      </c>
      <c r="I2828">
        <f>-486.50065159476 -29.6240655429742 -932.05360875019</f>
        <v>-1448.1783258879241</v>
      </c>
      <c r="J2828" t="s">
        <v>55912</v>
      </c>
      <c r="K2828" t="s">
        <v>55913</v>
      </c>
      <c r="L2828" t="s">
        <v>55914</v>
      </c>
      <c r="M2828" t="s">
        <v>55915</v>
      </c>
      <c r="N2828">
        <f>-531.453870771175 -53.3166685888928 -768.452060498113</f>
        <v>-1353.2225998581807</v>
      </c>
      <c r="O2828">
        <f>-488.694711634417 -186.300486739852 -722.521479722022</f>
        <v>-1397.5166780962909</v>
      </c>
      <c r="P2828">
        <f>-490.974293316742 -182.502403540029 -406.030484093989</f>
        <v>-1079.5071809507599</v>
      </c>
      <c r="Q2828" t="s">
        <v>55916</v>
      </c>
      <c r="R2828" t="s">
        <v>55917</v>
      </c>
      <c r="S2828" t="s">
        <v>55918</v>
      </c>
      <c r="T2828" t="s">
        <v>55919</v>
      </c>
      <c r="U2828" t="s">
        <v>55920</v>
      </c>
      <c r="V2828">
        <f>-534.413130934288 -66.5713590186747 -240.179748090316</f>
        <v>-841.16423804327871</v>
      </c>
      <c r="W2828" t="s">
        <v>55921</v>
      </c>
      <c r="X2828" t="s">
        <v>55922</v>
      </c>
      <c r="Y2828" t="s">
        <v>55923</v>
      </c>
    </row>
    <row r="2829" spans="1:25" x14ac:dyDescent="0.3">
      <c r="A2829">
        <v>141400</v>
      </c>
      <c r="B2829" t="s">
        <v>55924</v>
      </c>
      <c r="C2829" t="s">
        <v>55925</v>
      </c>
      <c r="D2829" t="s">
        <v>55926</v>
      </c>
      <c r="E2829" t="s">
        <v>55927</v>
      </c>
      <c r="F2829">
        <f>-578.013522843562 -4.36953388624875 -584.086220287303</f>
        <v>-1166.4692770171137</v>
      </c>
      <c r="G2829">
        <f>-560.630874643415 -14.9307807332855 -691.701928082791</f>
        <v>-1267.2635834594917</v>
      </c>
      <c r="H2829">
        <f>-529.856137712543 -32.9900000980356 -839.779010548179</f>
        <v>-1402.6251483587575</v>
      </c>
      <c r="I2829">
        <f>-486.150418581388 -29.9344226198609 -931.775909600523</f>
        <v>-1447.8607508017719</v>
      </c>
      <c r="J2829" t="s">
        <v>55928</v>
      </c>
      <c r="K2829" t="s">
        <v>55929</v>
      </c>
      <c r="L2829" t="s">
        <v>55930</v>
      </c>
      <c r="M2829" t="s">
        <v>55931</v>
      </c>
      <c r="N2829">
        <f>-531.214080292634 -53.7045401791891 -768.210884593343</f>
        <v>-1353.1295050651661</v>
      </c>
      <c r="O2829">
        <f>-488.293836408849 -186.614349121147 -722.203189883543</f>
        <v>-1397.111375413539</v>
      </c>
      <c r="P2829">
        <f>-490.743956275966 -182.752795918714 -405.714138091739</f>
        <v>-1079.210890286419</v>
      </c>
      <c r="Q2829" t="s">
        <v>55932</v>
      </c>
      <c r="R2829" t="s">
        <v>55933</v>
      </c>
      <c r="S2829" t="s">
        <v>55934</v>
      </c>
      <c r="T2829" t="s">
        <v>55935</v>
      </c>
      <c r="U2829" t="s">
        <v>55936</v>
      </c>
      <c r="V2829">
        <f>-534.555961142703 -67.2706116590223 -240.007648486487</f>
        <v>-841.83422128821235</v>
      </c>
      <c r="W2829" t="s">
        <v>55937</v>
      </c>
      <c r="X2829" t="s">
        <v>55938</v>
      </c>
      <c r="Y2829" t="s">
        <v>55939</v>
      </c>
    </row>
    <row r="2830" spans="1:25" x14ac:dyDescent="0.3">
      <c r="A2830">
        <v>141450</v>
      </c>
      <c r="B2830" t="s">
        <v>55940</v>
      </c>
      <c r="C2830" t="s">
        <v>55941</v>
      </c>
      <c r="D2830" t="s">
        <v>55942</v>
      </c>
      <c r="E2830" t="s">
        <v>55943</v>
      </c>
      <c r="F2830">
        <f>-578.021803706769 -5.31416094520046 -583.726261410574</f>
        <v>-1167.0622260625435</v>
      </c>
      <c r="G2830">
        <f>-560.423524732184 -15.8542427842249 -691.309089875962</f>
        <v>-1267.5868573923708</v>
      </c>
      <c r="H2830">
        <f>-529.301442390135 -33.8765910725729 -839.317836903225</f>
        <v>-1402.4958703659329</v>
      </c>
      <c r="I2830">
        <f>-485.429382091755 -30.7018712531165 -931.231576623976</f>
        <v>-1447.3628299688476</v>
      </c>
      <c r="J2830" t="s">
        <v>55944</v>
      </c>
      <c r="K2830" t="s">
        <v>55945</v>
      </c>
      <c r="L2830" t="s">
        <v>55946</v>
      </c>
      <c r="M2830" t="s">
        <v>55947</v>
      </c>
      <c r="N2830">
        <f>-530.739077813342 -54.5681520541461 -767.744799267969</f>
        <v>-1353.0520291354571</v>
      </c>
      <c r="O2830">
        <f>-487.61732464049 -187.354963646129 -721.58623584237</f>
        <v>-1396.5585241289891</v>
      </c>
      <c r="P2830">
        <f>-490.406751742579 -183.418533556286 -405.100962195864</f>
        <v>-1078.9262474947291</v>
      </c>
      <c r="Q2830" t="s">
        <v>55948</v>
      </c>
      <c r="R2830" t="s">
        <v>55949</v>
      </c>
      <c r="S2830" t="s">
        <v>55950</v>
      </c>
      <c r="T2830" t="s">
        <v>55951</v>
      </c>
      <c r="U2830" t="s">
        <v>55952</v>
      </c>
      <c r="V2830">
        <f>-534.745665646406 -68.5482418858981 -239.6732962965</f>
        <v>-842.96720382880403</v>
      </c>
      <c r="W2830" t="s">
        <v>55953</v>
      </c>
      <c r="X2830" t="s">
        <v>55954</v>
      </c>
      <c r="Y2830" t="s">
        <v>55955</v>
      </c>
    </row>
    <row r="2831" spans="1:25" x14ac:dyDescent="0.3">
      <c r="A2831">
        <v>141500</v>
      </c>
      <c r="B2831" t="s">
        <v>55956</v>
      </c>
      <c r="C2831" t="s">
        <v>55957</v>
      </c>
      <c r="D2831" t="s">
        <v>55958</v>
      </c>
      <c r="E2831" t="s">
        <v>55959</v>
      </c>
      <c r="F2831">
        <f>-577.910059599194 -5.79220841871825 -583.589839073037</f>
        <v>-1167.2921070909492</v>
      </c>
      <c r="G2831">
        <f>-560.229167380141 -16.3413513837027 -691.15822768559</f>
        <v>-1267.7287464494336</v>
      </c>
      <c r="H2831">
        <f>-528.984863498663 -34.3765650992657 -839.139652986179</f>
        <v>-1402.5010815841079</v>
      </c>
      <c r="I2831">
        <f>-485.035498596177 -31.1864791684304 -931.016027078429</f>
        <v>-1447.2380048430364</v>
      </c>
      <c r="J2831" t="s">
        <v>55960</v>
      </c>
      <c r="K2831" t="s">
        <v>55961</v>
      </c>
      <c r="L2831" t="s">
        <v>55962</v>
      </c>
      <c r="M2831" t="s">
        <v>55963</v>
      </c>
      <c r="N2831">
        <f>-530.455924015305 -55.0499793544886 -767.562102781015</f>
        <v>-1353.0680061508087</v>
      </c>
      <c r="O2831">
        <f>-487.297850991144 -187.802002021668 -721.318664750248</f>
        <v>-1396.41851776306</v>
      </c>
      <c r="P2831">
        <f>-490.13016036968 -183.867406619094 -404.833802800516</f>
        <v>-1078.83136978929</v>
      </c>
      <c r="Q2831" t="s">
        <v>55964</v>
      </c>
      <c r="R2831" t="s">
        <v>55965</v>
      </c>
      <c r="S2831" t="s">
        <v>55966</v>
      </c>
      <c r="T2831" t="s">
        <v>55967</v>
      </c>
      <c r="U2831" t="s">
        <v>55968</v>
      </c>
      <c r="V2831">
        <f>-534.713965300389 -69.1119779629385 -239.506938046188</f>
        <v>-843.33288130951541</v>
      </c>
      <c r="W2831" t="s">
        <v>55969</v>
      </c>
      <c r="X2831" t="s">
        <v>55970</v>
      </c>
      <c r="Y2831" t="s">
        <v>55971</v>
      </c>
    </row>
    <row r="2832" spans="1:25" x14ac:dyDescent="0.3">
      <c r="A2832">
        <v>141550</v>
      </c>
      <c r="B2832" t="s">
        <v>55972</v>
      </c>
      <c r="C2832" t="s">
        <v>55973</v>
      </c>
      <c r="D2832" t="s">
        <v>55974</v>
      </c>
      <c r="E2832" t="s">
        <v>55975</v>
      </c>
      <c r="F2832">
        <f>-577.692030039781 -6.62681284433575 -583.332720713439</f>
        <v>-1167.6515635975557</v>
      </c>
      <c r="G2832">
        <f>-559.87244377149 -17.2184783558259 -690.874005737414</f>
        <v>-1267.9649278647298</v>
      </c>
      <c r="H2832">
        <f>-528.418897212289 -35.3085903848121 -838.804588067869</f>
        <v>-1402.5320756649701</v>
      </c>
      <c r="I2832">
        <f>-484.358415396301 -32.156981892263 -930.628924019783</f>
        <v>-1447.1443213083471</v>
      </c>
      <c r="J2832" t="s">
        <v>55976</v>
      </c>
      <c r="K2832" t="s">
        <v>55977</v>
      </c>
      <c r="L2832" t="s">
        <v>55978</v>
      </c>
      <c r="M2832" t="s">
        <v>55979</v>
      </c>
      <c r="N2832">
        <f>-529.954612973431 -55.9383828154585 -767.215702516998</f>
        <v>-1353.1086983058876</v>
      </c>
      <c r="O2832">
        <f>-486.740470687636 -188.610354514482 -720.804513377568</f>
        <v>-1396.155338579686</v>
      </c>
      <c r="P2832">
        <f>-489.723035151822 -184.467931876594 -404.323751004556</f>
        <v>-1078.514718032972</v>
      </c>
      <c r="Q2832" t="s">
        <v>55980</v>
      </c>
      <c r="R2832" t="s">
        <v>55981</v>
      </c>
      <c r="S2832" t="s">
        <v>55982</v>
      </c>
      <c r="T2832" t="s">
        <v>55983</v>
      </c>
      <c r="U2832" t="s">
        <v>55984</v>
      </c>
      <c r="V2832">
        <f>-534.426008348236 -69.9874775596054 -239.182965513812</f>
        <v>-843.59645142165346</v>
      </c>
      <c r="W2832" t="s">
        <v>55985</v>
      </c>
      <c r="X2832" t="s">
        <v>55986</v>
      </c>
      <c r="Y2832" t="s">
        <v>55987</v>
      </c>
    </row>
    <row r="2833" spans="1:25" x14ac:dyDescent="0.3">
      <c r="A2833">
        <v>141600</v>
      </c>
      <c r="B2833" t="s">
        <v>55988</v>
      </c>
      <c r="C2833" t="s">
        <v>55989</v>
      </c>
      <c r="D2833" t="s">
        <v>55990</v>
      </c>
      <c r="E2833" t="s">
        <v>55991</v>
      </c>
      <c r="F2833">
        <f>-577.535295334959 -7.02183417456672 -583.157622629151</f>
        <v>-1167.7147521386767</v>
      </c>
      <c r="G2833">
        <f>-559.63502192462 -17.6486846298355 -690.682052221262</f>
        <v>-1267.9657587757174</v>
      </c>
      <c r="H2833">
        <f>-528.061526723742 -35.7907915492458 -838.580612733094</f>
        <v>-1402.4329310060816</v>
      </c>
      <c r="I2833">
        <f>-483.943869538618 -32.6745166581611 -930.378837564505</f>
        <v>-1446.9972237612842</v>
      </c>
      <c r="J2833" t="s">
        <v>55992</v>
      </c>
      <c r="K2833" t="s">
        <v>55993</v>
      </c>
      <c r="L2833" t="s">
        <v>55994</v>
      </c>
      <c r="M2833" t="s">
        <v>55995</v>
      </c>
      <c r="N2833">
        <f>-529.642302304133 -56.3894670708855 -766.983703624478</f>
        <v>-1353.0154729994965</v>
      </c>
      <c r="O2833">
        <f>-486.388527045695 -189.016076460229 -720.488869036308</f>
        <v>-1395.8934725422318</v>
      </c>
      <c r="P2833">
        <f>-489.473976405258 -184.726538882433 -404.010913176906</f>
        <v>-1078.211428464597</v>
      </c>
      <c r="Q2833" t="s">
        <v>55996</v>
      </c>
      <c r="R2833" t="s">
        <v>55997</v>
      </c>
      <c r="S2833" t="s">
        <v>55998</v>
      </c>
      <c r="T2833" t="s">
        <v>55999</v>
      </c>
      <c r="U2833" t="s">
        <v>56000</v>
      </c>
      <c r="V2833">
        <f>-534.2858511333 -70.3472205268092 -239.007171944325</f>
        <v>-843.6402436044342</v>
      </c>
      <c r="W2833" t="s">
        <v>56001</v>
      </c>
      <c r="X2833" t="s">
        <v>56002</v>
      </c>
      <c r="Y2833" t="s">
        <v>56003</v>
      </c>
    </row>
    <row r="2834" spans="1:25" x14ac:dyDescent="0.3">
      <c r="A2834">
        <v>141650</v>
      </c>
      <c r="B2834" t="s">
        <v>56004</v>
      </c>
      <c r="C2834" t="s">
        <v>56005</v>
      </c>
      <c r="D2834" t="s">
        <v>56006</v>
      </c>
      <c r="E2834">
        <f>-588.72712025449 -0.492095003613713 -474.26011218961</f>
        <v>-1063.4793274477138</v>
      </c>
      <c r="F2834">
        <f>-577.294619086019 -8.19644716953962 -582.910100604155</f>
        <v>-1168.4011668597136</v>
      </c>
      <c r="G2834">
        <f>-559.30532251764 -19.0005372726587 -690.401913517448</f>
        <v>-1268.7077733077467</v>
      </c>
      <c r="H2834">
        <f>-527.601302645963 -37.3834858323623 -838.242829894822</f>
        <v>-1403.2276183731474</v>
      </c>
      <c r="I2834">
        <f>-483.370282697706 -34.4097880482891 -929.991074461812</f>
        <v>-1447.771145207807</v>
      </c>
      <c r="J2834">
        <f>-553.969796043743 -0.613354179802855 -779.03478037935</f>
        <v>-1333.6179306028957</v>
      </c>
      <c r="K2834" t="s">
        <v>56007</v>
      </c>
      <c r="L2834" t="s">
        <v>56008</v>
      </c>
      <c r="M2834" t="s">
        <v>56009</v>
      </c>
      <c r="N2834">
        <f>-529.28887286442 -57.8857320009979 -766.620840025261</f>
        <v>-1353.7954448906789</v>
      </c>
      <c r="O2834">
        <f>-485.965517029618 -190.439347885809 -719.947802217008</f>
        <v>-1396.3526671324348</v>
      </c>
      <c r="P2834">
        <f>-488.963367396043 -185.845949771322 -403.473360863343</f>
        <v>-1078.282678030708</v>
      </c>
      <c r="Q2834" t="s">
        <v>56010</v>
      </c>
      <c r="R2834" t="s">
        <v>56011</v>
      </c>
      <c r="S2834" t="s">
        <v>56012</v>
      </c>
      <c r="T2834" t="s">
        <v>56013</v>
      </c>
      <c r="U2834" t="s">
        <v>56014</v>
      </c>
      <c r="V2834">
        <f>-533.884323279318 -70.9712054164766 -238.595074237656</f>
        <v>-843.45060293345057</v>
      </c>
      <c r="W2834" t="s">
        <v>56015</v>
      </c>
      <c r="X2834" t="s">
        <v>56016</v>
      </c>
      <c r="Y2834" t="s">
        <v>56017</v>
      </c>
    </row>
    <row r="2835" spans="1:25" x14ac:dyDescent="0.3">
      <c r="A2835">
        <v>141700</v>
      </c>
      <c r="B2835" t="s">
        <v>56018</v>
      </c>
      <c r="C2835" t="s">
        <v>56019</v>
      </c>
      <c r="D2835" t="s">
        <v>56020</v>
      </c>
      <c r="E2835">
        <f>-588.709692678427 -0.975075976792823 -474.123206108941</f>
        <v>-1063.8079747641609</v>
      </c>
      <c r="F2835">
        <f>-577.221368214774 -8.71005557715671 -582.764989495292</f>
        <v>-1168.6964132872226</v>
      </c>
      <c r="G2835">
        <f>-559.166405557316 -19.512434095295 -690.246065344023</f>
        <v>-1268.924904996634</v>
      </c>
      <c r="H2835">
        <f>-527.362059324621 -37.8632324991422 -838.069279620678</f>
        <v>-1403.2945714444413</v>
      </c>
      <c r="I2835">
        <f>-483.051463736761 -34.899363519954 -929.7796228513</f>
        <v>-1447.730450108015</v>
      </c>
      <c r="J2835">
        <f>-553.757679121769 -1.10006233166814 -778.869275883305</f>
        <v>-1333.7270173367422</v>
      </c>
      <c r="K2835" t="s">
        <v>56021</v>
      </c>
      <c r="L2835" t="s">
        <v>56022</v>
      </c>
      <c r="M2835" t="s">
        <v>56023</v>
      </c>
      <c r="N2835">
        <f>-529.111355404502 -58.3873124395845 -766.454985284539</f>
        <v>-1353.9536531286255</v>
      </c>
      <c r="O2835">
        <f>-485.724794971924 -190.914670550568 -719.743988504649</f>
        <v>-1396.3834540271409</v>
      </c>
      <c r="P2835">
        <f>-488.50916228191 -186.287656766601 -403.268052917932</f>
        <v>-1078.064871966443</v>
      </c>
      <c r="Q2835" t="s">
        <v>56024</v>
      </c>
      <c r="R2835" t="s">
        <v>56025</v>
      </c>
      <c r="S2835" t="s">
        <v>56026</v>
      </c>
      <c r="T2835" t="s">
        <v>56027</v>
      </c>
      <c r="U2835" t="s">
        <v>56028</v>
      </c>
      <c r="V2835">
        <f>-533.800822106205 -71.2435717317446 -238.34942421839</f>
        <v>-843.39381805633968</v>
      </c>
      <c r="W2835" t="s">
        <v>56029</v>
      </c>
      <c r="X2835" t="s">
        <v>56030</v>
      </c>
      <c r="Y2835" t="s">
        <v>56031</v>
      </c>
    </row>
    <row r="2836" spans="1:25" x14ac:dyDescent="0.3">
      <c r="A2836">
        <v>141750</v>
      </c>
      <c r="B2836" t="s">
        <v>56032</v>
      </c>
      <c r="C2836" t="s">
        <v>56033</v>
      </c>
      <c r="D2836" t="s">
        <v>56034</v>
      </c>
      <c r="E2836">
        <f>-588.739744603719 -1.05013704758289 -473.646993804191</f>
        <v>-1063.436875455493</v>
      </c>
      <c r="F2836">
        <f>-577.176600918282 -8.6958909834882 -582.287094153403</f>
        <v>-1168.1595860551733</v>
      </c>
      <c r="G2836">
        <f>-559.074086647021 -19.3326541408314 -689.776684776253</f>
        <v>-1268.1834255641054</v>
      </c>
      <c r="H2836">
        <f>-527.231238075784 -37.378169123539 -837.629345677534</f>
        <v>-1402.238752876857</v>
      </c>
      <c r="I2836">
        <f>-482.703468664188 -34.1996186423874 -929.227160479637</f>
        <v>-1446.1302477862123</v>
      </c>
      <c r="J2836">
        <f>-553.689879363061 -0.759196300797839 -778.36790502942</f>
        <v>-1332.8169806932788</v>
      </c>
      <c r="K2836" t="s">
        <v>56035</v>
      </c>
      <c r="L2836" t="s">
        <v>56036</v>
      </c>
      <c r="M2836" t="s">
        <v>56037</v>
      </c>
      <c r="N2836">
        <f>-528.951507284872 -58.0278193268337 -766.050387599752</f>
        <v>-1353.0297142114578</v>
      </c>
      <c r="O2836">
        <f>-484.90410453073 -190.401502652101 -719.560257509074</f>
        <v>-1394.8658646919048</v>
      </c>
      <c r="P2836">
        <f>-487.886922946118 -186.156025620902 -403.080780235825</f>
        <v>-1077.1237288028449</v>
      </c>
      <c r="Q2836" t="s">
        <v>56038</v>
      </c>
      <c r="R2836" t="s">
        <v>56039</v>
      </c>
      <c r="S2836" t="s">
        <v>56040</v>
      </c>
      <c r="T2836" t="s">
        <v>56041</v>
      </c>
      <c r="U2836" t="s">
        <v>56042</v>
      </c>
      <c r="V2836">
        <f>-533.815667280844 -71.381654672078 -237.732307345374</f>
        <v>-842.92962929829594</v>
      </c>
      <c r="W2836" t="s">
        <v>56043</v>
      </c>
      <c r="X2836" t="s">
        <v>56044</v>
      </c>
      <c r="Y2836" t="s">
        <v>56045</v>
      </c>
    </row>
    <row r="2837" spans="1:25" x14ac:dyDescent="0.3">
      <c r="A2837">
        <v>141800</v>
      </c>
      <c r="B2837" t="s">
        <v>56046</v>
      </c>
      <c r="C2837" t="s">
        <v>56047</v>
      </c>
      <c r="D2837" t="s">
        <v>56048</v>
      </c>
      <c r="E2837">
        <f>-589.278635124713 -0.932293831888046 -473.456443570647</f>
        <v>-1063.6673725272481</v>
      </c>
      <c r="F2837">
        <f>-577.83710696539 -8.56097187658634 -582.110671862531</f>
        <v>-1168.5087507045073</v>
      </c>
      <c r="G2837">
        <f>-559.864276458162 -19.1359314746301 -689.628029426543</f>
        <v>-1268.6282373593349</v>
      </c>
      <c r="H2837">
        <f>-528.208740012908 -37.0506790739053 -837.536839722613</f>
        <v>-1402.7962588094263</v>
      </c>
      <c r="I2837">
        <f>-483.534504733793 -33.632778758687 -929.054590499039</f>
        <v>-1446.221873991519</v>
      </c>
      <c r="J2837">
        <f>-554.633297575306 -0.503365310727531 -778.216071551166</f>
        <v>-1333.3527344371996</v>
      </c>
      <c r="K2837" t="s">
        <v>56049</v>
      </c>
      <c r="L2837" t="s">
        <v>56050</v>
      </c>
      <c r="M2837" t="s">
        <v>56051</v>
      </c>
      <c r="N2837">
        <f>-529.797398014972 -57.7445516152718 -765.967509959689</f>
        <v>-1353.5094595899327</v>
      </c>
      <c r="O2837">
        <f>-485.374418844007 -190.043567175246 -719.602778012252</f>
        <v>-1395.020764031505</v>
      </c>
      <c r="P2837">
        <f>-488.621023767625 -186.042402499457 -403.122780920334</f>
        <v>-1077.786207187416</v>
      </c>
      <c r="Q2837" t="s">
        <v>56052</v>
      </c>
      <c r="R2837" t="s">
        <v>56053</v>
      </c>
      <c r="S2837" t="s">
        <v>56054</v>
      </c>
      <c r="T2837" t="s">
        <v>56055</v>
      </c>
      <c r="U2837" t="s">
        <v>56056</v>
      </c>
      <c r="V2837">
        <f>-534.022637382325 -71.3200786002571 -237.475801676144</f>
        <v>-842.81851765872614</v>
      </c>
      <c r="W2837" t="s">
        <v>56057</v>
      </c>
      <c r="X2837" t="s">
        <v>56058</v>
      </c>
      <c r="Y2837" t="s">
        <v>56059</v>
      </c>
    </row>
    <row r="2838" spans="1:25" x14ac:dyDescent="0.3">
      <c r="A2838">
        <v>141850</v>
      </c>
      <c r="B2838" t="s">
        <v>56060</v>
      </c>
      <c r="C2838" t="s">
        <v>56061</v>
      </c>
      <c r="D2838" t="s">
        <v>56062</v>
      </c>
      <c r="E2838">
        <f>-591.010352809747 -0.0678629930912393 -473.140051039399</f>
        <v>-1064.2182668422372</v>
      </c>
      <c r="F2838">
        <f>-580.062895452244 -7.31900937307773 -581.871147559184</f>
        <v>-1169.2530523845057</v>
      </c>
      <c r="G2838">
        <f>-562.696032876535 -17.3639150815964 -689.538862030841</f>
        <v>-1269.5988099889723</v>
      </c>
      <c r="H2838">
        <f>-531.992013423681 -34.3877200651441 -837.753111765823</f>
        <v>-1404.1328452546481</v>
      </c>
      <c r="I2838">
        <f>-486.910757849655 -30.0273884828321 -929.030984797389</f>
        <v>-1445.9691311298761</v>
      </c>
      <c r="J2838" t="s">
        <v>56063</v>
      </c>
      <c r="K2838" t="s">
        <v>56064</v>
      </c>
      <c r="L2838" t="s">
        <v>56065</v>
      </c>
      <c r="M2838" t="s">
        <v>56066</v>
      </c>
      <c r="N2838">
        <f>-533.083599721306 -55.4943770207155 -766.295172289476</f>
        <v>-1354.8731490314976</v>
      </c>
      <c r="O2838">
        <f>-487.93184036655 -187.783238757443 -720.54616642138</f>
        <v>-1396.261245545373</v>
      </c>
      <c r="P2838">
        <f>-491.528037279275 -184.395392032214 -404.062684419958</f>
        <v>-1079.9861137314469</v>
      </c>
      <c r="Q2838" t="s">
        <v>56067</v>
      </c>
      <c r="R2838" t="s">
        <v>56068</v>
      </c>
      <c r="S2838" t="s">
        <v>56069</v>
      </c>
      <c r="T2838" t="s">
        <v>56070</v>
      </c>
      <c r="U2838" t="s">
        <v>56071</v>
      </c>
      <c r="V2838">
        <f>-534.776535104559 -70.784370815989 -237.069846185239</f>
        <v>-842.630752105787</v>
      </c>
      <c r="W2838" t="s">
        <v>56072</v>
      </c>
      <c r="X2838" t="s">
        <v>56073</v>
      </c>
      <c r="Y2838" t="s">
        <v>56074</v>
      </c>
    </row>
    <row r="2839" spans="1:25" x14ac:dyDescent="0.3">
      <c r="A2839">
        <v>141900</v>
      </c>
      <c r="B2839" t="s">
        <v>56075</v>
      </c>
      <c r="C2839" t="s">
        <v>56076</v>
      </c>
      <c r="D2839" t="s">
        <v>56077</v>
      </c>
      <c r="E2839" t="s">
        <v>56078</v>
      </c>
      <c r="F2839">
        <f>-581.505355241069 -6.43698018760733 -581.787295195885</f>
        <v>-1169.7296306245612</v>
      </c>
      <c r="G2839">
        <f>-564.54981592292 -16.0534272952618 -689.559593502209</f>
        <v>-1270.1628367203907</v>
      </c>
      <c r="H2839">
        <f>-534.486522388788 -32.3762443351445 -837.983850549649</f>
        <v>-1404.8466172735816</v>
      </c>
      <c r="I2839">
        <f>-489.168045208976 -27.440511170963 -929.114838608579</f>
        <v>-1445.7233949885181</v>
      </c>
      <c r="J2839" t="s">
        <v>56079</v>
      </c>
      <c r="K2839" t="s">
        <v>56080</v>
      </c>
      <c r="L2839" t="s">
        <v>56081</v>
      </c>
      <c r="M2839" t="s">
        <v>56082</v>
      </c>
      <c r="N2839">
        <f>-535.317179003495 -53.8425013549131 -766.629615232795</f>
        <v>-1355.789295591203</v>
      </c>
      <c r="O2839">
        <f>-490.041814668409 -186.241132837867 -721.439516973309</f>
        <v>-1397.7224644795851</v>
      </c>
      <c r="P2839">
        <f>-493.857910478065 -183.534157914694 -404.952133830615</f>
        <v>-1082.3442022233739</v>
      </c>
      <c r="Q2839" t="s">
        <v>56083</v>
      </c>
      <c r="R2839" t="s">
        <v>56084</v>
      </c>
      <c r="S2839" t="s">
        <v>56085</v>
      </c>
      <c r="T2839" t="s">
        <v>56086</v>
      </c>
      <c r="U2839" t="s">
        <v>56087</v>
      </c>
      <c r="V2839">
        <f>-535.24312983585 -70.5251895633041 -236.938176960782</f>
        <v>-842.70649635993618</v>
      </c>
      <c r="W2839" t="s">
        <v>56088</v>
      </c>
      <c r="X2839" t="s">
        <v>56089</v>
      </c>
      <c r="Y2839" t="s">
        <v>56090</v>
      </c>
    </row>
    <row r="2840" spans="1:25" x14ac:dyDescent="0.3">
      <c r="A2840">
        <v>141950</v>
      </c>
      <c r="B2840" t="s">
        <v>56091</v>
      </c>
      <c r="C2840" t="s">
        <v>56092</v>
      </c>
      <c r="D2840" t="s">
        <v>56093</v>
      </c>
      <c r="E2840" t="s">
        <v>56094</v>
      </c>
      <c r="F2840">
        <f>-584.126167382126 -4.03253110440255 -581.85741414737</f>
        <v>-1170.0161126338985</v>
      </c>
      <c r="G2840">
        <f>-567.999351461566 -12.5938114597604 -689.845828932502</f>
        <v>-1270.4389918538284</v>
      </c>
      <c r="H2840">
        <f>-539.258493865432 -27.2661676863204 -838.703775989686</f>
        <v>-1405.2284375414383</v>
      </c>
      <c r="I2840">
        <f>-493.713701388505 -21.4384888529753 -929.669078753856</f>
        <v>-1444.8212689953361</v>
      </c>
      <c r="J2840" t="s">
        <v>56095</v>
      </c>
      <c r="K2840" t="s">
        <v>56096</v>
      </c>
      <c r="L2840" t="s">
        <v>56097</v>
      </c>
      <c r="M2840" t="s">
        <v>56098</v>
      </c>
      <c r="N2840">
        <f>-539.752007146275 -49.6587928819299 -767.63169702515</f>
        <v>-1357.042497053355</v>
      </c>
      <c r="O2840">
        <f>-495.480923409601 -182.902246724385 -723.9898769902</f>
        <v>-1402.3730471241861</v>
      </c>
      <c r="P2840">
        <f>-498.285619152613 -182.741618412749 -407.480193438063</f>
        <v>-1088.5074310034249</v>
      </c>
      <c r="Q2840" t="s">
        <v>56099</v>
      </c>
      <c r="R2840" t="s">
        <v>56100</v>
      </c>
      <c r="S2840" t="s">
        <v>56101</v>
      </c>
      <c r="T2840" t="s">
        <v>56102</v>
      </c>
      <c r="U2840" t="s">
        <v>56103</v>
      </c>
      <c r="V2840">
        <f>-536.375078232607 -70.3324872196381 -236.904611070105</f>
        <v>-843.61217652235018</v>
      </c>
      <c r="W2840" t="s">
        <v>56104</v>
      </c>
      <c r="X2840" t="s">
        <v>56105</v>
      </c>
      <c r="Y2840" t="s">
        <v>56106</v>
      </c>
    </row>
    <row r="2841" spans="1:25" x14ac:dyDescent="0.3">
      <c r="A2841">
        <v>142000</v>
      </c>
      <c r="B2841" t="s">
        <v>56107</v>
      </c>
      <c r="C2841" t="s">
        <v>56108</v>
      </c>
      <c r="D2841" t="s">
        <v>56109</v>
      </c>
      <c r="E2841" t="s">
        <v>56110</v>
      </c>
      <c r="F2841">
        <f>-585.460278021795 -2.81985546492797 -582.03112589168</f>
        <v>-1170.3112593784031</v>
      </c>
      <c r="G2841">
        <f>-569.764595454929 -10.8966236988149 -690.120157803658</f>
        <v>-1270.7813769574018</v>
      </c>
      <c r="H2841">
        <f>-541.715666726099 -24.8302644403707 -839.18101278878</f>
        <v>-1405.7269439552497</v>
      </c>
      <c r="I2841">
        <f>-496.130412501853 -18.7411869819132 -930.108903674845</f>
        <v>-1444.9805031586111</v>
      </c>
      <c r="J2841" t="s">
        <v>56111</v>
      </c>
      <c r="K2841" t="s">
        <v>56112</v>
      </c>
      <c r="L2841" t="s">
        <v>56113</v>
      </c>
      <c r="M2841" t="s">
        <v>56114</v>
      </c>
      <c r="N2841">
        <f>-542.126853197528 -47.6848296470944 -768.255581443143</f>
        <v>-1358.0672642877653</v>
      </c>
      <c r="O2841">
        <f>-498.752199696593 -181.482929460311 -725.454466822789</f>
        <v>-1405.689595979693</v>
      </c>
      <c r="P2841">
        <f>-501.363385414473 -182.723856944186 -408.945675951099</f>
        <v>-1093.0329183097579</v>
      </c>
      <c r="Q2841" t="s">
        <v>56115</v>
      </c>
      <c r="R2841" t="s">
        <v>56116</v>
      </c>
      <c r="S2841" t="s">
        <v>56117</v>
      </c>
      <c r="T2841" t="s">
        <v>56118</v>
      </c>
      <c r="U2841" t="s">
        <v>56119</v>
      </c>
      <c r="V2841">
        <f>-537.200348472194 -70.4704868669326 -237.049384615776</f>
        <v>-844.72021995490263</v>
      </c>
      <c r="W2841" t="s">
        <v>56120</v>
      </c>
      <c r="X2841" t="s">
        <v>56121</v>
      </c>
      <c r="Y2841" t="s">
        <v>56122</v>
      </c>
    </row>
    <row r="2842" spans="1:25" x14ac:dyDescent="0.3">
      <c r="A2842">
        <v>142050</v>
      </c>
      <c r="B2842" t="s">
        <v>56123</v>
      </c>
      <c r="C2842" t="s">
        <v>56124</v>
      </c>
      <c r="D2842" t="s">
        <v>56125</v>
      </c>
      <c r="E2842" t="s">
        <v>56126</v>
      </c>
      <c r="F2842">
        <f>-587.644719628807 -0.542846953514754 -582.491043567828</f>
        <v>-1170.6786101501498</v>
      </c>
      <c r="G2842">
        <f>-572.678517949277 -7.76564278263595 -690.743920777963</f>
        <v>-1271.1880815098759</v>
      </c>
      <c r="H2842">
        <f>-545.821733532943 -20.4169061216114 -840.138364909752</f>
        <v>-1406.3770045643064</v>
      </c>
      <c r="I2842">
        <f>-500.186028963532 -14.066973720531 -931.023192794796</f>
        <v>-1445.2761954788591</v>
      </c>
      <c r="J2842" t="s">
        <v>56127</v>
      </c>
      <c r="K2842" t="s">
        <v>56128</v>
      </c>
      <c r="L2842" t="s">
        <v>56129</v>
      </c>
      <c r="M2842" t="s">
        <v>56130</v>
      </c>
      <c r="N2842">
        <f>-546.39082596539 -44.1857305815668 -769.515108163948</f>
        <v>-1360.0916647109048</v>
      </c>
      <c r="O2842">
        <f>-505.941820563361 -179.415593982747 -728.269265055419</f>
        <v>-1413.626679601527</v>
      </c>
      <c r="P2842">
        <f>-507.853412113976 -183.546220924142 -411.779987082669</f>
        <v>-1103.1796201207871</v>
      </c>
      <c r="Q2842" t="s">
        <v>56131</v>
      </c>
      <c r="R2842" t="s">
        <v>56132</v>
      </c>
      <c r="S2842" t="s">
        <v>56133</v>
      </c>
      <c r="T2842" t="s">
        <v>56134</v>
      </c>
      <c r="U2842" t="s">
        <v>56135</v>
      </c>
      <c r="V2842">
        <f>-539.226065187959 -70.983085896379 -237.462448339047</f>
        <v>-847.67159942338492</v>
      </c>
      <c r="W2842" t="s">
        <v>56136</v>
      </c>
      <c r="X2842" t="s">
        <v>56137</v>
      </c>
      <c r="Y2842" t="s">
        <v>56138</v>
      </c>
    </row>
    <row r="2843" spans="1:25" x14ac:dyDescent="0.3">
      <c r="A2843">
        <v>142100</v>
      </c>
      <c r="B2843" t="s">
        <v>56139</v>
      </c>
      <c r="C2843" t="s">
        <v>56140</v>
      </c>
      <c r="D2843" t="s">
        <v>56141</v>
      </c>
      <c r="E2843" t="s">
        <v>56142</v>
      </c>
      <c r="F2843" t="s">
        <v>56143</v>
      </c>
      <c r="G2843">
        <f>-573.701701941037 -6.0134814183491 -691.118341062117</f>
        <v>-1270.8335244215032</v>
      </c>
      <c r="H2843">
        <f>-547.332146426035 -18.0834979037338 -840.647403530184</f>
        <v>-1406.0630478599528</v>
      </c>
      <c r="I2843">
        <f>-501.674543248604 -11.6568203582588 -931.515809864309</f>
        <v>-1444.8471734711716</v>
      </c>
      <c r="J2843" t="s">
        <v>56144</v>
      </c>
      <c r="K2843" t="s">
        <v>56145</v>
      </c>
      <c r="L2843" t="s">
        <v>56146</v>
      </c>
      <c r="M2843" t="s">
        <v>56147</v>
      </c>
      <c r="N2843">
        <f>-548.116251519171 -42.3040304678316 -770.180081213038</f>
        <v>-1360.6003632000406</v>
      </c>
      <c r="O2843">
        <f>-509.631544234644 -178.293202671434 -729.595301675249</f>
        <v>-1417.520048581327</v>
      </c>
      <c r="P2843">
        <f>-510.936156919203 -183.919784770122 -413.125901657143</f>
        <v>-1107.9818433464679</v>
      </c>
      <c r="Q2843" t="s">
        <v>56148</v>
      </c>
      <c r="R2843" t="s">
        <v>56149</v>
      </c>
      <c r="S2843" t="s">
        <v>56150</v>
      </c>
      <c r="T2843" t="s">
        <v>56151</v>
      </c>
      <c r="U2843" t="s">
        <v>56152</v>
      </c>
      <c r="V2843">
        <f>-540.451491563644 -71.0526786371029 -237.733401744812</f>
        <v>-849.2375719455589</v>
      </c>
      <c r="W2843" t="s">
        <v>56153</v>
      </c>
      <c r="X2843" t="s">
        <v>56154</v>
      </c>
      <c r="Y2843" t="s">
        <v>56155</v>
      </c>
    </row>
    <row r="2844" spans="1:25" x14ac:dyDescent="0.3">
      <c r="A2844">
        <v>142150</v>
      </c>
      <c r="B2844" t="s">
        <v>56156</v>
      </c>
      <c r="C2844" t="s">
        <v>56157</v>
      </c>
      <c r="D2844" t="s">
        <v>56158</v>
      </c>
      <c r="E2844" t="s">
        <v>56159</v>
      </c>
      <c r="F2844" t="s">
        <v>56160</v>
      </c>
      <c r="G2844">
        <f>-575.257571134507 -2.87698684510997 -691.876685369856</f>
        <v>-1270.0112433494728</v>
      </c>
      <c r="H2844">
        <f>-549.824356064917 -14.3050998943802 -841.61840063986</f>
        <v>-1405.7478565991573</v>
      </c>
      <c r="I2844">
        <f>-504.023504716583 -8.12045347276353 -932.431411109619</f>
        <v>-1444.5753692989656</v>
      </c>
      <c r="J2844" t="s">
        <v>56161</v>
      </c>
      <c r="K2844" t="s">
        <v>56162</v>
      </c>
      <c r="L2844" t="s">
        <v>56163</v>
      </c>
      <c r="M2844" t="s">
        <v>56164</v>
      </c>
      <c r="N2844">
        <f>-551.270583667605 -39.2324372815733 -771.40832075992</f>
        <v>-1361.9113417090985</v>
      </c>
      <c r="O2844">
        <f>-517.530493264906 -176.859447081719 -732.166293330777</f>
        <v>-1426.5562336774019</v>
      </c>
      <c r="P2844">
        <f>-517.71503618202 -185.297915883374 -415.756823578022</f>
        <v>-1118.7697756434159</v>
      </c>
      <c r="Q2844" t="s">
        <v>56165</v>
      </c>
      <c r="R2844" t="s">
        <v>56166</v>
      </c>
      <c r="S2844" t="s">
        <v>56167</v>
      </c>
      <c r="T2844" t="s">
        <v>56168</v>
      </c>
      <c r="U2844" t="s">
        <v>56169</v>
      </c>
      <c r="V2844">
        <f>-543.022556469705 -71.0361735337688 -238.345651687345</f>
        <v>-852.40438169081881</v>
      </c>
      <c r="W2844" t="s">
        <v>56170</v>
      </c>
      <c r="X2844" t="s">
        <v>56171</v>
      </c>
      <c r="Y2844" t="s">
        <v>56172</v>
      </c>
    </row>
    <row r="2845" spans="1:25" x14ac:dyDescent="0.3">
      <c r="A2845">
        <v>142200</v>
      </c>
      <c r="B2845" t="s">
        <v>56173</v>
      </c>
      <c r="C2845" t="s">
        <v>56174</v>
      </c>
      <c r="D2845" t="s">
        <v>56175</v>
      </c>
      <c r="E2845" t="s">
        <v>56176</v>
      </c>
      <c r="F2845" t="s">
        <v>56177</v>
      </c>
      <c r="G2845">
        <f>-575.703594485184 -1.23244585681095 -692.355272268019</f>
        <v>-1269.2913126100138</v>
      </c>
      <c r="H2845">
        <f>-550.661422563753 -12.5251660181075 -842.173010839763</f>
        <v>-1405.3595994216234</v>
      </c>
      <c r="I2845">
        <f>-504.792510463176 -6.6174584898165 -932.970153802724</f>
        <v>-1444.3801227557165</v>
      </c>
      <c r="J2845" t="s">
        <v>56178</v>
      </c>
      <c r="K2845" t="s">
        <v>56179</v>
      </c>
      <c r="L2845" t="s">
        <v>56180</v>
      </c>
      <c r="M2845" t="s">
        <v>56181</v>
      </c>
      <c r="N2845">
        <f>-552.525320617409 -37.7168622421518 -772.067240806021</f>
        <v>-1362.3094236655818</v>
      </c>
      <c r="O2845">
        <f>-521.430628822901 -176.138416040249 -733.405291925522</f>
        <v>-1430.974336788672</v>
      </c>
      <c r="P2845">
        <f>-520.874081366171 -185.978871349615 -417.036731131108</f>
        <v>-1123.8896838468941</v>
      </c>
      <c r="Q2845" t="s">
        <v>56182</v>
      </c>
      <c r="R2845" t="s">
        <v>56183</v>
      </c>
      <c r="S2845" t="s">
        <v>56184</v>
      </c>
      <c r="T2845" t="s">
        <v>56185</v>
      </c>
      <c r="U2845" t="s">
        <v>56186</v>
      </c>
      <c r="V2845">
        <f>-544.353985635253 -70.7987095135065 -238.740989829594</f>
        <v>-853.89368497835358</v>
      </c>
      <c r="W2845" t="s">
        <v>56187</v>
      </c>
      <c r="X2845" t="s">
        <v>56188</v>
      </c>
      <c r="Y2845" t="s">
        <v>56189</v>
      </c>
    </row>
    <row r="2846" spans="1:25" x14ac:dyDescent="0.3">
      <c r="A2846">
        <v>142250</v>
      </c>
      <c r="B2846" t="s">
        <v>56190</v>
      </c>
      <c r="C2846" t="s">
        <v>56191</v>
      </c>
      <c r="D2846" t="s">
        <v>56192</v>
      </c>
      <c r="E2846" t="s">
        <v>56193</v>
      </c>
      <c r="F2846" t="s">
        <v>56194</v>
      </c>
      <c r="G2846" t="s">
        <v>56195</v>
      </c>
      <c r="H2846">
        <f>-551.020944450219 -8.68861379418126 -843.312806697984</f>
        <v>-1403.0223649423842</v>
      </c>
      <c r="I2846">
        <f>-504.952838678652 -3.35704983499272 -934.044686814516</f>
        <v>-1442.3545753281608</v>
      </c>
      <c r="J2846" t="s">
        <v>56196</v>
      </c>
      <c r="K2846" t="s">
        <v>56197</v>
      </c>
      <c r="L2846" t="s">
        <v>56198</v>
      </c>
      <c r="M2846" t="s">
        <v>56199</v>
      </c>
      <c r="N2846">
        <f>-553.842705529477 -34.3330167776294 -773.403456231367</f>
        <v>-1361.5791785384736</v>
      </c>
      <c r="O2846">
        <f>-527.986065342545 -174.082238378802 -735.626306884046</f>
        <v>-1437.6946106053929</v>
      </c>
      <c r="P2846">
        <f>-526.560916658615 -186.108410872059 -419.336027172477</f>
        <v>-1132.0053547031512</v>
      </c>
      <c r="Q2846" t="s">
        <v>56200</v>
      </c>
      <c r="R2846" t="s">
        <v>56201</v>
      </c>
      <c r="S2846" t="s">
        <v>56202</v>
      </c>
      <c r="T2846" t="s">
        <v>56203</v>
      </c>
      <c r="U2846" t="s">
        <v>56204</v>
      </c>
      <c r="V2846">
        <f>-547.053963198787 -69.9697300464209 -239.625394331712</f>
        <v>-856.64908757691978</v>
      </c>
      <c r="W2846" t="s">
        <v>56205</v>
      </c>
      <c r="X2846" t="s">
        <v>56206</v>
      </c>
      <c r="Y2846" t="s">
        <v>56207</v>
      </c>
    </row>
    <row r="2847" spans="1:25" x14ac:dyDescent="0.3">
      <c r="A2847">
        <v>142300</v>
      </c>
      <c r="B2847" t="s">
        <v>56208</v>
      </c>
      <c r="C2847" t="s">
        <v>56209</v>
      </c>
      <c r="D2847" t="s">
        <v>56210</v>
      </c>
      <c r="E2847" t="s">
        <v>56211</v>
      </c>
      <c r="F2847" t="s">
        <v>56212</v>
      </c>
      <c r="G2847" t="s">
        <v>56213</v>
      </c>
      <c r="H2847">
        <f>-550.90434758678 -6.79797004336638 -843.875096902398</f>
        <v>-1401.5774145325445</v>
      </c>
      <c r="I2847">
        <f>-504.712257724394 -1.76578068918229 -934.561115349113</f>
        <v>-1441.0391537626892</v>
      </c>
      <c r="J2847" t="s">
        <v>56214</v>
      </c>
      <c r="K2847" t="s">
        <v>56215</v>
      </c>
      <c r="L2847" t="s">
        <v>56216</v>
      </c>
      <c r="M2847" t="s">
        <v>56217</v>
      </c>
      <c r="N2847">
        <f>-554.192778652465 -32.6105558901147 -774.047966288861</f>
        <v>-1360.8513008314408</v>
      </c>
      <c r="O2847">
        <f>-530.742614180302 -172.857247071224 -736.587190160604</f>
        <v>-1440.1870514121301</v>
      </c>
      <c r="P2847">
        <f>-529.281316990631 -185.775368928617 -420.332235905775</f>
        <v>-1135.3889218250231</v>
      </c>
      <c r="Q2847" t="s">
        <v>56218</v>
      </c>
      <c r="R2847" t="s">
        <v>56219</v>
      </c>
      <c r="S2847" t="s">
        <v>56220</v>
      </c>
      <c r="T2847" t="s">
        <v>56221</v>
      </c>
      <c r="U2847" t="s">
        <v>56222</v>
      </c>
      <c r="V2847">
        <f>-548.367870438095 -69.3733003267919 -240.099262413901</f>
        <v>-857.84043317878786</v>
      </c>
      <c r="W2847" t="s">
        <v>56223</v>
      </c>
      <c r="X2847" t="s">
        <v>56224</v>
      </c>
      <c r="Y2847" t="s">
        <v>56225</v>
      </c>
    </row>
    <row r="2848" spans="1:25" x14ac:dyDescent="0.3">
      <c r="A2848">
        <v>142350</v>
      </c>
      <c r="B2848" t="s">
        <v>56226</v>
      </c>
      <c r="C2848" t="s">
        <v>56227</v>
      </c>
      <c r="D2848" t="s">
        <v>56228</v>
      </c>
      <c r="E2848" t="s">
        <v>56229</v>
      </c>
      <c r="F2848" t="s">
        <v>56230</v>
      </c>
      <c r="G2848" t="s">
        <v>56231</v>
      </c>
      <c r="H2848">
        <f>-550.52160525247 -2.97950921963547 -845.08938230566</f>
        <v>-1398.5904967777656</v>
      </c>
      <c r="I2848" t="s">
        <v>56232</v>
      </c>
      <c r="J2848" t="s">
        <v>56233</v>
      </c>
      <c r="K2848" t="s">
        <v>56234</v>
      </c>
      <c r="L2848" t="s">
        <v>56235</v>
      </c>
      <c r="M2848" t="s">
        <v>56236</v>
      </c>
      <c r="N2848">
        <f>-554.588099757127 -28.9667964309972 -775.368131004448</f>
        <v>-1358.9230271925721</v>
      </c>
      <c r="O2848">
        <f>-535.284270890382 -169.987234258685 -738.391387277502</f>
        <v>-1443.662892426569</v>
      </c>
      <c r="P2848">
        <f>-534.082461389555 -184.31320949794 -422.196117971709</f>
        <v>-1140.5917888592039</v>
      </c>
      <c r="Q2848" t="s">
        <v>56237</v>
      </c>
      <c r="R2848" t="s">
        <v>56238</v>
      </c>
      <c r="S2848" t="s">
        <v>56239</v>
      </c>
      <c r="T2848" t="s">
        <v>56240</v>
      </c>
      <c r="U2848" t="s">
        <v>56241</v>
      </c>
      <c r="V2848">
        <f>-550.681004784996 -67.5468258013186 -241.154834875501</f>
        <v>-859.38266546181569</v>
      </c>
      <c r="W2848" t="s">
        <v>56242</v>
      </c>
      <c r="X2848" t="s">
        <v>56243</v>
      </c>
      <c r="Y2848" t="s">
        <v>56244</v>
      </c>
    </row>
    <row r="2849" spans="1:25" x14ac:dyDescent="0.3">
      <c r="A2849">
        <v>142400</v>
      </c>
      <c r="B2849" t="s">
        <v>56245</v>
      </c>
      <c r="C2849" t="s">
        <v>56246</v>
      </c>
      <c r="D2849" t="s">
        <v>56247</v>
      </c>
      <c r="E2849" t="s">
        <v>56248</v>
      </c>
      <c r="F2849" t="s">
        <v>56249</v>
      </c>
      <c r="G2849" t="s">
        <v>56250</v>
      </c>
      <c r="H2849">
        <f>-550.208657475521 -0.968017404363309 -845.735891991159</f>
        <v>-1396.9125668710433</v>
      </c>
      <c r="I2849" t="s">
        <v>56251</v>
      </c>
      <c r="J2849" t="s">
        <v>56252</v>
      </c>
      <c r="K2849" t="s">
        <v>56253</v>
      </c>
      <c r="L2849" t="s">
        <v>56254</v>
      </c>
      <c r="M2849" t="s">
        <v>56255</v>
      </c>
      <c r="N2849">
        <f>-554.58125323449 -27.0196919835762 -776.057232256267</f>
        <v>-1357.6581774743331</v>
      </c>
      <c r="O2849">
        <f>-537.08145991579 -168.304772991549 -739.241912923327</f>
        <v>-1444.6281458306662</v>
      </c>
      <c r="P2849">
        <f>-535.937715302047 -183.228712340205 -423.074002280923</f>
        <v>-1142.240429923175</v>
      </c>
      <c r="Q2849" t="s">
        <v>56256</v>
      </c>
      <c r="R2849" t="s">
        <v>56257</v>
      </c>
      <c r="S2849" t="s">
        <v>56258</v>
      </c>
      <c r="T2849" t="s">
        <v>56259</v>
      </c>
      <c r="U2849" t="s">
        <v>56260</v>
      </c>
      <c r="V2849">
        <f>-551.635471649415 -66.3136940947729 -241.695293059998</f>
        <v>-859.64445880418589</v>
      </c>
      <c r="W2849" t="s">
        <v>56261</v>
      </c>
      <c r="X2849" t="s">
        <v>56262</v>
      </c>
      <c r="Y2849" t="s">
        <v>56263</v>
      </c>
    </row>
    <row r="2850" spans="1:25" x14ac:dyDescent="0.3">
      <c r="A2850">
        <v>142450</v>
      </c>
      <c r="B2850" t="s">
        <v>56264</v>
      </c>
      <c r="C2850" t="s">
        <v>56265</v>
      </c>
      <c r="D2850" t="s">
        <v>56266</v>
      </c>
      <c r="E2850" t="s">
        <v>56267</v>
      </c>
      <c r="F2850" t="s">
        <v>56268</v>
      </c>
      <c r="G2850" t="s">
        <v>56269</v>
      </c>
      <c r="H2850" t="s">
        <v>56270</v>
      </c>
      <c r="I2850" t="s">
        <v>56271</v>
      </c>
      <c r="J2850" t="s">
        <v>56272</v>
      </c>
      <c r="K2850" t="s">
        <v>56273</v>
      </c>
      <c r="L2850" t="s">
        <v>56274</v>
      </c>
      <c r="M2850" t="s">
        <v>56275</v>
      </c>
      <c r="N2850">
        <f>-554.717768037313 -23.2778111047421 -777.275573731331</f>
        <v>-1355.2711528733862</v>
      </c>
      <c r="O2850">
        <f>-540.015293800302 -164.944089559174 -740.67954914268</f>
        <v>-1445.638932502156</v>
      </c>
      <c r="P2850">
        <f>-539.029984301167 -180.371307552662 -424.535235655878</f>
        <v>-1143.936527509707</v>
      </c>
      <c r="Q2850" t="s">
        <v>56276</v>
      </c>
      <c r="R2850" t="s">
        <v>56277</v>
      </c>
      <c r="S2850" t="s">
        <v>56278</v>
      </c>
      <c r="T2850" t="s">
        <v>56279</v>
      </c>
      <c r="U2850" t="s">
        <v>56280</v>
      </c>
      <c r="V2850">
        <f>-553.121484124539 -63.3737532505468 -242.712014617712</f>
        <v>-859.20725199279786</v>
      </c>
      <c r="W2850" t="s">
        <v>56281</v>
      </c>
      <c r="X2850" t="s">
        <v>56282</v>
      </c>
      <c r="Y2850" t="s">
        <v>56283</v>
      </c>
    </row>
    <row r="2851" spans="1:25" x14ac:dyDescent="0.3">
      <c r="A2851">
        <v>142500</v>
      </c>
      <c r="B2851" t="s">
        <v>56284</v>
      </c>
      <c r="C2851" t="s">
        <v>56285</v>
      </c>
      <c r="D2851" t="s">
        <v>56286</v>
      </c>
      <c r="E2851" t="s">
        <v>56287</v>
      </c>
      <c r="F2851" t="s">
        <v>56288</v>
      </c>
      <c r="G2851" t="s">
        <v>56289</v>
      </c>
      <c r="H2851" t="s">
        <v>56290</v>
      </c>
      <c r="I2851" t="s">
        <v>56291</v>
      </c>
      <c r="J2851" t="s">
        <v>56292</v>
      </c>
      <c r="K2851" t="s">
        <v>56293</v>
      </c>
      <c r="L2851" t="s">
        <v>56294</v>
      </c>
      <c r="M2851" t="s">
        <v>56295</v>
      </c>
      <c r="N2851">
        <f>-554.777826889582 -21.4568809318969 -777.814961002516</f>
        <v>-1354.049668823995</v>
      </c>
      <c r="O2851">
        <f>-541.089135797555 -163.256346896755 -741.340073873509</f>
        <v>-1445.6855565678188</v>
      </c>
      <c r="P2851">
        <f>-540.10090816079 -178.89915751474 -425.206482812854</f>
        <v>-1144.2065484883842</v>
      </c>
      <c r="Q2851" t="s">
        <v>56296</v>
      </c>
      <c r="R2851" t="s">
        <v>56297</v>
      </c>
      <c r="S2851" t="s">
        <v>56298</v>
      </c>
      <c r="T2851" t="s">
        <v>56299</v>
      </c>
      <c r="U2851" t="s">
        <v>56300</v>
      </c>
      <c r="V2851">
        <f>-553.718916436028 -61.8413953222509 -243.216049913199</f>
        <v>-858.77636167147796</v>
      </c>
      <c r="W2851" t="s">
        <v>56301</v>
      </c>
      <c r="X2851" t="s">
        <v>56302</v>
      </c>
      <c r="Y2851" t="s">
        <v>56303</v>
      </c>
    </row>
    <row r="2852" spans="1:25" x14ac:dyDescent="0.3">
      <c r="A2852">
        <v>142550</v>
      </c>
      <c r="B2852" t="s">
        <v>56304</v>
      </c>
      <c r="C2852" t="s">
        <v>56305</v>
      </c>
      <c r="D2852" t="s">
        <v>56306</v>
      </c>
      <c r="E2852" t="s">
        <v>56307</v>
      </c>
      <c r="F2852" t="s">
        <v>56308</v>
      </c>
      <c r="G2852" t="s">
        <v>56309</v>
      </c>
      <c r="H2852" t="s">
        <v>56310</v>
      </c>
      <c r="I2852" t="s">
        <v>56311</v>
      </c>
      <c r="J2852" t="s">
        <v>56312</v>
      </c>
      <c r="K2852" t="s">
        <v>56313</v>
      </c>
      <c r="L2852" t="s">
        <v>56314</v>
      </c>
      <c r="M2852" t="s">
        <v>56315</v>
      </c>
      <c r="N2852">
        <f>-554.770043667999 -17.6502104168201 -778.734595549881</f>
        <v>-1351.1548496347</v>
      </c>
      <c r="O2852">
        <f>-542.426122741159 -159.649771752003 -742.565580482851</f>
        <v>-1444.6414749760129</v>
      </c>
      <c r="P2852">
        <f>-541.757519684353 -175.798558509887 -426.45648614921</f>
        <v>-1144.0125643434501</v>
      </c>
      <c r="Q2852" t="s">
        <v>56316</v>
      </c>
      <c r="R2852" t="s">
        <v>56317</v>
      </c>
      <c r="S2852" t="s">
        <v>56318</v>
      </c>
      <c r="T2852" t="s">
        <v>56319</v>
      </c>
      <c r="U2852" t="s">
        <v>56320</v>
      </c>
      <c r="V2852">
        <f>-554.714102559527 -58.8409987806674 -244.144367321648</f>
        <v>-857.69946866184239</v>
      </c>
      <c r="W2852" t="s">
        <v>56321</v>
      </c>
      <c r="X2852" t="s">
        <v>56322</v>
      </c>
      <c r="Y2852" t="s">
        <v>56323</v>
      </c>
    </row>
    <row r="2853" spans="1:25" x14ac:dyDescent="0.3">
      <c r="A2853">
        <v>142600</v>
      </c>
      <c r="B2853" t="s">
        <v>56324</v>
      </c>
      <c r="C2853" t="s">
        <v>56325</v>
      </c>
      <c r="D2853" t="s">
        <v>56326</v>
      </c>
      <c r="E2853" t="s">
        <v>56327</v>
      </c>
      <c r="F2853" t="s">
        <v>56328</v>
      </c>
      <c r="G2853" t="s">
        <v>56329</v>
      </c>
      <c r="H2853" t="s">
        <v>56330</v>
      </c>
      <c r="I2853" t="s">
        <v>56331</v>
      </c>
      <c r="J2853" t="s">
        <v>56332</v>
      </c>
      <c r="K2853" t="s">
        <v>56333</v>
      </c>
      <c r="L2853" t="s">
        <v>56334</v>
      </c>
      <c r="M2853" t="s">
        <v>56335</v>
      </c>
      <c r="N2853">
        <f>-554.621929815428 -15.4856859724327 -779.181514459592</f>
        <v>-1349.2891302474527</v>
      </c>
      <c r="O2853">
        <f>-542.544093791121 -157.552785910642 -743.175905474217</f>
        <v>-1443.2727851759801</v>
      </c>
      <c r="P2853">
        <f>-542.169383992152 -173.977449397953 -427.080474493299</f>
        <v>-1143.2273078834041</v>
      </c>
      <c r="Q2853" t="s">
        <v>56336</v>
      </c>
      <c r="R2853" t="s">
        <v>56337</v>
      </c>
      <c r="S2853" t="s">
        <v>56338</v>
      </c>
      <c r="T2853" t="s">
        <v>56339</v>
      </c>
      <c r="U2853" t="s">
        <v>56340</v>
      </c>
      <c r="V2853">
        <f>-555.233015216757 -57.2632387853735 -244.597395312667</f>
        <v>-857.09364931479752</v>
      </c>
      <c r="W2853" t="s">
        <v>56341</v>
      </c>
      <c r="X2853" t="s">
        <v>56342</v>
      </c>
      <c r="Y2853" t="s">
        <v>56343</v>
      </c>
    </row>
    <row r="2854" spans="1:25" x14ac:dyDescent="0.3">
      <c r="A2854">
        <v>142650</v>
      </c>
      <c r="B2854" t="s">
        <v>56344</v>
      </c>
      <c r="C2854" t="s">
        <v>56345</v>
      </c>
      <c r="D2854" t="s">
        <v>56346</v>
      </c>
      <c r="E2854" t="s">
        <v>56347</v>
      </c>
      <c r="F2854" t="s">
        <v>56348</v>
      </c>
      <c r="G2854" t="s">
        <v>56349</v>
      </c>
      <c r="H2854" t="s">
        <v>56350</v>
      </c>
      <c r="I2854" t="s">
        <v>56351</v>
      </c>
      <c r="J2854" t="s">
        <v>56352</v>
      </c>
      <c r="K2854" t="s">
        <v>56353</v>
      </c>
      <c r="L2854" t="s">
        <v>56354</v>
      </c>
      <c r="M2854" t="s">
        <v>56355</v>
      </c>
      <c r="N2854">
        <f>-554.546046581117 -11.6750588087059 -779.919253811848</f>
        <v>-1346.1403592016709</v>
      </c>
      <c r="O2854">
        <f>-542.409819747537 -153.814791465733 -744.261883961831</f>
        <v>-1440.486495175101</v>
      </c>
      <c r="P2854">
        <f>-542.307816888236 -170.816401148345 -428.19684346775</f>
        <v>-1141.3210615043308</v>
      </c>
      <c r="Q2854" t="s">
        <v>56356</v>
      </c>
      <c r="R2854" t="s">
        <v>56357</v>
      </c>
      <c r="S2854" t="s">
        <v>56358</v>
      </c>
      <c r="T2854" t="s">
        <v>56359</v>
      </c>
      <c r="U2854" t="s">
        <v>56360</v>
      </c>
      <c r="V2854">
        <f>-556.082440072784 -54.1717893256484 -245.388977197189</f>
        <v>-855.64320659562145</v>
      </c>
      <c r="W2854" t="s">
        <v>56361</v>
      </c>
      <c r="X2854" t="s">
        <v>56362</v>
      </c>
      <c r="Y2854" t="s">
        <v>56363</v>
      </c>
    </row>
    <row r="2855" spans="1:25" x14ac:dyDescent="0.3">
      <c r="A2855">
        <v>142700</v>
      </c>
      <c r="B2855" t="s">
        <v>56364</v>
      </c>
      <c r="C2855" t="s">
        <v>56365</v>
      </c>
      <c r="D2855" t="s">
        <v>56366</v>
      </c>
      <c r="E2855" t="s">
        <v>56367</v>
      </c>
      <c r="F2855" t="s">
        <v>56368</v>
      </c>
      <c r="G2855" t="s">
        <v>56369</v>
      </c>
      <c r="H2855" t="s">
        <v>56370</v>
      </c>
      <c r="I2855" t="s">
        <v>56371</v>
      </c>
      <c r="J2855" t="s">
        <v>56372</v>
      </c>
      <c r="K2855" t="s">
        <v>56373</v>
      </c>
      <c r="L2855" t="s">
        <v>56374</v>
      </c>
      <c r="M2855" t="s">
        <v>56375</v>
      </c>
      <c r="N2855">
        <f>-554.440930411574 -10.2065113005051 -780.161231495365</f>
        <v>-1344.8086732074439</v>
      </c>
      <c r="O2855">
        <f>-542.063353253709 -152.345829328754 -744.588424007791</f>
        <v>-1438.997606590254</v>
      </c>
      <c r="P2855">
        <f>-541.870313374708 -169.584823421958 -428.536164321767</f>
        <v>-1139.9913011184331</v>
      </c>
      <c r="Q2855" t="s">
        <v>56376</v>
      </c>
      <c r="R2855" t="s">
        <v>56377</v>
      </c>
      <c r="S2855" t="s">
        <v>56378</v>
      </c>
      <c r="T2855" t="s">
        <v>56379</v>
      </c>
      <c r="U2855" t="s">
        <v>56380</v>
      </c>
      <c r="V2855">
        <f>-556.477206717638 -52.8161029063219 -245.690761207401</f>
        <v>-854.9840708313609</v>
      </c>
      <c r="W2855" t="s">
        <v>56381</v>
      </c>
      <c r="X2855" t="s">
        <v>56382</v>
      </c>
      <c r="Y2855" t="s">
        <v>56383</v>
      </c>
    </row>
    <row r="2856" spans="1:25" x14ac:dyDescent="0.3">
      <c r="A2856">
        <v>142750</v>
      </c>
      <c r="B2856" t="s">
        <v>56384</v>
      </c>
      <c r="C2856" t="s">
        <v>56385</v>
      </c>
      <c r="D2856" t="s">
        <v>56386</v>
      </c>
      <c r="E2856" t="s">
        <v>56387</v>
      </c>
      <c r="F2856" t="s">
        <v>56388</v>
      </c>
      <c r="G2856" t="s">
        <v>56389</v>
      </c>
      <c r="H2856" t="s">
        <v>56390</v>
      </c>
      <c r="I2856" t="s">
        <v>56391</v>
      </c>
      <c r="J2856" t="s">
        <v>56392</v>
      </c>
      <c r="K2856" t="s">
        <v>56393</v>
      </c>
      <c r="L2856" t="s">
        <v>56394</v>
      </c>
      <c r="M2856" t="s">
        <v>56395</v>
      </c>
      <c r="N2856">
        <f>-554.904189736686 -8.08484527919609 -780.511943822562</f>
        <v>-1343.5009788384441</v>
      </c>
      <c r="O2856">
        <f>-541.904747670829 -150.17922841531 -744.985910302903</f>
        <v>-1437.069886389042</v>
      </c>
      <c r="P2856">
        <f>-541.43531159077 -167.441153655836 -428.935295734507</f>
        <v>-1137.8117609811129</v>
      </c>
      <c r="Q2856" t="s">
        <v>56396</v>
      </c>
      <c r="R2856" t="s">
        <v>56397</v>
      </c>
      <c r="S2856" t="s">
        <v>56398</v>
      </c>
      <c r="T2856" t="s">
        <v>56399</v>
      </c>
      <c r="U2856" t="s">
        <v>56400</v>
      </c>
      <c r="V2856">
        <f>-557.017696519784 -50.6016875238613 -246.189244872608</f>
        <v>-853.80862891625327</v>
      </c>
      <c r="W2856" t="s">
        <v>56401</v>
      </c>
      <c r="X2856" t="s">
        <v>56402</v>
      </c>
      <c r="Y2856" t="s">
        <v>56403</v>
      </c>
    </row>
    <row r="2857" spans="1:25" x14ac:dyDescent="0.3">
      <c r="A2857">
        <v>142800</v>
      </c>
      <c r="B2857" t="s">
        <v>56404</v>
      </c>
      <c r="C2857" t="s">
        <v>56405</v>
      </c>
      <c r="D2857" t="s">
        <v>56406</v>
      </c>
      <c r="E2857" t="s">
        <v>56407</v>
      </c>
      <c r="F2857" t="s">
        <v>56408</v>
      </c>
      <c r="G2857" t="s">
        <v>56409</v>
      </c>
      <c r="H2857" t="s">
        <v>56410</v>
      </c>
      <c r="I2857" t="s">
        <v>56411</v>
      </c>
      <c r="J2857" t="s">
        <v>56412</v>
      </c>
      <c r="K2857" t="s">
        <v>56413</v>
      </c>
      <c r="L2857" t="s">
        <v>56414</v>
      </c>
      <c r="M2857" t="s">
        <v>56415</v>
      </c>
      <c r="N2857">
        <f>-555.302514877534 -7.37474863064404 -780.669308640687</f>
        <v>-1343.3465721488651</v>
      </c>
      <c r="O2857">
        <f>-541.960161438561 -149.431621430902 -745.107056178317</f>
        <v>-1436.4988390477799</v>
      </c>
      <c r="P2857">
        <f>-541.412140247421 -166.588756243998 -429.050871610759</f>
        <v>-1137.0517681021779</v>
      </c>
      <c r="Q2857" t="s">
        <v>56416</v>
      </c>
      <c r="R2857" t="s">
        <v>56417</v>
      </c>
      <c r="S2857" t="s">
        <v>56418</v>
      </c>
      <c r="T2857" t="s">
        <v>56419</v>
      </c>
      <c r="U2857" t="s">
        <v>56420</v>
      </c>
      <c r="V2857">
        <f>-557.190893779422 -49.7521334558669 -246.417138542075</f>
        <v>-853.36016577736393</v>
      </c>
      <c r="W2857" t="s">
        <v>56421</v>
      </c>
      <c r="X2857" t="s">
        <v>56422</v>
      </c>
      <c r="Y2857" t="s">
        <v>56423</v>
      </c>
    </row>
    <row r="2858" spans="1:25" x14ac:dyDescent="0.3">
      <c r="A2858">
        <v>142850</v>
      </c>
      <c r="B2858" t="s">
        <v>56424</v>
      </c>
      <c r="C2858" t="s">
        <v>56425</v>
      </c>
      <c r="D2858" t="s">
        <v>56426</v>
      </c>
      <c r="E2858" t="s">
        <v>56427</v>
      </c>
      <c r="F2858" t="s">
        <v>56428</v>
      </c>
      <c r="G2858" t="s">
        <v>56429</v>
      </c>
      <c r="H2858" t="s">
        <v>56430</v>
      </c>
      <c r="I2858" t="s">
        <v>56431</v>
      </c>
      <c r="J2858" t="s">
        <v>56432</v>
      </c>
      <c r="K2858" t="s">
        <v>56433</v>
      </c>
      <c r="L2858" t="s">
        <v>56434</v>
      </c>
      <c r="M2858" t="s">
        <v>56435</v>
      </c>
      <c r="N2858">
        <f>-555.982586118764 -6.05438739776628 -780.910533303884</f>
        <v>-1342.9475068204142</v>
      </c>
      <c r="O2858">
        <f>-542.013591843566 -148.028338095488 -745.245621855977</f>
        <v>-1435.287551795031</v>
      </c>
      <c r="P2858">
        <f>-541.367128821972 -165.068794916402 -429.183262978848</f>
        <v>-1135.619186717222</v>
      </c>
      <c r="Q2858" t="s">
        <v>56436</v>
      </c>
      <c r="R2858" t="s">
        <v>56437</v>
      </c>
      <c r="S2858" t="s">
        <v>56438</v>
      </c>
      <c r="T2858" t="s">
        <v>56439</v>
      </c>
      <c r="U2858" t="s">
        <v>56440</v>
      </c>
      <c r="V2858">
        <f>-557.672554318054 -48.3731532275474 -246.815299475138</f>
        <v>-852.86100702073941</v>
      </c>
      <c r="W2858" t="s">
        <v>56441</v>
      </c>
      <c r="X2858" t="s">
        <v>56442</v>
      </c>
      <c r="Y2858" t="s">
        <v>56443</v>
      </c>
    </row>
    <row r="2859" spans="1:25" x14ac:dyDescent="0.3">
      <c r="A2859">
        <v>142900</v>
      </c>
      <c r="B2859" t="s">
        <v>56444</v>
      </c>
      <c r="C2859" t="s">
        <v>56445</v>
      </c>
      <c r="D2859" t="s">
        <v>56446</v>
      </c>
      <c r="E2859" t="s">
        <v>56447</v>
      </c>
      <c r="F2859" t="s">
        <v>56448</v>
      </c>
      <c r="G2859" t="s">
        <v>56449</v>
      </c>
      <c r="H2859" t="s">
        <v>56450</v>
      </c>
      <c r="I2859" t="s">
        <v>56451</v>
      </c>
      <c r="J2859" t="s">
        <v>56452</v>
      </c>
      <c r="K2859" t="s">
        <v>56453</v>
      </c>
      <c r="L2859" t="s">
        <v>56454</v>
      </c>
      <c r="M2859" t="s">
        <v>56455</v>
      </c>
      <c r="N2859">
        <f>-556.628637219538 -5.59968742883666 -781.027960029241</f>
        <v>-1343.2562846776154</v>
      </c>
      <c r="O2859">
        <f>-542.394103515419 -147.539149766864 -745.340913297986</f>
        <v>-1435.2741665802691</v>
      </c>
      <c r="P2859">
        <f>-541.740982762521 -164.574596903874 -429.278298450126</f>
        <v>-1135.593878116521</v>
      </c>
      <c r="Q2859" t="s">
        <v>56456</v>
      </c>
      <c r="R2859" t="s">
        <v>56457</v>
      </c>
      <c r="S2859" t="s">
        <v>56458</v>
      </c>
      <c r="T2859" t="s">
        <v>56459</v>
      </c>
      <c r="U2859" t="s">
        <v>56460</v>
      </c>
      <c r="V2859">
        <f>-558.03499056202 -47.9571383732423 -246.988487401322</f>
        <v>-852.98061633658426</v>
      </c>
      <c r="W2859" t="s">
        <v>56461</v>
      </c>
      <c r="X2859" t="s">
        <v>56462</v>
      </c>
      <c r="Y2859" t="s">
        <v>56463</v>
      </c>
    </row>
    <row r="2860" spans="1:25" x14ac:dyDescent="0.3">
      <c r="A2860">
        <v>142950</v>
      </c>
      <c r="B2860" t="s">
        <v>56464</v>
      </c>
      <c r="C2860" t="s">
        <v>56465</v>
      </c>
      <c r="D2860" t="s">
        <v>56466</v>
      </c>
      <c r="E2860" t="s">
        <v>56467</v>
      </c>
      <c r="F2860" t="s">
        <v>56468</v>
      </c>
      <c r="G2860" t="s">
        <v>56469</v>
      </c>
      <c r="H2860" t="s">
        <v>56470</v>
      </c>
      <c r="I2860" t="s">
        <v>56471</v>
      </c>
      <c r="J2860" t="s">
        <v>56472</v>
      </c>
      <c r="K2860" t="s">
        <v>56473</v>
      </c>
      <c r="L2860" t="s">
        <v>56474</v>
      </c>
      <c r="M2860" t="s">
        <v>56475</v>
      </c>
      <c r="N2860">
        <f>-557.492756140045 -5.03881502893159 -781.194973805837</f>
        <v>-1343.7265449748136</v>
      </c>
      <c r="O2860">
        <f>-542.915210768971 -146.942767134173 -745.503552091942</f>
        <v>-1435.3615299950859</v>
      </c>
      <c r="P2860">
        <f>-542.181834751528 -163.937115060822 -429.438880188652</f>
        <v>-1135.557830001002</v>
      </c>
      <c r="Q2860" t="s">
        <v>56476</v>
      </c>
      <c r="R2860" t="s">
        <v>56477</v>
      </c>
      <c r="S2860" t="s">
        <v>56478</v>
      </c>
      <c r="T2860" t="s">
        <v>56479</v>
      </c>
      <c r="U2860" t="s">
        <v>56480</v>
      </c>
      <c r="V2860">
        <f>-558.830412197974 -47.6959795194466 -247.241243382502</f>
        <v>-853.7676350999227</v>
      </c>
      <c r="W2860" t="s">
        <v>56481</v>
      </c>
      <c r="X2860" t="s">
        <v>56482</v>
      </c>
      <c r="Y2860" t="s">
        <v>56483</v>
      </c>
    </row>
    <row r="2861" spans="1:25" x14ac:dyDescent="0.3">
      <c r="A2861">
        <v>143000</v>
      </c>
      <c r="B2861" t="s">
        <v>56484</v>
      </c>
      <c r="C2861" t="s">
        <v>56485</v>
      </c>
      <c r="D2861" t="s">
        <v>56486</v>
      </c>
      <c r="E2861" t="s">
        <v>56487</v>
      </c>
      <c r="F2861" t="s">
        <v>56488</v>
      </c>
      <c r="G2861" t="s">
        <v>56489</v>
      </c>
      <c r="H2861" t="s">
        <v>56490</v>
      </c>
      <c r="I2861" t="s">
        <v>56491</v>
      </c>
      <c r="J2861" t="s">
        <v>56492</v>
      </c>
      <c r="K2861" t="s">
        <v>56493</v>
      </c>
      <c r="L2861" t="s">
        <v>56494</v>
      </c>
      <c r="M2861" t="s">
        <v>56495</v>
      </c>
      <c r="N2861">
        <f>-557.238927738941 -4.92772200088416 -781.169412152713</f>
        <v>-1343.3360618925381</v>
      </c>
      <c r="O2861">
        <f>-542.456901829599 -146.795565552269 -745.428103115657</f>
        <v>-1434.680570497525</v>
      </c>
      <c r="P2861">
        <f>-541.676824629564 -163.918143163248 -429.370485379124</f>
        <v>-1134.9654531719359</v>
      </c>
      <c r="Q2861" t="s">
        <v>56496</v>
      </c>
      <c r="R2861" t="s">
        <v>56497</v>
      </c>
      <c r="S2861" t="s">
        <v>56498</v>
      </c>
      <c r="T2861" t="s">
        <v>56499</v>
      </c>
      <c r="U2861" t="s">
        <v>56500</v>
      </c>
      <c r="V2861">
        <f>-559.09314714639 -47.8546951029775 -247.316036428134</f>
        <v>-854.26387867750157</v>
      </c>
      <c r="W2861" t="s">
        <v>56501</v>
      </c>
      <c r="X2861" t="s">
        <v>56502</v>
      </c>
      <c r="Y2861" t="s">
        <v>56503</v>
      </c>
    </row>
    <row r="2862" spans="1:25" x14ac:dyDescent="0.3">
      <c r="A2862">
        <v>143050</v>
      </c>
      <c r="B2862" t="s">
        <v>56504</v>
      </c>
      <c r="C2862" t="s">
        <v>56505</v>
      </c>
      <c r="D2862" t="s">
        <v>56506</v>
      </c>
      <c r="E2862" t="s">
        <v>56507</v>
      </c>
      <c r="F2862" t="s">
        <v>56508</v>
      </c>
      <c r="G2862" t="s">
        <v>56509</v>
      </c>
      <c r="H2862" t="s">
        <v>56510</v>
      </c>
      <c r="I2862" t="s">
        <v>56511</v>
      </c>
      <c r="J2862" t="s">
        <v>56512</v>
      </c>
      <c r="K2862" t="s">
        <v>56513</v>
      </c>
      <c r="L2862" t="s">
        <v>56514</v>
      </c>
      <c r="M2862" t="s">
        <v>56515</v>
      </c>
      <c r="N2862">
        <f>-557.697020431666 -5.19248901783362 -781.015230422636</f>
        <v>-1343.9047398721357</v>
      </c>
      <c r="O2862">
        <f>-542.41059465476 -147.026528110101 -745.344176419708</f>
        <v>-1434.781299184569</v>
      </c>
      <c r="P2862">
        <f>-542.067026376772 -164.545444799657 -429.307570584405</f>
        <v>-1135.920041760834</v>
      </c>
      <c r="Q2862" t="s">
        <v>56516</v>
      </c>
      <c r="R2862" t="s">
        <v>56517</v>
      </c>
      <c r="S2862" t="s">
        <v>56518</v>
      </c>
      <c r="T2862" t="s">
        <v>56519</v>
      </c>
      <c r="U2862" t="s">
        <v>56520</v>
      </c>
      <c r="V2862">
        <f>-559.638100408274 -48.7391235149187 -247.401494518496</f>
        <v>-855.77871844168862</v>
      </c>
      <c r="W2862" t="s">
        <v>56521</v>
      </c>
      <c r="X2862" t="s">
        <v>56522</v>
      </c>
      <c r="Y2862" t="s">
        <v>56523</v>
      </c>
    </row>
    <row r="2863" spans="1:25" x14ac:dyDescent="0.3">
      <c r="A2863">
        <v>143100</v>
      </c>
      <c r="B2863" t="s">
        <v>56524</v>
      </c>
      <c r="C2863" t="s">
        <v>56525</v>
      </c>
      <c r="D2863" t="s">
        <v>56526</v>
      </c>
      <c r="E2863" t="s">
        <v>56527</v>
      </c>
      <c r="F2863" t="s">
        <v>56528</v>
      </c>
      <c r="G2863" t="s">
        <v>56529</v>
      </c>
      <c r="H2863" t="s">
        <v>56530</v>
      </c>
      <c r="I2863" t="s">
        <v>56531</v>
      </c>
      <c r="J2863" t="s">
        <v>56532</v>
      </c>
      <c r="K2863" t="s">
        <v>56533</v>
      </c>
      <c r="L2863" t="s">
        <v>56534</v>
      </c>
      <c r="M2863" t="s">
        <v>56535</v>
      </c>
      <c r="N2863">
        <f>-557.846836295596 -5.46384976763807 -780.942524753524</f>
        <v>-1344.2532108167579</v>
      </c>
      <c r="O2863">
        <f>-542.223647107622 -147.270200699619 -745.298209223373</f>
        <v>-1434.7920570306142</v>
      </c>
      <c r="P2863">
        <f>-542.070620583325 -165.111598670351 -429.279328733632</f>
        <v>-1136.461547987308</v>
      </c>
      <c r="Q2863" t="s">
        <v>56536</v>
      </c>
      <c r="R2863" t="s">
        <v>56537</v>
      </c>
      <c r="S2863" t="s">
        <v>56538</v>
      </c>
      <c r="T2863" t="s">
        <v>56539</v>
      </c>
      <c r="U2863" t="s">
        <v>56540</v>
      </c>
      <c r="V2863">
        <f>-559.876018977144 -49.3851354552678 -247.43947850654</f>
        <v>-856.7006329389518</v>
      </c>
      <c r="W2863" t="s">
        <v>56541</v>
      </c>
      <c r="X2863" t="s">
        <v>56542</v>
      </c>
      <c r="Y2863" t="s">
        <v>56543</v>
      </c>
    </row>
    <row r="2864" spans="1:25" x14ac:dyDescent="0.3">
      <c r="A2864">
        <v>143150</v>
      </c>
      <c r="B2864" t="s">
        <v>56544</v>
      </c>
      <c r="C2864" t="s">
        <v>56545</v>
      </c>
      <c r="D2864" t="s">
        <v>56546</v>
      </c>
      <c r="E2864" t="s">
        <v>56547</v>
      </c>
      <c r="F2864" t="s">
        <v>56548</v>
      </c>
      <c r="G2864" t="s">
        <v>56549</v>
      </c>
      <c r="H2864" t="s">
        <v>56550</v>
      </c>
      <c r="I2864" t="s">
        <v>56551</v>
      </c>
      <c r="J2864" t="s">
        <v>56552</v>
      </c>
      <c r="K2864" t="s">
        <v>56553</v>
      </c>
      <c r="L2864" t="s">
        <v>56554</v>
      </c>
      <c r="M2864" t="s">
        <v>56555</v>
      </c>
      <c r="N2864">
        <f>-557.625404535106 -6.21725475916901 -780.621529706717</f>
        <v>-1344.4641890009921</v>
      </c>
      <c r="O2864">
        <f>-541.013326024258 -147.929526368403 -745.06415937902</f>
        <v>-1434.0070117716809</v>
      </c>
      <c r="P2864">
        <f>-541.688965362996 -166.202101285145 -429.070675465635</f>
        <v>-1136.9617421137759</v>
      </c>
      <c r="Q2864" t="s">
        <v>56556</v>
      </c>
      <c r="R2864" t="s">
        <v>56557</v>
      </c>
      <c r="S2864" t="s">
        <v>56558</v>
      </c>
      <c r="T2864" t="s">
        <v>56559</v>
      </c>
      <c r="U2864" t="s">
        <v>56560</v>
      </c>
      <c r="V2864">
        <f>-560.299575226015 -50.8442535473803 -247.349593596385</f>
        <v>-858.49342236978032</v>
      </c>
      <c r="W2864" t="s">
        <v>56561</v>
      </c>
      <c r="X2864" t="s">
        <v>56562</v>
      </c>
      <c r="Y2864" t="s">
        <v>56563</v>
      </c>
    </row>
    <row r="2865" spans="1:25" x14ac:dyDescent="0.3">
      <c r="A2865">
        <v>143200</v>
      </c>
      <c r="B2865" t="s">
        <v>56564</v>
      </c>
      <c r="C2865" t="s">
        <v>56565</v>
      </c>
      <c r="D2865" t="s">
        <v>56566</v>
      </c>
      <c r="E2865" t="s">
        <v>56567</v>
      </c>
      <c r="F2865" t="s">
        <v>56568</v>
      </c>
      <c r="G2865" t="s">
        <v>56569</v>
      </c>
      <c r="H2865" t="s">
        <v>56570</v>
      </c>
      <c r="I2865" t="s">
        <v>56571</v>
      </c>
      <c r="J2865" t="s">
        <v>56572</v>
      </c>
      <c r="K2865" t="s">
        <v>56573</v>
      </c>
      <c r="L2865" t="s">
        <v>56574</v>
      </c>
      <c r="M2865" t="s">
        <v>56575</v>
      </c>
      <c r="N2865">
        <f>-557.410593555844 -6.78938939412888 -780.378770304936</f>
        <v>-1344.5787532549089</v>
      </c>
      <c r="O2865">
        <f>-540.213745754877 -148.428200709774 -744.80831623822</f>
        <v>-1433.450262702871</v>
      </c>
      <c r="P2865">
        <f>-541.278066563524 -166.883824145077 -428.826472234629</f>
        <v>-1136.9883629432302</v>
      </c>
      <c r="Q2865" t="s">
        <v>56576</v>
      </c>
      <c r="R2865" t="s">
        <v>56577</v>
      </c>
      <c r="S2865" t="s">
        <v>56578</v>
      </c>
      <c r="T2865" t="s">
        <v>56579</v>
      </c>
      <c r="U2865" t="s">
        <v>56580</v>
      </c>
      <c r="V2865">
        <f>-560.445502982363 -51.6637809330791 -247.24018304825</f>
        <v>-859.34946696369207</v>
      </c>
      <c r="W2865" t="s">
        <v>56581</v>
      </c>
      <c r="X2865" t="s">
        <v>56582</v>
      </c>
      <c r="Y2865" t="s">
        <v>56583</v>
      </c>
    </row>
    <row r="2866" spans="1:25" x14ac:dyDescent="0.3">
      <c r="A2866">
        <v>143250</v>
      </c>
      <c r="B2866" t="s">
        <v>56584</v>
      </c>
      <c r="C2866" t="s">
        <v>56585</v>
      </c>
      <c r="D2866" t="s">
        <v>56586</v>
      </c>
      <c r="E2866" t="s">
        <v>56587</v>
      </c>
      <c r="F2866" t="s">
        <v>56588</v>
      </c>
      <c r="G2866" t="s">
        <v>56589</v>
      </c>
      <c r="H2866" t="s">
        <v>56590</v>
      </c>
      <c r="I2866" t="s">
        <v>56591</v>
      </c>
      <c r="J2866" t="s">
        <v>56592</v>
      </c>
      <c r="K2866" t="s">
        <v>56593</v>
      </c>
      <c r="L2866" t="s">
        <v>56594</v>
      </c>
      <c r="M2866" t="s">
        <v>56595</v>
      </c>
      <c r="N2866">
        <f>-556.987288319933 -8.60374477338473 -779.753758253672</f>
        <v>-1345.3447913469897</v>
      </c>
      <c r="O2866">
        <f>-538.486711555257 -150.021692243974 -743.976815779454</f>
        <v>-1432.485219578685</v>
      </c>
      <c r="P2866">
        <f>-540.221009635181 -168.411283083469 -427.994310451527</f>
        <v>-1136.6266031701771</v>
      </c>
      <c r="Q2866" t="s">
        <v>56596</v>
      </c>
      <c r="R2866" t="s">
        <v>56597</v>
      </c>
      <c r="S2866" t="s">
        <v>56598</v>
      </c>
      <c r="T2866" t="s">
        <v>56599</v>
      </c>
      <c r="U2866" t="s">
        <v>56600</v>
      </c>
      <c r="V2866">
        <f>-560.768023019533 -53.5848695512148 -246.907963049091</f>
        <v>-861.26085561983871</v>
      </c>
      <c r="W2866" t="s">
        <v>56601</v>
      </c>
      <c r="X2866" t="s">
        <v>56602</v>
      </c>
      <c r="Y2866" t="s">
        <v>56603</v>
      </c>
    </row>
    <row r="2867" spans="1:25" x14ac:dyDescent="0.3">
      <c r="A2867">
        <v>143300</v>
      </c>
      <c r="B2867" t="s">
        <v>56604</v>
      </c>
      <c r="C2867" t="s">
        <v>56605</v>
      </c>
      <c r="D2867" t="s">
        <v>56606</v>
      </c>
      <c r="E2867" t="s">
        <v>56607</v>
      </c>
      <c r="F2867" t="s">
        <v>56608</v>
      </c>
      <c r="G2867" t="s">
        <v>56609</v>
      </c>
      <c r="H2867" t="s">
        <v>56610</v>
      </c>
      <c r="I2867" t="s">
        <v>56611</v>
      </c>
      <c r="J2867" t="s">
        <v>56612</v>
      </c>
      <c r="K2867" t="s">
        <v>56613</v>
      </c>
      <c r="L2867" t="s">
        <v>56614</v>
      </c>
      <c r="M2867" t="s">
        <v>56615</v>
      </c>
      <c r="N2867">
        <f>-556.877316965717 -9.63525061685482 -779.372840441832</f>
        <v>-1345.8854080244037</v>
      </c>
      <c r="O2867">
        <f>-537.695669275703 -150.945104606433 -743.458001415031</f>
        <v>-1432.0987752971671</v>
      </c>
      <c r="P2867">
        <f>-539.632390028371 -169.104274174165 -427.463296086767</f>
        <v>-1136.1999602893029</v>
      </c>
      <c r="Q2867" t="s">
        <v>56616</v>
      </c>
      <c r="R2867" t="s">
        <v>56617</v>
      </c>
      <c r="S2867" t="s">
        <v>56618</v>
      </c>
      <c r="T2867" t="s">
        <v>56619</v>
      </c>
      <c r="U2867" t="s">
        <v>56620</v>
      </c>
      <c r="V2867">
        <f>-560.950405773321 -54.6608536097435 -246.703047565548</f>
        <v>-862.31430694861251</v>
      </c>
      <c r="W2867" t="s">
        <v>56621</v>
      </c>
      <c r="X2867" t="s">
        <v>56622</v>
      </c>
      <c r="Y2867" t="s">
        <v>56623</v>
      </c>
    </row>
    <row r="2868" spans="1:25" x14ac:dyDescent="0.3">
      <c r="A2868">
        <v>143350</v>
      </c>
      <c r="B2868" t="s">
        <v>56624</v>
      </c>
      <c r="C2868" t="s">
        <v>56625</v>
      </c>
      <c r="D2868" t="s">
        <v>56626</v>
      </c>
      <c r="E2868" t="s">
        <v>56627</v>
      </c>
      <c r="F2868" t="s">
        <v>56628</v>
      </c>
      <c r="G2868" t="s">
        <v>56629</v>
      </c>
      <c r="H2868" t="s">
        <v>56630</v>
      </c>
      <c r="I2868" t="s">
        <v>56631</v>
      </c>
      <c r="J2868" t="s">
        <v>56632</v>
      </c>
      <c r="K2868" t="s">
        <v>56633</v>
      </c>
      <c r="L2868" t="s">
        <v>56634</v>
      </c>
      <c r="M2868" t="s">
        <v>56635</v>
      </c>
      <c r="N2868">
        <f>-557.156911890982 -12.0430453997431 -778.568027457241</f>
        <v>-1347.767984747966</v>
      </c>
      <c r="O2868">
        <f>-536.611121278041 -153.058443953573 -742.325371881522</f>
        <v>-1431.9949371131361</v>
      </c>
      <c r="P2868">
        <f>-538.652855060848 -170.686732980362 -426.301225675284</f>
        <v>-1135.640813716494</v>
      </c>
      <c r="Q2868" t="s">
        <v>56636</v>
      </c>
      <c r="R2868" t="s">
        <v>56637</v>
      </c>
      <c r="S2868" t="s">
        <v>56638</v>
      </c>
      <c r="T2868" t="s">
        <v>56639</v>
      </c>
      <c r="U2868" t="s">
        <v>56640</v>
      </c>
      <c r="V2868">
        <f>-561.590233265986 -56.9664525124749 -246.237091379113</f>
        <v>-864.79377715757391</v>
      </c>
      <c r="W2868" t="s">
        <v>56641</v>
      </c>
      <c r="X2868" t="s">
        <v>56642</v>
      </c>
      <c r="Y2868" t="s">
        <v>56643</v>
      </c>
    </row>
    <row r="2869" spans="1:25" x14ac:dyDescent="0.3">
      <c r="A2869">
        <v>143400</v>
      </c>
      <c r="B2869" t="s">
        <v>56644</v>
      </c>
      <c r="C2869" t="s">
        <v>56645</v>
      </c>
      <c r="D2869" t="s">
        <v>56646</v>
      </c>
      <c r="E2869" t="s">
        <v>56647</v>
      </c>
      <c r="F2869" t="s">
        <v>56648</v>
      </c>
      <c r="G2869" t="s">
        <v>56649</v>
      </c>
      <c r="H2869" t="s">
        <v>56650</v>
      </c>
      <c r="I2869" t="s">
        <v>56651</v>
      </c>
      <c r="J2869" t="s">
        <v>56652</v>
      </c>
      <c r="K2869" t="s">
        <v>56653</v>
      </c>
      <c r="L2869" t="s">
        <v>56654</v>
      </c>
      <c r="M2869" t="s">
        <v>56655</v>
      </c>
      <c r="N2869">
        <f>-557.282842557123 -13.41060985388 -778.108839045899</f>
        <v>-1348.8022914569019</v>
      </c>
      <c r="O2869">
        <f>-536.096637196633 -154.284518647293 -741.632502444022</f>
        <v>-1432.0136582879479</v>
      </c>
      <c r="P2869">
        <f>-538.359126925731 -171.605985540336 -425.592982219267</f>
        <v>-1135.558094685334</v>
      </c>
      <c r="Q2869" t="s">
        <v>56656</v>
      </c>
      <c r="R2869" t="s">
        <v>56657</v>
      </c>
      <c r="S2869" t="s">
        <v>56658</v>
      </c>
      <c r="T2869" t="s">
        <v>56659</v>
      </c>
      <c r="U2869" t="s">
        <v>56660</v>
      </c>
      <c r="V2869">
        <f>-562.068829124641 -58.0207698811007 -246.001705791464</f>
        <v>-866.09130479720568</v>
      </c>
      <c r="W2869" t="s">
        <v>56661</v>
      </c>
      <c r="X2869" t="s">
        <v>56662</v>
      </c>
      <c r="Y2869" t="s">
        <v>56663</v>
      </c>
    </row>
    <row r="2870" spans="1:25" x14ac:dyDescent="0.3">
      <c r="A2870">
        <v>143450</v>
      </c>
      <c r="B2870" t="s">
        <v>56664</v>
      </c>
      <c r="C2870" t="s">
        <v>56665</v>
      </c>
      <c r="D2870" t="s">
        <v>56666</v>
      </c>
      <c r="E2870" t="s">
        <v>56667</v>
      </c>
      <c r="F2870" t="s">
        <v>56668</v>
      </c>
      <c r="G2870" t="s">
        <v>56669</v>
      </c>
      <c r="H2870" t="s">
        <v>56670</v>
      </c>
      <c r="I2870" t="s">
        <v>56671</v>
      </c>
      <c r="J2870" t="s">
        <v>56672</v>
      </c>
      <c r="K2870" t="s">
        <v>56673</v>
      </c>
      <c r="L2870" t="s">
        <v>56674</v>
      </c>
      <c r="M2870" t="s">
        <v>56675</v>
      </c>
      <c r="N2870">
        <f>-557.787799042571 -14.8016166166383 -777.644386935828</f>
        <v>-1350.2338025950373</v>
      </c>
      <c r="O2870">
        <f>-536.047493117056 -155.496842805902 -740.766950127669</f>
        <v>-1432.3112860506271</v>
      </c>
      <c r="P2870">
        <f>-538.394800226144 -172.370896301547 -424.703743601152</f>
        <v>-1135.469440128843</v>
      </c>
      <c r="Q2870" t="s">
        <v>56676</v>
      </c>
      <c r="R2870" t="s">
        <v>56677</v>
      </c>
      <c r="S2870" t="s">
        <v>56678</v>
      </c>
      <c r="T2870" t="s">
        <v>56679</v>
      </c>
      <c r="U2870" t="s">
        <v>56680</v>
      </c>
      <c r="V2870">
        <f>-562.834213774777 -58.9909162640806 -245.781201768875</f>
        <v>-867.60633180773266</v>
      </c>
      <c r="W2870" t="s">
        <v>56681</v>
      </c>
      <c r="X2870" t="s">
        <v>56682</v>
      </c>
      <c r="Y2870" t="s">
        <v>56683</v>
      </c>
    </row>
    <row r="2871" spans="1:25" x14ac:dyDescent="0.3">
      <c r="A2871">
        <v>143500</v>
      </c>
      <c r="B2871" t="s">
        <v>56664</v>
      </c>
      <c r="C2871" t="s">
        <v>56665</v>
      </c>
      <c r="D2871" t="s">
        <v>56666</v>
      </c>
      <c r="E2871" t="s">
        <v>56667</v>
      </c>
      <c r="F2871" t="s">
        <v>56668</v>
      </c>
      <c r="G2871" t="s">
        <v>56669</v>
      </c>
      <c r="H2871" t="s">
        <v>56670</v>
      </c>
      <c r="I2871" t="s">
        <v>56671</v>
      </c>
      <c r="J2871" t="s">
        <v>56672</v>
      </c>
      <c r="K2871" t="s">
        <v>56673</v>
      </c>
      <c r="L2871" t="s">
        <v>56674</v>
      </c>
      <c r="M2871" t="s">
        <v>56675</v>
      </c>
      <c r="N2871">
        <f>-557.787799042571 -14.8016166166383 -777.644386935828</f>
        <v>-1350.2338025950373</v>
      </c>
      <c r="O2871">
        <f>-536.047493117056 -155.496842805902 -740.766950127669</f>
        <v>-1432.3112860506271</v>
      </c>
      <c r="P2871">
        <f>-538.394800226144 -172.370896301547 -424.703743601152</f>
        <v>-1135.469440128843</v>
      </c>
      <c r="Q2871" t="s">
        <v>56676</v>
      </c>
      <c r="R2871" t="s">
        <v>56677</v>
      </c>
      <c r="S2871" t="s">
        <v>56678</v>
      </c>
      <c r="T2871" t="s">
        <v>56679</v>
      </c>
      <c r="U2871" t="s">
        <v>56680</v>
      </c>
      <c r="V2871">
        <f>-562.834213774777 -58.9909162640806 -245.781201768875</f>
        <v>-867.60633180773266</v>
      </c>
      <c r="W2871" t="s">
        <v>56681</v>
      </c>
      <c r="X2871" t="s">
        <v>56682</v>
      </c>
      <c r="Y2871" t="s">
        <v>56683</v>
      </c>
    </row>
    <row r="2872" spans="1:25" x14ac:dyDescent="0.3">
      <c r="A2872">
        <v>143550</v>
      </c>
      <c r="B2872" t="s">
        <v>56684</v>
      </c>
      <c r="C2872" t="s">
        <v>56685</v>
      </c>
      <c r="D2872" t="s">
        <v>56686</v>
      </c>
      <c r="E2872" t="s">
        <v>56687</v>
      </c>
      <c r="F2872" t="s">
        <v>56688</v>
      </c>
      <c r="G2872" t="s">
        <v>56689</v>
      </c>
      <c r="H2872" t="s">
        <v>56690</v>
      </c>
      <c r="I2872" t="s">
        <v>56691</v>
      </c>
      <c r="J2872" t="s">
        <v>56692</v>
      </c>
      <c r="K2872" t="s">
        <v>56693</v>
      </c>
      <c r="L2872" t="s">
        <v>56694</v>
      </c>
      <c r="M2872" t="s">
        <v>56695</v>
      </c>
      <c r="N2872">
        <f>-561.071305825855 -20.298887907167 -771.727835135385</f>
        <v>-1353.098028868407</v>
      </c>
      <c r="O2872">
        <f>-536.747990266047 -159.548117434685 -731.182474430021</f>
        <v>-1427.478582130753</v>
      </c>
      <c r="P2872">
        <f>-543.395069990707 -170.004829139117 -414.903070588641</f>
        <v>-1128.302969718465</v>
      </c>
      <c r="Q2872" t="s">
        <v>56696</v>
      </c>
      <c r="R2872" t="s">
        <v>56697</v>
      </c>
      <c r="S2872" t="s">
        <v>56698</v>
      </c>
      <c r="T2872" t="s">
        <v>56699</v>
      </c>
      <c r="U2872" t="s">
        <v>56700</v>
      </c>
      <c r="V2872">
        <f>-569.368600296965 -57.5637627781412 -240.828391391154</f>
        <v>-867.76075446626021</v>
      </c>
      <c r="W2872" t="s">
        <v>56701</v>
      </c>
      <c r="X2872" t="s">
        <v>56702</v>
      </c>
      <c r="Y2872" t="s">
        <v>56703</v>
      </c>
    </row>
    <row r="2873" spans="1:25" x14ac:dyDescent="0.3">
      <c r="A2873">
        <v>143600</v>
      </c>
      <c r="B2873" t="s">
        <v>56704</v>
      </c>
      <c r="C2873" t="s">
        <v>56705</v>
      </c>
      <c r="D2873" t="s">
        <v>56706</v>
      </c>
      <c r="E2873" t="s">
        <v>56707</v>
      </c>
      <c r="F2873" t="s">
        <v>56708</v>
      </c>
      <c r="G2873" t="s">
        <v>56709</v>
      </c>
      <c r="H2873" t="s">
        <v>56710</v>
      </c>
      <c r="I2873" t="s">
        <v>56711</v>
      </c>
      <c r="J2873" t="s">
        <v>56712</v>
      </c>
      <c r="K2873" t="s">
        <v>56713</v>
      </c>
      <c r="L2873" t="s">
        <v>56714</v>
      </c>
      <c r="M2873" t="s">
        <v>56715</v>
      </c>
      <c r="N2873">
        <f>-564.543251882521 -18.7973423199662 -769.590407124612</f>
        <v>-1352.9310013270992</v>
      </c>
      <c r="O2873">
        <f>-539.499147676462 -157.407687516557 -727.381768512716</f>
        <v>-1424.2886037057351</v>
      </c>
      <c r="P2873">
        <f>-548.179196700522 -164.70239183662 -411.062823507029</f>
        <v>-1123.944412044171</v>
      </c>
      <c r="Q2873" t="s">
        <v>56716</v>
      </c>
      <c r="R2873" t="s">
        <v>56717</v>
      </c>
      <c r="S2873" t="s">
        <v>56718</v>
      </c>
      <c r="T2873" t="s">
        <v>56719</v>
      </c>
      <c r="U2873" t="s">
        <v>56720</v>
      </c>
      <c r="V2873">
        <f>-572.905503856966 -53.5640610192006 -239.273714097008</f>
        <v>-865.7432789731746</v>
      </c>
      <c r="W2873" t="s">
        <v>56721</v>
      </c>
      <c r="X2873" t="s">
        <v>56722</v>
      </c>
      <c r="Y2873" t="s">
        <v>56723</v>
      </c>
    </row>
    <row r="2874" spans="1:25" x14ac:dyDescent="0.3">
      <c r="A2874">
        <v>143650</v>
      </c>
      <c r="B2874" t="s">
        <v>56724</v>
      </c>
      <c r="C2874" t="s">
        <v>56725</v>
      </c>
      <c r="D2874" t="s">
        <v>56726</v>
      </c>
      <c r="E2874" t="s">
        <v>56727</v>
      </c>
      <c r="F2874" t="s">
        <v>56728</v>
      </c>
      <c r="G2874" t="s">
        <v>56729</v>
      </c>
      <c r="H2874" t="s">
        <v>56730</v>
      </c>
      <c r="I2874" t="s">
        <v>56731</v>
      </c>
      <c r="J2874" t="s">
        <v>56732</v>
      </c>
      <c r="K2874" t="s">
        <v>56733</v>
      </c>
      <c r="L2874" t="s">
        <v>56734</v>
      </c>
      <c r="M2874" t="s">
        <v>56735</v>
      </c>
      <c r="N2874">
        <f>-570.241708251294 -21.360715458912 -766.37131639353</f>
        <v>-1357.973740103736</v>
      </c>
      <c r="O2874">
        <f>-544.075016709238 -158.48022871831 -720.208519276817</f>
        <v>-1422.763764704365</v>
      </c>
      <c r="P2874">
        <f>-557.396549747479 -158.138097929572 -403.967214472834</f>
        <v>-1119.501862149885</v>
      </c>
      <c r="Q2874" t="s">
        <v>56736</v>
      </c>
      <c r="R2874" t="s">
        <v>56737</v>
      </c>
      <c r="S2874" t="s">
        <v>56738</v>
      </c>
      <c r="T2874" t="s">
        <v>56739</v>
      </c>
      <c r="U2874" t="s">
        <v>56740</v>
      </c>
      <c r="V2874">
        <f>-579.353888123699 -45.2856082805993 -237.671784106623</f>
        <v>-862.31128051092128</v>
      </c>
      <c r="W2874" t="s">
        <v>56741</v>
      </c>
      <c r="X2874" t="s">
        <v>56742</v>
      </c>
      <c r="Y2874" t="s">
        <v>56743</v>
      </c>
    </row>
    <row r="2875" spans="1:25" x14ac:dyDescent="0.3">
      <c r="A2875">
        <v>143700</v>
      </c>
      <c r="B2875" t="s">
        <v>56744</v>
      </c>
      <c r="C2875" t="s">
        <v>56745</v>
      </c>
      <c r="D2875" t="s">
        <v>56746</v>
      </c>
      <c r="E2875" t="s">
        <v>56747</v>
      </c>
      <c r="F2875" t="s">
        <v>56748</v>
      </c>
      <c r="G2875" t="s">
        <v>56749</v>
      </c>
      <c r="H2875">
        <f>-564.888894548357 -2.24512995396231 -836.097685153683</f>
        <v>-1403.2317096560023</v>
      </c>
      <c r="I2875" t="s">
        <v>56750</v>
      </c>
      <c r="J2875" t="s">
        <v>56751</v>
      </c>
      <c r="K2875" t="s">
        <v>56752</v>
      </c>
      <c r="L2875" t="s">
        <v>56753</v>
      </c>
      <c r="M2875" t="s">
        <v>56754</v>
      </c>
      <c r="N2875">
        <f>-572.42660728284 -23.62255568674 -765.110922370854</f>
        <v>-1361.1600853404341</v>
      </c>
      <c r="O2875">
        <f>-545.99559632491 -160.008240276009 -716.914812541631</f>
        <v>-1422.9186491425501</v>
      </c>
      <c r="P2875">
        <f>-561.650825723381 -155.705169459945 -400.809495052172</f>
        <v>-1118.1654902354981</v>
      </c>
      <c r="Q2875" t="s">
        <v>56755</v>
      </c>
      <c r="R2875" t="s">
        <v>56756</v>
      </c>
      <c r="S2875" t="s">
        <v>56757</v>
      </c>
      <c r="T2875" t="s">
        <v>56758</v>
      </c>
      <c r="U2875" t="s">
        <v>56759</v>
      </c>
      <c r="V2875">
        <f>-582.009759297813 -41.1492530286664 -237.295577015095</f>
        <v>-860.45458934157443</v>
      </c>
      <c r="W2875" t="s">
        <v>56760</v>
      </c>
      <c r="X2875" t="s">
        <v>56761</v>
      </c>
      <c r="Y2875" t="s">
        <v>56762</v>
      </c>
    </row>
    <row r="2876" spans="1:25" x14ac:dyDescent="0.3">
      <c r="A2876">
        <v>143750</v>
      </c>
      <c r="B2876" t="s">
        <v>56763</v>
      </c>
      <c r="C2876" t="s">
        <v>56764</v>
      </c>
      <c r="D2876" t="s">
        <v>56765</v>
      </c>
      <c r="E2876" t="s">
        <v>56766</v>
      </c>
      <c r="F2876" t="s">
        <v>56767</v>
      </c>
      <c r="G2876" t="s">
        <v>56768</v>
      </c>
      <c r="H2876">
        <f>-567.601210607732 -7.29672138062438 -834.092567990025</f>
        <v>-1408.9904999783814</v>
      </c>
      <c r="I2876">
        <f>-514.197820182149 -6.23953942515232 -920.867706025058</f>
        <v>-1441.3050656323594</v>
      </c>
      <c r="J2876" t="s">
        <v>56769</v>
      </c>
      <c r="K2876" t="s">
        <v>56770</v>
      </c>
      <c r="L2876" t="s">
        <v>56771</v>
      </c>
      <c r="M2876" t="s">
        <v>56772</v>
      </c>
      <c r="N2876">
        <f>-576.032836441548 -26.8390724685544 -762.678782628692</f>
        <v>-1365.5506915387946</v>
      </c>
      <c r="O2876">
        <f>-549.728953351129 -161.856771755656 -710.752111914758</f>
        <v>-1422.337837021543</v>
      </c>
      <c r="P2876">
        <f>-568.814925420418 -150.335579530667 -395.016154167702</f>
        <v>-1114.166659118787</v>
      </c>
      <c r="Q2876" t="s">
        <v>56773</v>
      </c>
      <c r="R2876" t="s">
        <v>56774</v>
      </c>
      <c r="S2876" t="s">
        <v>56775</v>
      </c>
      <c r="T2876" t="s">
        <v>56776</v>
      </c>
      <c r="U2876" t="s">
        <v>56777</v>
      </c>
      <c r="V2876">
        <f>-587.152563336698 -33.4739703290813 -236.9204517059</f>
        <v>-857.54698537167928</v>
      </c>
      <c r="W2876" t="s">
        <v>56778</v>
      </c>
      <c r="X2876" t="s">
        <v>56779</v>
      </c>
      <c r="Y2876" t="s">
        <v>56780</v>
      </c>
    </row>
    <row r="2877" spans="1:25" x14ac:dyDescent="0.3">
      <c r="A2877">
        <v>143800</v>
      </c>
      <c r="B2877" t="s">
        <v>56781</v>
      </c>
      <c r="C2877" t="s">
        <v>56782</v>
      </c>
      <c r="D2877" t="s">
        <v>56783</v>
      </c>
      <c r="E2877" t="s">
        <v>56784</v>
      </c>
      <c r="F2877" t="s">
        <v>56785</v>
      </c>
      <c r="G2877" t="s">
        <v>56786</v>
      </c>
      <c r="H2877">
        <f>-569.698359607341 -9.28874633690475 -833.260786150792</f>
        <v>-1412.2478920950377</v>
      </c>
      <c r="I2877">
        <f>-515.834079877699 -9.40166816413716 -919.757109059647</f>
        <v>-1444.992857101483</v>
      </c>
      <c r="J2877" t="s">
        <v>56787</v>
      </c>
      <c r="K2877" t="s">
        <v>56788</v>
      </c>
      <c r="L2877" t="s">
        <v>56789</v>
      </c>
      <c r="M2877" t="s">
        <v>56790</v>
      </c>
      <c r="N2877">
        <f>-578.428358065679 -27.9256629434424 -761.641196100372</f>
        <v>-1367.9952171094933</v>
      </c>
      <c r="O2877">
        <f>-552.551850209417 -162.367978397889 -708.044154869402</f>
        <v>-1422.9639834767081</v>
      </c>
      <c r="P2877">
        <f>-572.492640712541 -147.523413624358 -392.499844653497</f>
        <v>-1112.515898990396</v>
      </c>
      <c r="Q2877" t="s">
        <v>56791</v>
      </c>
      <c r="R2877" t="s">
        <v>56792</v>
      </c>
      <c r="S2877" t="s">
        <v>56793</v>
      </c>
      <c r="T2877" t="s">
        <v>56794</v>
      </c>
      <c r="U2877" t="s">
        <v>56795</v>
      </c>
      <c r="V2877">
        <f>-589.486774272978 -29.6102712851828 -236.809012858736</f>
        <v>-855.90605841689671</v>
      </c>
      <c r="W2877" t="s">
        <v>56796</v>
      </c>
      <c r="X2877" t="s">
        <v>56797</v>
      </c>
      <c r="Y2877" t="s">
        <v>56798</v>
      </c>
    </row>
    <row r="2878" spans="1:25" x14ac:dyDescent="0.3">
      <c r="A2878">
        <v>143850</v>
      </c>
      <c r="B2878" t="s">
        <v>56799</v>
      </c>
      <c r="C2878" t="s">
        <v>56800</v>
      </c>
      <c r="D2878" t="s">
        <v>56801</v>
      </c>
      <c r="E2878" t="s">
        <v>56802</v>
      </c>
      <c r="F2878" t="s">
        <v>56803</v>
      </c>
      <c r="G2878" t="s">
        <v>56804</v>
      </c>
      <c r="H2878">
        <f>-574.662331121032 -9.8442647557531 -832.451746974822</f>
        <v>-1416.9583428516071</v>
      </c>
      <c r="I2878">
        <f>-520.396722270326 -12.1525133004723 -918.666093131186</f>
        <v>-1451.2153287019842</v>
      </c>
      <c r="J2878" t="s">
        <v>56805</v>
      </c>
      <c r="K2878" t="s">
        <v>56806</v>
      </c>
      <c r="L2878" t="s">
        <v>56807</v>
      </c>
      <c r="M2878" t="s">
        <v>56808</v>
      </c>
      <c r="N2878">
        <f>-583.741039630544 -26.9923361801843 -760.504314206874</f>
        <v>-1371.2376900176023</v>
      </c>
      <c r="O2878">
        <f>-559.827287674953 -160.83995990159 -704.497432232227</f>
        <v>-1425.16467980877</v>
      </c>
      <c r="P2878">
        <f>-579.714146684799 -140.43599400908 -389.260433389251</f>
        <v>-1109.4105740831299</v>
      </c>
      <c r="Q2878" t="s">
        <v>56809</v>
      </c>
      <c r="R2878" t="s">
        <v>56810</v>
      </c>
      <c r="S2878" t="s">
        <v>56811</v>
      </c>
      <c r="T2878" t="s">
        <v>56812</v>
      </c>
      <c r="U2878" t="s">
        <v>56813</v>
      </c>
      <c r="V2878">
        <f>-594.356927259971 -20.711478299695 -236.578420124875</f>
        <v>-851.64682568454111</v>
      </c>
      <c r="W2878" t="s">
        <v>56814</v>
      </c>
      <c r="X2878" t="s">
        <v>56815</v>
      </c>
      <c r="Y2878" t="s">
        <v>56816</v>
      </c>
    </row>
    <row r="2879" spans="1:25" x14ac:dyDescent="0.3">
      <c r="A2879">
        <v>143900</v>
      </c>
      <c r="B2879" t="s">
        <v>56817</v>
      </c>
      <c r="C2879" t="s">
        <v>56818</v>
      </c>
      <c r="D2879" t="s">
        <v>56819</v>
      </c>
      <c r="E2879" t="s">
        <v>56820</v>
      </c>
      <c r="F2879" t="s">
        <v>56821</v>
      </c>
      <c r="G2879" t="s">
        <v>56822</v>
      </c>
      <c r="H2879">
        <f>-577.138383035209 -7.98957235401394 -832.436651485256</f>
        <v>-1417.5646068744791</v>
      </c>
      <c r="I2879">
        <f>-522.954710581625 -11.2974512055171 -918.669793697199</f>
        <v>-1452.9219554843412</v>
      </c>
      <c r="J2879" t="s">
        <v>56823</v>
      </c>
      <c r="K2879" t="s">
        <v>56824</v>
      </c>
      <c r="L2879" t="s">
        <v>56825</v>
      </c>
      <c r="M2879" t="s">
        <v>56826</v>
      </c>
      <c r="N2879">
        <f>-586.324437545373 -24.6076579143951 -760.378546188994</f>
        <v>-1371.3106416487622</v>
      </c>
      <c r="O2879">
        <f>-563.869885509194 -158.407276706163 -703.625537634539</f>
        <v>-1425.902699849896</v>
      </c>
      <c r="P2879">
        <f>-582.994106092533 -136.43051489409 -388.447107084026</f>
        <v>-1107.8717280706492</v>
      </c>
      <c r="Q2879" t="s">
        <v>56827</v>
      </c>
      <c r="R2879" t="s">
        <v>56828</v>
      </c>
      <c r="S2879" t="s">
        <v>56829</v>
      </c>
      <c r="T2879" t="s">
        <v>56830</v>
      </c>
      <c r="U2879" t="s">
        <v>56831</v>
      </c>
      <c r="V2879">
        <f>-596.758723785401 -15.3798868198539 -236.486830962468</f>
        <v>-848.62544156772287</v>
      </c>
      <c r="W2879" t="s">
        <v>56832</v>
      </c>
      <c r="X2879" t="s">
        <v>56833</v>
      </c>
      <c r="Y2879" t="s">
        <v>56834</v>
      </c>
    </row>
    <row r="2880" spans="1:25" x14ac:dyDescent="0.3">
      <c r="A2880">
        <v>143950</v>
      </c>
      <c r="B2880" t="s">
        <v>56835</v>
      </c>
      <c r="C2880" t="s">
        <v>56836</v>
      </c>
      <c r="D2880" t="s">
        <v>56837</v>
      </c>
      <c r="E2880" t="s">
        <v>56838</v>
      </c>
      <c r="F2880" t="s">
        <v>56839</v>
      </c>
      <c r="G2880" t="s">
        <v>56840</v>
      </c>
      <c r="H2880">
        <f>-583.064336507841 -0.0238033433543023 -832.391545788332</f>
        <v>-1415.4796856395274</v>
      </c>
      <c r="I2880">
        <f>-529.431009979015 -5.22213861389696 -918.875267816067</f>
        <v>-1453.528416408979</v>
      </c>
      <c r="J2880" t="s">
        <v>56841</v>
      </c>
      <c r="K2880" t="s">
        <v>56842</v>
      </c>
      <c r="L2880" t="s">
        <v>56843</v>
      </c>
      <c r="M2880" t="s">
        <v>56844</v>
      </c>
      <c r="N2880">
        <f>-592.461605927096 -15.8590743086465 -760.184502126576</f>
        <v>-1368.5051823623185</v>
      </c>
      <c r="O2880">
        <f>-573.625591648543 -149.966655027699 -702.863303026979</f>
        <v>-1426.4555497032211</v>
      </c>
      <c r="P2880">
        <f>-590.741435127787 -126.746609755475 -387.658455216787</f>
        <v>-1105.146500100049</v>
      </c>
      <c r="Q2880" t="s">
        <v>56845</v>
      </c>
      <c r="R2880" t="s">
        <v>56846</v>
      </c>
      <c r="S2880" t="s">
        <v>56847</v>
      </c>
      <c r="T2880" t="s">
        <v>56848</v>
      </c>
      <c r="U2880" t="s">
        <v>56849</v>
      </c>
      <c r="V2880">
        <f>-602.203311915096 -2.80979449845609 -236.147711516275</f>
        <v>-841.16081792982709</v>
      </c>
      <c r="W2880" t="s">
        <v>56850</v>
      </c>
      <c r="X2880" t="s">
        <v>56851</v>
      </c>
      <c r="Y2880" t="s">
        <v>56852</v>
      </c>
    </row>
    <row r="2881" spans="1:25" x14ac:dyDescent="0.3">
      <c r="A2881">
        <v>144000</v>
      </c>
      <c r="B2881" t="s">
        <v>56853</v>
      </c>
      <c r="C2881" t="s">
        <v>56854</v>
      </c>
      <c r="D2881" t="s">
        <v>56855</v>
      </c>
      <c r="E2881" t="s">
        <v>56856</v>
      </c>
      <c r="F2881" t="s">
        <v>56857</v>
      </c>
      <c r="G2881" t="s">
        <v>56858</v>
      </c>
      <c r="H2881" t="s">
        <v>56859</v>
      </c>
      <c r="I2881" t="s">
        <v>56860</v>
      </c>
      <c r="J2881" t="s">
        <v>56861</v>
      </c>
      <c r="K2881" t="s">
        <v>56862</v>
      </c>
      <c r="L2881" t="s">
        <v>56863</v>
      </c>
      <c r="M2881" t="s">
        <v>56864</v>
      </c>
      <c r="N2881">
        <f>-596.769050225305 -9.2066438155473 -759.8331452639</f>
        <v>-1365.8088393047524</v>
      </c>
      <c r="O2881">
        <f>-580.097650541507 -143.554023919049 -702.428988960419</f>
        <v>-1426.080663420975</v>
      </c>
      <c r="P2881">
        <f>-595.918537163036 -120.200028223945 -387.166362568876</f>
        <v>-1103.284927955857</v>
      </c>
      <c r="Q2881" t="s">
        <v>56865</v>
      </c>
      <c r="R2881" t="s">
        <v>56866</v>
      </c>
      <c r="S2881" t="s">
        <v>56867</v>
      </c>
      <c r="T2881" t="s">
        <v>56868</v>
      </c>
      <c r="U2881" t="s">
        <v>56869</v>
      </c>
      <c r="V2881" t="s">
        <v>56870</v>
      </c>
      <c r="W2881" t="s">
        <v>56871</v>
      </c>
      <c r="X2881" t="s">
        <v>56872</v>
      </c>
      <c r="Y2881" t="s">
        <v>56873</v>
      </c>
    </row>
    <row r="2882" spans="1:25" x14ac:dyDescent="0.3">
      <c r="A2882">
        <v>144050</v>
      </c>
      <c r="B2882" t="s">
        <v>56874</v>
      </c>
      <c r="C2882" t="s">
        <v>56875</v>
      </c>
      <c r="D2882" t="s">
        <v>56876</v>
      </c>
      <c r="E2882" t="s">
        <v>56877</v>
      </c>
      <c r="F2882" t="s">
        <v>56878</v>
      </c>
      <c r="G2882" t="s">
        <v>56879</v>
      </c>
      <c r="H2882" t="s">
        <v>56880</v>
      </c>
      <c r="I2882" t="s">
        <v>56881</v>
      </c>
      <c r="J2882" t="s">
        <v>56882</v>
      </c>
      <c r="K2882" t="s">
        <v>56883</v>
      </c>
      <c r="L2882" t="s">
        <v>56884</v>
      </c>
      <c r="M2882" t="s">
        <v>56885</v>
      </c>
      <c r="N2882" t="s">
        <v>56886</v>
      </c>
      <c r="O2882">
        <f>-595.678850615314 -127.373425651878 -700.968665655312</f>
        <v>-1424.0209419225039</v>
      </c>
      <c r="P2882">
        <f>-609.355363181066 -103.547853246018 -385.64109877898</f>
        <v>-1098.5443152060639</v>
      </c>
      <c r="Q2882" t="s">
        <v>56887</v>
      </c>
      <c r="R2882" t="s">
        <v>56888</v>
      </c>
      <c r="S2882" t="s">
        <v>56889</v>
      </c>
      <c r="T2882" t="s">
        <v>56890</v>
      </c>
      <c r="U2882" t="s">
        <v>56891</v>
      </c>
      <c r="V2882" t="s">
        <v>56892</v>
      </c>
      <c r="W2882" t="s">
        <v>56893</v>
      </c>
      <c r="X2882" t="s">
        <v>56894</v>
      </c>
      <c r="Y2882" t="s">
        <v>56895</v>
      </c>
    </row>
    <row r="2883" spans="1:25" x14ac:dyDescent="0.3">
      <c r="A2883">
        <v>144100</v>
      </c>
      <c r="B2883" t="s">
        <v>56896</v>
      </c>
      <c r="C2883" t="s">
        <v>56897</v>
      </c>
      <c r="D2883" t="s">
        <v>56898</v>
      </c>
      <c r="E2883" t="s">
        <v>56899</v>
      </c>
      <c r="F2883" t="s">
        <v>56900</v>
      </c>
      <c r="G2883" t="s">
        <v>56901</v>
      </c>
      <c r="H2883" t="s">
        <v>56902</v>
      </c>
      <c r="I2883" t="s">
        <v>56903</v>
      </c>
      <c r="J2883" t="s">
        <v>56904</v>
      </c>
      <c r="K2883" t="s">
        <v>56905</v>
      </c>
      <c r="L2883" t="s">
        <v>56906</v>
      </c>
      <c r="M2883" t="s">
        <v>56907</v>
      </c>
      <c r="N2883" t="s">
        <v>56908</v>
      </c>
      <c r="O2883">
        <f>-604.815732112056 -117.143602546369 -700.039466284248</f>
        <v>-1421.9988009426729</v>
      </c>
      <c r="P2883">
        <f>-617.223150633326 -93.5609645673633 -384.641084177525</f>
        <v>-1095.4251993782143</v>
      </c>
      <c r="Q2883" t="s">
        <v>56909</v>
      </c>
      <c r="R2883" t="s">
        <v>56910</v>
      </c>
      <c r="S2883" t="s">
        <v>56911</v>
      </c>
      <c r="T2883" t="s">
        <v>56912</v>
      </c>
      <c r="U2883" t="s">
        <v>56913</v>
      </c>
      <c r="V2883" t="s">
        <v>56914</v>
      </c>
      <c r="W2883" t="s">
        <v>56915</v>
      </c>
      <c r="X2883" t="s">
        <v>56916</v>
      </c>
      <c r="Y2883" t="s">
        <v>56917</v>
      </c>
    </row>
    <row r="2884" spans="1:25" x14ac:dyDescent="0.3">
      <c r="A2884">
        <v>144150</v>
      </c>
      <c r="B2884" t="s">
        <v>56918</v>
      </c>
      <c r="C2884" t="s">
        <v>56919</v>
      </c>
      <c r="D2884" t="s">
        <v>56920</v>
      </c>
      <c r="E2884" t="s">
        <v>56921</v>
      </c>
      <c r="F2884" t="s">
        <v>56922</v>
      </c>
      <c r="G2884" t="s">
        <v>56923</v>
      </c>
      <c r="H2884" t="s">
        <v>56924</v>
      </c>
      <c r="I2884" t="s">
        <v>56925</v>
      </c>
      <c r="J2884" t="s">
        <v>56926</v>
      </c>
      <c r="K2884" t="s">
        <v>56927</v>
      </c>
      <c r="L2884" t="s">
        <v>56928</v>
      </c>
      <c r="M2884" t="s">
        <v>56929</v>
      </c>
      <c r="N2884" t="s">
        <v>56930</v>
      </c>
      <c r="O2884">
        <f>-622.81120280388 -90.1593655949714 -698.17877343058</f>
        <v>-1411.1493418294313</v>
      </c>
      <c r="P2884">
        <f>-633.539650062977 -68.0344647787654 -382.613358277801</f>
        <v>-1084.1874731195435</v>
      </c>
      <c r="Q2884" t="s">
        <v>56931</v>
      </c>
      <c r="R2884" t="s">
        <v>56932</v>
      </c>
      <c r="S2884" t="s">
        <v>56933</v>
      </c>
      <c r="T2884" t="s">
        <v>56934</v>
      </c>
      <c r="U2884" t="s">
        <v>56935</v>
      </c>
      <c r="V2884" t="s">
        <v>56936</v>
      </c>
      <c r="W2884" t="s">
        <v>56937</v>
      </c>
      <c r="X2884" t="s">
        <v>56938</v>
      </c>
      <c r="Y2884" t="s">
        <v>56939</v>
      </c>
    </row>
    <row r="2885" spans="1:25" x14ac:dyDescent="0.3">
      <c r="A2885">
        <v>144200</v>
      </c>
      <c r="B2885" t="s">
        <v>56940</v>
      </c>
      <c r="C2885" t="s">
        <v>56941</v>
      </c>
      <c r="D2885" t="s">
        <v>56942</v>
      </c>
      <c r="E2885" t="s">
        <v>56943</v>
      </c>
      <c r="F2885" t="s">
        <v>56944</v>
      </c>
      <c r="G2885" t="s">
        <v>56945</v>
      </c>
      <c r="H2885" t="s">
        <v>56946</v>
      </c>
      <c r="I2885" t="s">
        <v>56947</v>
      </c>
      <c r="J2885" t="s">
        <v>56948</v>
      </c>
      <c r="K2885" t="s">
        <v>56949</v>
      </c>
      <c r="L2885" t="s">
        <v>56950</v>
      </c>
      <c r="M2885" t="s">
        <v>56951</v>
      </c>
      <c r="N2885" t="s">
        <v>56952</v>
      </c>
      <c r="O2885">
        <f>-631.409095617296 -73.5240772821726 -696.919315738892</f>
        <v>-1401.8524886383607</v>
      </c>
      <c r="P2885">
        <f>-641.930359932621 -53.2933858542115 -381.2198413009</f>
        <v>-1076.4435870877323</v>
      </c>
      <c r="Q2885" t="s">
        <v>56953</v>
      </c>
      <c r="R2885" t="s">
        <v>56954</v>
      </c>
      <c r="S2885" t="s">
        <v>56955</v>
      </c>
      <c r="T2885" t="s">
        <v>56956</v>
      </c>
      <c r="U2885" t="s">
        <v>56957</v>
      </c>
      <c r="V2885" t="s">
        <v>56958</v>
      </c>
      <c r="W2885" t="s">
        <v>56959</v>
      </c>
      <c r="X2885" t="s">
        <v>56960</v>
      </c>
      <c r="Y2885" t="s">
        <v>56961</v>
      </c>
    </row>
    <row r="2886" spans="1:25" x14ac:dyDescent="0.3">
      <c r="A2886">
        <v>144250</v>
      </c>
      <c r="B2886" t="s">
        <v>56962</v>
      </c>
      <c r="C2886" t="s">
        <v>56963</v>
      </c>
      <c r="D2886" t="s">
        <v>56964</v>
      </c>
      <c r="E2886" t="s">
        <v>56965</v>
      </c>
      <c r="F2886" t="s">
        <v>56966</v>
      </c>
      <c r="G2886" t="s">
        <v>56967</v>
      </c>
      <c r="H2886" t="s">
        <v>56968</v>
      </c>
      <c r="I2886" t="s">
        <v>56969</v>
      </c>
      <c r="J2886" t="s">
        <v>56970</v>
      </c>
      <c r="K2886" t="s">
        <v>56971</v>
      </c>
      <c r="L2886" t="s">
        <v>56972</v>
      </c>
      <c r="M2886" t="s">
        <v>56973</v>
      </c>
      <c r="N2886" t="s">
        <v>56974</v>
      </c>
      <c r="O2886">
        <f>-647.21970689345 -40.754372273718 -696.668213267003</f>
        <v>-1384.6422924341709</v>
      </c>
      <c r="P2886">
        <f>-658.921800502196 -25.9847211313688 -380.707535247328</f>
        <v>-1065.6140568808928</v>
      </c>
      <c r="Q2886" t="s">
        <v>56975</v>
      </c>
      <c r="R2886" t="s">
        <v>56976</v>
      </c>
      <c r="S2886" t="s">
        <v>56977</v>
      </c>
      <c r="T2886" t="s">
        <v>56978</v>
      </c>
      <c r="U2886" t="s">
        <v>56979</v>
      </c>
      <c r="V2886" t="s">
        <v>56980</v>
      </c>
      <c r="W2886" t="s">
        <v>56981</v>
      </c>
      <c r="X2886" t="s">
        <v>56982</v>
      </c>
      <c r="Y2886" t="s">
        <v>56983</v>
      </c>
    </row>
    <row r="2887" spans="1:25" x14ac:dyDescent="0.3">
      <c r="A2887">
        <v>144300</v>
      </c>
      <c r="B2887" t="s">
        <v>56984</v>
      </c>
      <c r="C2887" t="s">
        <v>56985</v>
      </c>
      <c r="D2887" t="s">
        <v>56986</v>
      </c>
      <c r="E2887" t="s">
        <v>56987</v>
      </c>
      <c r="F2887" t="s">
        <v>56988</v>
      </c>
      <c r="G2887" t="s">
        <v>56989</v>
      </c>
      <c r="H2887" t="s">
        <v>56990</v>
      </c>
      <c r="I2887" t="s">
        <v>56991</v>
      </c>
      <c r="J2887" t="s">
        <v>56992</v>
      </c>
      <c r="K2887" t="s">
        <v>56993</v>
      </c>
      <c r="L2887" t="s">
        <v>56994</v>
      </c>
      <c r="M2887" t="s">
        <v>56995</v>
      </c>
      <c r="N2887" t="s">
        <v>56996</v>
      </c>
      <c r="O2887">
        <f>-655.075962197116 -24.4318676940632 -698.330791910223</f>
        <v>-1377.838621801402</v>
      </c>
      <c r="P2887">
        <f>-668.609442309826 -13.2928847463866 -382.294462219402</f>
        <v>-1064.1967892756147</v>
      </c>
      <c r="Q2887" t="s">
        <v>56997</v>
      </c>
      <c r="R2887" t="s">
        <v>56998</v>
      </c>
      <c r="S2887" t="s">
        <v>56999</v>
      </c>
      <c r="T2887" t="s">
        <v>57000</v>
      </c>
      <c r="U2887" t="s">
        <v>57001</v>
      </c>
      <c r="V2887" t="s">
        <v>57002</v>
      </c>
      <c r="W2887" t="s">
        <v>57003</v>
      </c>
      <c r="X2887" t="s">
        <v>57004</v>
      </c>
      <c r="Y2887" t="s">
        <v>57005</v>
      </c>
    </row>
    <row r="2888" spans="1:25" x14ac:dyDescent="0.3">
      <c r="A2888">
        <v>144350</v>
      </c>
      <c r="B2888" t="s">
        <v>57006</v>
      </c>
      <c r="C2888" t="s">
        <v>57007</v>
      </c>
      <c r="D2888" t="s">
        <v>57008</v>
      </c>
      <c r="E2888" t="s">
        <v>57009</v>
      </c>
      <c r="F2888" t="s">
        <v>57010</v>
      </c>
      <c r="G2888" t="s">
        <v>57011</v>
      </c>
      <c r="H2888" t="s">
        <v>57012</v>
      </c>
      <c r="I2888" t="s">
        <v>57013</v>
      </c>
      <c r="J2888" t="s">
        <v>57014</v>
      </c>
      <c r="K2888" t="s">
        <v>57015</v>
      </c>
      <c r="L2888" t="s">
        <v>57016</v>
      </c>
      <c r="M2888" t="s">
        <v>57017</v>
      </c>
      <c r="N2888" t="s">
        <v>57018</v>
      </c>
      <c r="O2888" t="s">
        <v>57019</v>
      </c>
      <c r="P2888" t="s">
        <v>57020</v>
      </c>
      <c r="Q2888" t="s">
        <v>57021</v>
      </c>
      <c r="R2888" t="s">
        <v>57022</v>
      </c>
      <c r="S2888" t="s">
        <v>57023</v>
      </c>
      <c r="T2888" t="s">
        <v>57024</v>
      </c>
      <c r="U2888" t="s">
        <v>57025</v>
      </c>
      <c r="V2888" t="s">
        <v>57026</v>
      </c>
      <c r="W2888" t="s">
        <v>57027</v>
      </c>
      <c r="X2888" t="s">
        <v>57028</v>
      </c>
      <c r="Y2888" t="s">
        <v>57029</v>
      </c>
    </row>
    <row r="2889" spans="1:25" x14ac:dyDescent="0.3">
      <c r="A2889">
        <v>144400</v>
      </c>
      <c r="B2889" t="s">
        <v>57030</v>
      </c>
      <c r="C2889" t="s">
        <v>57031</v>
      </c>
      <c r="D2889" t="s">
        <v>57032</v>
      </c>
      <c r="E2889" t="s">
        <v>57033</v>
      </c>
      <c r="F2889" t="s">
        <v>57034</v>
      </c>
      <c r="G2889" t="s">
        <v>57035</v>
      </c>
      <c r="H2889" t="s">
        <v>57036</v>
      </c>
      <c r="I2889" t="s">
        <v>57037</v>
      </c>
      <c r="J2889" t="s">
        <v>57038</v>
      </c>
      <c r="K2889" t="s">
        <v>57039</v>
      </c>
      <c r="L2889" t="s">
        <v>57040</v>
      </c>
      <c r="M2889" t="s">
        <v>57041</v>
      </c>
      <c r="N2889" t="s">
        <v>57042</v>
      </c>
      <c r="O2889" t="s">
        <v>57043</v>
      </c>
      <c r="P2889" t="s">
        <v>57044</v>
      </c>
      <c r="Q2889" t="s">
        <v>57045</v>
      </c>
      <c r="R2889" t="s">
        <v>57046</v>
      </c>
      <c r="S2889" t="s">
        <v>57047</v>
      </c>
      <c r="T2889" t="s">
        <v>57048</v>
      </c>
      <c r="U2889" t="s">
        <v>57049</v>
      </c>
      <c r="V2889" t="s">
        <v>57050</v>
      </c>
      <c r="W2889" t="s">
        <v>57051</v>
      </c>
      <c r="X2889" t="s">
        <v>57052</v>
      </c>
      <c r="Y2889" t="s">
        <v>57053</v>
      </c>
    </row>
    <row r="2890" spans="1:25" x14ac:dyDescent="0.3">
      <c r="A2890">
        <v>144450</v>
      </c>
      <c r="B2890" t="s">
        <v>57054</v>
      </c>
      <c r="C2890" t="s">
        <v>57055</v>
      </c>
      <c r="D2890" t="s">
        <v>57056</v>
      </c>
      <c r="E2890" t="s">
        <v>57057</v>
      </c>
      <c r="F2890" t="s">
        <v>57058</v>
      </c>
      <c r="G2890" t="s">
        <v>57059</v>
      </c>
      <c r="H2890" t="s">
        <v>57060</v>
      </c>
      <c r="I2890" t="s">
        <v>57061</v>
      </c>
      <c r="J2890" t="s">
        <v>57062</v>
      </c>
      <c r="K2890" t="s">
        <v>57063</v>
      </c>
      <c r="L2890" t="s">
        <v>57064</v>
      </c>
      <c r="M2890" t="s">
        <v>57065</v>
      </c>
      <c r="N2890" t="s">
        <v>57066</v>
      </c>
      <c r="O2890" t="s">
        <v>57067</v>
      </c>
      <c r="P2890" t="s">
        <v>57068</v>
      </c>
      <c r="Q2890" t="s">
        <v>57069</v>
      </c>
      <c r="R2890" t="s">
        <v>57070</v>
      </c>
      <c r="S2890" t="s">
        <v>57071</v>
      </c>
      <c r="T2890" t="s">
        <v>57072</v>
      </c>
      <c r="U2890" t="s">
        <v>57073</v>
      </c>
      <c r="V2890" t="s">
        <v>57074</v>
      </c>
      <c r="W2890" t="s">
        <v>57075</v>
      </c>
      <c r="X2890" t="s">
        <v>57076</v>
      </c>
      <c r="Y2890" t="s">
        <v>57077</v>
      </c>
    </row>
    <row r="2891" spans="1:25" x14ac:dyDescent="0.3">
      <c r="A2891">
        <v>144500</v>
      </c>
      <c r="B2891" t="s">
        <v>57078</v>
      </c>
      <c r="C2891" t="s">
        <v>57079</v>
      </c>
      <c r="D2891" t="s">
        <v>57080</v>
      </c>
      <c r="E2891" t="s">
        <v>57081</v>
      </c>
      <c r="F2891" t="s">
        <v>57082</v>
      </c>
      <c r="G2891" t="s">
        <v>57083</v>
      </c>
      <c r="H2891" t="s">
        <v>57084</v>
      </c>
      <c r="I2891" t="s">
        <v>57085</v>
      </c>
      <c r="J2891" t="s">
        <v>57086</v>
      </c>
      <c r="K2891" t="s">
        <v>57087</v>
      </c>
      <c r="L2891" t="s">
        <v>57088</v>
      </c>
      <c r="M2891" t="s">
        <v>57089</v>
      </c>
      <c r="N2891" t="s">
        <v>57090</v>
      </c>
      <c r="O2891" t="s">
        <v>57091</v>
      </c>
      <c r="P2891" t="s">
        <v>57092</v>
      </c>
      <c r="Q2891" t="s">
        <v>57093</v>
      </c>
      <c r="R2891" t="s">
        <v>57094</v>
      </c>
      <c r="S2891" t="s">
        <v>57095</v>
      </c>
      <c r="T2891" t="s">
        <v>57096</v>
      </c>
      <c r="U2891" t="s">
        <v>57097</v>
      </c>
      <c r="V2891" t="s">
        <v>57098</v>
      </c>
      <c r="W2891" t="s">
        <v>57099</v>
      </c>
      <c r="X2891" t="s">
        <v>57100</v>
      </c>
      <c r="Y2891" t="s">
        <v>57101</v>
      </c>
    </row>
    <row r="2892" spans="1:25" x14ac:dyDescent="0.3">
      <c r="A2892">
        <v>144550</v>
      </c>
      <c r="B2892" t="s">
        <v>57102</v>
      </c>
      <c r="C2892" t="s">
        <v>57103</v>
      </c>
      <c r="D2892" t="s">
        <v>57104</v>
      </c>
      <c r="E2892" t="s">
        <v>57105</v>
      </c>
      <c r="F2892" t="s">
        <v>57106</v>
      </c>
      <c r="G2892" t="s">
        <v>57107</v>
      </c>
      <c r="H2892" t="s">
        <v>57108</v>
      </c>
      <c r="I2892" t="s">
        <v>57109</v>
      </c>
      <c r="J2892" t="s">
        <v>57110</v>
      </c>
      <c r="K2892" t="s">
        <v>57111</v>
      </c>
      <c r="L2892" t="s">
        <v>57112</v>
      </c>
      <c r="M2892" t="s">
        <v>57113</v>
      </c>
      <c r="N2892" t="s">
        <v>57114</v>
      </c>
      <c r="O2892" t="s">
        <v>57115</v>
      </c>
      <c r="P2892" t="s">
        <v>57116</v>
      </c>
      <c r="Q2892" t="s">
        <v>57117</v>
      </c>
      <c r="R2892" t="s">
        <v>57118</v>
      </c>
      <c r="S2892" t="s">
        <v>57119</v>
      </c>
      <c r="T2892" t="s">
        <v>57120</v>
      </c>
      <c r="U2892" t="s">
        <v>57121</v>
      </c>
      <c r="V2892" t="s">
        <v>57122</v>
      </c>
      <c r="W2892" t="s">
        <v>57123</v>
      </c>
      <c r="X2892" t="s">
        <v>57124</v>
      </c>
      <c r="Y2892" t="s">
        <v>57125</v>
      </c>
    </row>
    <row r="2893" spans="1:25" x14ac:dyDescent="0.3">
      <c r="A2893">
        <v>144600</v>
      </c>
      <c r="B2893" t="s">
        <v>57126</v>
      </c>
      <c r="C2893" t="s">
        <v>57127</v>
      </c>
      <c r="D2893" t="s">
        <v>57128</v>
      </c>
      <c r="E2893" t="s">
        <v>57129</v>
      </c>
      <c r="F2893" t="s">
        <v>57130</v>
      </c>
      <c r="G2893" t="s">
        <v>57131</v>
      </c>
      <c r="H2893" t="s">
        <v>57132</v>
      </c>
      <c r="I2893" t="s">
        <v>57133</v>
      </c>
      <c r="J2893" t="s">
        <v>57134</v>
      </c>
      <c r="K2893" t="s">
        <v>57135</v>
      </c>
      <c r="L2893" t="s">
        <v>57136</v>
      </c>
      <c r="M2893" t="s">
        <v>57137</v>
      </c>
      <c r="N2893" t="s">
        <v>57138</v>
      </c>
      <c r="O2893" t="s">
        <v>57139</v>
      </c>
      <c r="P2893" t="s">
        <v>57140</v>
      </c>
      <c r="Q2893" t="s">
        <v>57141</v>
      </c>
      <c r="R2893" t="s">
        <v>57142</v>
      </c>
      <c r="S2893" t="s">
        <v>57143</v>
      </c>
      <c r="T2893" t="s">
        <v>57144</v>
      </c>
      <c r="U2893" t="s">
        <v>57145</v>
      </c>
      <c r="V2893" t="s">
        <v>57146</v>
      </c>
      <c r="W2893" t="s">
        <v>57147</v>
      </c>
      <c r="X2893" t="s">
        <v>57148</v>
      </c>
      <c r="Y2893" t="s">
        <v>57149</v>
      </c>
    </row>
    <row r="2894" spans="1:25" x14ac:dyDescent="0.3">
      <c r="A2894">
        <v>144650</v>
      </c>
      <c r="B2894" t="s">
        <v>57150</v>
      </c>
      <c r="C2894" t="s">
        <v>57151</v>
      </c>
      <c r="D2894" t="s">
        <v>57152</v>
      </c>
      <c r="E2894" t="s">
        <v>57153</v>
      </c>
      <c r="F2894" t="s">
        <v>57154</v>
      </c>
      <c r="G2894" t="s">
        <v>57155</v>
      </c>
      <c r="H2894" t="s">
        <v>57156</v>
      </c>
      <c r="I2894" t="s">
        <v>57157</v>
      </c>
      <c r="J2894" t="s">
        <v>57158</v>
      </c>
      <c r="K2894" t="s">
        <v>57159</v>
      </c>
      <c r="L2894" t="s">
        <v>57160</v>
      </c>
      <c r="M2894" t="s">
        <v>57161</v>
      </c>
      <c r="N2894" t="s">
        <v>57162</v>
      </c>
      <c r="O2894" t="s">
        <v>57163</v>
      </c>
      <c r="P2894" t="s">
        <v>57164</v>
      </c>
      <c r="Q2894" t="s">
        <v>57165</v>
      </c>
      <c r="R2894" t="s">
        <v>57166</v>
      </c>
      <c r="S2894" t="s">
        <v>57167</v>
      </c>
      <c r="T2894" t="s">
        <v>57168</v>
      </c>
      <c r="U2894" t="s">
        <v>57169</v>
      </c>
      <c r="V2894" t="s">
        <v>57170</v>
      </c>
      <c r="W2894" t="s">
        <v>57171</v>
      </c>
      <c r="X2894" t="s">
        <v>57172</v>
      </c>
      <c r="Y2894" t="s">
        <v>57173</v>
      </c>
    </row>
    <row r="2895" spans="1:25" x14ac:dyDescent="0.3">
      <c r="A2895">
        <v>144700</v>
      </c>
      <c r="B2895" t="s">
        <v>57174</v>
      </c>
      <c r="C2895" t="s">
        <v>57175</v>
      </c>
      <c r="D2895" t="s">
        <v>57176</v>
      </c>
      <c r="E2895" t="s">
        <v>57177</v>
      </c>
      <c r="F2895" t="s">
        <v>57178</v>
      </c>
      <c r="G2895" t="s">
        <v>57179</v>
      </c>
      <c r="H2895" t="s">
        <v>57180</v>
      </c>
      <c r="I2895" t="s">
        <v>57181</v>
      </c>
      <c r="J2895" t="s">
        <v>57182</v>
      </c>
      <c r="K2895" t="s">
        <v>57183</v>
      </c>
      <c r="L2895" t="s">
        <v>57184</v>
      </c>
      <c r="M2895" t="s">
        <v>57185</v>
      </c>
      <c r="N2895" t="s">
        <v>57186</v>
      </c>
      <c r="O2895" t="s">
        <v>57187</v>
      </c>
      <c r="P2895" t="s">
        <v>57188</v>
      </c>
      <c r="Q2895" t="s">
        <v>57189</v>
      </c>
      <c r="R2895" t="s">
        <v>57190</v>
      </c>
      <c r="S2895" t="s">
        <v>57191</v>
      </c>
      <c r="T2895" t="s">
        <v>57192</v>
      </c>
      <c r="U2895" t="s">
        <v>57193</v>
      </c>
      <c r="V2895" t="s">
        <v>57194</v>
      </c>
      <c r="W2895" t="s">
        <v>57195</v>
      </c>
      <c r="X2895" t="s">
        <v>57196</v>
      </c>
      <c r="Y2895" t="s">
        <v>57197</v>
      </c>
    </row>
    <row r="2896" spans="1:25" x14ac:dyDescent="0.3">
      <c r="A2896">
        <v>144750</v>
      </c>
      <c r="B2896" t="s">
        <v>57198</v>
      </c>
      <c r="C2896" t="s">
        <v>57199</v>
      </c>
      <c r="D2896" t="s">
        <v>57200</v>
      </c>
      <c r="E2896" t="s">
        <v>57201</v>
      </c>
      <c r="F2896" t="s">
        <v>57202</v>
      </c>
      <c r="G2896" t="s">
        <v>57203</v>
      </c>
      <c r="H2896" t="s">
        <v>57204</v>
      </c>
      <c r="I2896" t="s">
        <v>57205</v>
      </c>
      <c r="J2896" t="s">
        <v>57206</v>
      </c>
      <c r="K2896" t="s">
        <v>57207</v>
      </c>
      <c r="L2896" t="s">
        <v>57208</v>
      </c>
      <c r="M2896" t="s">
        <v>57209</v>
      </c>
      <c r="N2896" t="s">
        <v>57210</v>
      </c>
      <c r="O2896" t="s">
        <v>57211</v>
      </c>
      <c r="P2896" t="s">
        <v>57212</v>
      </c>
      <c r="Q2896" t="s">
        <v>57213</v>
      </c>
      <c r="R2896" t="s">
        <v>57214</v>
      </c>
      <c r="S2896" t="s">
        <v>57215</v>
      </c>
      <c r="T2896" t="s">
        <v>57216</v>
      </c>
      <c r="U2896" t="s">
        <v>57217</v>
      </c>
      <c r="V2896" t="s">
        <v>57218</v>
      </c>
      <c r="W2896" t="s">
        <v>57219</v>
      </c>
      <c r="X2896" t="s">
        <v>57220</v>
      </c>
      <c r="Y2896" t="s">
        <v>57221</v>
      </c>
    </row>
    <row r="2897" spans="1:25" x14ac:dyDescent="0.3">
      <c r="A2897">
        <v>144800</v>
      </c>
      <c r="B2897" t="s">
        <v>57222</v>
      </c>
      <c r="C2897" t="s">
        <v>57223</v>
      </c>
      <c r="D2897" t="s">
        <v>57224</v>
      </c>
      <c r="E2897" t="s">
        <v>57225</v>
      </c>
      <c r="F2897" t="s">
        <v>57226</v>
      </c>
      <c r="G2897" t="s">
        <v>57227</v>
      </c>
      <c r="H2897" t="s">
        <v>57228</v>
      </c>
      <c r="I2897" t="s">
        <v>57229</v>
      </c>
      <c r="J2897" t="s">
        <v>57230</v>
      </c>
      <c r="K2897" t="s">
        <v>57231</v>
      </c>
      <c r="L2897" t="s">
        <v>57232</v>
      </c>
      <c r="M2897" t="s">
        <v>57233</v>
      </c>
      <c r="N2897" t="s">
        <v>57234</v>
      </c>
      <c r="O2897" t="s">
        <v>57235</v>
      </c>
      <c r="P2897" t="s">
        <v>57236</v>
      </c>
      <c r="Q2897" t="s">
        <v>57237</v>
      </c>
      <c r="R2897" t="s">
        <v>57238</v>
      </c>
      <c r="S2897" t="s">
        <v>57239</v>
      </c>
      <c r="T2897" t="s">
        <v>57240</v>
      </c>
      <c r="U2897" t="s">
        <v>57241</v>
      </c>
      <c r="V2897" t="s">
        <v>57242</v>
      </c>
      <c r="W2897" t="s">
        <v>57243</v>
      </c>
      <c r="X2897" t="s">
        <v>57244</v>
      </c>
      <c r="Y2897" t="s">
        <v>57245</v>
      </c>
    </row>
    <row r="2898" spans="1:25" x14ac:dyDescent="0.3">
      <c r="A2898">
        <v>144850</v>
      </c>
      <c r="B2898" t="s">
        <v>57246</v>
      </c>
      <c r="C2898" t="s">
        <v>57247</v>
      </c>
      <c r="D2898" t="s">
        <v>57248</v>
      </c>
      <c r="E2898" t="s">
        <v>57249</v>
      </c>
      <c r="F2898" t="s">
        <v>57250</v>
      </c>
      <c r="G2898" t="s">
        <v>57251</v>
      </c>
      <c r="H2898" t="s">
        <v>57252</v>
      </c>
      <c r="I2898" t="s">
        <v>57253</v>
      </c>
      <c r="J2898" t="s">
        <v>57254</v>
      </c>
      <c r="K2898" t="s">
        <v>57255</v>
      </c>
      <c r="L2898" t="s">
        <v>57256</v>
      </c>
      <c r="M2898" t="s">
        <v>57257</v>
      </c>
      <c r="N2898" t="s">
        <v>57258</v>
      </c>
      <c r="O2898" t="s">
        <v>57259</v>
      </c>
      <c r="P2898" t="s">
        <v>57260</v>
      </c>
      <c r="Q2898" t="s">
        <v>57261</v>
      </c>
      <c r="R2898" t="s">
        <v>57262</v>
      </c>
      <c r="S2898" t="s">
        <v>57263</v>
      </c>
      <c r="T2898" t="s">
        <v>57264</v>
      </c>
      <c r="U2898" t="s">
        <v>57265</v>
      </c>
      <c r="V2898" t="s">
        <v>57266</v>
      </c>
      <c r="W2898" t="s">
        <v>57267</v>
      </c>
      <c r="X2898" t="s">
        <v>57268</v>
      </c>
      <c r="Y2898" t="s">
        <v>57269</v>
      </c>
    </row>
    <row r="2899" spans="1:25" x14ac:dyDescent="0.3">
      <c r="A2899">
        <v>144900</v>
      </c>
      <c r="B2899" t="s">
        <v>57270</v>
      </c>
      <c r="C2899" t="s">
        <v>57271</v>
      </c>
      <c r="D2899" t="s">
        <v>57272</v>
      </c>
      <c r="E2899" t="s">
        <v>57273</v>
      </c>
      <c r="F2899" t="s">
        <v>57274</v>
      </c>
      <c r="G2899" t="s">
        <v>57275</v>
      </c>
      <c r="H2899" t="s">
        <v>57276</v>
      </c>
      <c r="I2899" t="s">
        <v>57277</v>
      </c>
      <c r="J2899" t="s">
        <v>57278</v>
      </c>
      <c r="K2899" t="s">
        <v>57279</v>
      </c>
      <c r="L2899" t="s">
        <v>57280</v>
      </c>
      <c r="M2899" t="s">
        <v>57281</v>
      </c>
      <c r="N2899" t="s">
        <v>57282</v>
      </c>
      <c r="O2899" t="s">
        <v>57283</v>
      </c>
      <c r="P2899" t="s">
        <v>57284</v>
      </c>
      <c r="Q2899" t="s">
        <v>57285</v>
      </c>
      <c r="R2899" t="s">
        <v>57286</v>
      </c>
      <c r="S2899" t="s">
        <v>57287</v>
      </c>
      <c r="T2899" t="s">
        <v>57288</v>
      </c>
      <c r="U2899" t="s">
        <v>57289</v>
      </c>
      <c r="V2899" t="s">
        <v>57290</v>
      </c>
      <c r="W2899" t="s">
        <v>57291</v>
      </c>
      <c r="X2899" t="s">
        <v>57292</v>
      </c>
      <c r="Y2899" t="s">
        <v>57293</v>
      </c>
    </row>
    <row r="2900" spans="1:25" x14ac:dyDescent="0.3">
      <c r="A2900">
        <v>144950</v>
      </c>
      <c r="B2900" t="s">
        <v>57294</v>
      </c>
      <c r="C2900" t="s">
        <v>57295</v>
      </c>
      <c r="D2900" t="s">
        <v>57296</v>
      </c>
      <c r="E2900" t="s">
        <v>57297</v>
      </c>
      <c r="F2900" t="s">
        <v>57298</v>
      </c>
      <c r="G2900" t="s">
        <v>57299</v>
      </c>
      <c r="H2900" t="s">
        <v>57300</v>
      </c>
      <c r="I2900" t="s">
        <v>57301</v>
      </c>
      <c r="J2900" t="s">
        <v>57302</v>
      </c>
      <c r="K2900" t="s">
        <v>57303</v>
      </c>
      <c r="L2900" t="s">
        <v>57304</v>
      </c>
      <c r="M2900" t="s">
        <v>57305</v>
      </c>
      <c r="N2900" t="s">
        <v>57306</v>
      </c>
      <c r="O2900" t="s">
        <v>57307</v>
      </c>
      <c r="P2900" t="s">
        <v>57308</v>
      </c>
      <c r="Q2900" t="s">
        <v>57309</v>
      </c>
      <c r="R2900" t="s">
        <v>57310</v>
      </c>
      <c r="S2900" t="s">
        <v>57311</v>
      </c>
      <c r="T2900" t="s">
        <v>57312</v>
      </c>
      <c r="U2900" t="s">
        <v>57313</v>
      </c>
      <c r="V2900" t="s">
        <v>57314</v>
      </c>
      <c r="W2900" t="s">
        <v>57315</v>
      </c>
      <c r="X2900" t="s">
        <v>57316</v>
      </c>
      <c r="Y2900" t="s">
        <v>57317</v>
      </c>
    </row>
    <row r="2901" spans="1:25" x14ac:dyDescent="0.3">
      <c r="A2901">
        <v>145000</v>
      </c>
      <c r="B2901" t="s">
        <v>57318</v>
      </c>
      <c r="C2901" t="s">
        <v>57319</v>
      </c>
      <c r="D2901" t="s">
        <v>57320</v>
      </c>
      <c r="E2901" t="s">
        <v>57321</v>
      </c>
      <c r="F2901" t="s">
        <v>57322</v>
      </c>
      <c r="G2901" t="s">
        <v>57323</v>
      </c>
      <c r="H2901" t="s">
        <v>57324</v>
      </c>
      <c r="I2901" t="s">
        <v>57325</v>
      </c>
      <c r="J2901" t="s">
        <v>57326</v>
      </c>
      <c r="K2901" t="s">
        <v>57327</v>
      </c>
      <c r="L2901" t="s">
        <v>57328</v>
      </c>
      <c r="M2901" t="s">
        <v>57329</v>
      </c>
      <c r="N2901" t="s">
        <v>57330</v>
      </c>
      <c r="O2901" t="s">
        <v>57331</v>
      </c>
      <c r="P2901" t="s">
        <v>57332</v>
      </c>
      <c r="Q2901" t="s">
        <v>57333</v>
      </c>
      <c r="R2901" t="s">
        <v>57334</v>
      </c>
      <c r="S2901" t="s">
        <v>57335</v>
      </c>
      <c r="T2901" t="s">
        <v>57336</v>
      </c>
      <c r="U2901" t="s">
        <v>57337</v>
      </c>
      <c r="V2901" t="s">
        <v>57338</v>
      </c>
      <c r="W2901" t="s">
        <v>57339</v>
      </c>
      <c r="X2901" t="s">
        <v>57340</v>
      </c>
      <c r="Y2901" t="s">
        <v>57341</v>
      </c>
    </row>
    <row r="2902" spans="1:25" x14ac:dyDescent="0.3">
      <c r="A2902">
        <v>145050</v>
      </c>
      <c r="B2902" t="s">
        <v>57342</v>
      </c>
      <c r="C2902" t="s">
        <v>57343</v>
      </c>
      <c r="D2902" t="s">
        <v>57344</v>
      </c>
      <c r="E2902" t="s">
        <v>57345</v>
      </c>
      <c r="F2902" t="s">
        <v>57346</v>
      </c>
      <c r="G2902" t="s">
        <v>57347</v>
      </c>
      <c r="H2902" t="s">
        <v>57348</v>
      </c>
      <c r="I2902" t="s">
        <v>57349</v>
      </c>
      <c r="J2902" t="s">
        <v>57350</v>
      </c>
      <c r="K2902" t="s">
        <v>57351</v>
      </c>
      <c r="L2902" t="s">
        <v>57352</v>
      </c>
      <c r="M2902" t="s">
        <v>57353</v>
      </c>
      <c r="N2902" t="s">
        <v>57354</v>
      </c>
      <c r="O2902" t="s">
        <v>57355</v>
      </c>
      <c r="P2902" t="s">
        <v>57356</v>
      </c>
      <c r="Q2902" t="s">
        <v>57357</v>
      </c>
      <c r="R2902" t="s">
        <v>57358</v>
      </c>
      <c r="S2902" t="s">
        <v>57359</v>
      </c>
      <c r="T2902" t="s">
        <v>57360</v>
      </c>
      <c r="U2902" t="s">
        <v>57361</v>
      </c>
      <c r="V2902" t="s">
        <v>57362</v>
      </c>
      <c r="W2902" t="s">
        <v>57363</v>
      </c>
      <c r="X2902" t="s">
        <v>57364</v>
      </c>
      <c r="Y2902" t="s">
        <v>57365</v>
      </c>
    </row>
    <row r="2903" spans="1:25" x14ac:dyDescent="0.3">
      <c r="A2903">
        <v>145100</v>
      </c>
      <c r="B2903" t="s">
        <v>57366</v>
      </c>
      <c r="C2903" t="s">
        <v>57367</v>
      </c>
      <c r="D2903" t="s">
        <v>57368</v>
      </c>
      <c r="E2903" t="s">
        <v>57369</v>
      </c>
      <c r="F2903" t="s">
        <v>57370</v>
      </c>
      <c r="G2903" t="s">
        <v>57371</v>
      </c>
      <c r="H2903" t="s">
        <v>57372</v>
      </c>
      <c r="I2903" t="s">
        <v>57373</v>
      </c>
      <c r="J2903" t="s">
        <v>57374</v>
      </c>
      <c r="K2903" t="s">
        <v>57375</v>
      </c>
      <c r="L2903" t="s">
        <v>57376</v>
      </c>
      <c r="M2903" t="s">
        <v>57377</v>
      </c>
      <c r="N2903" t="s">
        <v>57378</v>
      </c>
      <c r="O2903" t="s">
        <v>57379</v>
      </c>
      <c r="P2903" t="s">
        <v>57380</v>
      </c>
      <c r="Q2903" t="s">
        <v>57381</v>
      </c>
      <c r="R2903" t="s">
        <v>57382</v>
      </c>
      <c r="S2903" t="s">
        <v>57383</v>
      </c>
      <c r="T2903" t="s">
        <v>57384</v>
      </c>
      <c r="U2903" t="s">
        <v>57385</v>
      </c>
      <c r="V2903" t="s">
        <v>57386</v>
      </c>
      <c r="W2903" t="s">
        <v>57387</v>
      </c>
      <c r="X2903" t="s">
        <v>57388</v>
      </c>
      <c r="Y2903" t="s">
        <v>57389</v>
      </c>
    </row>
    <row r="2904" spans="1:25" x14ac:dyDescent="0.3">
      <c r="A2904">
        <v>145150</v>
      </c>
      <c r="B2904" t="s">
        <v>57390</v>
      </c>
      <c r="C2904" t="s">
        <v>57391</v>
      </c>
      <c r="D2904" t="s">
        <v>57392</v>
      </c>
      <c r="E2904" t="s">
        <v>57393</v>
      </c>
      <c r="F2904" t="s">
        <v>57394</v>
      </c>
      <c r="G2904" t="s">
        <v>57395</v>
      </c>
      <c r="H2904" t="s">
        <v>57396</v>
      </c>
      <c r="I2904" t="s">
        <v>57397</v>
      </c>
      <c r="J2904" t="s">
        <v>57398</v>
      </c>
      <c r="K2904" t="s">
        <v>57399</v>
      </c>
      <c r="L2904" t="s">
        <v>57400</v>
      </c>
      <c r="M2904" t="s">
        <v>57401</v>
      </c>
      <c r="N2904" t="s">
        <v>57402</v>
      </c>
      <c r="O2904" t="s">
        <v>57403</v>
      </c>
      <c r="P2904" t="s">
        <v>57404</v>
      </c>
      <c r="Q2904" t="s">
        <v>57405</v>
      </c>
      <c r="R2904" t="s">
        <v>57406</v>
      </c>
      <c r="S2904" t="s">
        <v>57407</v>
      </c>
      <c r="T2904" t="s">
        <v>57408</v>
      </c>
      <c r="U2904" t="s">
        <v>57409</v>
      </c>
      <c r="V2904" t="s">
        <v>57410</v>
      </c>
      <c r="W2904" t="s">
        <v>57411</v>
      </c>
      <c r="X2904" t="s">
        <v>57412</v>
      </c>
      <c r="Y2904" t="s">
        <v>57413</v>
      </c>
    </row>
    <row r="2905" spans="1:25" x14ac:dyDescent="0.3">
      <c r="A2905">
        <v>145200</v>
      </c>
      <c r="B2905" t="s">
        <v>57414</v>
      </c>
      <c r="C2905" t="s">
        <v>57415</v>
      </c>
      <c r="D2905" t="s">
        <v>57416</v>
      </c>
      <c r="E2905" t="s">
        <v>57417</v>
      </c>
      <c r="F2905" t="s">
        <v>57418</v>
      </c>
      <c r="G2905" t="s">
        <v>57419</v>
      </c>
      <c r="H2905" t="s">
        <v>57420</v>
      </c>
      <c r="I2905" t="s">
        <v>57421</v>
      </c>
      <c r="J2905" t="s">
        <v>57422</v>
      </c>
      <c r="K2905" t="s">
        <v>57423</v>
      </c>
      <c r="L2905" t="s">
        <v>57424</v>
      </c>
      <c r="M2905" t="s">
        <v>57425</v>
      </c>
      <c r="N2905" t="s">
        <v>57426</v>
      </c>
      <c r="O2905" t="s">
        <v>57427</v>
      </c>
      <c r="P2905" t="s">
        <v>57428</v>
      </c>
      <c r="Q2905" t="s">
        <v>57429</v>
      </c>
      <c r="R2905" t="s">
        <v>57430</v>
      </c>
      <c r="S2905" t="s">
        <v>57431</v>
      </c>
      <c r="T2905" t="s">
        <v>57432</v>
      </c>
      <c r="U2905" t="s">
        <v>57433</v>
      </c>
      <c r="V2905" t="s">
        <v>57434</v>
      </c>
      <c r="W2905" t="s">
        <v>57435</v>
      </c>
      <c r="X2905" t="s">
        <v>57436</v>
      </c>
      <c r="Y2905" t="s">
        <v>57437</v>
      </c>
    </row>
    <row r="2906" spans="1:25" x14ac:dyDescent="0.3">
      <c r="A2906">
        <v>145250</v>
      </c>
      <c r="B2906" t="s">
        <v>57438</v>
      </c>
      <c r="C2906" t="s">
        <v>57439</v>
      </c>
      <c r="D2906" t="s">
        <v>57440</v>
      </c>
      <c r="E2906" t="s">
        <v>57441</v>
      </c>
      <c r="F2906" t="s">
        <v>57442</v>
      </c>
      <c r="G2906" t="s">
        <v>57443</v>
      </c>
      <c r="H2906" t="s">
        <v>57444</v>
      </c>
      <c r="I2906" t="s">
        <v>57445</v>
      </c>
      <c r="J2906" t="s">
        <v>57446</v>
      </c>
      <c r="K2906" t="s">
        <v>57447</v>
      </c>
      <c r="L2906" t="s">
        <v>57448</v>
      </c>
      <c r="M2906" t="s">
        <v>57449</v>
      </c>
      <c r="N2906" t="s">
        <v>57450</v>
      </c>
      <c r="O2906" t="s">
        <v>57451</v>
      </c>
      <c r="P2906" t="s">
        <v>57452</v>
      </c>
      <c r="Q2906" t="s">
        <v>57453</v>
      </c>
      <c r="R2906" t="s">
        <v>57454</v>
      </c>
      <c r="S2906" t="s">
        <v>57455</v>
      </c>
      <c r="T2906" t="s">
        <v>57456</v>
      </c>
      <c r="U2906" t="s">
        <v>57457</v>
      </c>
      <c r="V2906" t="s">
        <v>57458</v>
      </c>
      <c r="W2906" t="s">
        <v>57459</v>
      </c>
      <c r="X2906" t="s">
        <v>57460</v>
      </c>
      <c r="Y2906" t="s">
        <v>57461</v>
      </c>
    </row>
    <row r="2907" spans="1:25" x14ac:dyDescent="0.3">
      <c r="A2907">
        <v>145300</v>
      </c>
      <c r="B2907" t="s">
        <v>57462</v>
      </c>
      <c r="C2907" t="s">
        <v>57463</v>
      </c>
      <c r="D2907" t="s">
        <v>57464</v>
      </c>
      <c r="E2907" t="s">
        <v>57465</v>
      </c>
      <c r="F2907" t="s">
        <v>57466</v>
      </c>
      <c r="G2907" t="s">
        <v>57467</v>
      </c>
      <c r="H2907" t="s">
        <v>57468</v>
      </c>
      <c r="I2907" t="s">
        <v>57469</v>
      </c>
      <c r="J2907" t="s">
        <v>57470</v>
      </c>
      <c r="K2907" t="s">
        <v>57471</v>
      </c>
      <c r="L2907" t="s">
        <v>57472</v>
      </c>
      <c r="M2907" t="s">
        <v>57473</v>
      </c>
      <c r="N2907" t="s">
        <v>57474</v>
      </c>
      <c r="O2907" t="s">
        <v>57475</v>
      </c>
      <c r="P2907" t="s">
        <v>57476</v>
      </c>
      <c r="Q2907" t="s">
        <v>57477</v>
      </c>
      <c r="R2907" t="s">
        <v>57478</v>
      </c>
      <c r="S2907" t="s">
        <v>57479</v>
      </c>
      <c r="T2907" t="s">
        <v>57480</v>
      </c>
      <c r="U2907" t="s">
        <v>57481</v>
      </c>
      <c r="V2907" t="s">
        <v>57482</v>
      </c>
      <c r="W2907" t="s">
        <v>57483</v>
      </c>
      <c r="X2907" t="s">
        <v>57484</v>
      </c>
      <c r="Y2907" t="s">
        <v>57485</v>
      </c>
    </row>
    <row r="2908" spans="1:25" x14ac:dyDescent="0.3">
      <c r="A2908">
        <v>145350</v>
      </c>
      <c r="B2908" t="s">
        <v>57486</v>
      </c>
      <c r="C2908" t="s">
        <v>57487</v>
      </c>
      <c r="D2908" t="s">
        <v>57488</v>
      </c>
      <c r="E2908" t="s">
        <v>57489</v>
      </c>
      <c r="F2908" t="s">
        <v>57490</v>
      </c>
      <c r="G2908" t="s">
        <v>57491</v>
      </c>
      <c r="H2908" t="s">
        <v>57492</v>
      </c>
      <c r="I2908" t="s">
        <v>57493</v>
      </c>
      <c r="J2908" t="s">
        <v>57494</v>
      </c>
      <c r="K2908" t="s">
        <v>57495</v>
      </c>
      <c r="L2908" t="s">
        <v>57496</v>
      </c>
      <c r="M2908" t="s">
        <v>57497</v>
      </c>
      <c r="N2908" t="s">
        <v>57498</v>
      </c>
      <c r="O2908" t="s">
        <v>57499</v>
      </c>
      <c r="P2908" t="s">
        <v>57500</v>
      </c>
      <c r="Q2908" t="s">
        <v>57501</v>
      </c>
      <c r="R2908" t="s">
        <v>57502</v>
      </c>
      <c r="S2908" t="s">
        <v>57503</v>
      </c>
      <c r="T2908" t="s">
        <v>57504</v>
      </c>
      <c r="U2908" t="s">
        <v>57505</v>
      </c>
      <c r="V2908" t="s">
        <v>57506</v>
      </c>
      <c r="W2908" t="s">
        <v>57507</v>
      </c>
      <c r="X2908" t="s">
        <v>57508</v>
      </c>
      <c r="Y2908" t="s">
        <v>57509</v>
      </c>
    </row>
    <row r="2909" spans="1:25" x14ac:dyDescent="0.3">
      <c r="A2909">
        <v>145400</v>
      </c>
      <c r="B2909" t="s">
        <v>57510</v>
      </c>
      <c r="C2909" t="s">
        <v>57511</v>
      </c>
      <c r="D2909" t="s">
        <v>57512</v>
      </c>
      <c r="E2909" t="s">
        <v>57513</v>
      </c>
      <c r="F2909" t="s">
        <v>57514</v>
      </c>
      <c r="G2909" t="s">
        <v>57515</v>
      </c>
      <c r="H2909" t="s">
        <v>57516</v>
      </c>
      <c r="I2909" t="s">
        <v>57517</v>
      </c>
      <c r="J2909" t="s">
        <v>57518</v>
      </c>
      <c r="K2909" t="s">
        <v>57519</v>
      </c>
      <c r="L2909" t="s">
        <v>57520</v>
      </c>
      <c r="M2909" t="s">
        <v>57521</v>
      </c>
      <c r="N2909" t="s">
        <v>57522</v>
      </c>
      <c r="O2909" t="s">
        <v>57523</v>
      </c>
      <c r="P2909" t="s">
        <v>57524</v>
      </c>
      <c r="Q2909" t="s">
        <v>57525</v>
      </c>
      <c r="R2909" t="s">
        <v>57526</v>
      </c>
      <c r="S2909" t="s">
        <v>57527</v>
      </c>
      <c r="T2909" t="s">
        <v>57528</v>
      </c>
      <c r="U2909" t="s">
        <v>57529</v>
      </c>
      <c r="V2909" t="s">
        <v>57530</v>
      </c>
      <c r="W2909" t="s">
        <v>57531</v>
      </c>
      <c r="X2909" t="s">
        <v>57532</v>
      </c>
      <c r="Y2909" t="s">
        <v>57533</v>
      </c>
    </row>
    <row r="2910" spans="1:25" x14ac:dyDescent="0.3">
      <c r="A2910">
        <v>145450</v>
      </c>
      <c r="B2910" t="s">
        <v>57534</v>
      </c>
      <c r="C2910" t="s">
        <v>57535</v>
      </c>
      <c r="D2910" t="s">
        <v>57536</v>
      </c>
      <c r="E2910" t="s">
        <v>57537</v>
      </c>
      <c r="F2910" t="s">
        <v>57538</v>
      </c>
      <c r="G2910" t="s">
        <v>57539</v>
      </c>
      <c r="H2910" t="s">
        <v>57540</v>
      </c>
      <c r="I2910" t="s">
        <v>57541</v>
      </c>
      <c r="J2910" t="s">
        <v>57542</v>
      </c>
      <c r="K2910" t="s">
        <v>57543</v>
      </c>
      <c r="L2910" t="s">
        <v>57544</v>
      </c>
      <c r="M2910" t="s">
        <v>57545</v>
      </c>
      <c r="N2910" t="s">
        <v>57546</v>
      </c>
      <c r="O2910" t="s">
        <v>57547</v>
      </c>
      <c r="P2910" t="s">
        <v>57548</v>
      </c>
      <c r="Q2910" t="s">
        <v>57549</v>
      </c>
      <c r="R2910" t="s">
        <v>57550</v>
      </c>
      <c r="S2910" t="s">
        <v>57551</v>
      </c>
      <c r="T2910" t="s">
        <v>57552</v>
      </c>
      <c r="U2910" t="s">
        <v>57553</v>
      </c>
      <c r="V2910" t="s">
        <v>57554</v>
      </c>
      <c r="W2910" t="s">
        <v>57555</v>
      </c>
      <c r="X2910" t="s">
        <v>57556</v>
      </c>
      <c r="Y2910" t="s">
        <v>57557</v>
      </c>
    </row>
    <row r="2911" spans="1:25" x14ac:dyDescent="0.3">
      <c r="A2911">
        <v>145500</v>
      </c>
      <c r="B2911" t="s">
        <v>57558</v>
      </c>
      <c r="C2911" t="s">
        <v>57559</v>
      </c>
      <c r="D2911" t="s">
        <v>57560</v>
      </c>
      <c r="E2911" t="s">
        <v>57561</v>
      </c>
      <c r="F2911" t="s">
        <v>57562</v>
      </c>
      <c r="G2911" t="s">
        <v>57563</v>
      </c>
      <c r="H2911" t="s">
        <v>57564</v>
      </c>
      <c r="I2911" t="s">
        <v>57565</v>
      </c>
      <c r="J2911" t="s">
        <v>57566</v>
      </c>
      <c r="K2911" t="s">
        <v>57567</v>
      </c>
      <c r="L2911" t="s">
        <v>57568</v>
      </c>
      <c r="M2911" t="s">
        <v>57569</v>
      </c>
      <c r="N2911" t="s">
        <v>57570</v>
      </c>
      <c r="O2911" t="s">
        <v>57571</v>
      </c>
      <c r="P2911" t="s">
        <v>57572</v>
      </c>
      <c r="Q2911" t="s">
        <v>57573</v>
      </c>
      <c r="R2911" t="s">
        <v>57574</v>
      </c>
      <c r="S2911" t="s">
        <v>57575</v>
      </c>
      <c r="T2911" t="s">
        <v>57576</v>
      </c>
      <c r="U2911" t="s">
        <v>57577</v>
      </c>
      <c r="V2911" t="s">
        <v>57578</v>
      </c>
      <c r="W2911" t="s">
        <v>57579</v>
      </c>
      <c r="X2911" t="s">
        <v>57580</v>
      </c>
      <c r="Y2911" t="s">
        <v>57581</v>
      </c>
    </row>
    <row r="2912" spans="1:25" x14ac:dyDescent="0.3">
      <c r="A2912">
        <v>145550</v>
      </c>
      <c r="B2912" t="s">
        <v>57582</v>
      </c>
      <c r="C2912" t="s">
        <v>57583</v>
      </c>
      <c r="D2912" t="s">
        <v>57584</v>
      </c>
      <c r="E2912" t="s">
        <v>57585</v>
      </c>
      <c r="F2912" t="s">
        <v>57586</v>
      </c>
      <c r="G2912" t="s">
        <v>57587</v>
      </c>
      <c r="H2912" t="s">
        <v>57588</v>
      </c>
      <c r="I2912" t="s">
        <v>57589</v>
      </c>
      <c r="J2912" t="s">
        <v>57590</v>
      </c>
      <c r="K2912" t="s">
        <v>57591</v>
      </c>
      <c r="L2912" t="s">
        <v>57592</v>
      </c>
      <c r="M2912" t="s">
        <v>57593</v>
      </c>
      <c r="N2912" t="s">
        <v>57594</v>
      </c>
      <c r="O2912" t="s">
        <v>57595</v>
      </c>
      <c r="P2912" t="s">
        <v>57596</v>
      </c>
      <c r="Q2912" t="s">
        <v>57597</v>
      </c>
      <c r="R2912" t="s">
        <v>57598</v>
      </c>
      <c r="S2912" t="s">
        <v>57599</v>
      </c>
      <c r="T2912" t="s">
        <v>57600</v>
      </c>
      <c r="U2912" t="s">
        <v>57601</v>
      </c>
      <c r="V2912" t="s">
        <v>57602</v>
      </c>
      <c r="W2912" t="s">
        <v>57603</v>
      </c>
      <c r="X2912" t="s">
        <v>57604</v>
      </c>
      <c r="Y2912" t="s">
        <v>57605</v>
      </c>
    </row>
    <row r="2913" spans="1:25" x14ac:dyDescent="0.3">
      <c r="A2913">
        <v>145600</v>
      </c>
      <c r="B2913" t="s">
        <v>57606</v>
      </c>
      <c r="C2913" t="s">
        <v>57607</v>
      </c>
      <c r="D2913" t="s">
        <v>57608</v>
      </c>
      <c r="E2913" t="s">
        <v>57609</v>
      </c>
      <c r="F2913" t="s">
        <v>57610</v>
      </c>
      <c r="G2913" t="s">
        <v>57611</v>
      </c>
      <c r="H2913" t="s">
        <v>57612</v>
      </c>
      <c r="I2913" t="s">
        <v>57613</v>
      </c>
      <c r="J2913" t="s">
        <v>57614</v>
      </c>
      <c r="K2913" t="s">
        <v>57615</v>
      </c>
      <c r="L2913" t="s">
        <v>57616</v>
      </c>
      <c r="M2913" t="s">
        <v>57617</v>
      </c>
      <c r="N2913" t="s">
        <v>57618</v>
      </c>
      <c r="O2913" t="s">
        <v>57619</v>
      </c>
      <c r="P2913" t="s">
        <v>57620</v>
      </c>
      <c r="Q2913" t="s">
        <v>57621</v>
      </c>
      <c r="R2913" t="s">
        <v>57622</v>
      </c>
      <c r="S2913" t="s">
        <v>57623</v>
      </c>
      <c r="T2913" t="s">
        <v>57624</v>
      </c>
      <c r="U2913" t="s">
        <v>57625</v>
      </c>
      <c r="V2913" t="s">
        <v>57626</v>
      </c>
      <c r="W2913" t="s">
        <v>57627</v>
      </c>
      <c r="X2913" t="s">
        <v>57628</v>
      </c>
      <c r="Y2913" t="s">
        <v>57629</v>
      </c>
    </row>
    <row r="2914" spans="1:25" x14ac:dyDescent="0.3">
      <c r="A2914">
        <v>145650</v>
      </c>
      <c r="B2914" t="s">
        <v>57630</v>
      </c>
      <c r="C2914" t="s">
        <v>57631</v>
      </c>
      <c r="D2914" t="s">
        <v>57632</v>
      </c>
      <c r="E2914" t="s">
        <v>57633</v>
      </c>
      <c r="F2914" t="s">
        <v>57634</v>
      </c>
      <c r="G2914" t="s">
        <v>57635</v>
      </c>
      <c r="H2914" t="s">
        <v>57636</v>
      </c>
      <c r="I2914" t="s">
        <v>57637</v>
      </c>
      <c r="J2914" t="s">
        <v>57638</v>
      </c>
      <c r="K2914" t="s">
        <v>57639</v>
      </c>
      <c r="L2914" t="s">
        <v>57640</v>
      </c>
      <c r="M2914" t="s">
        <v>57641</v>
      </c>
      <c r="N2914" t="s">
        <v>57642</v>
      </c>
      <c r="O2914" t="s">
        <v>57643</v>
      </c>
      <c r="P2914" t="s">
        <v>57644</v>
      </c>
      <c r="Q2914" t="s">
        <v>57645</v>
      </c>
      <c r="R2914" t="s">
        <v>57646</v>
      </c>
      <c r="S2914" t="s">
        <v>57647</v>
      </c>
      <c r="T2914" t="s">
        <v>57648</v>
      </c>
      <c r="U2914" t="s">
        <v>57649</v>
      </c>
      <c r="V2914" t="s">
        <v>57650</v>
      </c>
      <c r="W2914" t="s">
        <v>57651</v>
      </c>
      <c r="X2914" t="s">
        <v>57652</v>
      </c>
      <c r="Y2914" t="s">
        <v>57653</v>
      </c>
    </row>
    <row r="2915" spans="1:25" x14ac:dyDescent="0.3">
      <c r="A2915">
        <v>145700</v>
      </c>
      <c r="B2915" t="s">
        <v>57654</v>
      </c>
      <c r="C2915" t="s">
        <v>57655</v>
      </c>
      <c r="D2915" t="s">
        <v>57656</v>
      </c>
      <c r="E2915" t="s">
        <v>57657</v>
      </c>
      <c r="F2915" t="s">
        <v>57658</v>
      </c>
      <c r="G2915" t="s">
        <v>57659</v>
      </c>
      <c r="H2915" t="s">
        <v>57660</v>
      </c>
      <c r="I2915" t="s">
        <v>57661</v>
      </c>
      <c r="J2915" t="s">
        <v>57662</v>
      </c>
      <c r="K2915" t="s">
        <v>57663</v>
      </c>
      <c r="L2915" t="s">
        <v>57664</v>
      </c>
      <c r="M2915" t="s">
        <v>57665</v>
      </c>
      <c r="N2915" t="s">
        <v>57666</v>
      </c>
      <c r="O2915" t="s">
        <v>57667</v>
      </c>
      <c r="P2915" t="s">
        <v>57668</v>
      </c>
      <c r="Q2915" t="s">
        <v>57669</v>
      </c>
      <c r="R2915" t="s">
        <v>57670</v>
      </c>
      <c r="S2915" t="s">
        <v>57671</v>
      </c>
      <c r="T2915" t="s">
        <v>57672</v>
      </c>
      <c r="U2915" t="s">
        <v>57673</v>
      </c>
      <c r="V2915" t="s">
        <v>57674</v>
      </c>
      <c r="W2915" t="s">
        <v>57675</v>
      </c>
      <c r="X2915" t="s">
        <v>57676</v>
      </c>
      <c r="Y2915" t="s">
        <v>57677</v>
      </c>
    </row>
    <row r="2916" spans="1:25" x14ac:dyDescent="0.3">
      <c r="A2916">
        <v>145750</v>
      </c>
      <c r="B2916" t="s">
        <v>57678</v>
      </c>
      <c r="C2916" t="s">
        <v>57679</v>
      </c>
      <c r="D2916" t="s">
        <v>57680</v>
      </c>
      <c r="E2916" t="s">
        <v>57681</v>
      </c>
      <c r="F2916" t="s">
        <v>57682</v>
      </c>
      <c r="G2916" t="s">
        <v>57683</v>
      </c>
      <c r="H2916" t="s">
        <v>57684</v>
      </c>
      <c r="I2916" t="s">
        <v>57685</v>
      </c>
      <c r="J2916" t="s">
        <v>57686</v>
      </c>
      <c r="K2916" t="s">
        <v>57687</v>
      </c>
      <c r="L2916" t="s">
        <v>57688</v>
      </c>
      <c r="M2916" t="s">
        <v>57689</v>
      </c>
      <c r="N2916" t="s">
        <v>57690</v>
      </c>
      <c r="O2916" t="s">
        <v>57691</v>
      </c>
      <c r="P2916" t="s">
        <v>57692</v>
      </c>
      <c r="Q2916" t="s">
        <v>57693</v>
      </c>
      <c r="R2916" t="s">
        <v>57694</v>
      </c>
      <c r="S2916" t="s">
        <v>57695</v>
      </c>
      <c r="T2916" t="s">
        <v>57696</v>
      </c>
      <c r="U2916" t="s">
        <v>57697</v>
      </c>
      <c r="V2916" t="s">
        <v>57698</v>
      </c>
      <c r="W2916" t="s">
        <v>57699</v>
      </c>
      <c r="X2916" t="s">
        <v>57700</v>
      </c>
      <c r="Y2916" t="s">
        <v>57701</v>
      </c>
    </row>
    <row r="2917" spans="1:25" x14ac:dyDescent="0.3">
      <c r="A2917">
        <v>145800</v>
      </c>
      <c r="B2917" t="s">
        <v>57702</v>
      </c>
      <c r="C2917" t="s">
        <v>57703</v>
      </c>
      <c r="D2917" t="s">
        <v>57704</v>
      </c>
      <c r="E2917" t="s">
        <v>57705</v>
      </c>
      <c r="F2917" t="s">
        <v>57706</v>
      </c>
      <c r="G2917" t="s">
        <v>57707</v>
      </c>
      <c r="H2917" t="s">
        <v>57708</v>
      </c>
      <c r="I2917" t="s">
        <v>57709</v>
      </c>
      <c r="J2917" t="s">
        <v>57710</v>
      </c>
      <c r="K2917" t="s">
        <v>57711</v>
      </c>
      <c r="L2917" t="s">
        <v>57712</v>
      </c>
      <c r="M2917" t="s">
        <v>57713</v>
      </c>
      <c r="N2917" t="s">
        <v>57714</v>
      </c>
      <c r="O2917" t="s">
        <v>57715</v>
      </c>
      <c r="P2917" t="s">
        <v>57716</v>
      </c>
      <c r="Q2917" t="s">
        <v>57717</v>
      </c>
      <c r="R2917" t="s">
        <v>57718</v>
      </c>
      <c r="S2917" t="s">
        <v>57719</v>
      </c>
      <c r="T2917" t="s">
        <v>57720</v>
      </c>
      <c r="U2917" t="s">
        <v>57721</v>
      </c>
      <c r="V2917" t="s">
        <v>57722</v>
      </c>
      <c r="W2917" t="s">
        <v>57723</v>
      </c>
      <c r="X2917" t="s">
        <v>57724</v>
      </c>
      <c r="Y2917" t="s">
        <v>57725</v>
      </c>
    </row>
    <row r="2918" spans="1:25" x14ac:dyDescent="0.3">
      <c r="A2918">
        <v>145850</v>
      </c>
      <c r="B2918" t="s">
        <v>57726</v>
      </c>
      <c r="C2918" t="s">
        <v>57727</v>
      </c>
      <c r="D2918" t="s">
        <v>57728</v>
      </c>
      <c r="E2918" t="s">
        <v>57729</v>
      </c>
      <c r="F2918" t="s">
        <v>57730</v>
      </c>
      <c r="G2918" t="s">
        <v>57731</v>
      </c>
      <c r="H2918" t="s">
        <v>57732</v>
      </c>
      <c r="I2918" t="s">
        <v>57733</v>
      </c>
      <c r="J2918" t="s">
        <v>57734</v>
      </c>
      <c r="K2918" t="s">
        <v>57735</v>
      </c>
      <c r="L2918" t="s">
        <v>57736</v>
      </c>
      <c r="M2918" t="s">
        <v>57737</v>
      </c>
      <c r="N2918" t="s">
        <v>57738</v>
      </c>
      <c r="O2918" t="s">
        <v>57739</v>
      </c>
      <c r="P2918" t="s">
        <v>57740</v>
      </c>
      <c r="Q2918" t="s">
        <v>57741</v>
      </c>
      <c r="R2918" t="s">
        <v>57742</v>
      </c>
      <c r="S2918" t="s">
        <v>57743</v>
      </c>
      <c r="T2918" t="s">
        <v>57744</v>
      </c>
      <c r="U2918" t="s">
        <v>57745</v>
      </c>
      <c r="V2918" t="s">
        <v>57746</v>
      </c>
      <c r="W2918" t="s">
        <v>57747</v>
      </c>
      <c r="X2918" t="s">
        <v>57748</v>
      </c>
      <c r="Y2918" t="s">
        <v>57749</v>
      </c>
    </row>
    <row r="2919" spans="1:25" x14ac:dyDescent="0.3">
      <c r="A2919">
        <v>145900</v>
      </c>
      <c r="B2919" t="s">
        <v>57750</v>
      </c>
      <c r="C2919" t="s">
        <v>57751</v>
      </c>
      <c r="D2919" t="s">
        <v>57752</v>
      </c>
      <c r="E2919" t="s">
        <v>57753</v>
      </c>
      <c r="F2919" t="s">
        <v>57754</v>
      </c>
      <c r="G2919" t="s">
        <v>57755</v>
      </c>
      <c r="H2919" t="s">
        <v>57756</v>
      </c>
      <c r="I2919" t="s">
        <v>57757</v>
      </c>
      <c r="J2919" t="s">
        <v>57758</v>
      </c>
      <c r="K2919" t="s">
        <v>57759</v>
      </c>
      <c r="L2919" t="s">
        <v>57760</v>
      </c>
      <c r="M2919" t="s">
        <v>57761</v>
      </c>
      <c r="N2919" t="s">
        <v>57762</v>
      </c>
      <c r="O2919" t="s">
        <v>57763</v>
      </c>
      <c r="P2919" t="s">
        <v>57764</v>
      </c>
      <c r="Q2919" t="s">
        <v>57765</v>
      </c>
      <c r="R2919" t="s">
        <v>57766</v>
      </c>
      <c r="S2919" t="s">
        <v>57767</v>
      </c>
      <c r="T2919" t="s">
        <v>57768</v>
      </c>
      <c r="U2919" t="s">
        <v>57769</v>
      </c>
      <c r="V2919" t="s">
        <v>57770</v>
      </c>
      <c r="W2919" t="s">
        <v>57771</v>
      </c>
      <c r="X2919" t="s">
        <v>57772</v>
      </c>
      <c r="Y2919" t="s">
        <v>57773</v>
      </c>
    </row>
    <row r="2920" spans="1:25" x14ac:dyDescent="0.3">
      <c r="A2920">
        <v>145950</v>
      </c>
      <c r="B2920" t="s">
        <v>57774</v>
      </c>
      <c r="C2920" t="s">
        <v>57775</v>
      </c>
      <c r="D2920" t="s">
        <v>57776</v>
      </c>
      <c r="E2920" t="s">
        <v>57777</v>
      </c>
      <c r="F2920" t="s">
        <v>57778</v>
      </c>
      <c r="G2920" t="s">
        <v>57779</v>
      </c>
      <c r="H2920" t="s">
        <v>57780</v>
      </c>
      <c r="I2920" t="s">
        <v>57781</v>
      </c>
      <c r="J2920" t="s">
        <v>57782</v>
      </c>
      <c r="K2920" t="s">
        <v>57783</v>
      </c>
      <c r="L2920" t="s">
        <v>57784</v>
      </c>
      <c r="M2920" t="s">
        <v>57785</v>
      </c>
      <c r="N2920" t="s">
        <v>57786</v>
      </c>
      <c r="O2920" t="s">
        <v>57787</v>
      </c>
      <c r="P2920" t="s">
        <v>57788</v>
      </c>
      <c r="Q2920" t="s">
        <v>57789</v>
      </c>
      <c r="R2920" t="s">
        <v>57790</v>
      </c>
      <c r="S2920" t="s">
        <v>57791</v>
      </c>
      <c r="T2920" t="s">
        <v>57792</v>
      </c>
      <c r="U2920" t="s">
        <v>57793</v>
      </c>
      <c r="V2920" t="s">
        <v>57794</v>
      </c>
      <c r="W2920" t="s">
        <v>57795</v>
      </c>
      <c r="X2920" t="s">
        <v>57796</v>
      </c>
      <c r="Y2920" t="s">
        <v>57797</v>
      </c>
    </row>
    <row r="2921" spans="1:25" x14ac:dyDescent="0.3">
      <c r="A2921">
        <v>146000</v>
      </c>
      <c r="B2921" t="s">
        <v>57798</v>
      </c>
      <c r="C2921" t="s">
        <v>57799</v>
      </c>
      <c r="D2921" t="s">
        <v>57800</v>
      </c>
      <c r="E2921" t="s">
        <v>57801</v>
      </c>
      <c r="F2921" t="s">
        <v>57802</v>
      </c>
      <c r="G2921" t="s">
        <v>57803</v>
      </c>
      <c r="H2921" t="s">
        <v>57804</v>
      </c>
      <c r="I2921" t="s">
        <v>57805</v>
      </c>
      <c r="J2921" t="s">
        <v>57806</v>
      </c>
      <c r="K2921" t="s">
        <v>57807</v>
      </c>
      <c r="L2921" t="s">
        <v>57808</v>
      </c>
      <c r="M2921" t="s">
        <v>57809</v>
      </c>
      <c r="N2921" t="s">
        <v>57810</v>
      </c>
      <c r="O2921" t="s">
        <v>57811</v>
      </c>
      <c r="P2921" t="s">
        <v>57812</v>
      </c>
      <c r="Q2921" t="s">
        <v>57813</v>
      </c>
      <c r="R2921" t="s">
        <v>57814</v>
      </c>
      <c r="S2921" t="s">
        <v>57815</v>
      </c>
      <c r="T2921" t="s">
        <v>57816</v>
      </c>
      <c r="U2921" t="s">
        <v>57817</v>
      </c>
      <c r="V2921" t="s">
        <v>57818</v>
      </c>
      <c r="W2921" t="s">
        <v>57819</v>
      </c>
      <c r="X2921" t="s">
        <v>57820</v>
      </c>
      <c r="Y2921" t="s">
        <v>57821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20170724T1659-50ms-XSens-Positi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2017-09-01T07:29:29Z</dcterms:created>
  <dcterms:modified xsi:type="dcterms:W3CDTF">2017-09-01T07:29:31Z</dcterms:modified>
</cp:coreProperties>
</file>