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"/>
    </mc:Choice>
  </mc:AlternateContent>
  <bookViews>
    <workbookView xWindow="0" yWindow="0" windowWidth="38400" windowHeight="17700" activeTab="1"/>
  </bookViews>
  <sheets>
    <sheet name="costs (SI metric)" sheetId="5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G59" i="1" l="1"/>
  <c r="G61" i="1" s="1"/>
  <c r="G8" i="1" l="1"/>
  <c r="F33" i="5" l="1"/>
  <c r="F32" i="5"/>
  <c r="F16" i="5"/>
  <c r="F13" i="5"/>
  <c r="F12" i="5"/>
  <c r="D47" i="5" l="1"/>
  <c r="G47" i="5" s="1"/>
  <c r="D33" i="5"/>
  <c r="D31" i="5"/>
  <c r="D58" i="5"/>
  <c r="G46" i="5"/>
  <c r="G45" i="5"/>
  <c r="G44" i="5"/>
  <c r="G43" i="5"/>
  <c r="G42" i="5"/>
  <c r="G41" i="5"/>
  <c r="G40" i="5"/>
  <c r="G37" i="5"/>
  <c r="D37" i="5"/>
  <c r="G36" i="5"/>
  <c r="G38" i="5" s="1"/>
  <c r="G33" i="5"/>
  <c r="G32" i="5"/>
  <c r="D32" i="5"/>
  <c r="G31" i="5"/>
  <c r="G30" i="5"/>
  <c r="G29" i="5"/>
  <c r="F26" i="5"/>
  <c r="G26" i="5" s="1"/>
  <c r="F25" i="5"/>
  <c r="G25" i="5" s="1"/>
  <c r="G24" i="5"/>
  <c r="F24" i="5"/>
  <c r="F23" i="5"/>
  <c r="G23" i="5" s="1"/>
  <c r="G22" i="5"/>
  <c r="G21" i="5"/>
  <c r="D20" i="5"/>
  <c r="G20" i="5" s="1"/>
  <c r="D19" i="5"/>
  <c r="G19" i="5" s="1"/>
  <c r="G16" i="5"/>
  <c r="D15" i="5"/>
  <c r="G15" i="5" s="1"/>
  <c r="D14" i="5"/>
  <c r="G14" i="5" s="1"/>
  <c r="G13" i="5"/>
  <c r="D13" i="5"/>
  <c r="G12" i="5"/>
  <c r="G17" i="5" s="1"/>
  <c r="G9" i="5"/>
  <c r="G8" i="5"/>
  <c r="F7" i="5"/>
  <c r="G7" i="5" s="1"/>
  <c r="G34" i="5" l="1"/>
  <c r="G27" i="5"/>
  <c r="G10" i="5"/>
  <c r="G48" i="5"/>
  <c r="G50" i="5" l="1"/>
  <c r="G56" i="5" s="1"/>
  <c r="G58" i="5" l="1"/>
  <c r="G55" i="5"/>
  <c r="F25" i="1"/>
  <c r="F7" i="1"/>
  <c r="G47" i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F33" i="1"/>
  <c r="G33" i="1"/>
  <c r="D33" i="1"/>
  <c r="F32" i="1"/>
  <c r="G32" i="1" s="1"/>
  <c r="G34" i="1" s="1"/>
  <c r="D32" i="1"/>
  <c r="G31" i="1"/>
  <c r="D31" i="1"/>
  <c r="D30" i="1"/>
  <c r="G30" i="1"/>
  <c r="G29" i="1"/>
  <c r="D29" i="1"/>
  <c r="F26" i="1"/>
  <c r="G26" i="1" s="1"/>
  <c r="D26" i="1"/>
  <c r="G25" i="1"/>
  <c r="D25" i="1"/>
  <c r="F24" i="1"/>
  <c r="G24" i="1" s="1"/>
  <c r="F23" i="1"/>
  <c r="G23" i="1"/>
  <c r="D22" i="1"/>
  <c r="G22" i="1"/>
  <c r="D21" i="1"/>
  <c r="G21" i="1"/>
  <c r="D20" i="1"/>
  <c r="G20" i="1"/>
  <c r="G19" i="1"/>
  <c r="D19" i="1"/>
  <c r="F16" i="1"/>
  <c r="G16" i="1" s="1"/>
  <c r="D15" i="1"/>
  <c r="G15" i="1"/>
  <c r="D14" i="1"/>
  <c r="G14" i="1"/>
  <c r="F13" i="1"/>
  <c r="G13" i="1" s="1"/>
  <c r="D13" i="1"/>
  <c r="G9" i="1"/>
  <c r="G7" i="1"/>
  <c r="G10" i="1" s="1"/>
  <c r="G38" i="1"/>
  <c r="G27" i="1" l="1"/>
  <c r="F12" i="1"/>
  <c r="G12" i="1" s="1"/>
  <c r="G60" i="5"/>
  <c r="G2" i="5" s="1"/>
  <c r="I2" i="5" s="1"/>
  <c r="G17" i="1"/>
  <c r="G50" i="1" s="1"/>
  <c r="G55" i="1" l="1"/>
  <c r="G56" i="1"/>
  <c r="G58" i="1"/>
  <c r="G2" i="1" l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<sst xmlns="http://schemas.openxmlformats.org/spreadsheetml/2006/main" count="315" uniqueCount="125">
  <si>
    <t>Reach:</t>
  </si>
  <si>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</si>
  <si>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</si>
  <si>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</si>
  <si>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</si>
  <si>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</si>
  <si>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</si>
  <si>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</si>
  <si>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</si>
  <si>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</si>
  <si>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</si>
  <si>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</si>
  <si>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</si>
  <si>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</si>
  <si>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</si>
  <si>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</si>
  <si>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</si>
  <si>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</si>
  <si>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</si>
  <si>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</si>
  <si>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</si>
  <si>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</si>
  <si>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</si>
  <si>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</si>
  <si>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</si>
  <si>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</si>
  <si>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</si>
  <si>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</si>
  <si>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</si>
  <si>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</si>
  <si>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</si>
  <si>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</si>
  <si>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</si>
  <si>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</si>
  <si>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</si>
  <si>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</si>
  <si>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</si>
  <si>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</si>
  <si>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</si>
  <si>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</si>
  <si>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</si>
  <si>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</si>
  <si>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</si>
  <si>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</si>
  <si>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</si>
  <si>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</si>
  <si>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</si>
  <si>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</si>
  <si>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</si>
  <si>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</si>
  <si>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</si>
  <si>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</si>
  <si>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</si>
  <si>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</si>
  <si>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</si>
  <si>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</si>
  <si>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</si>
  <si>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</si>
  <si>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</si>
  <si>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</si>
  <si>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</si>
  <si>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</si>
  <si>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</si>
  <si>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</si>
  <si>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</si>
  <si>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</si>
  <si>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</si>
  <si>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</si>
  <si>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</si>
  <si>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</si>
  <si>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</si>
  <si>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</si>
  <si>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</si>
  <si>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</si>
  <si>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</si>
  <si>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</si>
  <si>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</si>
  <si>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</si>
  <si>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</si>
  <si>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</si>
  <si>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</si>
  <si>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</si>
  <si>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</si>
  <si>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</si>
  <si>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</si>
  <si>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</si>
  <si>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</si>
  <si>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</si>
  <si>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</si>
  <si>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</si>
  <si>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</si>
  <si>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</si>
  <si>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</si>
  <si>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</si>
  <si>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</si>
  <si>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</si>
  <si>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</si>
  <si>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</si>
  <si>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</si>
  <si>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</si>
  <si>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</si>
  <si>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REACH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</si>
  <si>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</si>
  <si>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</si>
  <si>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</si>
  <si>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</si>
  <si>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</si>
  <si>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</si>
  <si>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</si>
  <si>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</si>
  <si>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</si>
  <si>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</si>
  <si>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</si>
  <si>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</si>
  <si>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</si>
  <si>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r>
      <rPr>
        <sz val="11"/>
        <color theme="1" tint="0.499984740745262"/>
        <rFont val="Courier New"/>
        <family val="3"/>
      </rPr>
      <t>…/RiverArchitect/ModifyTerrain/Workbooks/</t>
    </r>
    <r>
      <rPr>
        <sz val="11"/>
        <color theme="1"/>
        <rFont val="Courier New"/>
        <family val="3"/>
      </rPr>
      <t>condition_volumes.xlsx</t>
    </r>
  </si>
  <si>
    <t>Generated  with the RiverArchitect's ModifyTerrain module</t>
  </si>
  <si>
    <t>Project return
(US $ per m² net gain in AUA)</t>
  </si>
  <si>
    <t>Net gain in AUA (m²/yr):</t>
  </si>
  <si>
    <t>Project return
(US $ per ac net gain in AUA)</t>
  </si>
  <si>
    <t>Net gain in AUA (ac/yr):</t>
  </si>
  <si>
    <t>FEES AND LICENSING</t>
  </si>
  <si>
    <t>Markups (overhead, profit, insurance) and Engineering fees</t>
  </si>
  <si>
    <t>Permitting</t>
  </si>
  <si>
    <t>LCH (2012)
Cramer (2012)
Johnson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</si>
</sst>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72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  <xf numFmtId="167" fontId="8" fillId="0" borderId="0" xfId="1" applyNumberFormat="1" applyFont="1" applyAlignment="1">
      <alignment horizontal="center" vertical="center"/>
    </xf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zoomScaleNormal="100" workbookViewId="0">
      <selection activeCell="K10" sqref="K10"/>
    </sheetView>
  </sheetViews>
  <sheetFormatPr defaultRowHeight="16.5" x14ac:dyDescent="0.3"/>
  <cols>
    <col min="1" max="2" width="9.140625" style="132" customWidth="1"/>
    <col min="3" max="3" width="29.85546875" style="132" customWidth="1"/>
    <col min="4" max="4" width="10.7109375" style="133" bestFit="1" customWidth="1"/>
    <col min="5" max="5" width="9.140625" style="134" customWidth="1"/>
    <col min="6" max="6" width="17.42578125" style="135" customWidth="1"/>
    <col min="7" max="7" width="18.28515625" style="136" customWidth="1"/>
    <col min="8" max="8" width="34.28515625" style="137" customWidth="1"/>
    <col min="9" max="9" width="20.28515625" style="138" customWidth="1"/>
    <col min="10" max="10" width="9.140625" style="132" customWidth="1"/>
    <col min="11" max="11" width="12.42578125" style="132" customWidth="1"/>
    <col min="12" max="20" width="9.140625" style="132" customWidth="1"/>
    <col min="21" max="16384" width="9.140625" style="132"/>
  </cols>
  <sheetData>
    <row r="1" spans="2:11" ht="17.25" customHeight="1" thickBot="1" x14ac:dyDescent="0.35">
      <c r="B1" s="161" t="s">
        <v>107</v>
      </c>
      <c r="C1" s="161"/>
      <c r="D1" s="161"/>
      <c r="E1" s="161"/>
      <c r="F1" s="161"/>
      <c r="G1" s="161"/>
      <c r="H1" s="161"/>
      <c r="I1" s="161"/>
    </row>
    <row r="2" spans="2:11" ht="16.5" customHeight="1" x14ac:dyDescent="0.3">
      <c r="B2" s="75" t="s">
        <v>0</v>
      </c>
      <c r="C2" s="76" t="s">
        <v>101</v>
      </c>
      <c r="D2" s="77"/>
      <c r="E2" s="73"/>
      <c r="F2" s="74" t="s">
        <v>1</v>
      </c>
      <c r="G2" s="98">
        <f>G60</f>
        <v>0</v>
      </c>
      <c r="H2" s="162" t="s">
        <v>117</v>
      </c>
      <c r="I2" s="163" t="str">
        <f>IF(NOT(OR(ISBLANK(G2), ISBLANK(G3))),G2/G3,"")</f>
        <v/>
      </c>
      <c r="J2" s="81"/>
      <c r="K2" s="164" t="s">
        <v>99</v>
      </c>
    </row>
    <row r="3" spans="2:11" ht="17.25" customHeight="1" thickBot="1" x14ac:dyDescent="0.35">
      <c r="B3" s="78" t="s">
        <v>2</v>
      </c>
      <c r="C3" s="79" t="s">
        <v>100</v>
      </c>
      <c r="D3" s="80"/>
      <c r="E3" s="166" t="s">
        <v>118</v>
      </c>
      <c r="F3" s="146"/>
      <c r="G3" s="99"/>
      <c r="H3" s="149"/>
      <c r="I3" s="150"/>
      <c r="J3" s="81"/>
      <c r="K3" s="165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39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139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39" customFormat="1" ht="16.5" customHeight="1" x14ac:dyDescent="0.25">
      <c r="B7" s="160" t="s">
        <v>11</v>
      </c>
      <c r="C7" s="1" t="s">
        <v>12</v>
      </c>
      <c r="D7" s="105">
        <v>5.4399999999999997E-2</v>
      </c>
      <c r="E7" s="2" t="s">
        <v>108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139" customFormat="1" ht="49.5" customHeight="1" x14ac:dyDescent="0.25">
      <c r="B8" s="157"/>
      <c r="C8" s="5" t="s">
        <v>15</v>
      </c>
      <c r="D8" s="107">
        <v>10</v>
      </c>
      <c r="E8" s="6" t="s">
        <v>109</v>
      </c>
      <c r="F8" s="57" t="s">
        <v>17</v>
      </c>
      <c r="G8" s="108">
        <f>D8/2*MIN(terraforming_volumes!C5,terraforming_volumes!C6)+'costs (SI metric)'!D8*(MAX(terraforming_volumes!C5,terraforming_volumes!C6)-MIN(terraforming_volumes!C5,terraforming_volumes!C6))</f>
        <v>0</v>
      </c>
      <c r="H8" s="7" t="s">
        <v>18</v>
      </c>
      <c r="I8" s="8" t="s">
        <v>103</v>
      </c>
    </row>
    <row r="9" spans="2:11" s="139" customFormat="1" ht="16.5" customHeight="1" x14ac:dyDescent="0.25">
      <c r="B9" s="157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139" customFormat="1" ht="16.5" customHeight="1" x14ac:dyDescent="0.25">
      <c r="B10" s="156" t="s">
        <v>22</v>
      </c>
      <c r="C10" s="157"/>
      <c r="D10" s="157"/>
      <c r="E10" s="157"/>
      <c r="F10" s="157"/>
      <c r="G10" s="111">
        <f>SUM(G7:G9)</f>
        <v>0</v>
      </c>
      <c r="H10" s="43"/>
      <c r="I10" s="44"/>
    </row>
    <row r="11" spans="2:11" s="139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139" customFormat="1" ht="16.5" customHeight="1" x14ac:dyDescent="0.25">
      <c r="B12" s="158" t="s">
        <v>112</v>
      </c>
      <c r="C12" s="1" t="s">
        <v>23</v>
      </c>
      <c r="D12" s="105">
        <v>80</v>
      </c>
      <c r="E12" s="2" t="s">
        <v>110</v>
      </c>
      <c r="F12" s="127">
        <f>F13*log_length</f>
        <v>0</v>
      </c>
      <c r="G12" s="106">
        <f>F12*D12</f>
        <v>0</v>
      </c>
      <c r="H12" s="3" t="s">
        <v>25</v>
      </c>
      <c r="I12" s="4" t="s">
        <v>14</v>
      </c>
    </row>
    <row r="13" spans="2:11" s="130" customFormat="1" ht="33" customHeight="1" x14ac:dyDescent="0.25">
      <c r="B13" s="154"/>
      <c r="C13" s="5" t="s">
        <v>26</v>
      </c>
      <c r="D13" s="113">
        <f>AVERAGE(600,1000, 300, 1200)</f>
        <v>775</v>
      </c>
      <c r="E13" s="6" t="s">
        <v>27</v>
      </c>
      <c r="F13" s="126">
        <f>from_geodata!C15/log_length^2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130" customFormat="1" ht="33" customHeight="1" x14ac:dyDescent="0.25">
      <c r="B14" s="154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105</v>
      </c>
    </row>
    <row r="15" spans="2:11" s="130" customFormat="1" ht="33" customHeight="1" x14ac:dyDescent="0.25">
      <c r="B15" s="154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130" customFormat="1" ht="33" customHeight="1" x14ac:dyDescent="0.25">
      <c r="B16" s="154"/>
      <c r="C16" s="64" t="s">
        <v>34</v>
      </c>
      <c r="D16" s="114">
        <v>120</v>
      </c>
      <c r="E16" s="65" t="s">
        <v>108</v>
      </c>
      <c r="F16" s="126">
        <f>from_geodata!C13</f>
        <v>0</v>
      </c>
      <c r="G16" s="115">
        <f>F16*D16</f>
        <v>0</v>
      </c>
      <c r="H16" s="17"/>
      <c r="I16" s="18" t="s">
        <v>36</v>
      </c>
    </row>
    <row r="17" spans="2:9" s="130" customFormat="1" ht="16.5" customHeight="1" x14ac:dyDescent="0.25">
      <c r="B17" s="156" t="s">
        <v>113</v>
      </c>
      <c r="C17" s="154"/>
      <c r="D17" s="154"/>
      <c r="E17" s="154"/>
      <c r="F17" s="154"/>
      <c r="G17" s="111">
        <f>SUM(G12:G16)</f>
        <v>0</v>
      </c>
      <c r="H17" s="39"/>
      <c r="I17" s="40"/>
    </row>
    <row r="18" spans="2:9" s="13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130" customFormat="1" ht="33" customHeight="1" x14ac:dyDescent="0.25">
      <c r="B19" s="158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43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104</v>
      </c>
    </row>
    <row r="21" spans="2:9" s="130" customFormat="1" ht="33" customHeight="1" x14ac:dyDescent="0.25">
      <c r="B21" s="154"/>
      <c r="C21" s="5" t="s">
        <v>42</v>
      </c>
      <c r="D21" s="107">
        <v>18</v>
      </c>
      <c r="E21" s="6" t="s">
        <v>108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130" customFormat="1" ht="33" customHeight="1" x14ac:dyDescent="0.25">
      <c r="B22" s="154"/>
      <c r="C22" s="5" t="s">
        <v>45</v>
      </c>
      <c r="D22" s="107">
        <v>18</v>
      </c>
      <c r="E22" s="6" t="s">
        <v>108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130" customFormat="1" ht="33" customHeight="1" x14ac:dyDescent="0.25">
      <c r="B23" s="154"/>
      <c r="C23" s="5" t="s">
        <v>46</v>
      </c>
      <c r="D23" s="107">
        <v>10</v>
      </c>
      <c r="E23" s="6" t="s">
        <v>108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130" customFormat="1" ht="33" customHeight="1" x14ac:dyDescent="0.25">
      <c r="B24" s="154"/>
      <c r="C24" s="5" t="s">
        <v>48</v>
      </c>
      <c r="D24" s="107">
        <v>10</v>
      </c>
      <c r="E24" s="6" t="s">
        <v>108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43"/>
      <c r="C25" s="22" t="s">
        <v>49</v>
      </c>
      <c r="D25" s="118">
        <v>10</v>
      </c>
      <c r="E25" s="6" t="s">
        <v>108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43"/>
      <c r="C26" s="67" t="s">
        <v>51</v>
      </c>
      <c r="D26" s="119">
        <v>10</v>
      </c>
      <c r="E26" s="68" t="s">
        <v>108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6" t="s">
        <v>52</v>
      </c>
      <c r="C27" s="143"/>
      <c r="D27" s="144"/>
      <c r="E27" s="145"/>
      <c r="F27" s="146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59" t="s">
        <v>53</v>
      </c>
      <c r="C29" s="9" t="s">
        <v>54</v>
      </c>
      <c r="D29" s="116">
        <v>75</v>
      </c>
      <c r="E29" s="10" t="s">
        <v>108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43"/>
      <c r="C30" s="9" t="s">
        <v>56</v>
      </c>
      <c r="D30" s="116">
        <v>35</v>
      </c>
      <c r="E30" s="10" t="s">
        <v>110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43"/>
      <c r="C31" s="9" t="s">
        <v>58</v>
      </c>
      <c r="D31" s="116">
        <f>(2+10)/2</f>
        <v>6</v>
      </c>
      <c r="E31" s="10" t="s">
        <v>108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130" customFormat="1" ht="33" customHeight="1" x14ac:dyDescent="0.25">
      <c r="B32" s="154"/>
      <c r="C32" s="5" t="s">
        <v>60</v>
      </c>
      <c r="D32" s="107">
        <f>(10+20)/2</f>
        <v>15</v>
      </c>
      <c r="E32" s="6" t="s">
        <v>110</v>
      </c>
      <c r="F32" s="126">
        <f>from_geodata!C16</f>
        <v>0</v>
      </c>
      <c r="G32" s="108">
        <f>F32*2*D32</f>
        <v>0</v>
      </c>
      <c r="H32" s="7" t="s">
        <v>61</v>
      </c>
      <c r="I32" s="8" t="s">
        <v>21</v>
      </c>
    </row>
    <row r="33" spans="2:9" s="130" customFormat="1" ht="33" customHeight="1" x14ac:dyDescent="0.25">
      <c r="B33" s="154"/>
      <c r="C33" s="64" t="s">
        <v>62</v>
      </c>
      <c r="D33" s="114">
        <f>(120+160)/2</f>
        <v>140</v>
      </c>
      <c r="E33" s="65" t="s">
        <v>108</v>
      </c>
      <c r="F33" s="126">
        <f>from_geodata!C12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6" t="s">
        <v>64</v>
      </c>
      <c r="C34" s="143"/>
      <c r="D34" s="144"/>
      <c r="E34" s="145"/>
      <c r="F34" s="146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130" customFormat="1" ht="16.5" customHeight="1" x14ac:dyDescent="0.3">
      <c r="B36" s="158" t="s">
        <v>65</v>
      </c>
      <c r="C36" s="5" t="s">
        <v>66</v>
      </c>
      <c r="D36" s="107">
        <v>0.93</v>
      </c>
      <c r="E36" s="10" t="s">
        <v>108</v>
      </c>
      <c r="F36" s="52"/>
      <c r="G36" s="108">
        <f>F36*D36</f>
        <v>0</v>
      </c>
      <c r="H36" s="7"/>
      <c r="I36" s="8" t="s">
        <v>67</v>
      </c>
    </row>
    <row r="37" spans="2:9" s="130" customFormat="1" ht="16.5" customHeight="1" x14ac:dyDescent="0.25">
      <c r="B37" s="154"/>
      <c r="C37" s="64" t="s">
        <v>68</v>
      </c>
      <c r="D37" s="114">
        <f>AVERAGE(1000, 2000)</f>
        <v>1500</v>
      </c>
      <c r="E37" s="65" t="s">
        <v>110</v>
      </c>
      <c r="F37" s="66"/>
      <c r="G37" s="115">
        <f>F37*D37</f>
        <v>0</v>
      </c>
      <c r="H37" s="17"/>
      <c r="I37" s="18" t="s">
        <v>50</v>
      </c>
    </row>
    <row r="38" spans="2:9" s="130" customFormat="1" ht="16.5" customHeight="1" x14ac:dyDescent="0.25">
      <c r="B38" s="156" t="s">
        <v>69</v>
      </c>
      <c r="C38" s="154"/>
      <c r="D38" s="154"/>
      <c r="E38" s="154"/>
      <c r="F38" s="154"/>
      <c r="G38" s="111">
        <f>SUM(G36:G37)</f>
        <v>0</v>
      </c>
      <c r="H38" s="39"/>
      <c r="I38" s="40"/>
    </row>
    <row r="39" spans="2:9" s="13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130" customFormat="1" ht="16.5" customHeight="1" x14ac:dyDescent="0.3">
      <c r="B40" s="158" t="s">
        <v>70</v>
      </c>
      <c r="C40" s="5" t="s">
        <v>71</v>
      </c>
      <c r="D40" s="107">
        <v>200</v>
      </c>
      <c r="E40" s="6" t="s">
        <v>109</v>
      </c>
      <c r="F40" s="52"/>
      <c r="G40" s="108">
        <f t="shared" ref="G40:G47" si="1">F40*D40</f>
        <v>0</v>
      </c>
      <c r="H40" s="7"/>
      <c r="I40" s="12" t="s">
        <v>14</v>
      </c>
    </row>
    <row r="41" spans="2:9" s="130" customFormat="1" ht="16.5" customHeight="1" x14ac:dyDescent="0.3">
      <c r="B41" s="154"/>
      <c r="C41" s="5" t="s">
        <v>72</v>
      </c>
      <c r="D41" s="107">
        <v>1500</v>
      </c>
      <c r="E41" s="6" t="s">
        <v>111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43"/>
      <c r="C42" s="9" t="s">
        <v>74</v>
      </c>
      <c r="D42" s="116">
        <v>45</v>
      </c>
      <c r="E42" s="10" t="s">
        <v>110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43"/>
      <c r="C43" s="9" t="s">
        <v>76</v>
      </c>
      <c r="D43" s="116">
        <v>140</v>
      </c>
      <c r="E43" s="10" t="s">
        <v>110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43"/>
      <c r="C44" s="9" t="s">
        <v>77</v>
      </c>
      <c r="D44" s="116">
        <v>275</v>
      </c>
      <c r="E44" s="10" t="s">
        <v>110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43"/>
      <c r="C45" s="9" t="s">
        <v>78</v>
      </c>
      <c r="D45" s="116">
        <v>850</v>
      </c>
      <c r="E45" s="10" t="s">
        <v>108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43"/>
      <c r="C46" s="9" t="s">
        <v>79</v>
      </c>
      <c r="D46" s="116">
        <v>1250</v>
      </c>
      <c r="E46" s="10" t="s">
        <v>108</v>
      </c>
      <c r="F46" s="53"/>
      <c r="G46" s="117">
        <f t="shared" si="1"/>
        <v>0</v>
      </c>
      <c r="H46" s="11"/>
      <c r="I46" s="12" t="s">
        <v>14</v>
      </c>
    </row>
    <row r="47" spans="2:9" s="130" customFormat="1" ht="33" customHeight="1" x14ac:dyDescent="0.25">
      <c r="B47" s="154"/>
      <c r="C47" s="64" t="s">
        <v>102</v>
      </c>
      <c r="D47" s="114">
        <f>AVERAGE(3.29, 4.21, 5.65, 2.57, 2.77)*0.91^2</f>
        <v>3.0623138000000005</v>
      </c>
      <c r="E47" s="65" t="s">
        <v>108</v>
      </c>
      <c r="F47" s="66"/>
      <c r="G47" s="115">
        <f t="shared" si="1"/>
        <v>0</v>
      </c>
      <c r="H47" s="17"/>
      <c r="I47" s="18" t="s">
        <v>80</v>
      </c>
    </row>
    <row r="48" spans="2:9" s="130" customFormat="1" ht="16.5" customHeight="1" x14ac:dyDescent="0.25">
      <c r="B48" s="156" t="s">
        <v>81</v>
      </c>
      <c r="C48" s="154"/>
      <c r="D48" s="154"/>
      <c r="E48" s="154"/>
      <c r="F48" s="154"/>
      <c r="G48" s="111">
        <f>SUM(G40:G47)</f>
        <v>0</v>
      </c>
      <c r="H48" s="39"/>
      <c r="I48" s="40"/>
    </row>
    <row r="49" spans="2:9" s="130" customFormat="1" ht="16.5" customHeight="1" x14ac:dyDescent="0.25">
      <c r="B49" s="131"/>
      <c r="C49" s="71"/>
      <c r="D49" s="71"/>
      <c r="E49" s="71"/>
      <c r="F49" s="72"/>
      <c r="G49" s="121"/>
      <c r="H49" s="37"/>
      <c r="I49" s="38"/>
    </row>
    <row r="50" spans="2:9" s="130" customFormat="1" ht="16.5" customHeight="1" x14ac:dyDescent="0.25">
      <c r="B50" s="155" t="s">
        <v>82</v>
      </c>
      <c r="C50" s="154"/>
      <c r="D50" s="154"/>
      <c r="E50" s="154"/>
      <c r="F50" s="154"/>
      <c r="G50" s="122">
        <f>SUM(G48,G38,G34,G27,G17,G10)</f>
        <v>0</v>
      </c>
      <c r="H50" s="37"/>
      <c r="I50" s="38"/>
    </row>
    <row r="52" spans="2:9" ht="16.5" customHeight="1" x14ac:dyDescent="0.3">
      <c r="B52" s="147" t="s">
        <v>83</v>
      </c>
      <c r="C52" s="143"/>
      <c r="D52" s="144"/>
      <c r="E52" s="145"/>
      <c r="F52" s="146"/>
      <c r="G52" s="148"/>
      <c r="H52" s="149"/>
      <c r="I52" s="150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1" t="s">
        <v>84</v>
      </c>
      <c r="C54" s="143"/>
      <c r="D54" s="31"/>
      <c r="E54" s="28"/>
      <c r="F54" s="55"/>
      <c r="G54" s="123"/>
      <c r="H54" s="29"/>
      <c r="I54" s="30"/>
    </row>
    <row r="55" spans="2:9" x14ac:dyDescent="0.3">
      <c r="B55" s="152" t="s">
        <v>85</v>
      </c>
      <c r="C55" s="143"/>
      <c r="D55" s="34">
        <v>0.1</v>
      </c>
      <c r="E55" s="33" t="s">
        <v>86</v>
      </c>
      <c r="F55" s="135">
        <v>1</v>
      </c>
      <c r="G55" s="136">
        <f>G50*D55</f>
        <v>0</v>
      </c>
      <c r="I55" s="129" t="s">
        <v>14</v>
      </c>
    </row>
    <row r="56" spans="2:9" x14ac:dyDescent="0.3">
      <c r="B56" s="152" t="s">
        <v>87</v>
      </c>
      <c r="C56" s="143"/>
      <c r="D56" s="35">
        <v>0.1</v>
      </c>
      <c r="E56" s="33" t="s">
        <v>86</v>
      </c>
      <c r="F56" s="135">
        <v>1</v>
      </c>
      <c r="G56" s="136">
        <f>G50*D56</f>
        <v>0</v>
      </c>
      <c r="I56" s="129" t="s">
        <v>14</v>
      </c>
    </row>
    <row r="57" spans="2:9" x14ac:dyDescent="0.3">
      <c r="B57" s="151" t="s">
        <v>88</v>
      </c>
      <c r="C57" s="143"/>
      <c r="D57" s="36"/>
      <c r="E57" s="28"/>
      <c r="F57" s="55"/>
      <c r="G57" s="123"/>
      <c r="H57" s="29"/>
      <c r="I57" s="30"/>
    </row>
    <row r="58" spans="2:9" s="130" customFormat="1" ht="33" customHeight="1" x14ac:dyDescent="0.25">
      <c r="B58" s="153" t="s">
        <v>89</v>
      </c>
      <c r="C58" s="154"/>
      <c r="D58" s="58">
        <f>AVERAGE(0.1,0.2)</f>
        <v>0.15000000000000002</v>
      </c>
      <c r="E58" s="59" t="s">
        <v>86</v>
      </c>
      <c r="F58" s="60">
        <v>1</v>
      </c>
      <c r="G58" s="124">
        <f>G50*D58</f>
        <v>0</v>
      </c>
      <c r="H58" s="37"/>
      <c r="I58" s="38" t="s">
        <v>90</v>
      </c>
    </row>
    <row r="60" spans="2:9" x14ac:dyDescent="0.3">
      <c r="B60" s="142" t="s">
        <v>91</v>
      </c>
      <c r="C60" s="143"/>
      <c r="D60" s="144"/>
      <c r="E60" s="145"/>
      <c r="F60" s="146"/>
      <c r="G60" s="125">
        <f>G58+G56+G55+G50</f>
        <v>0</v>
      </c>
      <c r="H60" s="140"/>
      <c r="I60" s="140"/>
    </row>
  </sheetData>
  <mergeCells count="25">
    <mergeCell ref="B7:B9"/>
    <mergeCell ref="B1:I1"/>
    <mergeCell ref="H2:H3"/>
    <mergeCell ref="I2:I3"/>
    <mergeCell ref="K2:K3"/>
    <mergeCell ref="E3:F3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60:F60"/>
    <mergeCell ref="B52:I52"/>
    <mergeCell ref="B54:C54"/>
    <mergeCell ref="B55:C55"/>
    <mergeCell ref="B56:C56"/>
    <mergeCell ref="B57:C57"/>
    <mergeCell ref="B58:C58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topLeftCell="A25" zoomScaleNormal="100" workbookViewId="0">
      <selection activeCell="G58" sqref="G58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7.42578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61" t="s">
        <v>106</v>
      </c>
      <c r="C1" s="161"/>
      <c r="D1" s="161"/>
      <c r="E1" s="161"/>
      <c r="F1" s="161"/>
      <c r="G1" s="161"/>
      <c r="H1" s="161"/>
      <c r="I1" s="161"/>
    </row>
    <row r="2" spans="2:11" ht="16.5" customHeight="1" x14ac:dyDescent="0.3">
      <c r="B2" s="75" t="s">
        <v>0</v>
      </c>
      <c r="C2" s="76" t="s">
        <v>101</v>
      </c>
      <c r="D2" s="77"/>
      <c r="E2" s="73"/>
      <c r="F2" s="74" t="s">
        <v>1</v>
      </c>
      <c r="G2" s="98">
        <f>G61</f>
        <v>0</v>
      </c>
      <c r="H2" s="162" t="s">
        <v>119</v>
      </c>
      <c r="I2" s="163" t="str">
        <f>IF(NOT(OR(ISBLANK(G2), ISBLANK(G3))),G2/G3,"")</f>
        <v/>
      </c>
      <c r="J2" s="81"/>
      <c r="K2" s="164" t="s">
        <v>99</v>
      </c>
    </row>
    <row r="3" spans="2:11" ht="17.25" customHeight="1" thickBot="1" x14ac:dyDescent="0.35">
      <c r="B3" s="78" t="s">
        <v>2</v>
      </c>
      <c r="C3" s="79" t="s">
        <v>100</v>
      </c>
      <c r="D3" s="80"/>
      <c r="E3" s="166" t="s">
        <v>120</v>
      </c>
      <c r="F3" s="146"/>
      <c r="G3" s="99"/>
      <c r="H3" s="149"/>
      <c r="I3" s="150"/>
      <c r="J3" s="81"/>
      <c r="K3" s="165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60" t="s">
        <v>11</v>
      </c>
      <c r="C7" s="1" t="s">
        <v>12</v>
      </c>
      <c r="D7" s="105">
        <v>220</v>
      </c>
      <c r="E7" s="2" t="s">
        <v>13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91" customFormat="1" ht="49.5" customHeight="1" x14ac:dyDescent="0.25">
      <c r="B8" s="157"/>
      <c r="C8" s="5" t="s">
        <v>15</v>
      </c>
      <c r="D8" s="107">
        <v>23</v>
      </c>
      <c r="E8" s="6" t="s">
        <v>16</v>
      </c>
      <c r="F8" s="57" t="s">
        <v>17</v>
      </c>
      <c r="G8" s="108">
        <f>D8*MAX(terraforming_volumes!C5,terraforming_volumes!C6)</f>
        <v>0</v>
      </c>
      <c r="H8" s="7" t="s">
        <v>18</v>
      </c>
      <c r="I8" s="8" t="s">
        <v>103</v>
      </c>
    </row>
    <row r="9" spans="2:11" s="91" customFormat="1" ht="16.5" customHeight="1" x14ac:dyDescent="0.25">
      <c r="B9" s="157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91" customFormat="1" ht="16.5" customHeight="1" x14ac:dyDescent="0.25">
      <c r="B10" s="156" t="s">
        <v>22</v>
      </c>
      <c r="C10" s="157"/>
      <c r="D10" s="157"/>
      <c r="E10" s="157"/>
      <c r="F10" s="157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58" t="s">
        <v>112</v>
      </c>
      <c r="C12" s="1" t="s">
        <v>23</v>
      </c>
      <c r="D12" s="105">
        <v>80</v>
      </c>
      <c r="E12" s="2" t="s">
        <v>24</v>
      </c>
      <c r="F12" s="127">
        <f>F13*log_length*ft2yd</f>
        <v>0</v>
      </c>
      <c r="G12" s="106">
        <f>F12*D12</f>
        <v>0</v>
      </c>
      <c r="H12" s="3" t="s">
        <v>25</v>
      </c>
      <c r="I12" s="4" t="s">
        <v>14</v>
      </c>
    </row>
    <row r="13" spans="2:11" s="90" customFormat="1" ht="33" customHeight="1" x14ac:dyDescent="0.25">
      <c r="B13" s="154"/>
      <c r="C13" s="5" t="s">
        <v>26</v>
      </c>
      <c r="D13" s="113">
        <f>AVERAGE(600,1000, 300, 1200)</f>
        <v>775</v>
      </c>
      <c r="E13" s="6" t="s">
        <v>27</v>
      </c>
      <c r="F13" s="126">
        <f>from_geodata!C15/square_yd2acre/ft2yd^2/log_length^2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90" customFormat="1" ht="33" customHeight="1" x14ac:dyDescent="0.25">
      <c r="B14" s="154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105</v>
      </c>
    </row>
    <row r="15" spans="2:11" s="90" customFormat="1" ht="33" customHeight="1" x14ac:dyDescent="0.25">
      <c r="B15" s="154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90" customFormat="1" ht="33" customHeight="1" x14ac:dyDescent="0.25">
      <c r="B16" s="154"/>
      <c r="C16" s="64" t="s">
        <v>34</v>
      </c>
      <c r="D16" s="114">
        <v>150</v>
      </c>
      <c r="E16" s="65" t="s">
        <v>35</v>
      </c>
      <c r="F16" s="126">
        <f>from_geodata!C13 / square_yd2acre</f>
        <v>0</v>
      </c>
      <c r="G16" s="115">
        <f>F16*D16</f>
        <v>0</v>
      </c>
      <c r="H16" s="17"/>
      <c r="I16" s="18" t="s">
        <v>36</v>
      </c>
    </row>
    <row r="17" spans="2:9" s="90" customFormat="1" ht="16.5" customHeight="1" x14ac:dyDescent="0.25">
      <c r="B17" s="156" t="s">
        <v>113</v>
      </c>
      <c r="C17" s="154"/>
      <c r="D17" s="154"/>
      <c r="E17" s="154"/>
      <c r="F17" s="154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58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43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104</v>
      </c>
    </row>
    <row r="21" spans="2:9" s="90" customFormat="1" ht="33" customHeight="1" x14ac:dyDescent="0.25">
      <c r="B21" s="154"/>
      <c r="C21" s="5" t="s">
        <v>42</v>
      </c>
      <c r="D21" s="107">
        <f>AVERAGE(73059, 71836)</f>
        <v>72447.5</v>
      </c>
      <c r="E21" s="6" t="s">
        <v>13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90" customFormat="1" ht="33" customHeight="1" x14ac:dyDescent="0.25">
      <c r="B22" s="154"/>
      <c r="C22" s="5" t="s">
        <v>45</v>
      </c>
      <c r="D22" s="107">
        <f>AVERAGE(73059, 71836)</f>
        <v>72447.5</v>
      </c>
      <c r="E22" s="6" t="s">
        <v>13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90" customFormat="1" ht="33" customHeight="1" x14ac:dyDescent="0.25">
      <c r="B23" s="154"/>
      <c r="C23" s="5" t="s">
        <v>46</v>
      </c>
      <c r="D23" s="107">
        <v>40598</v>
      </c>
      <c r="E23" s="6" t="s">
        <v>13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90" customFormat="1" ht="33" customHeight="1" x14ac:dyDescent="0.25">
      <c r="B24" s="154"/>
      <c r="C24" s="5" t="s">
        <v>48</v>
      </c>
      <c r="D24" s="107">
        <v>40598</v>
      </c>
      <c r="E24" s="6" t="s">
        <v>13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43"/>
      <c r="C25" s="22" t="s">
        <v>49</v>
      </c>
      <c r="D25" s="118">
        <f>AVERAGE(35000,45000)</f>
        <v>40000</v>
      </c>
      <c r="E25" s="23" t="s">
        <v>13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43"/>
      <c r="C26" s="67" t="s">
        <v>51</v>
      </c>
      <c r="D26" s="119">
        <f>AVERAGE(35000,45000)</f>
        <v>40000</v>
      </c>
      <c r="E26" s="68" t="s">
        <v>13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6" t="s">
        <v>52</v>
      </c>
      <c r="C27" s="143"/>
      <c r="D27" s="144"/>
      <c r="E27" s="145"/>
      <c r="F27" s="146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59" t="s">
        <v>53</v>
      </c>
      <c r="C29" s="9" t="s">
        <v>54</v>
      </c>
      <c r="D29" s="116">
        <f>(60+100)/2</f>
        <v>80</v>
      </c>
      <c r="E29" s="10" t="s">
        <v>35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43"/>
      <c r="C30" s="9" t="s">
        <v>56</v>
      </c>
      <c r="D30" s="116">
        <f>(25+50)/2</f>
        <v>37.5</v>
      </c>
      <c r="E30" s="10" t="s">
        <v>24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43"/>
      <c r="C31" s="9" t="s">
        <v>58</v>
      </c>
      <c r="D31" s="116">
        <f>(3+12)/2</f>
        <v>7.5</v>
      </c>
      <c r="E31" s="10" t="s">
        <v>35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90" customFormat="1" ht="33" customHeight="1" x14ac:dyDescent="0.25">
      <c r="B32" s="154"/>
      <c r="C32" s="5" t="s">
        <v>60</v>
      </c>
      <c r="D32" s="107">
        <f>(10+20)/2</f>
        <v>15</v>
      </c>
      <c r="E32" s="6" t="s">
        <v>24</v>
      </c>
      <c r="F32" s="126">
        <f>from_geodata!C16*square_yd2acre</f>
        <v>0</v>
      </c>
      <c r="G32" s="108">
        <f>F32*2*D32</f>
        <v>0</v>
      </c>
      <c r="H32" s="7" t="s">
        <v>61</v>
      </c>
      <c r="I32" s="8" t="s">
        <v>21</v>
      </c>
    </row>
    <row r="33" spans="2:9" s="90" customFormat="1" ht="33" customHeight="1" x14ac:dyDescent="0.25">
      <c r="B33" s="154"/>
      <c r="C33" s="64" t="s">
        <v>62</v>
      </c>
      <c r="D33" s="114">
        <f>(140+175)/2</f>
        <v>157.5</v>
      </c>
      <c r="E33" s="65" t="s">
        <v>35</v>
      </c>
      <c r="F33" s="126">
        <f>from_geodata!C12/square_yd2acre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6" t="s">
        <v>64</v>
      </c>
      <c r="C34" s="143"/>
      <c r="D34" s="144"/>
      <c r="E34" s="145"/>
      <c r="F34" s="146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58" t="s">
        <v>65</v>
      </c>
      <c r="C36" s="5" t="s">
        <v>66</v>
      </c>
      <c r="D36" s="107">
        <f>AVERAGE(2500, 5000)</f>
        <v>3750</v>
      </c>
      <c r="E36" s="10" t="s">
        <v>13</v>
      </c>
      <c r="F36" s="52"/>
      <c r="G36" s="108">
        <f>F36*D36</f>
        <v>0</v>
      </c>
      <c r="H36" s="7"/>
      <c r="I36" s="8" t="s">
        <v>67</v>
      </c>
    </row>
    <row r="37" spans="2:9" s="90" customFormat="1" ht="16.5" customHeight="1" x14ac:dyDescent="0.25">
      <c r="B37" s="154"/>
      <c r="C37" s="64" t="s">
        <v>68</v>
      </c>
      <c r="D37" s="114">
        <f>AVERAGE(1000, 2000)</f>
        <v>1500</v>
      </c>
      <c r="E37" s="65" t="s">
        <v>24</v>
      </c>
      <c r="F37" s="66"/>
      <c r="G37" s="115">
        <f>F37*D37</f>
        <v>0</v>
      </c>
      <c r="H37" s="17"/>
      <c r="I37" s="18" t="s">
        <v>50</v>
      </c>
    </row>
    <row r="38" spans="2:9" s="90" customFormat="1" ht="16.5" customHeight="1" x14ac:dyDescent="0.25">
      <c r="B38" s="156" t="s">
        <v>69</v>
      </c>
      <c r="C38" s="154"/>
      <c r="D38" s="154"/>
      <c r="E38" s="154"/>
      <c r="F38" s="154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58" t="s">
        <v>70</v>
      </c>
      <c r="C40" s="5" t="s">
        <v>71</v>
      </c>
      <c r="D40" s="107">
        <v>250</v>
      </c>
      <c r="E40" s="6" t="s">
        <v>16</v>
      </c>
      <c r="F40" s="52"/>
      <c r="G40" s="108">
        <f t="shared" ref="G40:G47" si="1">F40*D40</f>
        <v>0</v>
      </c>
      <c r="H40" s="7"/>
      <c r="I40" s="12" t="s">
        <v>14</v>
      </c>
    </row>
    <row r="41" spans="2:9" s="90" customFormat="1" ht="16.5" customHeight="1" x14ac:dyDescent="0.3">
      <c r="B41" s="154"/>
      <c r="C41" s="5" t="s">
        <v>72</v>
      </c>
      <c r="D41" s="107">
        <f>1700*0.9071847</f>
        <v>1542.21399</v>
      </c>
      <c r="E41" s="6" t="s">
        <v>73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43"/>
      <c r="C42" s="9" t="s">
        <v>74</v>
      </c>
      <c r="D42" s="116">
        <v>100</v>
      </c>
      <c r="E42" s="10" t="s">
        <v>24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43"/>
      <c r="C43" s="9" t="s">
        <v>76</v>
      </c>
      <c r="D43" s="116">
        <v>150</v>
      </c>
      <c r="E43" s="10" t="s">
        <v>24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43"/>
      <c r="C44" s="9" t="s">
        <v>77</v>
      </c>
      <c r="D44" s="116">
        <v>300</v>
      </c>
      <c r="E44" s="10" t="s">
        <v>24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43"/>
      <c r="C45" s="9" t="s">
        <v>78</v>
      </c>
      <c r="D45" s="116">
        <v>1000</v>
      </c>
      <c r="E45" s="10" t="s">
        <v>35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43"/>
      <c r="C46" s="9" t="s">
        <v>79</v>
      </c>
      <c r="D46" s="116">
        <v>1500</v>
      </c>
      <c r="E46" s="10" t="s">
        <v>35</v>
      </c>
      <c r="F46" s="53"/>
      <c r="G46" s="117">
        <f t="shared" si="1"/>
        <v>0</v>
      </c>
      <c r="H46" s="11"/>
      <c r="I46" s="12" t="s">
        <v>14</v>
      </c>
    </row>
    <row r="47" spans="2:9" s="90" customFormat="1" ht="33" customHeight="1" x14ac:dyDescent="0.25">
      <c r="B47" s="154"/>
      <c r="C47" s="64" t="s">
        <v>102</v>
      </c>
      <c r="D47" s="114">
        <f>AVERAGE(3.29, 4.21, 5.65, 2.57, 2.77)</f>
        <v>3.6980000000000004</v>
      </c>
      <c r="E47" s="65" t="s">
        <v>35</v>
      </c>
      <c r="F47" s="66"/>
      <c r="G47" s="115">
        <f t="shared" si="1"/>
        <v>0</v>
      </c>
      <c r="H47" s="17"/>
      <c r="I47" s="18" t="s">
        <v>80</v>
      </c>
    </row>
    <row r="48" spans="2:9" s="90" customFormat="1" ht="16.5" customHeight="1" x14ac:dyDescent="0.25">
      <c r="B48" s="156" t="s">
        <v>81</v>
      </c>
      <c r="C48" s="154"/>
      <c r="D48" s="154"/>
      <c r="E48" s="154"/>
      <c r="F48" s="154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55" t="s">
        <v>82</v>
      </c>
      <c r="C50" s="154"/>
      <c r="D50" s="154"/>
      <c r="E50" s="154"/>
      <c r="F50" s="154"/>
      <c r="G50" s="122">
        <f>SUM(G48,G38,G34,G27,G17,G10)</f>
        <v>0</v>
      </c>
      <c r="H50" s="37"/>
      <c r="I50" s="38"/>
    </row>
    <row r="52" spans="2:9" ht="16.5" customHeight="1" x14ac:dyDescent="0.3">
      <c r="B52" s="147" t="s">
        <v>83</v>
      </c>
      <c r="C52" s="143"/>
      <c r="D52" s="144"/>
      <c r="E52" s="145"/>
      <c r="F52" s="146"/>
      <c r="G52" s="148"/>
      <c r="H52" s="149"/>
      <c r="I52" s="150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1" t="s">
        <v>84</v>
      </c>
      <c r="C54" s="143"/>
      <c r="D54" s="31"/>
      <c r="E54" s="28"/>
      <c r="F54" s="55"/>
      <c r="G54" s="123"/>
      <c r="H54" s="29"/>
      <c r="I54" s="30"/>
    </row>
    <row r="55" spans="2:9" x14ac:dyDescent="0.3">
      <c r="B55" s="152" t="s">
        <v>85</v>
      </c>
      <c r="C55" s="143"/>
      <c r="D55" s="34">
        <v>0.1</v>
      </c>
      <c r="E55" s="33" t="s">
        <v>86</v>
      </c>
      <c r="F55" s="85">
        <v>1</v>
      </c>
      <c r="G55" s="97">
        <f>G50*D55</f>
        <v>0</v>
      </c>
      <c r="I55" s="129" t="s">
        <v>14</v>
      </c>
    </row>
    <row r="56" spans="2:9" x14ac:dyDescent="0.3">
      <c r="B56" s="152" t="s">
        <v>87</v>
      </c>
      <c r="C56" s="143"/>
      <c r="D56" s="35">
        <v>0.1</v>
      </c>
      <c r="E56" s="33" t="s">
        <v>86</v>
      </c>
      <c r="F56" s="85">
        <v>1</v>
      </c>
      <c r="G56" s="97">
        <f>G50*D56</f>
        <v>0</v>
      </c>
      <c r="I56" s="129" t="s">
        <v>14</v>
      </c>
    </row>
    <row r="57" spans="2:9" x14ac:dyDescent="0.3">
      <c r="B57" s="151" t="s">
        <v>121</v>
      </c>
      <c r="C57" s="143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53" t="s">
        <v>122</v>
      </c>
      <c r="C58" s="154"/>
      <c r="D58" s="171">
        <v>0.16500000000000001</v>
      </c>
      <c r="E58" s="59" t="s">
        <v>86</v>
      </c>
      <c r="F58" s="60">
        <v>1</v>
      </c>
      <c r="G58" s="124">
        <f>G50*D58</f>
        <v>0</v>
      </c>
      <c r="H58" s="37"/>
      <c r="I58" s="38" t="s">
        <v>124</v>
      </c>
    </row>
    <row r="59" spans="2:9" s="141" customFormat="1" ht="16.5" customHeight="1" x14ac:dyDescent="0.25">
      <c r="B59" s="153" t="s">
        <v>123</v>
      </c>
      <c r="C59" s="154"/>
      <c r="D59" s="58">
        <v>0.35</v>
      </c>
      <c r="E59" s="59" t="s">
        <v>86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42" t="s">
        <v>91</v>
      </c>
      <c r="C61" s="143"/>
      <c r="D61" s="144"/>
      <c r="E61" s="145"/>
      <c r="F61" s="146"/>
      <c r="G61" s="125">
        <f>G58+G56+G55+G50+G59</f>
        <v>0</v>
      </c>
      <c r="H61" s="92"/>
      <c r="I61" s="92"/>
    </row>
  </sheetData>
  <mergeCells count="26"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E35" sqref="E35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3" x14ac:dyDescent="0.3">
      <c r="B2" s="94" t="s">
        <v>92</v>
      </c>
    </row>
    <row r="3" spans="2:3" x14ac:dyDescent="0.3">
      <c r="B3" s="94" t="s">
        <v>93</v>
      </c>
      <c r="C3" s="94" t="s">
        <v>94</v>
      </c>
    </row>
    <row r="10" spans="2:3" x14ac:dyDescent="0.3">
      <c r="B10" s="94" t="s">
        <v>95</v>
      </c>
    </row>
    <row r="11" spans="2:3" x14ac:dyDescent="0.3">
      <c r="B11" s="94" t="s">
        <v>93</v>
      </c>
      <c r="C11" s="94" t="s">
        <v>94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H19" sqref="H19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96</v>
      </c>
      <c r="C2" s="167" t="s">
        <v>115</v>
      </c>
      <c r="D2" s="168"/>
      <c r="E2" s="168"/>
      <c r="F2" s="168"/>
      <c r="G2" s="168"/>
      <c r="H2" s="168"/>
      <c r="I2" s="168"/>
    </row>
    <row r="3" spans="2:9" x14ac:dyDescent="0.3">
      <c r="B3" s="169" t="s">
        <v>116</v>
      </c>
      <c r="C3" s="170"/>
      <c r="D3" s="170"/>
      <c r="E3" s="170"/>
      <c r="F3" s="170"/>
      <c r="G3" s="170"/>
      <c r="H3" s="170"/>
      <c r="I3" s="170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97</v>
      </c>
      <c r="C5" s="56"/>
      <c r="D5" s="94" t="s">
        <v>114</v>
      </c>
    </row>
    <row r="6" spans="2:9" x14ac:dyDescent="0.3">
      <c r="B6" s="94" t="s">
        <v>98</v>
      </c>
      <c r="C6" s="56"/>
      <c r="D6" s="94" t="s">
        <v>114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2019-04-30T01:22:43Z</dcterms:modified>
</cp:coreProperties>
</file>